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tg20\Dropbox\Courses_Summer_2020\STAT202\"/>
    </mc:Choice>
  </mc:AlternateContent>
  <xr:revisionPtr revIDLastSave="0" documentId="13_ncr:1_{3B5DE904-D201-414C-B997-AF12B5E09538}" xr6:coauthVersionLast="45" xr6:coauthVersionMax="45" xr10:uidLastSave="{00000000-0000-0000-0000-000000000000}"/>
  <bookViews>
    <workbookView xWindow="-60" yWindow="-60" windowWidth="28920" windowHeight="17520" tabRatio="711" activeTab="4" xr2:uid="{607B318A-B537-4451-88E9-9F589202AC5F}"/>
  </bookViews>
  <sheets>
    <sheet name="Chapt 9" sheetId="1" r:id="rId1"/>
    <sheet name="Chapt 10" sheetId="2" r:id="rId2"/>
    <sheet name="Chapt 17" sheetId="4" r:id="rId3"/>
    <sheet name="Chapt 11" sheetId="5" r:id="rId4"/>
    <sheet name="Chapt 12" sheetId="6" r:id="rId5"/>
    <sheet name="Chapter 13" sheetId="7" r:id="rId6"/>
    <sheet name="Chapter 14" sheetId="8" r:id="rId7"/>
    <sheet name="Chapter 15" sheetId="9" r:id="rId8"/>
    <sheet name="Utilities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9" i="3" l="1"/>
  <c r="B39" i="3"/>
  <c r="C43" i="7"/>
  <c r="K60" i="6"/>
  <c r="K61" i="6"/>
  <c r="K62" i="6"/>
  <c r="C24" i="3"/>
  <c r="C25" i="3" s="1"/>
  <c r="C9" i="3"/>
  <c r="C8" i="3"/>
  <c r="B8" i="3"/>
  <c r="D32" i="2"/>
  <c r="D34" i="2"/>
  <c r="G17" i="1"/>
  <c r="G14" i="1"/>
  <c r="B45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B44" i="3"/>
  <c r="H18" i="9"/>
  <c r="I17" i="9"/>
  <c r="B12" i="3"/>
  <c r="B11" i="3"/>
  <c r="C30" i="7"/>
  <c r="C39" i="7" s="1"/>
  <c r="Q23" i="9"/>
  <c r="D20" i="3"/>
  <c r="D21" i="3"/>
  <c r="D22" i="3"/>
  <c r="D19" i="3"/>
  <c r="R16" i="9"/>
  <c r="Q7" i="9"/>
  <c r="Q24" i="9" s="1"/>
  <c r="A15" i="3"/>
  <c r="A14" i="3"/>
  <c r="G23" i="9"/>
  <c r="B9" i="3"/>
  <c r="G17" i="9"/>
  <c r="C30" i="2"/>
  <c r="B28" i="1"/>
  <c r="G13" i="1"/>
  <c r="Q8" i="9" l="1"/>
  <c r="C8" i="9"/>
  <c r="C9" i="9" s="1"/>
  <c r="R17" i="9"/>
  <c r="R18" i="9"/>
  <c r="R19" i="9"/>
  <c r="R20" i="9"/>
  <c r="R21" i="9"/>
  <c r="Q13" i="9"/>
  <c r="M8" i="9"/>
  <c r="M9" i="9" s="1"/>
  <c r="M10" i="9" l="1"/>
  <c r="M11" i="9"/>
  <c r="J10" i="9"/>
  <c r="J11" i="9"/>
  <c r="J12" i="9"/>
  <c r="J9" i="9"/>
  <c r="H13" i="9"/>
  <c r="I13" i="9"/>
  <c r="G13" i="9"/>
  <c r="G3" i="9"/>
  <c r="F5" i="9" s="1"/>
  <c r="C15" i="9"/>
  <c r="J13" i="9" l="1"/>
  <c r="I19" i="9" l="1"/>
  <c r="J18" i="9"/>
  <c r="H19" i="9"/>
  <c r="I18" i="9"/>
  <c r="G18" i="9"/>
  <c r="H20" i="9"/>
  <c r="I20" i="9"/>
  <c r="G19" i="9"/>
  <c r="G20" i="9"/>
  <c r="H17" i="9"/>
  <c r="H21" i="9" s="1"/>
  <c r="C40" i="7"/>
  <c r="I21" i="9" l="1"/>
  <c r="G24" i="9"/>
  <c r="J20" i="9"/>
  <c r="J19" i="9"/>
  <c r="C44" i="7"/>
  <c r="C36" i="7"/>
  <c r="C35" i="7"/>
  <c r="C31" i="7" l="1"/>
  <c r="C32" i="7"/>
  <c r="C14" i="6"/>
  <c r="C12" i="6"/>
  <c r="C6" i="7" l="1"/>
  <c r="C32" i="6" l="1"/>
  <c r="C33" i="6"/>
  <c r="C34" i="6"/>
  <c r="C41" i="6" l="1"/>
  <c r="C42" i="6"/>
  <c r="C37" i="6"/>
  <c r="C38" i="6"/>
  <c r="D6" i="6"/>
  <c r="C13" i="6"/>
  <c r="D10" i="1"/>
  <c r="D5" i="6"/>
  <c r="D4" i="6"/>
  <c r="D9" i="1"/>
  <c r="D8" i="1"/>
  <c r="H3" i="6" l="1"/>
  <c r="H4" i="6"/>
  <c r="H5" i="6"/>
  <c r="T9" i="2"/>
  <c r="D17" i="4"/>
  <c r="G2" i="1"/>
  <c r="S20" i="2"/>
  <c r="S19" i="2"/>
  <c r="D27" i="2"/>
  <c r="E10" i="2" l="1"/>
  <c r="E8" i="2"/>
  <c r="D33" i="2"/>
  <c r="C25" i="4"/>
  <c r="C24" i="4"/>
  <c r="C106" i="5"/>
  <c r="C105" i="5"/>
  <c r="B104" i="5"/>
  <c r="B103" i="5"/>
  <c r="I8" i="2" l="1"/>
  <c r="F62" i="5"/>
  <c r="E62" i="5"/>
  <c r="D62" i="5"/>
  <c r="C62" i="5"/>
  <c r="B64" i="5"/>
  <c r="B65" i="5"/>
  <c r="B66" i="5"/>
  <c r="B63" i="5"/>
  <c r="D63" i="5" s="1"/>
  <c r="E63" i="5" l="1"/>
  <c r="D37" i="5"/>
  <c r="F12" i="5"/>
  <c r="F13" i="5"/>
  <c r="F14" i="5"/>
  <c r="F11" i="5"/>
  <c r="D15" i="5"/>
  <c r="B15" i="5"/>
  <c r="M19" i="5" l="1"/>
  <c r="O16" i="5" l="1"/>
  <c r="O11" i="5"/>
  <c r="O12" i="5"/>
  <c r="O13" i="5"/>
  <c r="O15" i="5"/>
  <c r="O17" i="5"/>
  <c r="O18" i="5"/>
  <c r="O10" i="5"/>
  <c r="K19" i="5"/>
  <c r="C6" i="4" l="1"/>
  <c r="C5" i="4"/>
  <c r="D13" i="4"/>
  <c r="D12" i="4"/>
  <c r="C34" i="4" l="1"/>
  <c r="D18" i="4"/>
  <c r="C31" i="4" l="1"/>
  <c r="C32" i="4"/>
  <c r="C33" i="4"/>
  <c r="N18" i="2" l="1"/>
  <c r="O18" i="2" s="1"/>
  <c r="N19" i="2"/>
  <c r="O19" i="2" s="1"/>
  <c r="M18" i="2"/>
  <c r="N20" i="2"/>
  <c r="O20" i="2" s="1"/>
  <c r="M20" i="2"/>
  <c r="M19" i="2"/>
  <c r="P18" i="2" l="1"/>
  <c r="P20" i="2"/>
  <c r="T8" i="2"/>
  <c r="V12" i="2" s="1"/>
  <c r="T7" i="2"/>
  <c r="V11" i="2" s="1"/>
  <c r="B43" i="2" l="1"/>
  <c r="T25" i="2"/>
  <c r="U25" i="2" s="1"/>
  <c r="U9" i="2"/>
  <c r="I20" i="2" l="1"/>
  <c r="V13" i="2"/>
  <c r="T24" i="2"/>
  <c r="U24" i="2" s="1"/>
  <c r="D46" i="2"/>
  <c r="D64" i="2"/>
  <c r="D32" i="1"/>
  <c r="N7" i="2" l="1"/>
  <c r="N8" i="2"/>
  <c r="N9" i="2"/>
  <c r="D65" i="2" l="1"/>
  <c r="D66" i="2"/>
  <c r="N10" i="2"/>
  <c r="O10" i="2"/>
  <c r="P4" i="2"/>
  <c r="O4" i="2"/>
  <c r="O3" i="2"/>
  <c r="P3" i="2"/>
  <c r="J18" i="2"/>
  <c r="J19" i="2"/>
  <c r="J17" i="2"/>
  <c r="F65" i="2" l="1"/>
  <c r="P19" i="2"/>
  <c r="Q19" i="2"/>
  <c r="D39" i="2"/>
  <c r="D40" i="2"/>
  <c r="I25" i="2" s="1"/>
  <c r="D3" i="2"/>
  <c r="D4" i="2"/>
  <c r="D5" i="2"/>
  <c r="E13" i="2" l="1"/>
  <c r="I13" i="2" s="1"/>
  <c r="D59" i="2"/>
  <c r="D54" i="2"/>
  <c r="D55" i="2" s="1"/>
  <c r="E9" i="2"/>
  <c r="I9" i="2" s="1"/>
  <c r="I23" i="2"/>
  <c r="J23" i="2" s="1"/>
  <c r="E12" i="2"/>
  <c r="I12" i="2" s="1"/>
  <c r="I24" i="2"/>
  <c r="J24" i="2" s="1"/>
  <c r="E11" i="2"/>
  <c r="I11" i="2" s="1"/>
  <c r="J25" i="2"/>
  <c r="A50" i="2"/>
  <c r="D47" i="2"/>
  <c r="D50" i="2" s="1"/>
  <c r="E48" i="1"/>
  <c r="D56" i="2" l="1"/>
  <c r="F55" i="2" s="1"/>
  <c r="D61" i="2"/>
  <c r="D60" i="2"/>
  <c r="D48" i="2"/>
  <c r="E50" i="1"/>
  <c r="E49" i="1"/>
  <c r="E54" i="1"/>
  <c r="E55" i="1" s="1"/>
  <c r="G50" i="2" l="1"/>
  <c r="B51" i="2" s="1"/>
  <c r="F60" i="2"/>
  <c r="E56" i="1"/>
  <c r="I22" i="2"/>
  <c r="J22" i="2" s="1"/>
  <c r="H21" i="1"/>
  <c r="H20" i="1"/>
  <c r="H28" i="1"/>
  <c r="H29" i="1"/>
  <c r="B35" i="1"/>
  <c r="D38" i="1" s="1"/>
  <c r="D3" i="1"/>
  <c r="D31" i="1"/>
  <c r="J20" i="2" l="1"/>
  <c r="I21" i="2"/>
  <c r="J21" i="2" s="1"/>
  <c r="I10" i="2"/>
  <c r="I5" i="2"/>
  <c r="I4" i="2"/>
  <c r="I3" i="2"/>
  <c r="D36" i="1"/>
  <c r="D37" i="1"/>
  <c r="D25" i="1"/>
  <c r="G7" i="1" s="1"/>
  <c r="D30" i="1"/>
  <c r="D20" i="1"/>
  <c r="D5" i="1"/>
  <c r="D4" i="1"/>
  <c r="H5" i="1" l="1"/>
  <c r="H3" i="1"/>
  <c r="H9" i="1"/>
  <c r="H10" i="1"/>
  <c r="H8" i="1"/>
  <c r="H4" i="1"/>
  <c r="J17" i="9" l="1"/>
  <c r="J21" i="9" s="1"/>
  <c r="G21" i="9"/>
</calcChain>
</file>

<file path=xl/sharedStrings.xml><?xml version="1.0" encoding="utf-8"?>
<sst xmlns="http://schemas.openxmlformats.org/spreadsheetml/2006/main" count="671" uniqueCount="409">
  <si>
    <t>alpha</t>
  </si>
  <si>
    <t>Test Statistics</t>
  </si>
  <si>
    <t>Known std dev (sigma)</t>
  </si>
  <si>
    <t>sigma</t>
  </si>
  <si>
    <t>xBar</t>
  </si>
  <si>
    <t>mu_0</t>
  </si>
  <si>
    <t>n</t>
  </si>
  <si>
    <t>Zcalc.</t>
  </si>
  <si>
    <t>Unknown std dev</t>
  </si>
  <si>
    <t>s</t>
  </si>
  <si>
    <t>p-value</t>
  </si>
  <si>
    <t>!!! TRUE means Reject H_0</t>
  </si>
  <si>
    <t>Decision Rule using p-value</t>
  </si>
  <si>
    <t>Test Statistics for Proportion</t>
  </si>
  <si>
    <t>pi_0</t>
  </si>
  <si>
    <t>pi</t>
  </si>
  <si>
    <t>Tcalc.</t>
  </si>
  <si>
    <t>d.f.</t>
  </si>
  <si>
    <t>Left-tailed</t>
  </si>
  <si>
    <t>Right-tailed</t>
  </si>
  <si>
    <t>Two-tailed</t>
  </si>
  <si>
    <t>!!! Must be a negative num for</t>
  </si>
  <si>
    <t xml:space="preserve"> Two-tailed test</t>
  </si>
  <si>
    <t xml:space="preserve">Critical Value </t>
  </si>
  <si>
    <t>For Zcalc.</t>
  </si>
  <si>
    <t>!!! This required passing normality check</t>
  </si>
  <si>
    <t>n * pi &gt; 10</t>
  </si>
  <si>
    <t>n * (1 - pi) &gt; 10</t>
  </si>
  <si>
    <t>xBar 1</t>
  </si>
  <si>
    <t>xBar 2</t>
  </si>
  <si>
    <r>
      <t>n</t>
    </r>
    <r>
      <rPr>
        <b/>
        <vertAlign val="subscript"/>
        <sz val="11"/>
        <color theme="1"/>
        <rFont val="Calibri"/>
        <family val="2"/>
        <charset val="163"/>
        <scheme val="minor"/>
      </rPr>
      <t>1</t>
    </r>
  </si>
  <si>
    <r>
      <t>n</t>
    </r>
    <r>
      <rPr>
        <b/>
        <vertAlign val="subscript"/>
        <sz val="11"/>
        <color theme="1"/>
        <rFont val="Calibri"/>
        <family val="2"/>
        <charset val="163"/>
        <scheme val="minor"/>
      </rPr>
      <t>2</t>
    </r>
  </si>
  <si>
    <t>sigma 1</t>
  </si>
  <si>
    <t>sigma 2</t>
  </si>
  <si>
    <t>Unknown std dev (sigma), Assumed Equal</t>
  </si>
  <si>
    <t>s 1</t>
  </si>
  <si>
    <t>s 2</t>
  </si>
  <si>
    <r>
      <t>s</t>
    </r>
    <r>
      <rPr>
        <vertAlign val="subscript"/>
        <sz val="11"/>
        <color theme="1"/>
        <rFont val="Calibri"/>
        <family val="2"/>
        <charset val="163"/>
        <scheme val="minor"/>
      </rPr>
      <t xml:space="preserve">p </t>
    </r>
    <r>
      <rPr>
        <sz val="11"/>
        <color theme="1"/>
        <rFont val="Calibri"/>
        <family val="2"/>
        <charset val="163"/>
        <scheme val="minor"/>
      </rPr>
      <t>^2</t>
    </r>
  </si>
  <si>
    <t>Unknown std dev (sigma), Assumed Unequal</t>
  </si>
  <si>
    <r>
      <t>p</t>
    </r>
    <r>
      <rPr>
        <vertAlign val="subscript"/>
        <sz val="11"/>
        <color theme="1"/>
        <rFont val="Calibri"/>
        <family val="2"/>
        <charset val="163"/>
        <scheme val="minor"/>
      </rPr>
      <t>c</t>
    </r>
  </si>
  <si>
    <r>
      <t>p</t>
    </r>
    <r>
      <rPr>
        <vertAlign val="subscript"/>
        <sz val="11"/>
        <color theme="1"/>
        <rFont val="Calibri"/>
        <family val="2"/>
        <charset val="163"/>
        <scheme val="minor"/>
      </rPr>
      <t>2</t>
    </r>
  </si>
  <si>
    <r>
      <t>p</t>
    </r>
    <r>
      <rPr>
        <vertAlign val="subscript"/>
        <sz val="11"/>
        <color theme="1"/>
        <rFont val="Calibri"/>
        <family val="2"/>
        <charset val="163"/>
        <scheme val="minor"/>
      </rPr>
      <t>1</t>
    </r>
  </si>
  <si>
    <r>
      <t>x</t>
    </r>
    <r>
      <rPr>
        <b/>
        <vertAlign val="subscript"/>
        <sz val="11"/>
        <color theme="1"/>
        <rFont val="Calibri"/>
        <family val="2"/>
        <charset val="163"/>
        <scheme val="minor"/>
      </rPr>
      <t>1</t>
    </r>
  </si>
  <si>
    <r>
      <t>x</t>
    </r>
    <r>
      <rPr>
        <b/>
        <vertAlign val="subscript"/>
        <sz val="11"/>
        <color theme="1"/>
        <rFont val="Calibri"/>
        <family val="2"/>
        <charset val="163"/>
        <scheme val="minor"/>
      </rPr>
      <t>2</t>
    </r>
  </si>
  <si>
    <t>Test Statistics for proportions with pi 1 - pi 2 = 0</t>
  </si>
  <si>
    <t>Confidence Interval</t>
  </si>
  <si>
    <t>t-score</t>
  </si>
  <si>
    <t>Lower Bound</t>
  </si>
  <si>
    <t>Upper Bound</t>
  </si>
  <si>
    <t>z-score</t>
  </si>
  <si>
    <t>Step 1:</t>
  </si>
  <si>
    <t>Step 2:</t>
  </si>
  <si>
    <t>Sample size</t>
  </si>
  <si>
    <t>Sample mean</t>
  </si>
  <si>
    <t>Standard deviation</t>
  </si>
  <si>
    <t>Hypothesized mean</t>
  </si>
  <si>
    <r>
      <t>H</t>
    </r>
    <r>
      <rPr>
        <vertAlign val="subscript"/>
        <sz val="11"/>
        <color theme="1"/>
        <rFont val="Calibri"/>
        <family val="2"/>
        <charset val="163"/>
        <scheme val="minor"/>
      </rPr>
      <t>0</t>
    </r>
  </si>
  <si>
    <t>Step 3:</t>
  </si>
  <si>
    <r>
      <t xml:space="preserve">Click the Options button in </t>
    </r>
    <r>
      <rPr>
        <b/>
        <i/>
        <sz val="11"/>
        <color theme="1"/>
        <rFont val="Calibri"/>
        <family val="2"/>
        <charset val="163"/>
        <scheme val="minor"/>
      </rPr>
      <t>Step 2</t>
    </r>
  </si>
  <si>
    <t>Alternative hypothesis</t>
  </si>
  <si>
    <t>What type of test</t>
  </si>
  <si>
    <r>
      <t xml:space="preserve">Choose the Shaded Area in </t>
    </r>
    <r>
      <rPr>
        <b/>
        <i/>
        <sz val="11"/>
        <color theme="1"/>
        <rFont val="Calibri"/>
        <family val="2"/>
        <charset val="163"/>
        <scheme val="minor"/>
      </rPr>
      <t>Step 3</t>
    </r>
  </si>
  <si>
    <t>One-Sample Hypothesis in MiniTab</t>
  </si>
  <si>
    <t>!!! For known std dev choose 1-Sample Z. For unknown std dev choose 1-Sample t</t>
  </si>
  <si>
    <t>Calculate p-value UNKNOWN std dev in MiniTab using Graph</t>
  </si>
  <si>
    <t>Degrees of freedom</t>
  </si>
  <si>
    <t>n - 1</t>
  </si>
  <si>
    <t>Step 4 :</t>
  </si>
  <si>
    <t>Lower bound</t>
  </si>
  <si>
    <t>Upper bound</t>
  </si>
  <si>
    <t>&lt;= mu1 - mu2 &lt;=</t>
  </si>
  <si>
    <t xml:space="preserve">    confidence that </t>
  </si>
  <si>
    <t>Reject H0</t>
  </si>
  <si>
    <t>Unequal var</t>
  </si>
  <si>
    <t>Equal var</t>
  </si>
  <si>
    <t>Decision Rule using Zcalc./Tcalc</t>
  </si>
  <si>
    <t>t(alpha/2)</t>
  </si>
  <si>
    <t>Reject?</t>
  </si>
  <si>
    <t>Test Statistics for Paired Data</t>
  </si>
  <si>
    <t>n pair</t>
  </si>
  <si>
    <t>dBar</t>
  </si>
  <si>
    <r>
      <t>s</t>
    </r>
    <r>
      <rPr>
        <b/>
        <vertAlign val="subscript"/>
        <sz val="11"/>
        <color theme="1"/>
        <rFont val="Calibri"/>
        <family val="2"/>
        <charset val="163"/>
        <scheme val="minor"/>
      </rPr>
      <t>d</t>
    </r>
  </si>
  <si>
    <t>Zcrit.</t>
  </si>
  <si>
    <t>Tcrit.</t>
  </si>
  <si>
    <t>Seem wrong!</t>
  </si>
  <si>
    <t>Normality Check</t>
  </si>
  <si>
    <r>
      <t>D</t>
    </r>
    <r>
      <rPr>
        <b/>
        <vertAlign val="subscript"/>
        <sz val="11"/>
        <color theme="1"/>
        <rFont val="Calibri"/>
        <family val="2"/>
        <charset val="163"/>
        <scheme val="minor"/>
      </rPr>
      <t>0</t>
    </r>
  </si>
  <si>
    <t>(D0 != 0)</t>
  </si>
  <si>
    <t>Proportion</t>
  </si>
  <si>
    <t xml:space="preserve"> z(alpha/2) </t>
  </si>
  <si>
    <t>F distribution</t>
  </si>
  <si>
    <t>Critical Value</t>
  </si>
  <si>
    <t>n1</t>
  </si>
  <si>
    <t>n2</t>
  </si>
  <si>
    <t>xBar1</t>
  </si>
  <si>
    <t>xBar2</t>
  </si>
  <si>
    <t>Fcalc.</t>
  </si>
  <si>
    <t>If Fcalc &gt; 1</t>
  </si>
  <si>
    <t>If Fcalc &lt; 1</t>
  </si>
  <si>
    <t>Decision Rule</t>
  </si>
  <si>
    <r>
      <t xml:space="preserve">               F</t>
    </r>
    <r>
      <rPr>
        <vertAlign val="subscript"/>
        <sz val="11"/>
        <color theme="1"/>
        <rFont val="Calibri"/>
        <family val="2"/>
        <charset val="163"/>
        <scheme val="minor"/>
      </rPr>
      <t>L</t>
    </r>
  </si>
  <si>
    <r>
      <t xml:space="preserve">               F</t>
    </r>
    <r>
      <rPr>
        <vertAlign val="subscript"/>
        <sz val="11"/>
        <color theme="1"/>
        <rFont val="Calibri"/>
        <family val="2"/>
        <charset val="163"/>
        <scheme val="minor"/>
      </rPr>
      <t>R</t>
    </r>
  </si>
  <si>
    <r>
      <t xml:space="preserve">              F</t>
    </r>
    <r>
      <rPr>
        <vertAlign val="subscript"/>
        <sz val="11"/>
        <color theme="1"/>
        <rFont val="Calibri"/>
        <family val="2"/>
        <charset val="163"/>
        <scheme val="minor"/>
      </rPr>
      <t>L,R</t>
    </r>
  </si>
  <si>
    <r>
      <t>s</t>
    </r>
    <r>
      <rPr>
        <b/>
        <vertAlign val="subscript"/>
        <sz val="11"/>
        <color theme="1"/>
        <rFont val="Calibri"/>
        <family val="2"/>
        <charset val="163"/>
        <scheme val="minor"/>
      </rPr>
      <t>1</t>
    </r>
  </si>
  <si>
    <r>
      <t>s</t>
    </r>
    <r>
      <rPr>
        <b/>
        <vertAlign val="subscript"/>
        <sz val="11"/>
        <color theme="1"/>
        <rFont val="Calibri"/>
        <family val="2"/>
        <charset val="163"/>
        <scheme val="minor"/>
      </rPr>
      <t>2</t>
    </r>
  </si>
  <si>
    <t>SOLVING IN MINITAB</t>
  </si>
  <si>
    <t>UCL</t>
  </si>
  <si>
    <t>LCL</t>
  </si>
  <si>
    <t>xBarBar</t>
  </si>
  <si>
    <t>d2</t>
  </si>
  <si>
    <t>R Bar</t>
  </si>
  <si>
    <t>D4</t>
  </si>
  <si>
    <t>D3</t>
  </si>
  <si>
    <t>Pass normality check</t>
  </si>
  <si>
    <t>Control Limit for a Mean Known mu and sigma</t>
  </si>
  <si>
    <t>mu</t>
  </si>
  <si>
    <t>To Do this in MiniTab</t>
  </si>
  <si>
    <t>Control Limit for a Proportion (p chart)</t>
  </si>
  <si>
    <t>Control Limit for a Range (R Bar chart)</t>
  </si>
  <si>
    <t>The centerline is R Bar</t>
  </si>
  <si>
    <t>Chocolate Chip</t>
  </si>
  <si>
    <t>Sugar</t>
  </si>
  <si>
    <t>Macademia</t>
  </si>
  <si>
    <t>Oatmeal Raisin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</si>
  <si>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</si>
  <si>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</si>
  <si>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</si>
  <si>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</si>
  <si>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</si>
  <si>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</si>
  <si>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</si>
  <si>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</si>
  <si>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</si>
  <si>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</si>
  <si>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</si>
  <si>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</si>
  <si>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</si>
  <si>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</si>
  <si>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</si>
  <si>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Total</t>
  </si>
  <si>
    <t>Age Group</t>
  </si>
  <si>
    <t>Shiny</t>
  </si>
  <si>
    <t>Satin</t>
  </si>
  <si>
    <t>Pebbled</t>
  </si>
  <si>
    <t>Pattern</t>
  </si>
  <si>
    <t>Youth (under 21)</t>
  </si>
  <si>
    <t>Adult (21 to 39)</t>
  </si>
  <si>
    <t>Middle-Age (40 to 61)</t>
  </si>
  <si>
    <t>Senior (62 and over)</t>
  </si>
  <si>
    <t>Anova: Two-Factor Without Replication</t>
  </si>
  <si>
    <t>Rows</t>
  </si>
  <si>
    <t>Columns</t>
  </si>
  <si>
    <t>Error</t>
  </si>
  <si>
    <r>
      <rPr>
        <b/>
        <sz val="11"/>
        <color theme="1"/>
        <rFont val="Calibri"/>
        <family val="2"/>
        <charset val="163"/>
        <scheme val="minor"/>
      </rPr>
      <t>Conclusion</t>
    </r>
    <r>
      <rPr>
        <sz val="11"/>
        <color theme="1"/>
        <rFont val="Calibri"/>
        <family val="2"/>
        <scheme val="minor"/>
      </rPr>
      <t>: If p-value &lt; alpha -&gt; Reject, else fail to reject.</t>
    </r>
    <r>
      <rPr>
        <sz val="11"/>
        <color theme="1"/>
        <rFont val="Calibri"/>
        <family val="2"/>
        <charset val="163"/>
        <scheme val="minor"/>
      </rPr>
      <t xml:space="preserve"> </t>
    </r>
  </si>
  <si>
    <t>ANOTHER WAY: F calc. &gt; F crit -&gt; Reject, else fail to reject.</t>
  </si>
  <si>
    <t>Std. Dev</t>
  </si>
  <si>
    <r>
      <rPr>
        <b/>
        <sz val="11"/>
        <color theme="1"/>
        <rFont val="Calibri"/>
        <family val="2"/>
        <charset val="163"/>
        <scheme val="minor"/>
      </rPr>
      <t>DF1</t>
    </r>
    <r>
      <rPr>
        <sz val="11"/>
        <color theme="1"/>
        <rFont val="Calibri"/>
        <family val="2"/>
        <scheme val="minor"/>
      </rPr>
      <t xml:space="preserve"> = number of groups -1 = 4 - 1 = 3 ---&gt; C19</t>
    </r>
  </si>
  <si>
    <r>
      <rPr>
        <b/>
        <sz val="11"/>
        <color theme="1"/>
        <rFont val="Calibri"/>
        <family val="2"/>
        <charset val="163"/>
        <scheme val="minor"/>
      </rPr>
      <t>DF2</t>
    </r>
    <r>
      <rPr>
        <sz val="11"/>
        <color theme="1"/>
        <rFont val="Calibri"/>
        <family val="2"/>
        <scheme val="minor"/>
      </rPr>
      <t xml:space="preserve"> = Total number of n - number of groups = SUM(B11:B14) - 4 = 16 - 4 = 12 ---&gt; C20</t>
    </r>
  </si>
  <si>
    <r>
      <rPr>
        <b/>
        <sz val="11"/>
        <color theme="1"/>
        <rFont val="Calibri"/>
        <family val="2"/>
        <charset val="163"/>
        <scheme val="minor"/>
      </rPr>
      <t>F crit.</t>
    </r>
    <r>
      <rPr>
        <sz val="11"/>
        <color theme="1"/>
        <rFont val="Calibri"/>
        <family val="2"/>
        <scheme val="minor"/>
      </rPr>
      <t xml:space="preserve"> = F.INV.RT(alpha, DF1, DF2) ---&gt; G19 - F.INV.RT(0.05, C19, C20)</t>
    </r>
  </si>
  <si>
    <t>TOTAL</t>
  </si>
  <si>
    <t>Std Dev.</t>
  </si>
  <si>
    <r>
      <rPr>
        <b/>
        <sz val="11"/>
        <color theme="1"/>
        <rFont val="Calibri"/>
        <family val="2"/>
        <charset val="163"/>
        <scheme val="minor"/>
      </rPr>
      <t>F calc.</t>
    </r>
    <r>
      <rPr>
        <sz val="11"/>
        <color theme="1"/>
        <rFont val="Calibri"/>
        <family val="2"/>
        <scheme val="minor"/>
      </rPr>
      <t xml:space="preserve"> = MSB/MSE ----&gt; E19 = D19/D20</t>
    </r>
    <r>
      <rPr>
        <sz val="11"/>
        <color theme="1"/>
        <rFont val="Calibri"/>
        <family val="2"/>
        <charset val="163"/>
        <scheme val="minor"/>
      </rPr>
      <t xml:space="preserve"> ---&gt; Explained Variance/Unexplained Variance</t>
    </r>
  </si>
  <si>
    <r>
      <rPr>
        <b/>
        <sz val="11"/>
        <color theme="1"/>
        <rFont val="Calibri"/>
        <family val="2"/>
        <charset val="163"/>
        <scheme val="minor"/>
      </rPr>
      <t>MSB</t>
    </r>
    <r>
      <rPr>
        <sz val="11"/>
        <color theme="1"/>
        <rFont val="Calibri"/>
        <family val="2"/>
        <charset val="163"/>
        <scheme val="minor"/>
      </rPr>
      <t xml:space="preserve"> is </t>
    </r>
    <r>
      <rPr>
        <sz val="11"/>
        <color theme="1"/>
        <rFont val="Calibri"/>
        <family val="2"/>
        <scheme val="minor"/>
      </rPr>
      <t>D19 = B19/C19 (Variance Between Groups)</t>
    </r>
  </si>
  <si>
    <r>
      <t>MS</t>
    </r>
    <r>
      <rPr>
        <sz val="11"/>
        <color theme="1"/>
        <rFont val="Calibri"/>
        <family val="2"/>
        <charset val="163"/>
        <scheme val="minor"/>
      </rPr>
      <t xml:space="preserve"> = Estimated Variance  </t>
    </r>
  </si>
  <si>
    <r>
      <rPr>
        <b/>
        <sz val="11"/>
        <color theme="1"/>
        <rFont val="Calibri"/>
        <family val="2"/>
        <charset val="163"/>
        <scheme val="minor"/>
      </rPr>
      <t>MSE</t>
    </r>
    <r>
      <rPr>
        <sz val="11"/>
        <color theme="1"/>
        <rFont val="Calibri"/>
        <family val="2"/>
        <charset val="163"/>
        <scheme val="minor"/>
      </rPr>
      <t xml:space="preserve"> is</t>
    </r>
    <r>
      <rPr>
        <sz val="11"/>
        <color theme="1"/>
        <rFont val="Calibri"/>
        <family val="2"/>
        <scheme val="minor"/>
      </rPr>
      <t xml:space="preserve"> D20 = B20/C20 (Variance within Groups)</t>
    </r>
  </si>
  <si>
    <r>
      <rPr>
        <b/>
        <sz val="11"/>
        <color theme="1"/>
        <rFont val="Calibri"/>
        <family val="2"/>
        <charset val="163"/>
        <scheme val="minor"/>
      </rPr>
      <t>H calc.</t>
    </r>
    <r>
      <rPr>
        <sz val="11"/>
        <color theme="1"/>
        <rFont val="Calibri"/>
        <family val="2"/>
        <charset val="163"/>
        <scheme val="minor"/>
      </rPr>
      <t xml:space="preserve"> = Variance max / Variance min =</t>
    </r>
  </si>
  <si>
    <r>
      <t xml:space="preserve">H crit. </t>
    </r>
    <r>
      <rPr>
        <sz val="11"/>
        <color theme="1"/>
        <rFont val="Calibri"/>
        <family val="2"/>
        <charset val="163"/>
        <scheme val="minor"/>
      </rPr>
      <t>= Refer to table 11.5</t>
    </r>
  </si>
  <si>
    <r>
      <rPr>
        <b/>
        <sz val="11"/>
        <color theme="1"/>
        <rFont val="Calibri"/>
        <family val="2"/>
        <charset val="163"/>
        <scheme val="minor"/>
      </rPr>
      <t>T calc.</t>
    </r>
    <r>
      <rPr>
        <sz val="11"/>
        <color theme="1"/>
        <rFont val="Calibri"/>
        <family val="2"/>
        <scheme val="minor"/>
      </rPr>
      <t xml:space="preserve"> =ABS(Mean1 - Mean2 / SQRT(MSE * (1/n1 + 1/n2))</t>
    </r>
  </si>
  <si>
    <r>
      <rPr>
        <b/>
        <sz val="11"/>
        <color theme="1"/>
        <rFont val="Calibri"/>
        <family val="2"/>
        <charset val="163"/>
        <scheme val="minor"/>
      </rPr>
      <t>T crit.</t>
    </r>
    <r>
      <rPr>
        <sz val="11"/>
        <color theme="1"/>
        <rFont val="Calibri"/>
        <family val="2"/>
        <charset val="163"/>
        <scheme val="minor"/>
      </rPr>
      <t xml:space="preserve"> = Refer to table 11.4</t>
    </r>
  </si>
  <si>
    <t>Tukey simultaneously comparison t-values ---&gt; cuz it offers good power and maintains the desired overall prob of Type I error</t>
  </si>
  <si>
    <r>
      <rPr>
        <b/>
        <sz val="11"/>
        <color theme="1"/>
        <rFont val="Calibri"/>
        <family val="2"/>
        <charset val="163"/>
        <scheme val="minor"/>
      </rPr>
      <t>Conclusion:</t>
    </r>
    <r>
      <rPr>
        <sz val="11"/>
        <color theme="1"/>
        <rFont val="Calibri"/>
        <family val="2"/>
        <charset val="163"/>
        <scheme val="minor"/>
      </rPr>
      <t xml:space="preserve"> If T calc. &gt; T crit. ---&gt; The means of the pair differ</t>
    </r>
  </si>
  <si>
    <t>Hartley's test for equal variances</t>
  </si>
  <si>
    <r>
      <t>Conclusion</t>
    </r>
    <r>
      <rPr>
        <sz val="11"/>
        <color theme="1"/>
        <rFont val="Calibri"/>
        <family val="2"/>
        <charset val="163"/>
        <scheme val="minor"/>
      </rPr>
      <t>: H calc. &gt; H crit. -&gt; Reject, else fail to reject (all variances are equal).</t>
    </r>
  </si>
  <si>
    <t>Between Groups (Treatment)</t>
  </si>
  <si>
    <t>Within Groups (Error)</t>
  </si>
  <si>
    <t xml:space="preserve">          df1 = c</t>
  </si>
  <si>
    <t xml:space="preserve">          df2 = floor( (n/c) - 1 )</t>
  </si>
  <si>
    <r>
      <t>S</t>
    </r>
    <r>
      <rPr>
        <vertAlign val="subscript"/>
        <sz val="11"/>
        <color theme="1"/>
        <rFont val="Calibri"/>
        <family val="2"/>
        <charset val="163"/>
        <scheme val="minor"/>
      </rPr>
      <t>(Mean1 - Mean2)</t>
    </r>
    <r>
      <rPr>
        <sz val="11"/>
        <color theme="1"/>
        <rFont val="Calibri"/>
        <family val="2"/>
        <scheme val="minor"/>
      </rPr>
      <t xml:space="preserve"> = SQRT(MSE * (1/n1 + 1/n2))</t>
    </r>
  </si>
  <si>
    <r>
      <t>To calculate t</t>
    </r>
    <r>
      <rPr>
        <vertAlign val="subscript"/>
        <sz val="11"/>
        <color theme="1"/>
        <rFont val="Calibri"/>
        <family val="2"/>
        <charset val="163"/>
        <scheme val="minor"/>
      </rPr>
      <t>(alpha/2, df2)</t>
    </r>
    <r>
      <rPr>
        <sz val="11"/>
        <color theme="1"/>
        <rFont val="Calibri"/>
        <family val="2"/>
        <scheme val="minor"/>
      </rPr>
      <t xml:space="preserve"> = T.INV(alpha/2, df2)</t>
    </r>
  </si>
  <si>
    <r>
      <t>(Mean1 - Mean2) +_ t</t>
    </r>
    <r>
      <rPr>
        <vertAlign val="subscript"/>
        <sz val="11"/>
        <color theme="1"/>
        <rFont val="Calibri"/>
        <family val="2"/>
        <charset val="163"/>
        <scheme val="minor"/>
      </rPr>
      <t xml:space="preserve">(alpha/2,d2) </t>
    </r>
    <r>
      <rPr>
        <sz val="11"/>
        <color theme="1"/>
        <rFont val="Calibri"/>
        <family val="2"/>
        <scheme val="minor"/>
      </rPr>
      <t>* S</t>
    </r>
    <r>
      <rPr>
        <vertAlign val="subscript"/>
        <sz val="11"/>
        <color theme="1"/>
        <rFont val="Calibri"/>
        <family val="2"/>
        <charset val="163"/>
        <scheme val="minor"/>
      </rPr>
      <t>(Mean1 - Mean2)</t>
    </r>
  </si>
  <si>
    <t>CI for estimating Tukey test Mean1 - Mean2</t>
  </si>
  <si>
    <t>Mean 1</t>
  </si>
  <si>
    <t>Mean 2</t>
  </si>
  <si>
    <r>
      <t>S</t>
    </r>
    <r>
      <rPr>
        <vertAlign val="subscript"/>
        <sz val="11"/>
        <color theme="1"/>
        <rFont val="Calibri"/>
        <family val="2"/>
        <charset val="163"/>
        <scheme val="minor"/>
      </rPr>
      <t>(Mean1 - Mean2)</t>
    </r>
  </si>
  <si>
    <r>
      <t>t</t>
    </r>
    <r>
      <rPr>
        <vertAlign val="subscript"/>
        <sz val="11"/>
        <color theme="1"/>
        <rFont val="Calibri"/>
        <family val="2"/>
        <charset val="163"/>
        <scheme val="minor"/>
      </rPr>
      <t>(alpha/2,d2)</t>
    </r>
  </si>
  <si>
    <t>df2</t>
  </si>
  <si>
    <t>MSE</t>
  </si>
  <si>
    <r>
      <rPr>
        <b/>
        <sz val="11"/>
        <color theme="1"/>
        <rFont val="Calibri"/>
        <family val="2"/>
        <charset val="163"/>
        <scheme val="minor"/>
      </rPr>
      <t>p-value</t>
    </r>
    <r>
      <rPr>
        <sz val="11"/>
        <color theme="1"/>
        <rFont val="Calibri"/>
        <family val="2"/>
        <scheme val="minor"/>
      </rPr>
      <t xml:space="preserve"> = F.DIST.RT(Fcalc., DF1, DF2) ---&gt; F19 = F.DIST.RT(E19,C19,C20)</t>
    </r>
    <r>
      <rPr>
        <sz val="11"/>
        <color theme="1"/>
        <rFont val="Calibri"/>
        <family val="2"/>
        <charset val="163"/>
        <scheme val="minor"/>
      </rPr>
      <t xml:space="preserve"> ---&gt; We are 39% certain that one mean is different</t>
    </r>
  </si>
  <si>
    <t>Folder Fcalc.</t>
  </si>
  <si>
    <t>Control Limit for a Mean (Xbar chart)</t>
  </si>
  <si>
    <t>F test for equal variances</t>
  </si>
  <si>
    <t>&lt;-- average of differences</t>
  </si>
  <si>
    <t>&lt;- std dev of differences</t>
  </si>
  <si>
    <t>Tests statistics for Significant Correlation</t>
  </si>
  <si>
    <t>For Tcrit.</t>
  </si>
  <si>
    <t>Excel Simple regression -&gt; Add trendline</t>
  </si>
  <si>
    <t>Step 1</t>
  </si>
  <si>
    <t>Step 2</t>
  </si>
  <si>
    <t>Step 3</t>
  </si>
  <si>
    <t>Step 4</t>
  </si>
  <si>
    <t>Step 5</t>
  </si>
  <si>
    <t>Highlight data columns</t>
  </si>
  <si>
    <t>Click Insert -&gt; Choose Scatter to create a graph</t>
  </si>
  <si>
    <t>Click on the scatter plot to select the data</t>
  </si>
  <si>
    <t>Right click -&gt; Add Trendline</t>
  </si>
  <si>
    <t>Choose Options -&gt; Check Display Equation on chart</t>
  </si>
  <si>
    <t>Calculate correlation coefficient</t>
  </si>
  <si>
    <t>Use =CORREL(array1, array2)</t>
  </si>
  <si>
    <t xml:space="preserve">The regression model: </t>
  </si>
  <si>
    <t>Inverval Estimate for Y</t>
  </si>
  <si>
    <t>intercept</t>
  </si>
  <si>
    <t>slope</t>
  </si>
  <si>
    <t>y-hat</t>
  </si>
  <si>
    <r>
      <t>x</t>
    </r>
    <r>
      <rPr>
        <b/>
        <vertAlign val="subscript"/>
        <sz val="11"/>
        <color theme="1"/>
        <rFont val="Calibri"/>
        <family val="2"/>
        <charset val="163"/>
        <scheme val="minor"/>
      </rPr>
      <t>i</t>
    </r>
  </si>
  <si>
    <t>t calc.</t>
  </si>
  <si>
    <r>
      <t>Prediction interval for y</t>
    </r>
    <r>
      <rPr>
        <b/>
        <vertAlign val="subscript"/>
        <sz val="11"/>
        <color theme="1"/>
        <rFont val="Calibri"/>
        <family val="2"/>
        <charset val="163"/>
        <scheme val="minor"/>
      </rPr>
      <t>i</t>
    </r>
  </si>
  <si>
    <t>Confidence interval for mean of Y</t>
  </si>
  <si>
    <r>
      <t>S</t>
    </r>
    <r>
      <rPr>
        <vertAlign val="subscript"/>
        <sz val="11"/>
        <color theme="1"/>
        <rFont val="Calibri"/>
        <family val="2"/>
        <charset val="163"/>
        <scheme val="minor"/>
      </rPr>
      <t>e</t>
    </r>
  </si>
  <si>
    <t xml:space="preserve"> &lt;-- Sum of squares for x</t>
  </si>
  <si>
    <r>
      <t>SS</t>
    </r>
    <r>
      <rPr>
        <sz val="11"/>
        <color theme="1"/>
        <rFont val="Calibri"/>
        <family val="2"/>
        <charset val="163"/>
        <scheme val="minor"/>
      </rPr>
      <t xml:space="preserve"> = Sum Squares ---&gt; B19 is SSB and B20 is SSE</t>
    </r>
  </si>
  <si>
    <t>Excel Data Analysis Regression</t>
  </si>
  <si>
    <t>X</t>
  </si>
  <si>
    <t>Y</t>
  </si>
  <si>
    <t>SUMMARY OUTPUT</t>
  </si>
  <si>
    <t>Regression Statistics</t>
  </si>
  <si>
    <t>Multiple R</t>
  </si>
  <si>
    <t>Adjusted R Square</t>
  </si>
  <si>
    <t>Standard Error</t>
  </si>
  <si>
    <t>Regression</t>
  </si>
  <si>
    <t>Intercept</t>
  </si>
  <si>
    <t>Lower 95%</t>
  </si>
  <si>
    <t>Upper 95%</t>
  </si>
  <si>
    <t>Data Tab -&gt; Choose Data Analysis -&gt; Select Regression</t>
  </si>
  <si>
    <t>Select Y Range, X Range, Select Confidence Level</t>
  </si>
  <si>
    <r>
      <t>Standard Error (S</t>
    </r>
    <r>
      <rPr>
        <vertAlign val="subscript"/>
        <sz val="11"/>
        <color theme="1"/>
        <rFont val="Calibri"/>
        <family val="2"/>
        <charset val="163"/>
        <scheme val="minor"/>
      </rPr>
      <t>e</t>
    </r>
    <r>
      <rPr>
        <sz val="11"/>
        <color theme="1"/>
        <rFont val="Calibri"/>
        <family val="2"/>
        <scheme val="minor"/>
      </rPr>
      <t>)</t>
    </r>
  </si>
  <si>
    <r>
      <t>R Square (R</t>
    </r>
    <r>
      <rPr>
        <vertAlign val="superscript"/>
        <sz val="11"/>
        <color theme="1"/>
        <rFont val="Calibri"/>
        <family val="2"/>
        <charset val="163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</si>
  <si>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Observations (n)</t>
  </si>
  <si>
    <t>Residual (Error E)</t>
  </si>
  <si>
    <t>Significance F (p-value)</t>
  </si>
  <si>
    <r>
      <rPr>
        <b/>
        <sz val="11"/>
        <color theme="1"/>
        <rFont val="Calibri"/>
        <family val="2"/>
        <charset val="163"/>
        <scheme val="minor"/>
      </rPr>
      <t>p-value</t>
    </r>
    <r>
      <rPr>
        <sz val="11"/>
        <color theme="1"/>
        <rFont val="Calibri"/>
        <family val="2"/>
        <scheme val="minor"/>
      </rPr>
      <t xml:space="preserve"> O32 = F.DIST.RT(N32, K32, K33)</t>
    </r>
  </si>
  <si>
    <r>
      <rPr>
        <b/>
        <sz val="11"/>
        <color theme="1"/>
        <rFont val="Calibri"/>
        <family val="2"/>
        <charset val="163"/>
        <scheme val="minor"/>
      </rPr>
      <t>F crit.</t>
    </r>
    <r>
      <rPr>
        <sz val="11"/>
        <color theme="1"/>
        <rFont val="Calibri"/>
        <family val="2"/>
        <scheme val="minor"/>
      </rPr>
      <t xml:space="preserve"> = F.INV.RT(alpha, K32, K33)</t>
    </r>
  </si>
  <si>
    <r>
      <rPr>
        <b/>
        <sz val="11"/>
        <color theme="1"/>
        <rFont val="Calibri"/>
        <family val="2"/>
        <charset val="163"/>
        <scheme val="minor"/>
      </rPr>
      <t>F calc.</t>
    </r>
    <r>
      <rPr>
        <sz val="11"/>
        <color theme="1"/>
        <rFont val="Calibri"/>
        <family val="2"/>
        <scheme val="minor"/>
      </rPr>
      <t xml:space="preserve"> N32 = M32/M33</t>
    </r>
  </si>
  <si>
    <t>= SQRT(MSE) = SQRT(M33)</t>
  </si>
  <si>
    <t>t Stat (t calc.)</t>
  </si>
  <si>
    <r>
      <rPr>
        <b/>
        <sz val="11"/>
        <color theme="1"/>
        <rFont val="Calibri"/>
        <family val="2"/>
        <charset val="163"/>
        <scheme val="minor"/>
      </rPr>
      <t xml:space="preserve">M38 </t>
    </r>
    <r>
      <rPr>
        <sz val="11"/>
        <color theme="1"/>
        <rFont val="Calibri"/>
        <family val="2"/>
        <scheme val="minor"/>
      </rPr>
      <t>= K38 / L38</t>
    </r>
  </si>
  <si>
    <r>
      <rPr>
        <b/>
        <sz val="11"/>
        <color theme="1"/>
        <rFont val="Calibri"/>
        <family val="2"/>
        <charset val="163"/>
        <scheme val="minor"/>
      </rPr>
      <t>M37</t>
    </r>
    <r>
      <rPr>
        <sz val="11"/>
        <color theme="1"/>
        <rFont val="Calibri"/>
        <family val="2"/>
        <scheme val="minor"/>
      </rPr>
      <t xml:space="preserve"> = K37 / L37</t>
    </r>
  </si>
  <si>
    <t>X (Slope)</t>
  </si>
  <si>
    <t>P-value for 2-tailed test</t>
  </si>
  <si>
    <r>
      <rPr>
        <b/>
        <sz val="11"/>
        <color theme="1"/>
        <rFont val="Calibri"/>
        <family val="2"/>
        <charset val="163"/>
        <scheme val="minor"/>
      </rPr>
      <t>L38</t>
    </r>
    <r>
      <rPr>
        <sz val="11"/>
        <color theme="1"/>
        <rFont val="Calibri"/>
        <family val="2"/>
        <scheme val="minor"/>
      </rPr>
      <t xml:space="preserve"> = SQRT(M33/SSxx)</t>
    </r>
  </si>
  <si>
    <t>OR F calc. &gt; F crit. ---&gt; Reject H0</t>
  </si>
  <si>
    <t xml:space="preserve">   This means we're 95% certain for every $ invest the revenue increase between $0.48 and $2.31</t>
  </si>
  <si>
    <r>
      <t xml:space="preserve">Conclusion: </t>
    </r>
    <r>
      <rPr>
        <sz val="11"/>
        <color theme="1"/>
        <rFont val="Calibri"/>
        <family val="2"/>
        <charset val="163"/>
        <scheme val="minor"/>
      </rPr>
      <t>p-value != 0 ---&gt; Reject H0 ---&gt; There's correlation and we're 99% certain (based on O32)</t>
    </r>
  </si>
  <si>
    <t>OR tcalc. &gt; t crit ---&gt; Reject H0</t>
  </si>
  <si>
    <r>
      <rPr>
        <b/>
        <sz val="11"/>
        <color theme="1"/>
        <rFont val="Calibri"/>
        <family val="2"/>
        <charset val="163"/>
        <scheme val="minor"/>
      </rPr>
      <t xml:space="preserve">SSR </t>
    </r>
    <r>
      <rPr>
        <sz val="11"/>
        <color theme="1"/>
        <rFont val="Calibri"/>
        <family val="2"/>
        <charset val="163"/>
        <scheme val="minor"/>
      </rPr>
      <t>L32 --&gt; Regression sum of squares</t>
    </r>
  </si>
  <si>
    <r>
      <t xml:space="preserve">SST </t>
    </r>
    <r>
      <rPr>
        <sz val="11"/>
        <color theme="1"/>
        <rFont val="Calibri"/>
        <family val="2"/>
        <charset val="163"/>
        <scheme val="minor"/>
      </rPr>
      <t>L34 -&gt; total sum of squares</t>
    </r>
  </si>
  <si>
    <t>Adjusted R</t>
  </si>
  <si>
    <t>SSE</t>
  </si>
  <si>
    <t>SST</t>
  </si>
  <si>
    <r>
      <t xml:space="preserve">k </t>
    </r>
    <r>
      <rPr>
        <sz val="11"/>
        <color theme="1"/>
        <rFont val="Calibri"/>
        <family val="2"/>
        <charset val="163"/>
        <scheme val="minor"/>
      </rPr>
      <t>(# predictors)</t>
    </r>
  </si>
  <si>
    <t xml:space="preserve">n </t>
  </si>
  <si>
    <r>
      <t>Adjusted R</t>
    </r>
    <r>
      <rPr>
        <b/>
        <vertAlign val="superscript"/>
        <sz val="11"/>
        <color theme="1"/>
        <rFont val="Calibri"/>
        <family val="2"/>
        <charset val="163"/>
        <scheme val="minor"/>
      </rPr>
      <t>2</t>
    </r>
  </si>
  <si>
    <r>
      <rPr>
        <b/>
        <sz val="11"/>
        <color rgb="FFFF0000"/>
        <rFont val="Calibri"/>
        <family val="2"/>
        <charset val="163"/>
        <scheme val="minor"/>
      </rPr>
      <t xml:space="preserve">NOTE: </t>
    </r>
    <r>
      <rPr>
        <sz val="11"/>
        <rFont val="Calibri"/>
        <family val="2"/>
        <charset val="163"/>
        <scheme val="minor"/>
      </rPr>
      <t>Ajusted R</t>
    </r>
    <r>
      <rPr>
        <vertAlign val="superscript"/>
        <sz val="11"/>
        <color theme="1"/>
        <rFont val="Calibri"/>
        <family val="2"/>
        <charset val="163"/>
        <scheme val="minor"/>
      </rPr>
      <t>2</t>
    </r>
    <r>
      <rPr>
        <sz val="11"/>
        <color theme="1"/>
        <rFont val="Calibri"/>
        <family val="2"/>
        <charset val="163"/>
        <scheme val="minor"/>
      </rPr>
      <t xml:space="preserve"> &lt;= R</t>
    </r>
    <r>
      <rPr>
        <vertAlign val="superscript"/>
        <sz val="11"/>
        <color theme="1"/>
        <rFont val="Calibri"/>
        <family val="2"/>
        <charset val="163"/>
        <scheme val="minor"/>
      </rPr>
      <t>2</t>
    </r>
    <r>
      <rPr>
        <sz val="11"/>
        <color theme="1"/>
        <rFont val="Calibri"/>
        <family val="2"/>
        <charset val="163"/>
        <scheme val="minor"/>
      </rPr>
      <t xml:space="preserve">When more predictor is added, </t>
    </r>
  </si>
  <si>
    <t>R^2 will not decrease, but adjusted R^2 may</t>
  </si>
  <si>
    <t xml:space="preserve"> increase/decrease/remain the same</t>
  </si>
  <si>
    <t xml:space="preserve">If adjusted R^2 is substantially smaller than R^2, </t>
  </si>
  <si>
    <t>it suggests that the model contains useless predictors</t>
  </si>
  <si>
    <t>Predictor</t>
  </si>
  <si>
    <t>n/k should be at least 10 (Evan's rule)</t>
  </si>
  <si>
    <t>n/k should be at least 5 (Doane's rule)</t>
  </si>
  <si>
    <t>Test predictor for significance</t>
  </si>
  <si>
    <t>= 0 means predictor X' is not related to Y</t>
  </si>
  <si>
    <r>
      <t>k</t>
    </r>
    <r>
      <rPr>
        <sz val="11"/>
        <color theme="1"/>
        <rFont val="Calibri"/>
        <family val="2"/>
        <charset val="163"/>
        <scheme val="minor"/>
      </rPr>
      <t xml:space="preserve"> = df1</t>
    </r>
  </si>
  <si>
    <r>
      <rPr>
        <b/>
        <sz val="11"/>
        <color theme="1"/>
        <rFont val="Calibri"/>
        <family val="2"/>
        <charset val="163"/>
        <scheme val="minor"/>
      </rPr>
      <t xml:space="preserve">n </t>
    </r>
    <r>
      <rPr>
        <sz val="11"/>
        <color theme="1"/>
        <rFont val="Calibri"/>
        <family val="2"/>
        <charset val="163"/>
        <scheme val="minor"/>
      </rPr>
      <t>= df1 + df2 + 1</t>
    </r>
  </si>
  <si>
    <r>
      <rPr>
        <b/>
        <sz val="11"/>
        <color theme="1"/>
        <rFont val="Calibri"/>
        <family val="2"/>
        <charset val="163"/>
        <scheme val="minor"/>
      </rPr>
      <t>N37</t>
    </r>
    <r>
      <rPr>
        <sz val="11"/>
        <color theme="1"/>
        <rFont val="Calibri"/>
        <family val="2"/>
        <scheme val="minor"/>
      </rPr>
      <t xml:space="preserve"> = T.DIST.2T(ABS(M37), K33)</t>
    </r>
  </si>
  <si>
    <r>
      <rPr>
        <b/>
        <sz val="11"/>
        <color theme="1"/>
        <rFont val="Calibri"/>
        <family val="2"/>
        <charset val="163"/>
        <scheme val="minor"/>
      </rPr>
      <t>N38</t>
    </r>
    <r>
      <rPr>
        <sz val="11"/>
        <color theme="1"/>
        <rFont val="Calibri"/>
        <family val="2"/>
        <scheme val="minor"/>
      </rPr>
      <t xml:space="preserve"> = T.DIST.2T(ABS(M38), K33)</t>
    </r>
  </si>
  <si>
    <r>
      <rPr>
        <b/>
        <sz val="11"/>
        <color theme="1"/>
        <rFont val="Calibri"/>
        <family val="2"/>
        <charset val="163"/>
        <scheme val="minor"/>
      </rPr>
      <t>t crit.</t>
    </r>
    <r>
      <rPr>
        <sz val="11"/>
        <color theme="1"/>
        <rFont val="Calibri"/>
        <family val="2"/>
        <charset val="163"/>
        <scheme val="minor"/>
      </rPr>
      <t xml:space="preserve"> = T.INV.2T(alpha, K33)</t>
    </r>
  </si>
  <si>
    <t>r</t>
  </si>
  <si>
    <t>r crit.</t>
  </si>
  <si>
    <t>Conclusion</t>
  </si>
  <si>
    <t>If t calc. &gt; t crit. ---&gt; Reject H0 ---&gt; there's linear relationship</t>
  </si>
  <si>
    <t>OR</t>
  </si>
  <si>
    <t>r &gt; r crit. ---&gt; Reject H0</t>
  </si>
  <si>
    <t>If p-value &lt; alpha ---&gt; Reject H0</t>
  </si>
  <si>
    <t>Residual</t>
  </si>
  <si>
    <t>RESIDUAL OUTPUT</t>
  </si>
  <si>
    <t>Observation</t>
  </si>
  <si>
    <t>Predicted Y</t>
  </si>
  <si>
    <t>Residuals</t>
  </si>
  <si>
    <t>Select Residuals under Residuals</t>
  </si>
  <si>
    <r>
      <t xml:space="preserve">(observed value of </t>
    </r>
    <r>
      <rPr>
        <i/>
        <sz val="11"/>
        <color theme="1"/>
        <rFont val="Calibri"/>
        <family val="2"/>
        <charset val="163"/>
        <scheme val="minor"/>
      </rPr>
      <t xml:space="preserve">y - </t>
    </r>
    <r>
      <rPr>
        <sz val="11"/>
        <color theme="1"/>
        <rFont val="Calibri"/>
        <family val="2"/>
        <charset val="163"/>
        <scheme val="minor"/>
      </rPr>
      <t xml:space="preserve">estimated value of </t>
    </r>
    <r>
      <rPr>
        <i/>
        <sz val="11"/>
        <color theme="1"/>
        <rFont val="Calibri"/>
        <family val="2"/>
        <charset val="163"/>
        <scheme val="minor"/>
      </rPr>
      <t>y</t>
    </r>
    <r>
      <rPr>
        <sz val="11"/>
        <color theme="1"/>
        <rFont val="Calibri"/>
        <family val="2"/>
        <charset val="163"/>
        <scheme val="minor"/>
      </rPr>
      <t>)</t>
    </r>
  </si>
  <si>
    <t>--&gt; If SSE relatively small compared</t>
  </si>
  <si>
    <t>to SST ---&gt; a good fit model</t>
  </si>
  <si>
    <r>
      <t xml:space="preserve">SSE </t>
    </r>
    <r>
      <rPr>
        <sz val="11"/>
        <color theme="1"/>
        <rFont val="Calibri"/>
        <family val="2"/>
        <charset val="163"/>
        <scheme val="minor"/>
      </rPr>
      <t>L33</t>
    </r>
    <r>
      <rPr>
        <b/>
        <sz val="11"/>
        <color theme="1"/>
        <rFont val="Calibri"/>
        <family val="2"/>
        <charset val="163"/>
        <scheme val="minor"/>
      </rPr>
      <t xml:space="preserve"> </t>
    </r>
    <r>
      <rPr>
        <sz val="11"/>
        <color theme="1"/>
        <rFont val="Calibri"/>
        <family val="2"/>
        <charset val="163"/>
        <scheme val="minor"/>
      </rPr>
      <t>-&gt; error sum of squares</t>
    </r>
  </si>
  <si>
    <r>
      <t>MSR</t>
    </r>
    <r>
      <rPr>
        <sz val="11"/>
        <color theme="1"/>
        <rFont val="Calibri"/>
        <family val="2"/>
        <charset val="163"/>
        <scheme val="minor"/>
      </rPr>
      <t xml:space="preserve"> M31 = SSR/df1</t>
    </r>
  </si>
  <si>
    <r>
      <t xml:space="preserve">MSE </t>
    </r>
    <r>
      <rPr>
        <sz val="11"/>
        <color theme="1"/>
        <rFont val="Calibri"/>
        <family val="2"/>
        <charset val="163"/>
        <scheme val="minor"/>
      </rPr>
      <t>M32 = SSE/df2</t>
    </r>
  </si>
  <si>
    <r>
      <t xml:space="preserve">&lt;-- also calculated </t>
    </r>
    <r>
      <rPr>
        <b/>
        <sz val="11"/>
        <color theme="1"/>
        <rFont val="Calibri"/>
        <family val="2"/>
        <charset val="163"/>
        <scheme val="minor"/>
      </rPr>
      <t>=SQRT(SSE/df2)</t>
    </r>
  </si>
  <si>
    <t>Confidence Interval for conditional mean of Y</t>
  </si>
  <si>
    <t>y hat</t>
  </si>
  <si>
    <r>
      <t>s</t>
    </r>
    <r>
      <rPr>
        <b/>
        <vertAlign val="subscript"/>
        <sz val="11"/>
        <color theme="1"/>
        <rFont val="Calibri"/>
        <family val="2"/>
        <charset val="163"/>
        <scheme val="minor"/>
      </rPr>
      <t>e</t>
    </r>
  </si>
  <si>
    <t>t alpha/2</t>
  </si>
  <si>
    <t>Approximate Prediction Interval for indiv Y-value</t>
  </si>
  <si>
    <t>If using the quick rule for 95%, then</t>
  </si>
  <si>
    <t>k</t>
  </si>
  <si>
    <r>
      <t>O38</t>
    </r>
    <r>
      <rPr>
        <sz val="11"/>
        <color theme="1"/>
        <rFont val="Calibri"/>
        <family val="2"/>
        <charset val="163"/>
        <scheme val="minor"/>
      </rPr>
      <t xml:space="preserve"> =</t>
    </r>
    <r>
      <rPr>
        <b/>
        <sz val="11"/>
        <color theme="1"/>
        <rFont val="Calibri"/>
        <family val="2"/>
        <charset val="163"/>
        <scheme val="minor"/>
      </rPr>
      <t xml:space="preserve"> </t>
    </r>
    <r>
      <rPr>
        <sz val="11"/>
        <color theme="1"/>
        <rFont val="Calibri"/>
        <family val="2"/>
        <charset val="163"/>
        <scheme val="minor"/>
      </rPr>
      <t>K38-T.INV.2T(alpha,n-k-1)*L38</t>
    </r>
  </si>
  <si>
    <r>
      <t>O37</t>
    </r>
    <r>
      <rPr>
        <sz val="11"/>
        <color theme="1"/>
        <rFont val="Calibri"/>
        <family val="2"/>
        <charset val="163"/>
        <scheme val="minor"/>
      </rPr>
      <t xml:space="preserve"> =</t>
    </r>
    <r>
      <rPr>
        <b/>
        <sz val="11"/>
        <color theme="1"/>
        <rFont val="Calibri"/>
        <family val="2"/>
        <charset val="163"/>
        <scheme val="minor"/>
      </rPr>
      <t xml:space="preserve"> </t>
    </r>
    <r>
      <rPr>
        <sz val="11"/>
        <color theme="1"/>
        <rFont val="Calibri"/>
        <family val="2"/>
        <charset val="163"/>
        <scheme val="minor"/>
      </rPr>
      <t>K37-T.INV.2T(alpha,n-k-1)*L37</t>
    </r>
  </si>
  <si>
    <r>
      <t>P37</t>
    </r>
    <r>
      <rPr>
        <sz val="11"/>
        <color theme="1"/>
        <rFont val="Calibri"/>
        <family val="2"/>
        <charset val="163"/>
        <scheme val="minor"/>
      </rPr>
      <t xml:space="preserve"> =</t>
    </r>
    <r>
      <rPr>
        <b/>
        <sz val="11"/>
        <color theme="1"/>
        <rFont val="Calibri"/>
        <family val="2"/>
        <charset val="163"/>
        <scheme val="minor"/>
      </rPr>
      <t xml:space="preserve"> </t>
    </r>
    <r>
      <rPr>
        <sz val="11"/>
        <color theme="1"/>
        <rFont val="Calibri"/>
        <family val="2"/>
        <charset val="163"/>
        <scheme val="minor"/>
      </rPr>
      <t>K37+T.INV.2T(alpha,n-k-1)*L38</t>
    </r>
  </si>
  <si>
    <r>
      <t>P38</t>
    </r>
    <r>
      <rPr>
        <sz val="11"/>
        <color theme="1"/>
        <rFont val="Calibri"/>
        <family val="2"/>
        <charset val="163"/>
        <scheme val="minor"/>
      </rPr>
      <t xml:space="preserve"> =</t>
    </r>
    <r>
      <rPr>
        <b/>
        <sz val="11"/>
        <color theme="1"/>
        <rFont val="Calibri"/>
        <family val="2"/>
        <charset val="163"/>
        <scheme val="minor"/>
      </rPr>
      <t xml:space="preserve"> </t>
    </r>
    <r>
      <rPr>
        <sz val="11"/>
        <color theme="1"/>
        <rFont val="Calibri"/>
        <family val="2"/>
        <charset val="163"/>
        <scheme val="minor"/>
      </rPr>
      <t>K38+T.INV.2T(alpha,n-k-1)*L39</t>
    </r>
  </si>
  <si>
    <t>Categorical Var</t>
  </si>
  <si>
    <t>eg: A regression model to predict the price of diamonds included the following predictor var:</t>
  </si>
  <si>
    <t>the weight of the stone (in carats where 1 carat = 0.2 gram)</t>
  </si>
  <si>
    <t>the color rating (D, E, F, G, H or I), and the clarity rating (IF, VVS1, VVS2, VS1, or VS2)</t>
  </si>
  <si>
    <t>---&gt; Only weight is the quantitaive predictor varible</t>
  </si>
  <si>
    <t>Number of indicator variables would be included in the model in order to prevent the least</t>
  </si>
  <si>
    <t>sqaures estimation from failing: there're 6 values for rating so the model need (6 - 1). There're</t>
  </si>
  <si>
    <t>6 different values for Clarity so the model need (5 - 1) ---&gt; TOTAL: 9 indicator variables</t>
  </si>
  <si>
    <t>Price = β0 + β1Weight + β2ColorD + β3ColorE + β4ColorF + β5ColorG + β6ColorH + β7ClarityIF + β8ClarityVVS1+ β9ClarityVVS2+ β10ClarityVS1</t>
  </si>
  <si>
    <t xml:space="preserve">---&gt; The model form for predicting diamond price: </t>
  </si>
  <si>
    <t>Correlation Matrix</t>
  </si>
  <si>
    <t>Select all the predictors for the Input range</t>
  </si>
  <si>
    <t>Variance Inflation Factor (VIF)</t>
  </si>
  <si>
    <t>(relationship among predictors)</t>
  </si>
  <si>
    <t>In Minitab, calculate regression</t>
  </si>
  <si>
    <t>Find the VIF column</t>
  </si>
  <si>
    <t>Inference</t>
  </si>
  <si>
    <t>VIF = 1</t>
  </si>
  <si>
    <t>VIF = 2</t>
  </si>
  <si>
    <t>VIF = 10</t>
  </si>
  <si>
    <t>VIF = 100</t>
  </si>
  <si>
    <t>No variance inflation</t>
  </si>
  <si>
    <t>Mild variance inflation</t>
  </si>
  <si>
    <t>Strong variance inflation</t>
  </si>
  <si>
    <t>Severe variance inflation</t>
  </si>
  <si>
    <t>Concern!</t>
  </si>
  <si>
    <t>VIF &gt; 10 suggests that multicollinearity will cause instability in the model</t>
  </si>
  <si>
    <t xml:space="preserve"> ---&gt; Calculate collinearity among the predictors (are the predictors correlate)</t>
  </si>
  <si>
    <t>(Excel) Choose Correlation in the Data Analysis tab</t>
  </si>
  <si>
    <t>(Minitab) Choose Basic Statistics -&gt; Correlation</t>
  </si>
  <si>
    <t>If p-value in the Pairwise Pearson</t>
  </si>
  <si>
    <t>2 vars --&gt; should remove either of the</t>
  </si>
  <si>
    <t>var from the model</t>
  </si>
  <si>
    <t>Correlations section &lt; alpha -&gt; Reject H0</t>
  </si>
  <si>
    <t>--&gt; There's a correlation between these</t>
  </si>
  <si>
    <t>Year</t>
  </si>
  <si>
    <t>Labor Force</t>
  </si>
  <si>
    <t>Add Trendline (Excel)</t>
  </si>
  <si>
    <t>Select the Y column and Insert -&gt; Select Line chart</t>
  </si>
  <si>
    <t>Click the X-axis and Select Data</t>
  </si>
  <si>
    <t>In the Horizontal Axis Label -&gt; Click Edit -&gt; Select the X column (without label) -&gt; OK</t>
  </si>
  <si>
    <t>Click + icon -&gt; Choose Trendline -&gt; Choose More Options -&gt; Choose display equation on chart</t>
  </si>
  <si>
    <r>
      <t>Coefficients (</t>
    </r>
    <r>
      <rPr>
        <sz val="11"/>
        <color theme="1"/>
        <rFont val="Calibri"/>
        <family val="2"/>
        <charset val="163"/>
      </rPr>
      <t>β</t>
    </r>
    <r>
      <rPr>
        <i/>
        <sz val="12.2"/>
        <color theme="1"/>
        <rFont val="Calibri"/>
        <family val="2"/>
      </rPr>
      <t>)</t>
    </r>
  </si>
  <si>
    <t>For different test ---&gt; Need to calculate different t crit.</t>
  </si>
  <si>
    <t>Chi-square test is always a right-tailed test</t>
  </si>
  <si>
    <t>rowNum</t>
  </si>
  <si>
    <t>colNum</t>
  </si>
  <si>
    <r>
      <t>e</t>
    </r>
    <r>
      <rPr>
        <vertAlign val="subscript"/>
        <sz val="11"/>
        <color theme="1"/>
        <rFont val="Calibri"/>
        <family val="2"/>
        <charset val="163"/>
        <scheme val="minor"/>
      </rPr>
      <t>jk</t>
    </r>
  </si>
  <si>
    <r>
      <t>R</t>
    </r>
    <r>
      <rPr>
        <b/>
        <vertAlign val="subscript"/>
        <sz val="11"/>
        <color theme="1"/>
        <rFont val="Calibri"/>
        <family val="2"/>
        <charset val="163"/>
        <scheme val="minor"/>
      </rPr>
      <t>j</t>
    </r>
  </si>
  <si>
    <r>
      <t>C</t>
    </r>
    <r>
      <rPr>
        <b/>
        <vertAlign val="subscript"/>
        <sz val="11"/>
        <color theme="1"/>
        <rFont val="Calibri"/>
        <family val="2"/>
        <charset val="163"/>
        <scheme val="minor"/>
      </rPr>
      <t>j</t>
    </r>
  </si>
  <si>
    <t>&lt;-- Total for row j</t>
  </si>
  <si>
    <t>&lt;-- Total for col i</t>
  </si>
  <si>
    <t>C crit.</t>
  </si>
  <si>
    <t>Expected frequency</t>
  </si>
  <si>
    <t>C calc.</t>
  </si>
  <si>
    <t>Location</t>
  </si>
  <si>
    <t>Home</t>
  </si>
  <si>
    <t>Order</t>
  </si>
  <si>
    <t>Client</t>
  </si>
  <si>
    <t>Other</t>
  </si>
  <si>
    <t>France</t>
  </si>
  <si>
    <t>UK</t>
  </si>
  <si>
    <t>USA</t>
  </si>
  <si>
    <t>Observed Freq</t>
  </si>
  <si>
    <t>Expected Freq</t>
  </si>
  <si>
    <t>Test for proportions</t>
  </si>
  <si>
    <t>x1</t>
  </si>
  <si>
    <t>x2</t>
  </si>
  <si>
    <t>pBar</t>
  </si>
  <si>
    <t>z calc.</t>
  </si>
  <si>
    <t>GOF Test</t>
  </si>
  <si>
    <t>m</t>
  </si>
  <si>
    <t>c</t>
  </si>
  <si>
    <t>&lt;-- # of classes</t>
  </si>
  <si>
    <r>
      <t>π</t>
    </r>
    <r>
      <rPr>
        <b/>
        <vertAlign val="subscript"/>
        <sz val="11"/>
        <color theme="1"/>
        <rFont val="Calibri"/>
        <family val="2"/>
        <charset val="163"/>
      </rPr>
      <t>j</t>
    </r>
  </si>
  <si>
    <t>&lt;-- hypothesized proportion</t>
  </si>
  <si>
    <t>Color</t>
  </si>
  <si>
    <t>Brown</t>
  </si>
  <si>
    <t>Red</t>
  </si>
  <si>
    <t>Blue</t>
  </si>
  <si>
    <t>Orange</t>
  </si>
  <si>
    <t>Yellow</t>
  </si>
  <si>
    <t>Green</t>
  </si>
  <si>
    <t>Observed</t>
  </si>
  <si>
    <r>
      <t>Official π</t>
    </r>
    <r>
      <rPr>
        <b/>
        <vertAlign val="subscript"/>
        <sz val="11"/>
        <color theme="1"/>
        <rFont val="Calibri"/>
        <family val="2"/>
        <charset val="163"/>
        <scheme val="minor"/>
      </rPr>
      <t>j</t>
    </r>
  </si>
  <si>
    <r>
      <t>e</t>
    </r>
    <r>
      <rPr>
        <vertAlign val="subscript"/>
        <sz val="11"/>
        <color theme="1"/>
        <rFont val="Calibri"/>
        <family val="2"/>
        <charset val="163"/>
        <scheme val="minor"/>
      </rPr>
      <t>j</t>
    </r>
  </si>
  <si>
    <r>
      <t>e</t>
    </r>
    <r>
      <rPr>
        <b/>
        <vertAlign val="subscript"/>
        <sz val="11"/>
        <color theme="1"/>
        <rFont val="Calibri"/>
        <family val="2"/>
        <charset val="163"/>
        <scheme val="minor"/>
      </rPr>
      <t>j</t>
    </r>
  </si>
  <si>
    <t>If C calc. &gt; C crit. ---&gt; Reject H0</t>
  </si>
  <si>
    <t>OR p-value &lt; alpha ---&gt; Reject H0</t>
  </si>
  <si>
    <t>&lt;-- Test is invalid if n &lt; 25</t>
  </si>
  <si>
    <t>&lt;-- # of parameters (for uniform dist m = 0, poisson m = 1, normal dist m = 2)</t>
  </si>
  <si>
    <t>H0: do not differ significantly from the trend</t>
  </si>
  <si>
    <t>H1: differ significantly from the trend</t>
  </si>
  <si>
    <t>Plant A</t>
  </si>
  <si>
    <t>Plant B</t>
  </si>
  <si>
    <t>Row Total</t>
  </si>
  <si>
    <t>Specification Met</t>
  </si>
  <si>
    <t>Specification Not Met</t>
  </si>
  <si>
    <t>Col Total</t>
  </si>
  <si>
    <t>Obs</t>
  </si>
  <si>
    <t>OR if 0 is not between O38 and P38 --&gt; Reject H0 -&gt; there's a correlation i.e. is a significant predictor</t>
  </si>
  <si>
    <t>F calc.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</si>
</sst>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rgb="FFFF0000"/>
      <name val="Calibri"/>
      <family val="2"/>
      <charset val="163"/>
      <scheme val="minor"/>
    </font>
    <font>
      <vertAlign val="subscript"/>
      <sz val="11"/>
      <color theme="1"/>
      <name val="Calibri"/>
      <family val="2"/>
      <charset val="163"/>
      <scheme val="minor"/>
    </font>
    <font>
      <b/>
      <vertAlign val="subscript"/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i/>
      <sz val="11"/>
      <color theme="1"/>
      <name val="Calibri"/>
      <family val="2"/>
      <charset val="163"/>
      <scheme val="minor"/>
    </font>
    <font>
      <b/>
      <sz val="12"/>
      <color rgb="FFFF0000"/>
      <name val="Calibri"/>
      <family val="2"/>
      <charset val="163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charset val="163"/>
      <scheme val="minor"/>
    </font>
    <font>
      <vertAlign val="superscript"/>
      <sz val="11"/>
      <color theme="1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b/>
      <vertAlign val="superscript"/>
      <sz val="11"/>
      <color theme="1"/>
      <name val="Calibri"/>
      <family val="2"/>
      <charset val="163"/>
      <scheme val="minor"/>
    </font>
    <font>
      <i/>
      <u/>
      <sz val="11"/>
      <color theme="1"/>
      <name val="Calibri"/>
      <family val="2"/>
      <charset val="163"/>
      <scheme val="minor"/>
    </font>
    <font>
      <sz val="10"/>
      <name val="Arial"/>
      <family val="2"/>
      <charset val="163"/>
    </font>
    <font>
      <sz val="10"/>
      <name val="Arial"/>
      <family val="2"/>
    </font>
    <font>
      <b/>
      <i/>
      <sz val="10"/>
      <color theme="0"/>
      <name val="Arial"/>
      <family val="2"/>
    </font>
    <font>
      <sz val="11"/>
      <color theme="1"/>
      <name val="Calibri"/>
      <family val="2"/>
      <charset val="163"/>
    </font>
    <font>
      <i/>
      <sz val="12.2"/>
      <color theme="1"/>
      <name val="Calibri"/>
      <family val="2"/>
    </font>
    <font>
      <b/>
      <sz val="11"/>
      <color theme="1"/>
      <name val="Calibri"/>
      <family val="2"/>
      <charset val="163"/>
    </font>
    <font>
      <b/>
      <vertAlign val="subscript"/>
      <sz val="11"/>
      <color theme="1"/>
      <name val="Calibri"/>
      <family val="2"/>
      <charset val="16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5" fillId="0" borderId="0"/>
    <xf numFmtId="0" fontId="16" fillId="0" borderId="0"/>
  </cellStyleXfs>
  <cellXfs count="123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0" applyFont="1" applyFill="1"/>
    <xf numFmtId="0" fontId="1" fillId="2" borderId="0" xfId="0" applyFont="1" applyFill="1" applyBorder="1"/>
    <xf numFmtId="0" fontId="2" fillId="0" borderId="0" xfId="0" applyFont="1"/>
    <xf numFmtId="0" fontId="0" fillId="0" borderId="0" xfId="0" applyNumberFormat="1"/>
    <xf numFmtId="0" fontId="1" fillId="0" borderId="4" xfId="0" applyFont="1" applyBorder="1"/>
    <xf numFmtId="164" fontId="0" fillId="0" borderId="8" xfId="0" applyNumberFormat="1" applyBorder="1"/>
    <xf numFmtId="0" fontId="0" fillId="2" borderId="0" xfId="0" applyFill="1"/>
    <xf numFmtId="0" fontId="2" fillId="0" borderId="2" xfId="0" applyFont="1" applyBorder="1"/>
    <xf numFmtId="0" fontId="2" fillId="0" borderId="0" xfId="0" applyFont="1" applyBorder="1"/>
    <xf numFmtId="164" fontId="0" fillId="0" borderId="0" xfId="0" applyNumberFormat="1" applyBorder="1"/>
    <xf numFmtId="164" fontId="0" fillId="0" borderId="7" xfId="0" applyNumberFormat="1" applyBorder="1"/>
    <xf numFmtId="0" fontId="0" fillId="0" borderId="0" xfId="0" applyFill="1" applyBorder="1"/>
    <xf numFmtId="0" fontId="0" fillId="0" borderId="1" xfId="0" applyBorder="1"/>
    <xf numFmtId="0" fontId="5" fillId="0" borderId="0" xfId="0" applyFont="1"/>
    <xf numFmtId="0" fontId="6" fillId="0" borderId="0" xfId="0" applyFont="1"/>
    <xf numFmtId="0" fontId="0" fillId="0" borderId="0" xfId="0" applyFill="1"/>
    <xf numFmtId="0" fontId="1" fillId="0" borderId="2" xfId="0" applyFont="1" applyBorder="1"/>
    <xf numFmtId="0" fontId="1" fillId="0" borderId="0" xfId="0" applyFont="1" applyBorder="1"/>
    <xf numFmtId="0" fontId="1" fillId="0" borderId="6" xfId="0" applyFont="1" applyBorder="1"/>
    <xf numFmtId="0" fontId="7" fillId="0" borderId="0" xfId="0" applyFont="1"/>
    <xf numFmtId="164" fontId="0" fillId="0" borderId="5" xfId="0" applyNumberFormat="1" applyBorder="1"/>
    <xf numFmtId="10" fontId="0" fillId="0" borderId="0" xfId="0" applyNumberFormat="1"/>
    <xf numFmtId="0" fontId="0" fillId="2" borderId="0" xfId="0" applyFill="1" applyBorder="1"/>
    <xf numFmtId="165" fontId="0" fillId="0" borderId="0" xfId="0" applyNumberFormat="1" applyBorder="1"/>
    <xf numFmtId="1" fontId="0" fillId="0" borderId="0" xfId="0" applyNumberFormat="1" applyBorder="1"/>
    <xf numFmtId="164" fontId="0" fillId="0" borderId="3" xfId="0" applyNumberFormat="1" applyBorder="1"/>
    <xf numFmtId="165" fontId="0" fillId="0" borderId="7" xfId="0" applyNumberFormat="1" applyBorder="1"/>
    <xf numFmtId="164" fontId="0" fillId="3" borderId="0" xfId="0" applyNumberFormat="1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0" xfId="0" applyFill="1"/>
    <xf numFmtId="164" fontId="0" fillId="4" borderId="0" xfId="0" applyNumberFormat="1" applyFill="1"/>
    <xf numFmtId="0" fontId="0" fillId="0" borderId="0" xfId="0" applyFill="1" applyBorder="1" applyAlignment="1"/>
    <xf numFmtId="0" fontId="0" fillId="0" borderId="9" xfId="0" applyFill="1" applyBorder="1" applyAlignment="1"/>
    <xf numFmtId="0" fontId="8" fillId="0" borderId="11" xfId="0" applyFont="1" applyFill="1" applyBorder="1" applyAlignment="1">
      <alignment horizontal="center"/>
    </xf>
    <xf numFmtId="0" fontId="1" fillId="0" borderId="12" xfId="0" applyFont="1" applyBorder="1"/>
    <xf numFmtId="0" fontId="1" fillId="0" borderId="10" xfId="0" applyFont="1" applyBorder="1"/>
    <xf numFmtId="0" fontId="1" fillId="0" borderId="13" xfId="0" applyFont="1" applyBorder="1"/>
    <xf numFmtId="0" fontId="8" fillId="0" borderId="0" xfId="0" applyFont="1" applyFill="1" applyBorder="1" applyAlignment="1">
      <alignment horizontal="center"/>
    </xf>
    <xf numFmtId="164" fontId="0" fillId="0" borderId="0" xfId="0" applyNumberFormat="1" applyFill="1" applyBorder="1" applyAlignment="1"/>
    <xf numFmtId="165" fontId="0" fillId="0" borderId="0" xfId="0" applyNumberFormat="1" applyFill="1" applyBorder="1" applyAlignment="1"/>
    <xf numFmtId="2" fontId="0" fillId="0" borderId="0" xfId="0" applyNumberFormat="1" applyFill="1" applyBorder="1" applyAlignment="1"/>
    <xf numFmtId="2" fontId="0" fillId="0" borderId="9" xfId="0" applyNumberFormat="1" applyFill="1" applyBorder="1" applyAlignment="1"/>
    <xf numFmtId="2" fontId="0" fillId="0" borderId="0" xfId="0" applyNumberFormat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0" fillId="0" borderId="4" xfId="0" applyFill="1" applyBorder="1" applyAlignment="1"/>
    <xf numFmtId="0" fontId="0" fillId="0" borderId="6" xfId="0" applyFill="1" applyBorder="1" applyAlignment="1"/>
    <xf numFmtId="166" fontId="0" fillId="0" borderId="0" xfId="0" applyNumberFormat="1"/>
    <xf numFmtId="0" fontId="5" fillId="2" borderId="14" xfId="0" applyFont="1" applyFill="1" applyBorder="1"/>
    <xf numFmtId="0" fontId="0" fillId="2" borderId="15" xfId="0" applyFill="1" applyBorder="1"/>
    <xf numFmtId="0" fontId="0" fillId="0" borderId="15" xfId="0" applyBorder="1"/>
    <xf numFmtId="0" fontId="0" fillId="0" borderId="16" xfId="0" applyBorder="1"/>
    <xf numFmtId="0" fontId="5" fillId="0" borderId="17" xfId="0" applyFont="1" applyBorder="1"/>
    <xf numFmtId="0" fontId="0" fillId="0" borderId="18" xfId="0" applyBorder="1"/>
    <xf numFmtId="0" fontId="1" fillId="0" borderId="17" xfId="0" applyFont="1" applyBorder="1"/>
    <xf numFmtId="0" fontId="0" fillId="0" borderId="17" xfId="0" applyBorder="1"/>
    <xf numFmtId="0" fontId="2" fillId="0" borderId="18" xfId="0" applyFont="1" applyBorder="1"/>
    <xf numFmtId="0" fontId="0" fillId="0" borderId="19" xfId="0" applyBorder="1"/>
    <xf numFmtId="0" fontId="0" fillId="0" borderId="9" xfId="0" applyBorder="1"/>
    <xf numFmtId="0" fontId="0" fillId="0" borderId="20" xfId="0" applyBorder="1"/>
    <xf numFmtId="165" fontId="0" fillId="0" borderId="0" xfId="0" applyNumberFormat="1"/>
    <xf numFmtId="165" fontId="0" fillId="0" borderId="3" xfId="0" applyNumberFormat="1" applyBorder="1"/>
    <xf numFmtId="165" fontId="0" fillId="0" borderId="5" xfId="0" applyNumberFormat="1" applyBorder="1"/>
    <xf numFmtId="165" fontId="0" fillId="0" borderId="8" xfId="0" applyNumberFormat="1" applyBorder="1"/>
    <xf numFmtId="0" fontId="0" fillId="0" borderId="21" xfId="0" applyBorder="1"/>
    <xf numFmtId="0" fontId="0" fillId="0" borderId="22" xfId="0" applyBorder="1"/>
    <xf numFmtId="0" fontId="8" fillId="0" borderId="11" xfId="0" applyFont="1" applyFill="1" applyBorder="1" applyAlignment="1">
      <alignment horizontal="centerContinuous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0" fillId="0" borderId="0" xfId="0" applyFont="1"/>
    <xf numFmtId="0" fontId="0" fillId="0" borderId="0" xfId="0" quotePrefix="1"/>
    <xf numFmtId="0" fontId="5" fillId="0" borderId="1" xfId="0" applyFont="1" applyBorder="1"/>
    <xf numFmtId="0" fontId="5" fillId="0" borderId="4" xfId="0" applyFont="1" applyBorder="1"/>
    <xf numFmtId="164" fontId="0" fillId="0" borderId="9" xfId="0" applyNumberFormat="1" applyFill="1" applyBorder="1" applyAlignment="1"/>
    <xf numFmtId="0" fontId="0" fillId="0" borderId="12" xfId="0" applyBorder="1"/>
    <xf numFmtId="164" fontId="0" fillId="0" borderId="13" xfId="0" applyNumberFormat="1" applyBorder="1"/>
    <xf numFmtId="0" fontId="5" fillId="0" borderId="6" xfId="0" applyFont="1" applyFill="1" applyBorder="1"/>
    <xf numFmtId="0" fontId="0" fillId="0" borderId="0" xfId="0" applyAlignment="1">
      <alignment horizontal="right"/>
    </xf>
    <xf numFmtId="0" fontId="14" fillId="0" borderId="0" xfId="0" applyFont="1"/>
    <xf numFmtId="0" fontId="0" fillId="2" borderId="0" xfId="0" quotePrefix="1" applyFill="1"/>
    <xf numFmtId="0" fontId="0" fillId="5" borderId="0" xfId="0" applyFill="1"/>
    <xf numFmtId="0" fontId="0" fillId="0" borderId="14" xfId="0" applyBorder="1"/>
    <xf numFmtId="0" fontId="0" fillId="0" borderId="17" xfId="0" quotePrefix="1" applyBorder="1"/>
    <xf numFmtId="0" fontId="1" fillId="0" borderId="0" xfId="0" applyFont="1" applyFill="1"/>
    <xf numFmtId="0" fontId="0" fillId="0" borderId="0" xfId="0"/>
    <xf numFmtId="0" fontId="0" fillId="0" borderId="0" xfId="0" applyFill="1"/>
    <xf numFmtId="0" fontId="17" fillId="6" borderId="12" xfId="0" applyFont="1" applyFill="1" applyBorder="1" applyAlignment="1">
      <alignment horizontal="center"/>
    </xf>
    <xf numFmtId="0" fontId="17" fillId="6" borderId="10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3" fontId="0" fillId="7" borderId="3" xfId="0" applyNumberForma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3" fontId="0" fillId="7" borderId="5" xfId="0" applyNumberForma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3" fontId="0" fillId="7" borderId="8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Normal" xfId="0" builtinId="0"/>
    <cellStyle name="Normal 2" xfId="1" xr:uid="{D92DF2E5-7123-4F51-84FC-2AF2BCE3F58B}"/>
    <cellStyle name="Normal 2 2" xfId="2" xr:uid="{6B52A349-7D7E-42F8-AD16-25ADB2D2A0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'Chapter 14'!$B$3</c:f>
              <c:strCache>
                <c:ptCount val="1"/>
                <c:pt idx="0">
                  <c:v>Labor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4977790421738479E-2"/>
                  <c:y val="-7.75110543614480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'Chapter 14'!$A$4:$A$13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'Chapter 14'!$B$4:$B$13</c:f>
              <c:numCache>
                <c:formatCode>#,##0</c:formatCode>
                <c:ptCount val="10"/>
                <c:pt idx="0">
                  <c:v>173966</c:v>
                </c:pt>
                <c:pt idx="1">
                  <c:v>174703</c:v>
                </c:pt>
                <c:pt idx="2">
                  <c:v>173159</c:v>
                </c:pt>
                <c:pt idx="3">
                  <c:v>173698</c:v>
                </c:pt>
                <c:pt idx="4">
                  <c:v>174043</c:v>
                </c:pt>
                <c:pt idx="5">
                  <c:v>175676</c:v>
                </c:pt>
                <c:pt idx="6">
                  <c:v>175199</c:v>
                </c:pt>
                <c:pt idx="7">
                  <c:v>176286</c:v>
                </c:pt>
                <c:pt idx="8">
                  <c:v>178005</c:v>
                </c:pt>
                <c:pt idx="9">
                  <c:v>179688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C6-46DD-8B1A-02E659975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563632"/>
        <c:axId val="762563992"/>
      </c:lineChart>
      <c:catAx>
        <c:axId val="76256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63992"/>
        <c:crosses val="autoZero"/>
        <c:auto val="1"/>
        <c:lblAlgn val="ctr"/>
        <c:lblOffset val="100"/>
        <c:noMultiLvlLbl val="0"/>
      </c:catAx>
      <c:valAx>
        <c:axId val="76256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6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5" Type="http://schemas.openxmlformats.org/officeDocument/2006/relationships/image" Target="../media/image28.png"/><Relationship Id="rId4" Type="http://schemas.openxmlformats.org/officeDocument/2006/relationships/image" Target="../media/image2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Relationship Id="rId5" Type="http://schemas.openxmlformats.org/officeDocument/2006/relationships/image" Target="../media/image33.png"/><Relationship Id="rId4" Type="http://schemas.openxmlformats.org/officeDocument/2006/relationships/image" Target="../media/image3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chart" Target="../charts/chart1.xml"/><Relationship Id="rId5" Type="http://schemas.openxmlformats.org/officeDocument/2006/relationships/image" Target="../media/image37.png"/><Relationship Id="rId4" Type="http://schemas.openxmlformats.org/officeDocument/2006/relationships/image" Target="../media/image36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0.png"/><Relationship Id="rId2" Type="http://schemas.openxmlformats.org/officeDocument/2006/relationships/image" Target="../media/image39.png"/><Relationship Id="rId1" Type="http://schemas.openxmlformats.org/officeDocument/2006/relationships/image" Target="../media/image38.png"/><Relationship Id="rId4" Type="http://schemas.openxmlformats.org/officeDocument/2006/relationships/image" Target="../media/image4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14654</xdr:colOff>
      <xdr:row>1</xdr:row>
      <xdr:rowOff>1</xdr:rowOff>
    </xdr:from>
    <xdr:to>
      <xdr:col>14</xdr:col>
      <xdr:colOff>190500</xdr:colOff>
      <xdr:row>10</xdr:row>
      <xdr:rowOff>85640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A15552-BA30-4798-892E-914B1AB39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4135" y="190501"/>
          <a:ext cx="2608384" cy="1809040"/>
        </a:xfrm>
        <a:prstGeom prst="rect">
          <a:avLst/>
        </a:prstGeom>
      </xdr:spPr>
    </xdr:pic>
    <xdr:clientData/>
  </xdr:twoCellAnchor>
  <xdr:twoCellAnchor editAs="oneCell">
    <xdr:from>
      <xdr:col>10</xdr:col>
      <xdr:colOff>21982</xdr:colOff>
      <xdr:row>11</xdr:row>
      <xdr:rowOff>87923</xdr:rowOff>
    </xdr:from>
    <xdr:to>
      <xdr:col>14</xdr:col>
      <xdr:colOff>218850</xdr:colOff>
      <xdr:row>20</xdr:row>
      <xdr:rowOff>183173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A4E2DE-E3D8-4498-94BB-C987E2435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11463" y="2183423"/>
          <a:ext cx="2629406" cy="184638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22</xdr:row>
      <xdr:rowOff>1</xdr:rowOff>
    </xdr:from>
    <xdr:to>
      <xdr:col>14</xdr:col>
      <xdr:colOff>230187</xdr:colOff>
      <xdr:row>32</xdr:row>
      <xdr:rowOff>51289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A8F96FD-65CB-485F-970B-55CEAB5F3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89481" y="4191001"/>
          <a:ext cx="2662725" cy="195628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</xdr:row>
      <xdr:rowOff>1</xdr:rowOff>
    </xdr:from>
    <xdr:to>
      <xdr:col>17</xdr:col>
      <xdr:colOff>183173</xdr:colOff>
      <xdr:row>6</xdr:row>
      <xdr:rowOff>97984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4788B28-3038-489B-BA64-B48662B7A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30154" y="381001"/>
          <a:ext cx="1399442" cy="868884"/>
        </a:xfrm>
        <a:prstGeom prst="rect">
          <a:avLst/>
        </a:prstGeom>
      </xdr:spPr>
    </xdr:pic>
    <xdr:clientData/>
  </xdr:twoCellAnchor>
  <xdr:twoCellAnchor editAs="oneCell">
    <xdr:from>
      <xdr:col>15</xdr:col>
      <xdr:colOff>43961</xdr:colOff>
      <xdr:row>23</xdr:row>
      <xdr:rowOff>14654</xdr:rowOff>
    </xdr:from>
    <xdr:to>
      <xdr:col>17</xdr:col>
      <xdr:colOff>205153</xdr:colOff>
      <xdr:row>27</xdr:row>
      <xdr:rowOff>90491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E1A896-73CA-4319-9000-51F367791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74115" y="4396154"/>
          <a:ext cx="1377461" cy="837837"/>
        </a:xfrm>
        <a:prstGeom prst="rect">
          <a:avLst/>
        </a:prstGeom>
      </xdr:spPr>
    </xdr:pic>
    <xdr:clientData/>
  </xdr:twoCellAnchor>
  <xdr:twoCellAnchor editAs="oneCell">
    <xdr:from>
      <xdr:col>15</xdr:col>
      <xdr:colOff>7327</xdr:colOff>
      <xdr:row>12</xdr:row>
      <xdr:rowOff>51290</xdr:rowOff>
    </xdr:from>
    <xdr:to>
      <xdr:col>17</xdr:col>
      <xdr:colOff>256442</xdr:colOff>
      <xdr:row>17</xdr:row>
      <xdr:rowOff>7328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E56B0D-A612-4B7C-AB56-5FD09820F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37481" y="2337290"/>
          <a:ext cx="1465384" cy="908538"/>
        </a:xfrm>
        <a:prstGeom prst="rect">
          <a:avLst/>
        </a:prstGeom>
      </xdr:spPr>
    </xdr:pic>
    <xdr:clientData/>
  </xdr:twoCellAnchor>
  <xdr:twoCellAnchor editAs="oneCell">
    <xdr:from>
      <xdr:col>20</xdr:col>
      <xdr:colOff>8903</xdr:colOff>
      <xdr:row>3</xdr:row>
      <xdr:rowOff>26706</xdr:rowOff>
    </xdr:from>
    <xdr:to>
      <xdr:col>27</xdr:col>
      <xdr:colOff>29957</xdr:colOff>
      <xdr:row>13</xdr:row>
      <xdr:rowOff>63341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A5ED3F7-D730-4A40-9276-47F3E17CA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809791" y="587524"/>
          <a:ext cx="4293951" cy="1906027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15</xdr:row>
      <xdr:rowOff>0</xdr:rowOff>
    </xdr:from>
    <xdr:to>
      <xdr:col>24</xdr:col>
      <xdr:colOff>456195</xdr:colOff>
      <xdr:row>26</xdr:row>
      <xdr:rowOff>151332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2F885B8-F91C-4ABE-8BCB-19592BEFE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800888" y="2804089"/>
          <a:ext cx="2877503" cy="2252173"/>
        </a:xfrm>
        <a:prstGeom prst="rect">
          <a:avLst/>
        </a:prstGeom>
      </xdr:spPr>
    </xdr:pic>
    <xdr:clientData/>
  </xdr:twoCellAnchor>
  <xdr:twoCellAnchor editAs="oneCell">
    <xdr:from>
      <xdr:col>20</xdr:col>
      <xdr:colOff>1</xdr:colOff>
      <xdr:row>30</xdr:row>
      <xdr:rowOff>1</xdr:rowOff>
    </xdr:from>
    <xdr:to>
      <xdr:col>25</xdr:col>
      <xdr:colOff>472096</xdr:colOff>
      <xdr:row>42</xdr:row>
      <xdr:rowOff>71215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AA1F1B7-B62C-4216-ADC6-C109724A8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800889" y="5652688"/>
          <a:ext cx="3498730" cy="2314485"/>
        </a:xfrm>
        <a:prstGeom prst="rect">
          <a:avLst/>
        </a:prstGeom>
      </xdr:spPr>
    </xdr:pic>
    <xdr:clientData/>
  </xdr:twoCellAnchor>
  <xdr:twoCellAnchor editAs="oneCell">
    <xdr:from>
      <xdr:col>20</xdr:col>
      <xdr:colOff>44509</xdr:colOff>
      <xdr:row>45</xdr:row>
      <xdr:rowOff>160235</xdr:rowOff>
    </xdr:from>
    <xdr:to>
      <xdr:col>23</xdr:col>
      <xdr:colOff>307941</xdr:colOff>
      <xdr:row>56</xdr:row>
      <xdr:rowOff>115726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1C97AE-DEEE-4B74-AFD3-F6D9E58B29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845397" y="8617011"/>
          <a:ext cx="2079413" cy="2011822"/>
        </a:xfrm>
        <a:prstGeom prst="rect">
          <a:avLst/>
        </a:prstGeom>
      </xdr:spPr>
    </xdr:pic>
    <xdr:clientData/>
  </xdr:twoCellAnchor>
  <xdr:twoCellAnchor editAs="oneCell">
    <xdr:from>
      <xdr:col>19</xdr:col>
      <xdr:colOff>596425</xdr:colOff>
      <xdr:row>58</xdr:row>
      <xdr:rowOff>17804</xdr:rowOff>
    </xdr:from>
    <xdr:to>
      <xdr:col>23</xdr:col>
      <xdr:colOff>578622</xdr:colOff>
      <xdr:row>65</xdr:row>
      <xdr:rowOff>105122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B2CA4C4-601B-42E2-95E4-CB3BDAB4E2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791986" y="10904790"/>
          <a:ext cx="2403505" cy="1395893"/>
        </a:xfrm>
        <a:prstGeom prst="rect">
          <a:avLst/>
        </a:prstGeom>
      </xdr:spPr>
    </xdr:pic>
    <xdr:clientData/>
  </xdr:twoCellAnchor>
  <xdr:twoCellAnchor editAs="oneCell">
    <xdr:from>
      <xdr:col>19</xdr:col>
      <xdr:colOff>587525</xdr:colOff>
      <xdr:row>67</xdr:row>
      <xdr:rowOff>1</xdr:rowOff>
    </xdr:from>
    <xdr:to>
      <xdr:col>24</xdr:col>
      <xdr:colOff>264298</xdr:colOff>
      <xdr:row>80</xdr:row>
      <xdr:rowOff>35608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4CD75D4-EC8C-4B09-B815-1AC75E127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783086" y="12569440"/>
          <a:ext cx="2703408" cy="2465817"/>
        </a:xfrm>
        <a:prstGeom prst="rect">
          <a:avLst/>
        </a:prstGeom>
      </xdr:spPr>
    </xdr:pic>
    <xdr:clientData/>
  </xdr:twoCellAnchor>
  <xdr:twoCellAnchor editAs="oneCell">
    <xdr:from>
      <xdr:col>20</xdr:col>
      <xdr:colOff>2</xdr:colOff>
      <xdr:row>82</xdr:row>
      <xdr:rowOff>62314</xdr:rowOff>
    </xdr:from>
    <xdr:to>
      <xdr:col>25</xdr:col>
      <xdr:colOff>4241</xdr:colOff>
      <xdr:row>95</xdr:row>
      <xdr:rowOff>80118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1735B2D-0C01-4736-9526-4840EF996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800890" y="15435842"/>
          <a:ext cx="3030874" cy="24480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82827</xdr:colOff>
      <xdr:row>0</xdr:row>
      <xdr:rowOff>149089</xdr:rowOff>
    </xdr:from>
    <xdr:to>
      <xdr:col>10</xdr:col>
      <xdr:colOff>554140</xdr:colOff>
      <xdr:row>4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209162-41D1-495A-9499-B8AB22E2D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1" y="149089"/>
          <a:ext cx="1117356" cy="737151"/>
        </a:xfrm>
        <a:prstGeom prst="rect">
          <a:avLst/>
        </a:prstGeom>
      </xdr:spPr>
    </xdr:pic>
    <xdr:clientData/>
  </xdr:twoCellAnchor>
  <xdr:twoCellAnchor editAs="oneCell">
    <xdr:from>
      <xdr:col>9</xdr:col>
      <xdr:colOff>57979</xdr:colOff>
      <xdr:row>5</xdr:row>
      <xdr:rowOff>82826</xdr:rowOff>
    </xdr:from>
    <xdr:to>
      <xdr:col>10</xdr:col>
      <xdr:colOff>587438</xdr:colOff>
      <xdr:row>8</xdr:row>
      <xdr:rowOff>82826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B0B904-97A5-4AF7-A6B0-712B72820B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52153" y="1200978"/>
          <a:ext cx="1175502" cy="695739"/>
        </a:xfrm>
        <a:prstGeom prst="rect">
          <a:avLst/>
        </a:prstGeom>
      </xdr:spPr>
    </xdr:pic>
    <xdr:clientData/>
  </xdr:twoCellAnchor>
  <xdr:twoCellAnchor editAs="oneCell">
    <xdr:from>
      <xdr:col>9</xdr:col>
      <xdr:colOff>49697</xdr:colOff>
      <xdr:row>9</xdr:row>
      <xdr:rowOff>16564</xdr:rowOff>
    </xdr:from>
    <xdr:to>
      <xdr:col>10</xdr:col>
      <xdr:colOff>602326</xdr:colOff>
      <xdr:row>13</xdr:row>
      <xdr:rowOff>16565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F364DB5-B2A5-4599-AEDD-FED6E0D92E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43871" y="2062368"/>
          <a:ext cx="1198672" cy="762001"/>
        </a:xfrm>
        <a:prstGeom prst="rect">
          <a:avLst/>
        </a:prstGeom>
      </xdr:spPr>
    </xdr:pic>
    <xdr:clientData/>
  </xdr:twoCellAnchor>
  <xdr:twoCellAnchor editAs="oneCell">
    <xdr:from>
      <xdr:col>19</xdr:col>
      <xdr:colOff>107949</xdr:colOff>
      <xdr:row>1</xdr:row>
      <xdr:rowOff>49551</xdr:rowOff>
    </xdr:from>
    <xdr:to>
      <xdr:col>25</xdr:col>
      <xdr:colOff>96115</xdr:colOff>
      <xdr:row>4</xdr:row>
      <xdr:rowOff>180377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803AA76-A1FF-4D8B-BBDB-0F6354E23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41896" y="241722"/>
          <a:ext cx="3940206" cy="807602"/>
        </a:xfrm>
        <a:prstGeom prst="rect">
          <a:avLst/>
        </a:prstGeom>
      </xdr:spPr>
    </xdr:pic>
    <xdr:clientData/>
  </xdr:twoCellAnchor>
  <xdr:twoCellAnchor editAs="oneCell">
    <xdr:from>
      <xdr:col>21</xdr:col>
      <xdr:colOff>126438</xdr:colOff>
      <xdr:row>15</xdr:row>
      <xdr:rowOff>109579</xdr:rowOff>
    </xdr:from>
    <xdr:to>
      <xdr:col>29</xdr:col>
      <xdr:colOff>155436</xdr:colOff>
      <xdr:row>32</xdr:row>
      <xdr:rowOff>42144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050FDD9-FF08-4124-A79A-78BB3BB01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489801" y="3321106"/>
          <a:ext cx="4917935" cy="33295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354004</xdr:colOff>
      <xdr:row>8</xdr:row>
      <xdr:rowOff>150007</xdr:rowOff>
    </xdr:from>
    <xdr:to>
      <xdr:col>9</xdr:col>
      <xdr:colOff>570832</xdr:colOff>
      <xdr:row>19</xdr:row>
      <xdr:rowOff>8896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D1BC35-18F1-4282-A2FE-6C25E6041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47069" y="1483507"/>
          <a:ext cx="3281393" cy="1954389"/>
        </a:xfrm>
        <a:prstGeom prst="rect">
          <a:avLst/>
        </a:prstGeom>
      </xdr:spPr>
    </xdr:pic>
    <xdr:clientData/>
  </xdr:twoCellAnchor>
  <xdr:twoCellAnchor editAs="oneCell">
    <xdr:from>
      <xdr:col>3</xdr:col>
      <xdr:colOff>157371</xdr:colOff>
      <xdr:row>28</xdr:row>
      <xdr:rowOff>49696</xdr:rowOff>
    </xdr:from>
    <xdr:to>
      <xdr:col>11</xdr:col>
      <xdr:colOff>357346</xdr:colOff>
      <xdr:row>44</xdr:row>
      <xdr:rowOff>66261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0DAE25-263D-4EAE-A255-F070166C9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37523" y="5193196"/>
          <a:ext cx="5103280" cy="306456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11</xdr:col>
      <xdr:colOff>281608</xdr:colOff>
      <xdr:row>62</xdr:row>
      <xdr:rowOff>158731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9E24186-62B3-43EB-B83A-861511C726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80152" y="8382000"/>
          <a:ext cx="5184913" cy="339723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39</xdr:row>
      <xdr:rowOff>57151</xdr:rowOff>
    </xdr:from>
    <xdr:to>
      <xdr:col>3</xdr:col>
      <xdr:colOff>310419</xdr:colOff>
      <xdr:row>57</xdr:row>
      <xdr:rowOff>158750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51AE72-F04A-4B44-B48E-207BD4AA5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588251"/>
          <a:ext cx="4044219" cy="35305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76201</xdr:rowOff>
    </xdr:from>
    <xdr:to>
      <xdr:col>3</xdr:col>
      <xdr:colOff>590550</xdr:colOff>
      <xdr:row>89</xdr:row>
      <xdr:rowOff>172133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A0BBE6-EB67-4146-B6EF-EA48BDC33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322301"/>
          <a:ext cx="4324350" cy="37154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185015</xdr:colOff>
      <xdr:row>8</xdr:row>
      <xdr:rowOff>4055</xdr:rowOff>
    </xdr:from>
    <xdr:to>
      <xdr:col>3</xdr:col>
      <xdr:colOff>205571</xdr:colOff>
      <xdr:row>10</xdr:row>
      <xdr:rowOff>152902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4EF44E-E579-405A-B451-1640DEE78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4763" y="1539019"/>
          <a:ext cx="746923" cy="532588"/>
        </a:xfrm>
        <a:prstGeom prst="rect">
          <a:avLst/>
        </a:prstGeom>
      </xdr:spPr>
    </xdr:pic>
    <xdr:clientData/>
  </xdr:twoCellAnchor>
  <xdr:twoCellAnchor editAs="oneCell">
    <xdr:from>
      <xdr:col>11</xdr:col>
      <xdr:colOff>150758</xdr:colOff>
      <xdr:row>6</xdr:row>
      <xdr:rowOff>92205</xdr:rowOff>
    </xdr:from>
    <xdr:to>
      <xdr:col>12</xdr:col>
      <xdr:colOff>246692</xdr:colOff>
      <xdr:row>8</xdr:row>
      <xdr:rowOff>22145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090863-5911-40CC-A753-46548C7E1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26621" y="1243428"/>
          <a:ext cx="1068992" cy="3136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603021</xdr:colOff>
      <xdr:row>30</xdr:row>
      <xdr:rowOff>107972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6F44726-0BEB-4BCF-9E81-69ACDB315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639155"/>
          <a:ext cx="603021" cy="30151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6854</xdr:colOff>
      <xdr:row>12</xdr:row>
      <xdr:rowOff>34264</xdr:rowOff>
    </xdr:from>
    <xdr:to>
      <xdr:col>14</xdr:col>
      <xdr:colOff>167892</xdr:colOff>
      <xdr:row>25</xdr:row>
      <xdr:rowOff>177354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7901603-A63F-4901-B026-8759735B3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96854" y="2299669"/>
          <a:ext cx="2984214" cy="2648766"/>
        </a:xfrm>
        <a:prstGeom prst="rect">
          <a:avLst/>
        </a:prstGeom>
      </xdr:spPr>
    </xdr:pic>
    <xdr:clientData/>
  </xdr:twoCellAnchor>
  <xdr:twoCellAnchor>
    <xdr:from>
      <xdr:col>6</xdr:col>
      <xdr:colOff>574407</xdr:colOff>
      <xdr:row>18</xdr:row>
      <xdr:rowOff>163041</xdr:rowOff>
    </xdr:from>
    <xdr:to>
      <xdr:col>8</xdr:col>
      <xdr:colOff>276297</xdr:colOff>
      <xdr:row>23</xdr:row>
      <xdr:rowOff>159962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B718A7D-5C74-474A-94D7-2E3CED39A305}"/>
            </a:ext>
          </a:extLst>
        </xdr:cNvPr>
        <xdr:cNvSpPr/>
      </xdr:nvSpPr>
      <xdr:spPr>
        <a:xfrm>
          <a:off x="4616096" y="3578311"/>
          <a:ext cx="1074863" cy="949421"/>
        </a:xfrm>
        <a:prstGeom prst="rect">
          <a:avLst/>
        </a:prstGeom>
        <a:ln w="28575">
          <a:extLst>
            <a:ext uri="{C807C97D-BFC1-408E-A445-0C87EB9F89A2}">
              <ask:lineSketchStyleProps xmlns:ask="http://schemas.microsoft.com/office/drawing/2018/sketchyshapes" sd="981765707">
                <a:custGeom>
                  <a:avLst/>
                  <a:gdLst>
                    <a:gd name="connsiteX0" fmla="*/ 0 w 1076107"/>
                    <a:gd name="connsiteY0" fmla="*/ 0 h 588951"/>
                    <a:gd name="connsiteX1" fmla="*/ 1076107 w 1076107"/>
                    <a:gd name="connsiteY1" fmla="*/ 0 h 588951"/>
                    <a:gd name="connsiteX2" fmla="*/ 1076107 w 1076107"/>
                    <a:gd name="connsiteY2" fmla="*/ 588951 h 588951"/>
                    <a:gd name="connsiteX3" fmla="*/ 0 w 1076107"/>
                    <a:gd name="connsiteY3" fmla="*/ 588951 h 588951"/>
                    <a:gd name="connsiteX4" fmla="*/ 0 w 1076107"/>
                    <a:gd name="connsiteY4" fmla="*/ 0 h 588951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1076107" h="588951" fill="none" extrusionOk="0">
                      <a:moveTo>
                        <a:pt x="0" y="0"/>
                      </a:moveTo>
                      <a:cubicBezTo>
                        <a:pt x="363111" y="61661"/>
                        <a:pt x="772185" y="64760"/>
                        <a:pt x="1076107" y="0"/>
                      </a:cubicBezTo>
                      <a:cubicBezTo>
                        <a:pt x="1050678" y="254066"/>
                        <a:pt x="1124507" y="338068"/>
                        <a:pt x="1076107" y="588951"/>
                      </a:cubicBezTo>
                      <a:cubicBezTo>
                        <a:pt x="793693" y="670342"/>
                        <a:pt x="307187" y="664303"/>
                        <a:pt x="0" y="588951"/>
                      </a:cubicBezTo>
                      <a:cubicBezTo>
                        <a:pt x="18444" y="463450"/>
                        <a:pt x="32467" y="265380"/>
                        <a:pt x="0" y="0"/>
                      </a:cubicBezTo>
                      <a:close/>
                    </a:path>
                    <a:path w="1076107" h="588951" stroke="0" extrusionOk="0">
                      <a:moveTo>
                        <a:pt x="0" y="0"/>
                      </a:moveTo>
                      <a:cubicBezTo>
                        <a:pt x="148411" y="-9684"/>
                        <a:pt x="784414" y="-78689"/>
                        <a:pt x="1076107" y="0"/>
                      </a:cubicBezTo>
                      <a:cubicBezTo>
                        <a:pt x="1089435" y="92156"/>
                        <a:pt x="1050806" y="432173"/>
                        <a:pt x="1076107" y="588951"/>
                      </a:cubicBezTo>
                      <a:cubicBezTo>
                        <a:pt x="619702" y="587913"/>
                        <a:pt x="400197" y="558396"/>
                        <a:pt x="0" y="588951"/>
                      </a:cubicBezTo>
                      <a:cubicBezTo>
                        <a:pt x="-33459" y="342094"/>
                        <a:pt x="8510" y="61901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Coefficent of Determination (measure fit)</a:t>
          </a:r>
        </a:p>
        <a:p>
          <a:pPr algn="l"/>
          <a:r>
            <a:rPr lang="en-US" sz="1100"/>
            <a:t>= 1 - SSE/SST</a:t>
          </a:r>
        </a:p>
        <a:p>
          <a:pPr algn="l"/>
          <a:r>
            <a:rPr lang="en-US" sz="1100"/>
            <a:t>=</a:t>
          </a:r>
          <a:r>
            <a:rPr lang="en-US" sz="1100" baseline="0"/>
            <a:t> SSR/SST</a:t>
          </a:r>
          <a:endParaRPr lang="en-US" sz="1100"/>
        </a:p>
      </xdr:txBody>
    </xdr:sp>
    <xdr:clientData/>
  </xdr:twoCellAnchor>
  <xdr:twoCellAnchor>
    <xdr:from>
      <xdr:col>7</xdr:col>
      <xdr:colOff>348123</xdr:colOff>
      <xdr:row>23</xdr:row>
      <xdr:rowOff>159962</xdr:rowOff>
    </xdr:from>
    <xdr:to>
      <xdr:col>8</xdr:col>
      <xdr:colOff>581680</xdr:colOff>
      <xdr:row>24</xdr:row>
      <xdr:rowOff>159962</xdr:rowOff>
    </xdr:to>
    <xdr:cxnSp macro="">
      <xdr:nvCxnSpPr>
        <xdr:cNvPr id="8" name="Connector: Elbow 7">
          <a:extLst>
            <a:ext uri="{FF2B5EF4-FFF2-40B4-BE49-F238E27FC236}">
              <a16:creationId xmlns:a16="http://schemas.microsoft.com/office/drawing/2014/main" id="{B8F759D4-BE61-49D2-A97A-783666CB982D}"/>
            </a:ext>
          </a:extLst>
        </xdr:cNvPr>
        <xdr:cNvCxnSpPr>
          <a:stCxn id="6" idx="2"/>
        </xdr:cNvCxnSpPr>
      </xdr:nvCxnSpPr>
      <xdr:spPr>
        <a:xfrm rot="16200000" flipH="1">
          <a:off x="5480543" y="4200717"/>
          <a:ext cx="188784" cy="842814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317500</xdr:colOff>
      <xdr:row>26</xdr:row>
      <xdr:rowOff>137300</xdr:rowOff>
    </xdr:from>
    <xdr:to>
      <xdr:col>8</xdr:col>
      <xdr:colOff>540608</xdr:colOff>
      <xdr:row>31</xdr:row>
      <xdr:rowOff>111554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843B2D0-3E73-4D00-99E1-82FA4AB61299}"/>
            </a:ext>
          </a:extLst>
        </xdr:cNvPr>
        <xdr:cNvCxnSpPr/>
      </xdr:nvCxnSpPr>
      <xdr:spPr>
        <a:xfrm flipV="1">
          <a:off x="4359189" y="5148651"/>
          <a:ext cx="1596081" cy="9782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257433</xdr:colOff>
      <xdr:row>27</xdr:row>
      <xdr:rowOff>85810</xdr:rowOff>
    </xdr:from>
    <xdr:to>
      <xdr:col>7</xdr:col>
      <xdr:colOff>497346</xdr:colOff>
      <xdr:row>29</xdr:row>
      <xdr:rowOff>157902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B52E34C-B030-45FE-957F-2BD07B3FF0D8}"/>
            </a:ext>
          </a:extLst>
        </xdr:cNvPr>
        <xdr:cNvSpPr/>
      </xdr:nvSpPr>
      <xdr:spPr>
        <a:xfrm>
          <a:off x="3689865" y="5328851"/>
          <a:ext cx="1612886" cy="458240"/>
        </a:xfrm>
        <a:prstGeom prst="rect">
          <a:avLst/>
        </a:prstGeom>
        <a:ln w="28575">
          <a:extLst>
            <a:ext uri="{C807C97D-BFC1-408E-A445-0C87EB9F89A2}">
              <ask:lineSketchStyleProps xmlns:ask="http://schemas.microsoft.com/office/drawing/2018/sketchyshapes" sd="981765707">
                <a:custGeom>
                  <a:avLst/>
                  <a:gdLst>
                    <a:gd name="connsiteX0" fmla="*/ 0 w 1076107"/>
                    <a:gd name="connsiteY0" fmla="*/ 0 h 588951"/>
                    <a:gd name="connsiteX1" fmla="*/ 1076107 w 1076107"/>
                    <a:gd name="connsiteY1" fmla="*/ 0 h 588951"/>
                    <a:gd name="connsiteX2" fmla="*/ 1076107 w 1076107"/>
                    <a:gd name="connsiteY2" fmla="*/ 588951 h 588951"/>
                    <a:gd name="connsiteX3" fmla="*/ 0 w 1076107"/>
                    <a:gd name="connsiteY3" fmla="*/ 588951 h 588951"/>
                    <a:gd name="connsiteX4" fmla="*/ 0 w 1076107"/>
                    <a:gd name="connsiteY4" fmla="*/ 0 h 588951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1076107" h="588951" fill="none" extrusionOk="0">
                      <a:moveTo>
                        <a:pt x="0" y="0"/>
                      </a:moveTo>
                      <a:cubicBezTo>
                        <a:pt x="363111" y="61661"/>
                        <a:pt x="772185" y="64760"/>
                        <a:pt x="1076107" y="0"/>
                      </a:cubicBezTo>
                      <a:cubicBezTo>
                        <a:pt x="1050678" y="254066"/>
                        <a:pt x="1124507" y="338068"/>
                        <a:pt x="1076107" y="588951"/>
                      </a:cubicBezTo>
                      <a:cubicBezTo>
                        <a:pt x="793693" y="670342"/>
                        <a:pt x="307187" y="664303"/>
                        <a:pt x="0" y="588951"/>
                      </a:cubicBezTo>
                      <a:cubicBezTo>
                        <a:pt x="18444" y="463450"/>
                        <a:pt x="32467" y="265380"/>
                        <a:pt x="0" y="0"/>
                      </a:cubicBezTo>
                      <a:close/>
                    </a:path>
                    <a:path w="1076107" h="588951" stroke="0" extrusionOk="0">
                      <a:moveTo>
                        <a:pt x="0" y="0"/>
                      </a:moveTo>
                      <a:cubicBezTo>
                        <a:pt x="148411" y="-9684"/>
                        <a:pt x="784414" y="-78689"/>
                        <a:pt x="1076107" y="0"/>
                      </a:cubicBezTo>
                      <a:cubicBezTo>
                        <a:pt x="1089435" y="92156"/>
                        <a:pt x="1050806" y="432173"/>
                        <a:pt x="1076107" y="588951"/>
                      </a:cubicBezTo>
                      <a:cubicBezTo>
                        <a:pt x="619702" y="587913"/>
                        <a:pt x="400197" y="558396"/>
                        <a:pt x="0" y="588951"/>
                      </a:cubicBezTo>
                      <a:cubicBezTo>
                        <a:pt x="-33459" y="342094"/>
                        <a:pt x="8510" y="61901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</a:t>
          </a:r>
          <a:r>
            <a:rPr lang="en-US" sz="1100" baseline="-25000"/>
            <a:t>e </a:t>
          </a:r>
          <a:r>
            <a:rPr lang="en-US" sz="1100" baseline="0"/>
            <a:t>= 0 means all predictions were perfect</a:t>
          </a:r>
          <a:endParaRPr lang="en-US" sz="1100" baseline="-25000"/>
        </a:p>
      </xdr:txBody>
    </xdr:sp>
    <xdr:clientData/>
  </xdr:twoCellAnchor>
  <xdr:twoCellAnchor>
    <xdr:from>
      <xdr:col>6</xdr:col>
      <xdr:colOff>377568</xdr:colOff>
      <xdr:row>38</xdr:row>
      <xdr:rowOff>94392</xdr:rowOff>
    </xdr:from>
    <xdr:to>
      <xdr:col>8</xdr:col>
      <xdr:colOff>197008</xdr:colOff>
      <xdr:row>39</xdr:row>
      <xdr:rowOff>192227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79EB29D9-DCF4-407E-8BA0-A9528CCFF0BC}"/>
            </a:ext>
          </a:extLst>
        </xdr:cNvPr>
        <xdr:cNvSpPr/>
      </xdr:nvSpPr>
      <xdr:spPr>
        <a:xfrm>
          <a:off x="4419257" y="7499865"/>
          <a:ext cx="1192413" cy="286619"/>
        </a:xfrm>
        <a:prstGeom prst="rect">
          <a:avLst/>
        </a:prstGeom>
        <a:ln w="28575">
          <a:extLst>
            <a:ext uri="{C807C97D-BFC1-408E-A445-0C87EB9F89A2}">
              <ask:lineSketchStyleProps xmlns:ask="http://schemas.microsoft.com/office/drawing/2018/sketchyshapes" sd="981765707">
                <a:custGeom>
                  <a:avLst/>
                  <a:gdLst>
                    <a:gd name="connsiteX0" fmla="*/ 0 w 1076107"/>
                    <a:gd name="connsiteY0" fmla="*/ 0 h 588951"/>
                    <a:gd name="connsiteX1" fmla="*/ 1076107 w 1076107"/>
                    <a:gd name="connsiteY1" fmla="*/ 0 h 588951"/>
                    <a:gd name="connsiteX2" fmla="*/ 1076107 w 1076107"/>
                    <a:gd name="connsiteY2" fmla="*/ 588951 h 588951"/>
                    <a:gd name="connsiteX3" fmla="*/ 0 w 1076107"/>
                    <a:gd name="connsiteY3" fmla="*/ 588951 h 588951"/>
                    <a:gd name="connsiteX4" fmla="*/ 0 w 1076107"/>
                    <a:gd name="connsiteY4" fmla="*/ 0 h 588951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1076107" h="588951" fill="none" extrusionOk="0">
                      <a:moveTo>
                        <a:pt x="0" y="0"/>
                      </a:moveTo>
                      <a:cubicBezTo>
                        <a:pt x="363111" y="61661"/>
                        <a:pt x="772185" y="64760"/>
                        <a:pt x="1076107" y="0"/>
                      </a:cubicBezTo>
                      <a:cubicBezTo>
                        <a:pt x="1050678" y="254066"/>
                        <a:pt x="1124507" y="338068"/>
                        <a:pt x="1076107" y="588951"/>
                      </a:cubicBezTo>
                      <a:cubicBezTo>
                        <a:pt x="793693" y="670342"/>
                        <a:pt x="307187" y="664303"/>
                        <a:pt x="0" y="588951"/>
                      </a:cubicBezTo>
                      <a:cubicBezTo>
                        <a:pt x="18444" y="463450"/>
                        <a:pt x="32467" y="265380"/>
                        <a:pt x="0" y="0"/>
                      </a:cubicBezTo>
                      <a:close/>
                    </a:path>
                    <a:path w="1076107" h="588951" stroke="0" extrusionOk="0">
                      <a:moveTo>
                        <a:pt x="0" y="0"/>
                      </a:moveTo>
                      <a:cubicBezTo>
                        <a:pt x="148411" y="-9684"/>
                        <a:pt x="784414" y="-78689"/>
                        <a:pt x="1076107" y="0"/>
                      </a:cubicBezTo>
                      <a:cubicBezTo>
                        <a:pt x="1089435" y="92156"/>
                        <a:pt x="1050806" y="432173"/>
                        <a:pt x="1076107" y="588951"/>
                      </a:cubicBezTo>
                      <a:cubicBezTo>
                        <a:pt x="619702" y="587913"/>
                        <a:pt x="400197" y="558396"/>
                        <a:pt x="0" y="588951"/>
                      </a:cubicBezTo>
                      <a:cubicBezTo>
                        <a:pt x="-33459" y="342094"/>
                        <a:pt x="8510" y="61901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y-hat = 1.4x + 9.4</a:t>
          </a:r>
        </a:p>
      </xdr:txBody>
    </xdr:sp>
    <xdr:clientData/>
  </xdr:twoCellAnchor>
  <xdr:twoCellAnchor>
    <xdr:from>
      <xdr:col>8</xdr:col>
      <xdr:colOff>214170</xdr:colOff>
      <xdr:row>37</xdr:row>
      <xdr:rowOff>6525</xdr:rowOff>
    </xdr:from>
    <xdr:to>
      <xdr:col>10</xdr:col>
      <xdr:colOff>512804</xdr:colOff>
      <xdr:row>39</xdr:row>
      <xdr:rowOff>48918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98A7973A-20A5-48F5-9536-0219AE3581D9}"/>
            </a:ext>
          </a:extLst>
        </xdr:cNvPr>
        <xdr:cNvCxnSpPr/>
      </xdr:nvCxnSpPr>
      <xdr:spPr>
        <a:xfrm flipV="1">
          <a:off x="5628832" y="7214633"/>
          <a:ext cx="2040594" cy="428542"/>
        </a:xfrm>
        <a:prstGeom prst="straightConnector1">
          <a:avLst/>
        </a:prstGeom>
        <a:ln w="28575"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180203</xdr:colOff>
      <xdr:row>45</xdr:row>
      <xdr:rowOff>128717</xdr:rowOff>
    </xdr:from>
    <xdr:to>
      <xdr:col>14</xdr:col>
      <xdr:colOff>1271900</xdr:colOff>
      <xdr:row>54</xdr:row>
      <xdr:rowOff>120135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256C1AA-652A-4707-A7BF-7E1BC862F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04122" y="8907163"/>
          <a:ext cx="7021224" cy="169047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17</xdr:row>
      <xdr:rowOff>0</xdr:rowOff>
    </xdr:from>
    <xdr:to>
      <xdr:col>6</xdr:col>
      <xdr:colOff>23198</xdr:colOff>
      <xdr:row>20</xdr:row>
      <xdr:rowOff>73786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82CD79-90C8-4816-A694-E3FB8A18B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3259965"/>
          <a:ext cx="3913690" cy="63723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</xdr:row>
      <xdr:rowOff>74330</xdr:rowOff>
    </xdr:from>
    <xdr:to>
      <xdr:col>13</xdr:col>
      <xdr:colOff>87201</xdr:colOff>
      <xdr:row>23</xdr:row>
      <xdr:rowOff>113937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031A9A-4B7C-45B5-B9E6-4B84D4F2C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11303" y="2958661"/>
          <a:ext cx="3139225" cy="1557382"/>
        </a:xfrm>
        <a:prstGeom prst="rect">
          <a:avLst/>
        </a:prstGeom>
      </xdr:spPr>
    </xdr:pic>
    <xdr:clientData/>
  </xdr:twoCellAnchor>
  <xdr:twoCellAnchor editAs="oneCell">
    <xdr:from>
      <xdr:col>8</xdr:col>
      <xdr:colOff>1</xdr:colOff>
      <xdr:row>28</xdr:row>
      <xdr:rowOff>0</xdr:rowOff>
    </xdr:from>
    <xdr:to>
      <xdr:col>14</xdr:col>
      <xdr:colOff>415882</xdr:colOff>
      <xdr:row>37</xdr:row>
      <xdr:rowOff>103919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D074FB2-A49A-40E1-A58F-23C522D4A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11304" y="5325951"/>
          <a:ext cx="4078310" cy="183451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40</xdr:row>
      <xdr:rowOff>0</xdr:rowOff>
    </xdr:from>
    <xdr:to>
      <xdr:col>12</xdr:col>
      <xdr:colOff>181109</xdr:colOff>
      <xdr:row>47</xdr:row>
      <xdr:rowOff>111301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37979A8-C0AA-4B52-B874-1A54F2398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11303" y="7620000"/>
          <a:ext cx="2622729" cy="1426019"/>
        </a:xfrm>
        <a:prstGeom prst="rect">
          <a:avLst/>
        </a:prstGeom>
      </xdr:spPr>
    </xdr:pic>
    <xdr:clientData/>
  </xdr:twoCellAnchor>
  <xdr:twoCellAnchor editAs="oneCell">
    <xdr:from>
      <xdr:col>14</xdr:col>
      <xdr:colOff>144781</xdr:colOff>
      <xdr:row>15</xdr:row>
      <xdr:rowOff>15240</xdr:rowOff>
    </xdr:from>
    <xdr:to>
      <xdr:col>18</xdr:col>
      <xdr:colOff>129541</xdr:colOff>
      <xdr:row>24</xdr:row>
      <xdr:rowOff>142094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CE9C324-F579-4AFA-B883-C3AE99B6D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907781" y="2933700"/>
          <a:ext cx="2423160" cy="185659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290511</xdr:colOff>
      <xdr:row>2</xdr:row>
      <xdr:rowOff>123825</xdr:rowOff>
    </xdr:from>
    <xdr:to>
      <xdr:col>11</xdr:col>
      <xdr:colOff>390524</xdr:colOff>
      <xdr:row>13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42C55C-D3E7-4F36-B10D-FD908E898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571501</xdr:colOff>
      <xdr:row>2</xdr:row>
      <xdr:rowOff>28575</xdr:rowOff>
    </xdr:from>
    <xdr:to>
      <xdr:col>5</xdr:col>
      <xdr:colOff>114301</xdr:colOff>
      <xdr:row>10</xdr:row>
      <xdr:rowOff>138412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588325-8A9D-4899-BCB5-B4D0357E0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14651" y="409575"/>
          <a:ext cx="762000" cy="1633837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228600</xdr:colOff>
      <xdr:row>15</xdr:row>
      <xdr:rowOff>47625</xdr:rowOff>
    </xdr:from>
    <xdr:to>
      <xdr:col>11</xdr:col>
      <xdr:colOff>38100</xdr:colOff>
      <xdr:row>24</xdr:row>
      <xdr:rowOff>72036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CD0345D-8187-4CCC-A661-C6CC570AAF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81350" y="2905125"/>
          <a:ext cx="4076700" cy="1738911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26</xdr:row>
      <xdr:rowOff>76200</xdr:rowOff>
    </xdr:from>
    <xdr:to>
      <xdr:col>10</xdr:col>
      <xdr:colOff>247650</xdr:colOff>
      <xdr:row>35</xdr:row>
      <xdr:rowOff>97489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C350F70-77A9-497E-B4CC-BB66AC91C1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71800" y="5029200"/>
          <a:ext cx="3886200" cy="1735789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37</xdr:row>
      <xdr:rowOff>47625</xdr:rowOff>
    </xdr:from>
    <xdr:to>
      <xdr:col>7</xdr:col>
      <xdr:colOff>600075</xdr:colOff>
      <xdr:row>48</xdr:row>
      <xdr:rowOff>35758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D8C4FBF-49BE-4FF9-9AEC-452CBEEA0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05150" y="7096125"/>
          <a:ext cx="2276475" cy="208363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3</xdr:col>
      <xdr:colOff>305519</xdr:colOff>
      <xdr:row>2</xdr:row>
      <xdr:rowOff>40233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1DC23B-D183-4A0A-B2FA-0C84F18015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2366273" cy="423629"/>
        </a:xfrm>
        <a:prstGeom prst="rect">
          <a:avLst/>
        </a:prstGeom>
      </xdr:spPr>
    </xdr:pic>
    <xdr:clientData/>
  </xdr:twoCellAnchor>
  <xdr:twoCellAnchor editAs="oneCell">
    <xdr:from>
      <xdr:col>0</xdr:col>
      <xdr:colOff>17971</xdr:colOff>
      <xdr:row>16</xdr:row>
      <xdr:rowOff>29953</xdr:rowOff>
    </xdr:from>
    <xdr:to>
      <xdr:col>2</xdr:col>
      <xdr:colOff>760802</xdr:colOff>
      <xdr:row>18</xdr:row>
      <xdr:rowOff>137783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D6762B1-D1AB-4BD5-B270-1DC3EE9A8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71" y="3204953"/>
          <a:ext cx="1964906" cy="49122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191697</xdr:rowOff>
    </xdr:from>
    <xdr:to>
      <xdr:col>11</xdr:col>
      <xdr:colOff>276646</xdr:colOff>
      <xdr:row>3</xdr:row>
      <xdr:rowOff>29952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37847B-2DDF-4498-ACBF-508BF5C03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8019" y="191697"/>
          <a:ext cx="887684" cy="413349"/>
        </a:xfrm>
        <a:prstGeom prst="rect">
          <a:avLst/>
        </a:prstGeom>
      </xdr:spPr>
    </xdr:pic>
    <xdr:clientData/>
  </xdr:twoCellAnchor>
  <xdr:twoCellAnchor>
    <xdr:from>
      <xdr:col>9</xdr:col>
      <xdr:colOff>605047</xdr:colOff>
      <xdr:row>13</xdr:row>
      <xdr:rowOff>227641</xdr:rowOff>
    </xdr:from>
    <xdr:to>
      <xdr:col>13</xdr:col>
      <xdr:colOff>29952</xdr:colOff>
      <xdr:row>17</xdr:row>
      <xdr:rowOff>41934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D4D1B07-2E22-4FC6-A6E0-1B68D8A82498}"/>
            </a:ext>
          </a:extLst>
        </xdr:cNvPr>
        <xdr:cNvSpPr/>
      </xdr:nvSpPr>
      <xdr:spPr>
        <a:xfrm>
          <a:off x="6332028" y="2755660"/>
          <a:ext cx="2096698" cy="652972"/>
        </a:xfrm>
        <a:prstGeom prst="rect">
          <a:avLst/>
        </a:prstGeom>
        <a:ln w="28575">
          <a:extLst>
            <a:ext uri="{C807C97D-BFC1-408E-A445-0C87EB9F89A2}">
              <ask:lineSketchStyleProps xmlns:ask="http://schemas.microsoft.com/office/drawing/2018/sketchyshapes" sd="981765707">
                <a:custGeom>
                  <a:avLst/>
                  <a:gdLst>
                    <a:gd name="connsiteX0" fmla="*/ 0 w 1076107"/>
                    <a:gd name="connsiteY0" fmla="*/ 0 h 588951"/>
                    <a:gd name="connsiteX1" fmla="*/ 1076107 w 1076107"/>
                    <a:gd name="connsiteY1" fmla="*/ 0 h 588951"/>
                    <a:gd name="connsiteX2" fmla="*/ 1076107 w 1076107"/>
                    <a:gd name="connsiteY2" fmla="*/ 588951 h 588951"/>
                    <a:gd name="connsiteX3" fmla="*/ 0 w 1076107"/>
                    <a:gd name="connsiteY3" fmla="*/ 588951 h 588951"/>
                    <a:gd name="connsiteX4" fmla="*/ 0 w 1076107"/>
                    <a:gd name="connsiteY4" fmla="*/ 0 h 588951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1076107" h="588951" fill="none" extrusionOk="0">
                      <a:moveTo>
                        <a:pt x="0" y="0"/>
                      </a:moveTo>
                      <a:cubicBezTo>
                        <a:pt x="363111" y="61661"/>
                        <a:pt x="772185" y="64760"/>
                        <a:pt x="1076107" y="0"/>
                      </a:cubicBezTo>
                      <a:cubicBezTo>
                        <a:pt x="1050678" y="254066"/>
                        <a:pt x="1124507" y="338068"/>
                        <a:pt x="1076107" y="588951"/>
                      </a:cubicBezTo>
                      <a:cubicBezTo>
                        <a:pt x="793693" y="670342"/>
                        <a:pt x="307187" y="664303"/>
                        <a:pt x="0" y="588951"/>
                      </a:cubicBezTo>
                      <a:cubicBezTo>
                        <a:pt x="18444" y="463450"/>
                        <a:pt x="32467" y="265380"/>
                        <a:pt x="0" y="0"/>
                      </a:cubicBezTo>
                      <a:close/>
                    </a:path>
                    <a:path w="1076107" h="588951" stroke="0" extrusionOk="0">
                      <a:moveTo>
                        <a:pt x="0" y="0"/>
                      </a:moveTo>
                      <a:cubicBezTo>
                        <a:pt x="148411" y="-9684"/>
                        <a:pt x="784414" y="-78689"/>
                        <a:pt x="1076107" y="0"/>
                      </a:cubicBezTo>
                      <a:cubicBezTo>
                        <a:pt x="1089435" y="92156"/>
                        <a:pt x="1050806" y="432173"/>
                        <a:pt x="1076107" y="588951"/>
                      </a:cubicBezTo>
                      <a:cubicBezTo>
                        <a:pt x="619702" y="587913"/>
                        <a:pt x="400197" y="558396"/>
                        <a:pt x="0" y="588951"/>
                      </a:cubicBezTo>
                      <a:cubicBezTo>
                        <a:pt x="-33459" y="342094"/>
                        <a:pt x="8510" y="61901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Cochran's</a:t>
          </a:r>
          <a:r>
            <a:rPr lang="en-US" sz="1100" baseline="0"/>
            <a:t> Rule: e</a:t>
          </a:r>
          <a:r>
            <a:rPr lang="en-US" sz="1100" baseline="-25000"/>
            <a:t>jk</a:t>
          </a:r>
          <a:r>
            <a:rPr lang="en-US" sz="1100" baseline="0"/>
            <a:t> &gt; 5 for all cells</a:t>
          </a:r>
        </a:p>
        <a:p>
          <a:pPr algn="l"/>
          <a:r>
            <a:rPr lang="en-US" sz="1100" baseline="0"/>
            <a:t>Dangerous zone: e</a:t>
          </a:r>
          <a:r>
            <a:rPr lang="en-US" sz="1100" baseline="-25000"/>
            <a:t>jk</a:t>
          </a:r>
          <a:r>
            <a:rPr lang="en-US" sz="1100" baseline="0"/>
            <a:t> &lt; 2</a:t>
          </a:r>
        </a:p>
        <a:p>
          <a:pPr algn="l"/>
          <a:r>
            <a:rPr lang="en-US" sz="1100" baseline="0"/>
            <a:t>Infeasible: e</a:t>
          </a:r>
          <a:r>
            <a:rPr lang="en-US" sz="1100" baseline="-25000"/>
            <a:t>jk </a:t>
          </a:r>
          <a:r>
            <a:rPr lang="en-US" sz="1100" baseline="0"/>
            <a:t>&lt; 1</a:t>
          </a:r>
        </a:p>
        <a:p>
          <a:pPr algn="l"/>
          <a:endParaRPr lang="en-US" sz="1100" baseline="0"/>
        </a:p>
      </xdr:txBody>
    </xdr:sp>
    <xdr:clientData/>
  </xdr:twoCellAnchor>
  <xdr:twoCellAnchor>
    <xdr:from>
      <xdr:col>13</xdr:col>
      <xdr:colOff>299528</xdr:colOff>
      <xdr:row>0</xdr:row>
      <xdr:rowOff>47925</xdr:rowOff>
    </xdr:from>
    <xdr:to>
      <xdr:col>13</xdr:col>
      <xdr:colOff>305518</xdr:colOff>
      <xdr:row>24</xdr:row>
      <xdr:rowOff>5990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DFF668EF-9894-4B5F-BA97-0B3253EA99B4}"/>
            </a:ext>
          </a:extLst>
        </xdr:cNvPr>
        <xdr:cNvCxnSpPr/>
      </xdr:nvCxnSpPr>
      <xdr:spPr>
        <a:xfrm>
          <a:off x="8698302" y="47925"/>
          <a:ext cx="5990" cy="46666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155754</xdr:colOff>
      <xdr:row>12</xdr:row>
      <xdr:rowOff>19382</xdr:rowOff>
    </xdr:from>
    <xdr:to>
      <xdr:col>21</xdr:col>
      <xdr:colOff>5991</xdr:colOff>
      <xdr:row>14</xdr:row>
      <xdr:rowOff>119922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287BBEE-3B2F-482F-8F63-034F5A78C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699575" y="1972307"/>
          <a:ext cx="1683350" cy="555823"/>
        </a:xfrm>
        <a:prstGeom prst="rect">
          <a:avLst/>
        </a:prstGeom>
      </xdr:spPr>
    </xdr:pic>
    <xdr:clientData/>
  </xdr:twoCellAnchor>
  <xdr:twoCellAnchor>
    <xdr:from>
      <xdr:col>18</xdr:col>
      <xdr:colOff>125801</xdr:colOff>
      <xdr:row>15</xdr:row>
      <xdr:rowOff>107829</xdr:rowOff>
    </xdr:from>
    <xdr:to>
      <xdr:col>21</xdr:col>
      <xdr:colOff>389386</xdr:colOff>
      <xdr:row>18</xdr:row>
      <xdr:rowOff>113820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1DFD0D98-B97B-4FC1-B6CC-3E6F9E85F714}"/>
            </a:ext>
          </a:extLst>
        </xdr:cNvPr>
        <xdr:cNvSpPr/>
      </xdr:nvSpPr>
      <xdr:spPr>
        <a:xfrm>
          <a:off x="11669622" y="2707735"/>
          <a:ext cx="2096698" cy="652972"/>
        </a:xfrm>
        <a:prstGeom prst="rect">
          <a:avLst/>
        </a:prstGeom>
        <a:ln w="28575">
          <a:extLst>
            <a:ext uri="{C807C97D-BFC1-408E-A445-0C87EB9F89A2}">
              <ask:lineSketchStyleProps xmlns:ask="http://schemas.microsoft.com/office/drawing/2018/sketchyshapes" sd="981765707">
                <a:custGeom>
                  <a:avLst/>
                  <a:gdLst>
                    <a:gd name="connsiteX0" fmla="*/ 0 w 1076107"/>
                    <a:gd name="connsiteY0" fmla="*/ 0 h 588951"/>
                    <a:gd name="connsiteX1" fmla="*/ 1076107 w 1076107"/>
                    <a:gd name="connsiteY1" fmla="*/ 0 h 588951"/>
                    <a:gd name="connsiteX2" fmla="*/ 1076107 w 1076107"/>
                    <a:gd name="connsiteY2" fmla="*/ 588951 h 588951"/>
                    <a:gd name="connsiteX3" fmla="*/ 0 w 1076107"/>
                    <a:gd name="connsiteY3" fmla="*/ 588951 h 588951"/>
                    <a:gd name="connsiteX4" fmla="*/ 0 w 1076107"/>
                    <a:gd name="connsiteY4" fmla="*/ 0 h 588951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1076107" h="588951" fill="none" extrusionOk="0">
                      <a:moveTo>
                        <a:pt x="0" y="0"/>
                      </a:moveTo>
                      <a:cubicBezTo>
                        <a:pt x="363111" y="61661"/>
                        <a:pt x="772185" y="64760"/>
                        <a:pt x="1076107" y="0"/>
                      </a:cubicBezTo>
                      <a:cubicBezTo>
                        <a:pt x="1050678" y="254066"/>
                        <a:pt x="1124507" y="338068"/>
                        <a:pt x="1076107" y="588951"/>
                      </a:cubicBezTo>
                      <a:cubicBezTo>
                        <a:pt x="793693" y="670342"/>
                        <a:pt x="307187" y="664303"/>
                        <a:pt x="0" y="588951"/>
                      </a:cubicBezTo>
                      <a:cubicBezTo>
                        <a:pt x="18444" y="463450"/>
                        <a:pt x="32467" y="265380"/>
                        <a:pt x="0" y="0"/>
                      </a:cubicBezTo>
                      <a:close/>
                    </a:path>
                    <a:path w="1076107" h="588951" stroke="0" extrusionOk="0">
                      <a:moveTo>
                        <a:pt x="0" y="0"/>
                      </a:moveTo>
                      <a:cubicBezTo>
                        <a:pt x="148411" y="-9684"/>
                        <a:pt x="784414" y="-78689"/>
                        <a:pt x="1076107" y="0"/>
                      </a:cubicBezTo>
                      <a:cubicBezTo>
                        <a:pt x="1089435" y="92156"/>
                        <a:pt x="1050806" y="432173"/>
                        <a:pt x="1076107" y="588951"/>
                      </a:cubicBezTo>
                      <a:cubicBezTo>
                        <a:pt x="619702" y="587913"/>
                        <a:pt x="400197" y="558396"/>
                        <a:pt x="0" y="588951"/>
                      </a:cubicBezTo>
                      <a:cubicBezTo>
                        <a:pt x="-33459" y="342094"/>
                        <a:pt x="8510" y="61901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Cochran's</a:t>
          </a:r>
          <a:r>
            <a:rPr lang="en-US" sz="1100" baseline="0"/>
            <a:t> Rule: e</a:t>
          </a:r>
          <a:r>
            <a:rPr lang="en-US" sz="1100" baseline="-25000"/>
            <a:t>jk</a:t>
          </a:r>
          <a:r>
            <a:rPr lang="en-US" sz="1100" baseline="0"/>
            <a:t> &gt; 5 for all cells</a:t>
          </a:r>
        </a:p>
        <a:p>
          <a:pPr algn="l"/>
          <a:r>
            <a:rPr lang="en-US" sz="1100" baseline="0"/>
            <a:t>Dangerous zone: e</a:t>
          </a:r>
          <a:r>
            <a:rPr lang="en-US" sz="1100" baseline="-25000"/>
            <a:t>jk</a:t>
          </a:r>
          <a:r>
            <a:rPr lang="en-US" sz="1100" baseline="0"/>
            <a:t> &lt; 2</a:t>
          </a:r>
        </a:p>
        <a:p>
          <a:pPr algn="l"/>
          <a:r>
            <a:rPr lang="en-US" sz="1100" baseline="0"/>
            <a:t>Infeasible: e</a:t>
          </a:r>
          <a:r>
            <a:rPr lang="en-US" sz="1100" baseline="-25000"/>
            <a:t>jk </a:t>
          </a:r>
          <a:r>
            <a:rPr lang="en-US" sz="1100" baseline="0"/>
            <a:t>&lt; 1</a:t>
          </a:r>
        </a:p>
        <a:p>
          <a:pPr algn="l"/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E47C2-7FCE-4CB5-BB26-E714912C302F}">
  <dimension ref="A1:AD82"/>
  <sheetViews>
    <sheetView topLeftCell="A10" zoomScale="107" zoomScaleNormal="162" workbookViewId="0">
      <selection activeCell="I15" sqref="I15"/>
    </sheetView>
  </sheetViews>
  <sheetFormatPr defaultRowHeight="15" x14ac:dyDescent="0.25"/>
  <cols>
    <col min="1" max="1" width="13.140625" bestFit="1" customWidth="1"/>
    <col min="2" max="2" width="13" customWidth="1"/>
    <col min="3" max="3" width="10.28515625" customWidth="1"/>
    <col min="7" max="7" width="10.42578125" customWidth="1"/>
    <col min="27" max="27" width="9.5703125" customWidth="1"/>
    <col min="29" max="29" width="3.28515625" customWidth="1"/>
  </cols>
  <sheetData>
    <row r="1" spans="1:28" x14ac:dyDescent="0.25">
      <c r="A1" s="13" t="s">
        <v>23</v>
      </c>
      <c r="B1" s="23"/>
      <c r="F1" s="12" t="s">
        <v>75</v>
      </c>
      <c r="G1" s="18"/>
      <c r="H1" s="18"/>
      <c r="S1" s="12" t="s">
        <v>62</v>
      </c>
      <c r="T1" s="18"/>
      <c r="U1" s="18"/>
      <c r="V1" s="18"/>
      <c r="W1" s="27"/>
      <c r="X1" s="27"/>
    </row>
    <row r="2" spans="1:28" x14ac:dyDescent="0.25">
      <c r="A2" s="2" t="s">
        <v>0</v>
      </c>
      <c r="B2" s="15">
        <v>0.05</v>
      </c>
      <c r="C2" s="7"/>
      <c r="F2" s="2" t="s">
        <v>7</v>
      </c>
      <c r="G2" s="1">
        <f>D20</f>
        <v>3.3333333333333335</v>
      </c>
    </row>
    <row r="3" spans="1:28" ht="15.75" x14ac:dyDescent="0.25">
      <c r="A3" s="7"/>
      <c r="B3" s="24" t="s">
        <v>82</v>
      </c>
      <c r="C3" s="4" t="s">
        <v>18</v>
      </c>
      <c r="D3" s="5">
        <f>_xlfn.NORM.S.INV(B2)</f>
        <v>-1.6448536269514726</v>
      </c>
      <c r="G3" t="s">
        <v>18</v>
      </c>
      <c r="H3" t="b">
        <f>G2&lt;D3</f>
        <v>0</v>
      </c>
      <c r="T3" s="26" t="s">
        <v>50</v>
      </c>
      <c r="U3" s="31" t="s">
        <v>63</v>
      </c>
      <c r="V3" s="14"/>
      <c r="W3" s="14"/>
      <c r="X3" s="14"/>
      <c r="Y3" s="14"/>
      <c r="Z3" s="14"/>
      <c r="AA3" s="14"/>
      <c r="AB3" s="14"/>
    </row>
    <row r="4" spans="1:28" x14ac:dyDescent="0.25">
      <c r="A4" s="7"/>
      <c r="B4" s="6"/>
      <c r="C4" s="7" t="s">
        <v>19</v>
      </c>
      <c r="D4" s="8">
        <f>_xlfn.NORM.S.INV(1-B2)</f>
        <v>1.6448536269514715</v>
      </c>
      <c r="G4" t="s">
        <v>19</v>
      </c>
      <c r="H4" t="b">
        <f>G2&gt;D4</f>
        <v>1</v>
      </c>
    </row>
    <row r="5" spans="1:28" x14ac:dyDescent="0.25">
      <c r="A5" s="7"/>
      <c r="B5" s="6"/>
      <c r="C5" s="7" t="s">
        <v>20</v>
      </c>
      <c r="D5" s="8">
        <f>_xlfn.NORM.S.INV(B2/2)</f>
        <v>-1.9599639845400538</v>
      </c>
      <c r="G5" t="s">
        <v>20</v>
      </c>
      <c r="H5" t="b">
        <f>OR((G2&lt;=D5), (G2&gt;=-D5))</f>
        <v>1</v>
      </c>
    </row>
    <row r="6" spans="1:28" x14ac:dyDescent="0.25">
      <c r="A6" s="7"/>
      <c r="B6" s="9"/>
      <c r="C6" s="10"/>
      <c r="D6" s="11"/>
      <c r="G6" s="14" t="s">
        <v>11</v>
      </c>
    </row>
    <row r="7" spans="1:28" x14ac:dyDescent="0.25">
      <c r="F7" s="2" t="s">
        <v>16</v>
      </c>
      <c r="G7" s="1">
        <f>D25</f>
        <v>2</v>
      </c>
    </row>
    <row r="8" spans="1:28" x14ac:dyDescent="0.25">
      <c r="B8" s="24" t="s">
        <v>83</v>
      </c>
      <c r="C8" s="4" t="s">
        <v>18</v>
      </c>
      <c r="D8" s="5">
        <f>_xlfn.T.INV(B2, B15 - 1)</f>
        <v>-1.7530503556925723</v>
      </c>
      <c r="G8" t="s">
        <v>18</v>
      </c>
      <c r="H8" t="b">
        <f>G7&lt;D8</f>
        <v>0</v>
      </c>
    </row>
    <row r="9" spans="1:28" x14ac:dyDescent="0.25">
      <c r="B9" s="6"/>
      <c r="C9" s="7" t="s">
        <v>19</v>
      </c>
      <c r="D9" s="8">
        <f>_xlfn.T.INV(1-B2, B15-1)</f>
        <v>1.7530503556925723</v>
      </c>
      <c r="G9" t="s">
        <v>19</v>
      </c>
      <c r="H9" t="b">
        <f>G7&gt;D9</f>
        <v>1</v>
      </c>
    </row>
    <row r="10" spans="1:28" x14ac:dyDescent="0.25">
      <c r="B10" s="9"/>
      <c r="C10" s="10" t="s">
        <v>20</v>
      </c>
      <c r="D10" s="11">
        <f>_xlfn.T.INV.2T(B2, B15-1)</f>
        <v>2.1314495455597742</v>
      </c>
      <c r="G10" t="s">
        <v>20</v>
      </c>
      <c r="H10" t="b">
        <f>OR((G7&lt;=-D10), (G7&gt;=D10))</f>
        <v>0</v>
      </c>
    </row>
    <row r="12" spans="1:28" x14ac:dyDescent="0.25">
      <c r="A12" s="12" t="s">
        <v>1</v>
      </c>
      <c r="F12" s="12" t="s">
        <v>13</v>
      </c>
      <c r="G12" s="18"/>
      <c r="H12" s="18"/>
    </row>
    <row r="13" spans="1:28" x14ac:dyDescent="0.25">
      <c r="A13" s="2" t="s">
        <v>5</v>
      </c>
      <c r="B13">
        <v>30</v>
      </c>
      <c r="F13" s="2" t="s">
        <v>14</v>
      </c>
      <c r="G13">
        <f>10/100</f>
        <v>0.1</v>
      </c>
    </row>
    <row r="14" spans="1:28" x14ac:dyDescent="0.25">
      <c r="A14" s="2" t="s">
        <v>4</v>
      </c>
      <c r="B14">
        <v>40</v>
      </c>
      <c r="F14" s="2" t="s">
        <v>15</v>
      </c>
      <c r="G14">
        <f>39/260</f>
        <v>0.15</v>
      </c>
    </row>
    <row r="15" spans="1:28" x14ac:dyDescent="0.25">
      <c r="A15" s="2" t="s">
        <v>6</v>
      </c>
      <c r="B15">
        <v>16</v>
      </c>
      <c r="F15" s="2" t="s">
        <v>6</v>
      </c>
      <c r="G15">
        <v>260</v>
      </c>
      <c r="T15" s="26" t="s">
        <v>51</v>
      </c>
    </row>
    <row r="17" spans="1:28" x14ac:dyDescent="0.25">
      <c r="B17" s="3" t="s">
        <v>2</v>
      </c>
      <c r="C17" s="4"/>
      <c r="D17" s="5"/>
      <c r="F17" t="s">
        <v>7</v>
      </c>
      <c r="G17" s="1">
        <f>(G14-G13)/SQRT(G13*(1-G13)/G15)</f>
        <v>2.6874192494328493</v>
      </c>
      <c r="Z17" s="3" t="s">
        <v>52</v>
      </c>
      <c r="AA17" s="28"/>
      <c r="AB17" s="5" t="s">
        <v>6</v>
      </c>
    </row>
    <row r="18" spans="1:28" x14ac:dyDescent="0.25">
      <c r="B18" s="16" t="s">
        <v>3</v>
      </c>
      <c r="C18" s="7">
        <v>12</v>
      </c>
      <c r="D18" s="8"/>
      <c r="Z18" s="16" t="s">
        <v>53</v>
      </c>
      <c r="AA18" s="29"/>
      <c r="AB18" s="8" t="s">
        <v>4</v>
      </c>
    </row>
    <row r="19" spans="1:28" x14ac:dyDescent="0.25">
      <c r="B19" s="6"/>
      <c r="C19" s="7"/>
      <c r="D19" s="8"/>
      <c r="F19" s="14" t="s">
        <v>25</v>
      </c>
      <c r="Z19" s="16" t="s">
        <v>54</v>
      </c>
      <c r="AA19" s="29"/>
      <c r="AB19" s="8" t="s">
        <v>9</v>
      </c>
    </row>
    <row r="20" spans="1:28" ht="18" x14ac:dyDescent="0.35">
      <c r="B20" s="9"/>
      <c r="C20" s="10" t="s">
        <v>7</v>
      </c>
      <c r="D20" s="17">
        <f>(B14-B13)/(C18/SQRT(B15))</f>
        <v>3.3333333333333335</v>
      </c>
      <c r="F20" t="s">
        <v>26</v>
      </c>
      <c r="H20" t="b">
        <f>G15*G13&gt;10</f>
        <v>1</v>
      </c>
      <c r="Z20" s="30" t="s">
        <v>55</v>
      </c>
      <c r="AA20" s="10"/>
      <c r="AB20" s="11" t="s">
        <v>56</v>
      </c>
    </row>
    <row r="21" spans="1:28" x14ac:dyDescent="0.25">
      <c r="F21" t="s">
        <v>27</v>
      </c>
      <c r="H21" t="b">
        <f>G15*(1-G13)&gt;10</f>
        <v>1</v>
      </c>
    </row>
    <row r="22" spans="1:28" x14ac:dyDescent="0.25">
      <c r="B22" s="3" t="s">
        <v>8</v>
      </c>
      <c r="C22" s="4"/>
      <c r="D22" s="5"/>
    </row>
    <row r="23" spans="1:28" x14ac:dyDescent="0.25">
      <c r="B23" s="16" t="s">
        <v>9</v>
      </c>
      <c r="C23" s="7">
        <v>20</v>
      </c>
      <c r="D23" s="8"/>
    </row>
    <row r="24" spans="1:28" x14ac:dyDescent="0.25">
      <c r="B24" s="6"/>
      <c r="C24" s="7"/>
      <c r="D24" s="8"/>
    </row>
    <row r="25" spans="1:28" x14ac:dyDescent="0.25">
      <c r="B25" s="9"/>
      <c r="C25" s="10" t="s">
        <v>16</v>
      </c>
      <c r="D25" s="17">
        <f>(B14-B13)/(C23/SQRT(B15))</f>
        <v>2</v>
      </c>
    </row>
    <row r="27" spans="1:28" x14ac:dyDescent="0.25">
      <c r="A27" s="12" t="s">
        <v>10</v>
      </c>
      <c r="G27" s="12" t="s">
        <v>12</v>
      </c>
      <c r="H27" s="18"/>
      <c r="I27" s="18"/>
    </row>
    <row r="28" spans="1:28" x14ac:dyDescent="0.25">
      <c r="A28" s="3" t="s">
        <v>7</v>
      </c>
      <c r="B28" s="4">
        <f>2.6874</f>
        <v>2.6873999999999998</v>
      </c>
      <c r="C28" s="19" t="s">
        <v>21</v>
      </c>
      <c r="D28" s="4"/>
      <c r="E28" s="5"/>
      <c r="G28" s="2" t="s">
        <v>10</v>
      </c>
      <c r="H28">
        <f>0.0038</f>
        <v>3.8E-3</v>
      </c>
      <c r="T28" s="26" t="s">
        <v>57</v>
      </c>
    </row>
    <row r="29" spans="1:28" x14ac:dyDescent="0.25">
      <c r="A29" s="6"/>
      <c r="B29" s="7"/>
      <c r="C29" s="20" t="s">
        <v>22</v>
      </c>
      <c r="D29" s="7"/>
      <c r="E29" s="8"/>
      <c r="H29" t="b">
        <f>H28&lt;B2</f>
        <v>1</v>
      </c>
      <c r="U29" t="s">
        <v>58</v>
      </c>
    </row>
    <row r="30" spans="1:28" x14ac:dyDescent="0.25">
      <c r="A30" s="6"/>
      <c r="B30" s="7" t="s">
        <v>18</v>
      </c>
      <c r="C30" s="7"/>
      <c r="D30" s="21">
        <f>_xlfn.NORM.S.DIST(B28, TRUE)</f>
        <v>0.99639946696058213</v>
      </c>
      <c r="E30" s="8"/>
      <c r="G30" s="14" t="s">
        <v>11</v>
      </c>
    </row>
    <row r="31" spans="1:28" x14ac:dyDescent="0.25">
      <c r="A31" s="6"/>
      <c r="B31" s="7" t="s">
        <v>19</v>
      </c>
      <c r="C31" s="7"/>
      <c r="D31" s="21">
        <f>1-_xlfn.NORM.S.DIST(B28,TRUE)</f>
        <v>3.6005330394178747E-3</v>
      </c>
      <c r="E31" s="8"/>
    </row>
    <row r="32" spans="1:28" x14ac:dyDescent="0.25">
      <c r="A32" s="9"/>
      <c r="B32" s="10" t="s">
        <v>20</v>
      </c>
      <c r="C32" s="10"/>
      <c r="D32" s="22">
        <f>2*(_xlfn.NORM.S.DIST(B28,TRUE ))</f>
        <v>1.9927989339211643</v>
      </c>
      <c r="E32" s="11"/>
    </row>
    <row r="33" spans="1:30" x14ac:dyDescent="0.25">
      <c r="G33" s="1"/>
    </row>
    <row r="34" spans="1:30" x14ac:dyDescent="0.25">
      <c r="A34" s="3" t="s">
        <v>16</v>
      </c>
      <c r="B34" s="4">
        <v>1.1399999999999999</v>
      </c>
      <c r="C34" s="4"/>
      <c r="D34" s="4"/>
      <c r="E34" s="5"/>
    </row>
    <row r="35" spans="1:30" x14ac:dyDescent="0.25">
      <c r="A35" s="16" t="s">
        <v>17</v>
      </c>
      <c r="B35" s="7">
        <f>B15-1</f>
        <v>15</v>
      </c>
      <c r="C35" s="7"/>
      <c r="D35" s="7"/>
      <c r="E35" s="8"/>
      <c r="AA35" s="2" t="s">
        <v>59</v>
      </c>
      <c r="AB35" s="2"/>
      <c r="AD35" t="s">
        <v>60</v>
      </c>
    </row>
    <row r="36" spans="1:30" x14ac:dyDescent="0.25">
      <c r="A36" s="6"/>
      <c r="B36" s="7" t="s">
        <v>18</v>
      </c>
      <c r="C36" s="7"/>
      <c r="D36" s="39">
        <f>_xlfn.T.DIST.RT(B34, B35)</f>
        <v>0.13608159880217449</v>
      </c>
      <c r="E36" s="40"/>
    </row>
    <row r="37" spans="1:30" x14ac:dyDescent="0.25">
      <c r="A37" s="6"/>
      <c r="B37" s="7" t="s">
        <v>19</v>
      </c>
      <c r="C37" s="7"/>
      <c r="D37" s="39">
        <f>_xlfn.T.DIST.2T(B34, B35)</f>
        <v>0.27216319760434898</v>
      </c>
      <c r="E37" s="40"/>
      <c r="F37" t="s">
        <v>84</v>
      </c>
    </row>
    <row r="38" spans="1:30" x14ac:dyDescent="0.25">
      <c r="A38" s="6"/>
      <c r="B38" s="7" t="s">
        <v>20</v>
      </c>
      <c r="C38" s="7"/>
      <c r="D38" s="39">
        <f>_xlfn.T.DIST(B34,B35, TRUE)</f>
        <v>0.86391840119782548</v>
      </c>
      <c r="E38" s="40"/>
    </row>
    <row r="39" spans="1:30" x14ac:dyDescent="0.25">
      <c r="A39" s="9"/>
      <c r="B39" s="10"/>
      <c r="C39" s="10"/>
      <c r="D39" s="41"/>
      <c r="E39" s="42"/>
    </row>
    <row r="41" spans="1:30" x14ac:dyDescent="0.25">
      <c r="A41" s="12" t="s">
        <v>45</v>
      </c>
      <c r="B41" s="18"/>
    </row>
    <row r="42" spans="1:30" x14ac:dyDescent="0.25">
      <c r="A42" s="2" t="s">
        <v>0</v>
      </c>
      <c r="B42">
        <v>0.05</v>
      </c>
    </row>
    <row r="43" spans="1:30" x14ac:dyDescent="0.25">
      <c r="A43" s="2" t="s">
        <v>4</v>
      </c>
      <c r="B43">
        <v>10.33</v>
      </c>
    </row>
    <row r="44" spans="1:30" x14ac:dyDescent="0.25">
      <c r="A44" s="2" t="s">
        <v>6</v>
      </c>
      <c r="B44">
        <v>10</v>
      </c>
    </row>
    <row r="45" spans="1:30" x14ac:dyDescent="0.25">
      <c r="S45" s="12" t="s">
        <v>64</v>
      </c>
      <c r="T45" s="18"/>
      <c r="U45" s="18"/>
      <c r="V45" s="18"/>
      <c r="W45" s="18"/>
      <c r="X45" s="18"/>
      <c r="Y45" s="18"/>
    </row>
    <row r="46" spans="1:30" x14ac:dyDescent="0.25">
      <c r="B46" s="3" t="s">
        <v>2</v>
      </c>
      <c r="C46" s="4"/>
      <c r="D46" s="4"/>
      <c r="E46" s="5"/>
    </row>
    <row r="47" spans="1:30" x14ac:dyDescent="0.25">
      <c r="B47" s="16" t="s">
        <v>3</v>
      </c>
      <c r="C47" s="7">
        <v>500</v>
      </c>
      <c r="D47" s="7"/>
      <c r="E47" s="8"/>
      <c r="T47" s="26" t="s">
        <v>50</v>
      </c>
    </row>
    <row r="48" spans="1:30" x14ac:dyDescent="0.25">
      <c r="B48" s="16"/>
      <c r="C48" s="7" t="s">
        <v>49</v>
      </c>
      <c r="D48" s="7"/>
      <c r="E48" s="8">
        <f>(-1)*_xlfn.NORM.S.INV(B42/2)</f>
        <v>1.9599639845400538</v>
      </c>
    </row>
    <row r="49" spans="2:20" x14ac:dyDescent="0.25">
      <c r="B49" s="6"/>
      <c r="C49" s="7" t="s">
        <v>47</v>
      </c>
      <c r="D49" s="7"/>
      <c r="E49" s="8">
        <f>B43-E48*(C47/SQRT(B44))</f>
        <v>-299.56751615228075</v>
      </c>
    </row>
    <row r="50" spans="2:20" x14ac:dyDescent="0.25">
      <c r="B50" s="9"/>
      <c r="C50" s="10" t="s">
        <v>48</v>
      </c>
      <c r="D50" s="10"/>
      <c r="E50" s="17">
        <f>B43+E48*(C47/SQRT(B44))</f>
        <v>320.22751615228071</v>
      </c>
    </row>
    <row r="52" spans="2:20" x14ac:dyDescent="0.25">
      <c r="B52" s="3" t="s">
        <v>8</v>
      </c>
      <c r="C52" s="4"/>
      <c r="D52" s="4"/>
      <c r="E52" s="5"/>
    </row>
    <row r="53" spans="2:20" x14ac:dyDescent="0.25">
      <c r="B53" s="16" t="s">
        <v>9</v>
      </c>
      <c r="C53" s="7">
        <v>3.25</v>
      </c>
      <c r="D53" s="7"/>
      <c r="E53" s="8"/>
    </row>
    <row r="54" spans="2:20" x14ac:dyDescent="0.25">
      <c r="B54" s="6"/>
      <c r="C54" s="7" t="s">
        <v>46</v>
      </c>
      <c r="D54" s="7"/>
      <c r="E54" s="8">
        <f>_xlfn.T.INV.2T(B42, B44-1)</f>
        <v>2.2621571627982053</v>
      </c>
    </row>
    <row r="55" spans="2:20" x14ac:dyDescent="0.25">
      <c r="B55" s="6"/>
      <c r="C55" s="7" t="s">
        <v>47</v>
      </c>
      <c r="D55" s="7"/>
      <c r="E55" s="8">
        <f>B43-E54*(C53/SQRT(B44))</f>
        <v>8.005090055595339</v>
      </c>
    </row>
    <row r="56" spans="2:20" x14ac:dyDescent="0.25">
      <c r="B56" s="9"/>
      <c r="C56" s="10" t="s">
        <v>48</v>
      </c>
      <c r="D56" s="10"/>
      <c r="E56" s="17">
        <f>B43+E54*(C53/SQRT(B44))</f>
        <v>12.654909944404661</v>
      </c>
    </row>
    <row r="58" spans="2:20" x14ac:dyDescent="0.25">
      <c r="T58" s="26" t="s">
        <v>51</v>
      </c>
    </row>
    <row r="67" spans="20:28" x14ac:dyDescent="0.25">
      <c r="T67" s="26" t="s">
        <v>57</v>
      </c>
    </row>
    <row r="71" spans="20:28" x14ac:dyDescent="0.25">
      <c r="Z71" s="2" t="s">
        <v>65</v>
      </c>
      <c r="AB71" t="s">
        <v>66</v>
      </c>
    </row>
    <row r="82" spans="20:21" x14ac:dyDescent="0.25">
      <c r="T82" s="26" t="s">
        <v>67</v>
      </c>
      <c r="U82" t="s">
        <v>61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2B082-92F2-4A54-90AE-BBC6D3A5D5A6}">
  <dimension ref="A1:AA66"/>
  <sheetViews>
    <sheetView topLeftCell="A7" zoomScale="114" zoomScaleNormal="153" workbookViewId="0">
      <selection activeCell="G34" sqref="G34"/>
    </sheetView>
  </sheetViews>
  <sheetFormatPr defaultRowHeight="15" x14ac:dyDescent="0.25"/>
  <cols>
    <col min="3" max="3" width="14.28515625" customWidth="1"/>
    <col min="4" max="4" width="11" customWidth="1"/>
    <col min="6" max="6" width="6.85546875" customWidth="1"/>
    <col min="7" max="7" width="11.7109375" customWidth="1"/>
    <col min="8" max="8" width="12" customWidth="1"/>
    <col min="9" max="9" width="12.42578125" customWidth="1"/>
    <col min="10" max="10" width="9.7109375" customWidth="1"/>
    <col min="12" max="12" width="10.28515625" customWidth="1"/>
    <col min="13" max="13" width="10.5703125" customWidth="1"/>
    <col min="18" max="18" width="11.140625" customWidth="1"/>
    <col min="19" max="19" width="10.7109375" customWidth="1"/>
    <col min="21" max="21" width="13.140625" bestFit="1" customWidth="1"/>
    <col min="22" max="22" width="9.5703125" customWidth="1"/>
  </cols>
  <sheetData>
    <row r="1" spans="1:27" x14ac:dyDescent="0.25">
      <c r="A1" s="13" t="s">
        <v>23</v>
      </c>
      <c r="B1" s="34"/>
      <c r="G1" s="12" t="s">
        <v>75</v>
      </c>
      <c r="H1" s="18"/>
      <c r="I1" s="18"/>
      <c r="L1" s="12" t="s">
        <v>44</v>
      </c>
      <c r="M1" s="18"/>
      <c r="N1" s="18"/>
      <c r="O1" s="18"/>
      <c r="P1" s="18"/>
      <c r="Q1" s="8"/>
      <c r="R1" s="12" t="s">
        <v>190</v>
      </c>
      <c r="S1" s="18"/>
      <c r="T1" s="18"/>
    </row>
    <row r="2" spans="1:27" ht="18" x14ac:dyDescent="0.35">
      <c r="A2" s="2" t="s">
        <v>0</v>
      </c>
      <c r="B2" s="15">
        <v>0.05</v>
      </c>
      <c r="C2" s="7"/>
      <c r="G2" s="2"/>
      <c r="I2" s="1"/>
      <c r="L2" s="2" t="s">
        <v>42</v>
      </c>
      <c r="M2">
        <v>10</v>
      </c>
      <c r="O2" s="14" t="s">
        <v>85</v>
      </c>
      <c r="Q2" s="8"/>
    </row>
    <row r="3" spans="1:27" ht="18" x14ac:dyDescent="0.35">
      <c r="A3" s="7"/>
      <c r="B3" s="24" t="s">
        <v>82</v>
      </c>
      <c r="C3" s="4" t="s">
        <v>18</v>
      </c>
      <c r="D3" s="37">
        <f>_xlfn.NORM.S.INV(B2)</f>
        <v>-1.6448536269514726</v>
      </c>
      <c r="G3" s="24" t="s">
        <v>24</v>
      </c>
      <c r="H3" s="4" t="s">
        <v>18</v>
      </c>
      <c r="I3" s="5" t="b">
        <f>D27&lt;D3</f>
        <v>0</v>
      </c>
      <c r="L3" s="2" t="s">
        <v>43</v>
      </c>
      <c r="M3">
        <v>39</v>
      </c>
      <c r="O3" t="b">
        <f>M4*N7&gt;10</f>
        <v>0</v>
      </c>
      <c r="P3" t="b">
        <f>M4*(1-N7)&gt;10</f>
        <v>1</v>
      </c>
      <c r="Q3" s="8"/>
    </row>
    <row r="4" spans="1:27" ht="18" x14ac:dyDescent="0.35">
      <c r="A4" s="7"/>
      <c r="B4" s="6"/>
      <c r="C4" s="7" t="s">
        <v>19</v>
      </c>
      <c r="D4" s="32">
        <f>_xlfn.NORM.S.INV(1-B2)</f>
        <v>1.6448536269514715</v>
      </c>
      <c r="G4" s="6"/>
      <c r="H4" s="7" t="s">
        <v>19</v>
      </c>
      <c r="I4" s="8" t="b">
        <f>D27&gt;D4</f>
        <v>1</v>
      </c>
      <c r="K4" s="7"/>
      <c r="L4" s="2" t="s">
        <v>30</v>
      </c>
      <c r="M4">
        <v>100</v>
      </c>
      <c r="O4" t="b">
        <f>M5*N8&gt;10</f>
        <v>1</v>
      </c>
      <c r="P4" t="b">
        <f>M5*(1-N8)&gt;10</f>
        <v>1</v>
      </c>
      <c r="Q4" s="8"/>
    </row>
    <row r="5" spans="1:27" ht="18" x14ac:dyDescent="0.35">
      <c r="A5" s="7"/>
      <c r="B5" s="6"/>
      <c r="C5" s="7" t="s">
        <v>20</v>
      </c>
      <c r="D5" s="32">
        <f>_xlfn.NORM.S.INV(B2/2)</f>
        <v>-1.9599639845400538</v>
      </c>
      <c r="G5" s="9"/>
      <c r="H5" s="10" t="s">
        <v>20</v>
      </c>
      <c r="I5" s="11" t="b">
        <f>OR(D27&lt;-D5,D37&gt;D5)</f>
        <v>1</v>
      </c>
      <c r="K5" s="7"/>
      <c r="L5" s="2" t="s">
        <v>31</v>
      </c>
      <c r="M5">
        <v>260</v>
      </c>
      <c r="O5" s="2"/>
      <c r="Q5" s="8"/>
      <c r="R5" s="12" t="s">
        <v>91</v>
      </c>
      <c r="S5" s="18"/>
    </row>
    <row r="6" spans="1:27" ht="18" x14ac:dyDescent="0.35">
      <c r="A6" s="7"/>
      <c r="B6" s="9"/>
      <c r="C6" s="10"/>
      <c r="D6" s="11"/>
      <c r="H6" s="14" t="s">
        <v>11</v>
      </c>
      <c r="K6" s="7"/>
      <c r="L6" s="2" t="s">
        <v>86</v>
      </c>
      <c r="M6">
        <v>0</v>
      </c>
      <c r="Q6" s="8"/>
      <c r="R6" s="2" t="s">
        <v>0</v>
      </c>
      <c r="S6">
        <v>0.1</v>
      </c>
    </row>
    <row r="7" spans="1:27" ht="18" x14ac:dyDescent="0.35">
      <c r="H7" s="1"/>
      <c r="K7" s="7"/>
      <c r="M7" s="25" t="s">
        <v>41</v>
      </c>
      <c r="N7">
        <f>M2/M4</f>
        <v>0.1</v>
      </c>
      <c r="Q7" s="8"/>
      <c r="R7" s="24" t="s">
        <v>100</v>
      </c>
      <c r="S7" s="4" t="s">
        <v>18</v>
      </c>
      <c r="T7" s="4">
        <f>_xlfn.F.INV(S6,S11-1,S12-1)</f>
        <v>0.36701588304839539</v>
      </c>
      <c r="U7" s="5"/>
    </row>
    <row r="8" spans="1:27" ht="18" x14ac:dyDescent="0.35">
      <c r="B8" s="24" t="s">
        <v>83</v>
      </c>
      <c r="C8" s="24" t="s">
        <v>74</v>
      </c>
      <c r="D8" s="4" t="s">
        <v>18</v>
      </c>
      <c r="E8" s="37">
        <f>_xlfn.T.INV(B2,D32)</f>
        <v>-1.7458836762762506</v>
      </c>
      <c r="G8" s="24" t="s">
        <v>74</v>
      </c>
      <c r="H8" s="4" t="s">
        <v>18</v>
      </c>
      <c r="I8" s="5" t="b">
        <f>D34&lt;E8</f>
        <v>0</v>
      </c>
      <c r="M8" s="25" t="s">
        <v>40</v>
      </c>
      <c r="N8">
        <f>M3/M5</f>
        <v>0.15</v>
      </c>
      <c r="Q8" s="8"/>
      <c r="R8" s="6" t="s">
        <v>101</v>
      </c>
      <c r="S8" s="7" t="s">
        <v>19</v>
      </c>
      <c r="T8" s="7">
        <f>_xlfn.F.INV.RT(S6,S11-1,S12-1)</f>
        <v>2.5053132015549866</v>
      </c>
      <c r="U8" s="8"/>
    </row>
    <row r="9" spans="1:27" ht="18" x14ac:dyDescent="0.35">
      <c r="B9" s="6"/>
      <c r="C9" s="6"/>
      <c r="D9" s="7" t="s">
        <v>19</v>
      </c>
      <c r="E9" s="32">
        <f>_xlfn.T.INV(1-B2,D32)</f>
        <v>1.7458836762762506</v>
      </c>
      <c r="G9" s="6"/>
      <c r="H9" s="7" t="s">
        <v>19</v>
      </c>
      <c r="I9" s="8" t="b">
        <f>D34&gt;E9</f>
        <v>1</v>
      </c>
      <c r="M9" t="s">
        <v>39</v>
      </c>
      <c r="N9">
        <f>(M2+M3)/(M4+M5)</f>
        <v>0.1361111111111111</v>
      </c>
      <c r="Q9" s="8"/>
      <c r="R9" s="9" t="s">
        <v>102</v>
      </c>
      <c r="S9" s="10" t="s">
        <v>20</v>
      </c>
      <c r="T9" s="22">
        <f>_xlfn.F.INV(S6/2,S11-1,S12-1)</f>
        <v>0.2719848999119876</v>
      </c>
      <c r="U9" s="17">
        <f>_xlfn.F.INV(1-S6/2,S11-1,S12-1)</f>
        <v>3.2927458389171202</v>
      </c>
    </row>
    <row r="10" spans="1:27" x14ac:dyDescent="0.25">
      <c r="B10" s="6"/>
      <c r="C10" s="9"/>
      <c r="D10" s="10" t="s">
        <v>20</v>
      </c>
      <c r="E10" s="17">
        <f>_xlfn.T.INV.2T(B2,D32)</f>
        <v>2.119905299221255</v>
      </c>
      <c r="G10" s="9"/>
      <c r="H10" s="10" t="s">
        <v>20</v>
      </c>
      <c r="I10" s="11" t="b">
        <f>OR(D34&lt;-E10,D34&gt;E10)</f>
        <v>1</v>
      </c>
      <c r="M10" t="s">
        <v>7</v>
      </c>
      <c r="N10" s="1">
        <f>(N7-N8)/SQRT(N9*(1-N9)*(1/M4+1/M5))</f>
        <v>-1.239166585927405</v>
      </c>
      <c r="O10" s="44">
        <f>(ABS(N7-N8)-M6)/SQRT((N7*(1-N7)/M4)+(N8*(1-N8)/M5))</f>
        <v>1.3409189475094176</v>
      </c>
      <c r="P10" s="43" t="s">
        <v>87</v>
      </c>
      <c r="Q10" s="8"/>
      <c r="R10" s="12" t="s">
        <v>90</v>
      </c>
      <c r="S10" s="18"/>
      <c r="U10" s="12" t="s">
        <v>99</v>
      </c>
      <c r="V10" s="18"/>
    </row>
    <row r="11" spans="1:27" x14ac:dyDescent="0.25">
      <c r="B11" s="6"/>
      <c r="C11" s="6" t="s">
        <v>73</v>
      </c>
      <c r="D11" s="7" t="s">
        <v>18</v>
      </c>
      <c r="E11" s="32">
        <f>_xlfn.T.INV(B2,D39)</f>
        <v>-1.7530503556925723</v>
      </c>
      <c r="G11" s="24" t="s">
        <v>73</v>
      </c>
      <c r="H11" s="4" t="s">
        <v>18</v>
      </c>
      <c r="I11" s="5" t="b">
        <f>D40&lt;E11</f>
        <v>0</v>
      </c>
      <c r="Q11" s="8"/>
      <c r="R11" s="2" t="s">
        <v>92</v>
      </c>
      <c r="S11">
        <v>8</v>
      </c>
      <c r="U11" t="s">
        <v>18</v>
      </c>
      <c r="V11" t="b">
        <f>S19&lt;T7</f>
        <v>0</v>
      </c>
    </row>
    <row r="12" spans="1:27" x14ac:dyDescent="0.25">
      <c r="B12" s="6"/>
      <c r="C12" s="6"/>
      <c r="D12" s="7" t="s">
        <v>19</v>
      </c>
      <c r="E12" s="32">
        <f>_xlfn.T.INV(1-B2,D39)</f>
        <v>1.7530503556925723</v>
      </c>
      <c r="G12" s="6"/>
      <c r="H12" s="7" t="s">
        <v>19</v>
      </c>
      <c r="I12" s="8" t="b">
        <f>D40&gt;E12</f>
        <v>1</v>
      </c>
      <c r="L12" s="18" t="s">
        <v>78</v>
      </c>
      <c r="M12" s="18"/>
      <c r="N12" s="18"/>
      <c r="Q12" s="8"/>
      <c r="R12" s="2" t="s">
        <v>93</v>
      </c>
      <c r="S12">
        <v>10</v>
      </c>
      <c r="U12" t="s">
        <v>19</v>
      </c>
      <c r="V12" t="b">
        <f>S19&gt;T8</f>
        <v>1</v>
      </c>
    </row>
    <row r="13" spans="1:27" x14ac:dyDescent="0.25">
      <c r="B13" s="9"/>
      <c r="C13" s="9"/>
      <c r="D13" s="10" t="s">
        <v>20</v>
      </c>
      <c r="E13" s="17">
        <f>_xlfn.T.INV.2T(B2,D39)</f>
        <v>2.1314495455597742</v>
      </c>
      <c r="G13" s="9"/>
      <c r="H13" s="10" t="s">
        <v>20</v>
      </c>
      <c r="I13" s="11" t="b">
        <f>OR(D40&lt;-E13,D40&gt;E13)</f>
        <v>1</v>
      </c>
      <c r="L13" s="2" t="s">
        <v>79</v>
      </c>
      <c r="M13">
        <v>7</v>
      </c>
      <c r="Q13" s="8"/>
      <c r="R13" s="2" t="s">
        <v>94</v>
      </c>
      <c r="S13">
        <v>22.3</v>
      </c>
      <c r="U13" t="s">
        <v>20</v>
      </c>
      <c r="V13" t="b">
        <f>OR(S19&lt;T9,S19&gt;U9)</f>
        <v>1</v>
      </c>
    </row>
    <row r="14" spans="1:27" x14ac:dyDescent="0.25">
      <c r="L14" s="2" t="s">
        <v>80</v>
      </c>
      <c r="M14">
        <v>0.82899999999999996</v>
      </c>
      <c r="N14" t="s">
        <v>191</v>
      </c>
      <c r="Q14" s="8"/>
      <c r="R14" s="2" t="s">
        <v>95</v>
      </c>
      <c r="S14">
        <v>17.3</v>
      </c>
    </row>
    <row r="15" spans="1:27" ht="18" x14ac:dyDescent="0.35">
      <c r="L15" s="2" t="s">
        <v>81</v>
      </c>
      <c r="M15">
        <v>1.7549999999999999</v>
      </c>
      <c r="N15" t="s">
        <v>192</v>
      </c>
      <c r="Q15" s="8"/>
      <c r="R15" s="2" t="s">
        <v>103</v>
      </c>
      <c r="S15">
        <v>36</v>
      </c>
      <c r="X15" s="18"/>
      <c r="Y15" s="12" t="s">
        <v>105</v>
      </c>
      <c r="Z15" s="18"/>
      <c r="AA15" s="18"/>
    </row>
    <row r="16" spans="1:27" ht="18" x14ac:dyDescent="0.35">
      <c r="F16" s="12" t="s">
        <v>10</v>
      </c>
      <c r="J16" s="2" t="s">
        <v>77</v>
      </c>
      <c r="N16" s="2"/>
      <c r="Q16" s="8"/>
      <c r="R16" s="2" t="s">
        <v>104</v>
      </c>
      <c r="S16">
        <v>16</v>
      </c>
    </row>
    <row r="17" spans="1:22" x14ac:dyDescent="0.25">
      <c r="A17" s="12" t="s">
        <v>1</v>
      </c>
      <c r="B17" s="18"/>
      <c r="F17" s="24" t="s">
        <v>7</v>
      </c>
      <c r="G17" s="4"/>
      <c r="H17" s="4" t="s">
        <v>18</v>
      </c>
      <c r="I17" s="5"/>
      <c r="J17" t="b">
        <f>I17&lt;$B$2</f>
        <v>1</v>
      </c>
      <c r="M17" s="2" t="s">
        <v>83</v>
      </c>
      <c r="N17" s="2" t="s">
        <v>16</v>
      </c>
      <c r="O17" s="2" t="s">
        <v>10</v>
      </c>
      <c r="P17" s="2" t="s">
        <v>77</v>
      </c>
      <c r="Q17" s="8"/>
      <c r="S17" s="7"/>
      <c r="T17" s="21"/>
      <c r="U17" s="7"/>
      <c r="V17" s="29"/>
    </row>
    <row r="18" spans="1:22" x14ac:dyDescent="0.25">
      <c r="A18" s="2" t="s">
        <v>28</v>
      </c>
      <c r="B18">
        <v>38</v>
      </c>
      <c r="F18" s="6"/>
      <c r="G18" s="7"/>
      <c r="H18" s="7" t="s">
        <v>19</v>
      </c>
      <c r="I18" s="8"/>
      <c r="J18" t="b">
        <f t="shared" ref="J18:J25" si="0">I18&lt;$B$2</f>
        <v>1</v>
      </c>
      <c r="L18" t="s">
        <v>18</v>
      </c>
      <c r="M18" s="1">
        <f>_xlfn.T.INV(B2,M13-1)</f>
        <v>-1.9431802805153031</v>
      </c>
      <c r="N18" s="75">
        <f>M14/(M15/SQRT(M13))</f>
        <v>1.2497594512094279</v>
      </c>
      <c r="O18" s="1">
        <f>_xlfn.T.DIST(N18,M13-1,TRUE)</f>
        <v>0.8710371457086743</v>
      </c>
      <c r="P18" t="b">
        <f>N18&lt;M18</f>
        <v>0</v>
      </c>
      <c r="Q18" s="8"/>
      <c r="S18" s="7"/>
      <c r="T18" s="21"/>
      <c r="U18" s="7"/>
    </row>
    <row r="19" spans="1:22" x14ac:dyDescent="0.25">
      <c r="A19" s="2" t="s">
        <v>29</v>
      </c>
      <c r="B19">
        <v>29</v>
      </c>
      <c r="F19" s="9"/>
      <c r="G19" s="10"/>
      <c r="H19" s="10" t="s">
        <v>20</v>
      </c>
      <c r="I19" s="11"/>
      <c r="J19" t="b">
        <f t="shared" si="0"/>
        <v>1</v>
      </c>
      <c r="L19" t="s">
        <v>19</v>
      </c>
      <c r="M19" s="1">
        <f>-_xlfn.T.INV(B2,M13-1)</f>
        <v>1.9431802805153031</v>
      </c>
      <c r="N19" s="1">
        <f>M14/(M15/SQRT(M13))</f>
        <v>1.2497594512094279</v>
      </c>
      <c r="O19" s="1">
        <f>_xlfn.T.DIST.RT(N19,M13-1)</f>
        <v>0.1289628542913257</v>
      </c>
      <c r="P19" t="b">
        <f>O19&lt;B2</f>
        <v>0</v>
      </c>
      <c r="Q19" s="8" t="b">
        <f>N19&gt;M19</f>
        <v>0</v>
      </c>
      <c r="R19" t="s">
        <v>96</v>
      </c>
      <c r="S19" s="21">
        <f>S15^2/S16^2</f>
        <v>5.0625</v>
      </c>
      <c r="T19" s="7"/>
      <c r="U19" s="7"/>
      <c r="V19" s="7"/>
    </row>
    <row r="20" spans="1:22" ht="18" x14ac:dyDescent="0.35">
      <c r="A20" s="2" t="s">
        <v>30</v>
      </c>
      <c r="B20">
        <v>8</v>
      </c>
      <c r="F20" s="24" t="s">
        <v>16</v>
      </c>
      <c r="G20" s="24" t="s">
        <v>74</v>
      </c>
      <c r="H20" s="4" t="s">
        <v>18</v>
      </c>
      <c r="I20" s="5">
        <f>_xlfn.T.DIST(D34,D32,TRUE)</f>
        <v>0.99923627829078876</v>
      </c>
      <c r="J20" t="b">
        <f t="shared" si="0"/>
        <v>0</v>
      </c>
      <c r="L20" t="s">
        <v>20</v>
      </c>
      <c r="M20" s="1">
        <f>-_xlfn.T.INV.2T(B2,M13-1)</f>
        <v>-2.4469118511449697</v>
      </c>
      <c r="N20">
        <f>M14/(M15/SQRT(M13))</f>
        <v>1.2497594512094279</v>
      </c>
      <c r="O20" s="1" t="e">
        <f>_xlfn.T.DIST.2T(-N20,M13-1)</f>
        <v>#NUM!</v>
      </c>
      <c r="P20" t="b">
        <f>OR(N20&lt;M20,N20&gt;-M20)</f>
        <v>0</v>
      </c>
      <c r="Q20" s="8"/>
      <c r="R20" t="s">
        <v>188</v>
      </c>
      <c r="S20" s="7">
        <f>MAX(S15:S16)^2/MIN(S15:S16)^2</f>
        <v>5.0625</v>
      </c>
      <c r="T20" s="7"/>
      <c r="U20" s="7"/>
      <c r="V20" s="7"/>
    </row>
    <row r="21" spans="1:22" ht="18" x14ac:dyDescent="0.35">
      <c r="A21" s="2" t="s">
        <v>31</v>
      </c>
      <c r="B21">
        <v>10</v>
      </c>
      <c r="F21" s="6"/>
      <c r="G21" s="6"/>
      <c r="H21" s="7" t="s">
        <v>19</v>
      </c>
      <c r="I21" s="32">
        <f>_xlfn.T.DIST.RT(D34,D32)</f>
        <v>7.6372170921128668E-4</v>
      </c>
      <c r="J21" t="b">
        <f t="shared" si="0"/>
        <v>1</v>
      </c>
      <c r="Q21" s="8"/>
    </row>
    <row r="22" spans="1:22" x14ac:dyDescent="0.25">
      <c r="F22" s="6"/>
      <c r="G22" s="9"/>
      <c r="H22" s="10" t="s">
        <v>20</v>
      </c>
      <c r="I22" s="17">
        <f>_xlfn.T.DIST.2T(ABS(D34),D32)</f>
        <v>1.5274434184225734E-3</v>
      </c>
      <c r="J22" t="b">
        <f t="shared" si="0"/>
        <v>1</v>
      </c>
      <c r="Q22" s="8"/>
      <c r="R22" s="12" t="s">
        <v>10</v>
      </c>
      <c r="U22" s="2" t="s">
        <v>77</v>
      </c>
    </row>
    <row r="23" spans="1:22" x14ac:dyDescent="0.25">
      <c r="B23" s="3" t="s">
        <v>2</v>
      </c>
      <c r="C23" s="4"/>
      <c r="D23" s="5"/>
      <c r="F23" s="6"/>
      <c r="G23" s="6" t="s">
        <v>73</v>
      </c>
      <c r="H23" s="7" t="s">
        <v>18</v>
      </c>
      <c r="I23" s="32">
        <f>_xlfn.T.DIST(D40,D39,TRUE)</f>
        <v>0.99999937510379944</v>
      </c>
      <c r="J23" t="b">
        <f t="shared" si="0"/>
        <v>0</v>
      </c>
      <c r="Q23" s="8"/>
    </row>
    <row r="24" spans="1:22" x14ac:dyDescent="0.25">
      <c r="B24" s="16" t="s">
        <v>32</v>
      </c>
      <c r="C24" s="7">
        <v>9</v>
      </c>
      <c r="D24" s="8"/>
      <c r="F24" s="6"/>
      <c r="G24" s="6"/>
      <c r="H24" s="7" t="s">
        <v>19</v>
      </c>
      <c r="I24" s="32">
        <f>_xlfn.T.DIST.RT(D40,D39)</f>
        <v>6.2489620056275834E-7</v>
      </c>
      <c r="J24" t="b">
        <f t="shared" si="0"/>
        <v>1</v>
      </c>
      <c r="Q24" s="8"/>
      <c r="R24" t="s">
        <v>20</v>
      </c>
      <c r="S24" t="s">
        <v>97</v>
      </c>
      <c r="T24">
        <f>2*_xlfn.F.DIST.RT(S19,S11-1,S12-1)</f>
        <v>2.796697080596254E-2</v>
      </c>
      <c r="U24" t="b">
        <f>T24&lt;S6</f>
        <v>1</v>
      </c>
    </row>
    <row r="25" spans="1:22" x14ac:dyDescent="0.25">
      <c r="B25" s="16" t="s">
        <v>33</v>
      </c>
      <c r="C25" s="7">
        <v>9</v>
      </c>
      <c r="D25" s="8"/>
      <c r="F25" s="9"/>
      <c r="G25" s="9"/>
      <c r="H25" s="10" t="s">
        <v>20</v>
      </c>
      <c r="I25" s="17" t="e">
        <f>_xlfn.T.DIST.2T(-D40,D39)</f>
        <v>#NUM!</v>
      </c>
      <c r="J25" t="e">
        <f t="shared" si="0"/>
        <v>#NUM!</v>
      </c>
      <c r="Q25" s="8"/>
      <c r="S25" t="s">
        <v>98</v>
      </c>
      <c r="T25">
        <f>2*_xlfn.F.DIST(S19,S11-1,S12-1,TRUE)</f>
        <v>1.9720330291940376</v>
      </c>
      <c r="U25" t="b">
        <f>T25&lt;S6</f>
        <v>0</v>
      </c>
    </row>
    <row r="26" spans="1:22" x14ac:dyDescent="0.25">
      <c r="B26" s="6"/>
      <c r="C26" s="7"/>
      <c r="D26" s="8"/>
      <c r="Q26" s="8"/>
    </row>
    <row r="27" spans="1:22" x14ac:dyDescent="0.25">
      <c r="B27" s="9"/>
      <c r="C27" s="10" t="s">
        <v>7</v>
      </c>
      <c r="D27" s="11">
        <f>(B18-B19)/SQRT((POWER(C24,2)/B20)+(POWER(C25, 2)/B21))</f>
        <v>2.1081851067789192</v>
      </c>
      <c r="Q27" s="8"/>
    </row>
    <row r="28" spans="1:22" x14ac:dyDescent="0.25">
      <c r="Q28" s="8"/>
    </row>
    <row r="29" spans="1:22" x14ac:dyDescent="0.25">
      <c r="B29" s="3" t="s">
        <v>34</v>
      </c>
      <c r="C29" s="4"/>
      <c r="D29" s="4"/>
      <c r="E29" s="5"/>
      <c r="F29" s="7"/>
      <c r="G29" s="7"/>
      <c r="Q29" s="8"/>
    </row>
    <row r="30" spans="1:22" x14ac:dyDescent="0.25">
      <c r="B30" s="16" t="s">
        <v>35</v>
      </c>
      <c r="C30" s="7">
        <f>SQRT(36)</f>
        <v>6</v>
      </c>
      <c r="D30" s="7"/>
      <c r="E30" s="8"/>
      <c r="F30" s="7"/>
      <c r="G30" s="7"/>
    </row>
    <row r="31" spans="1:22" x14ac:dyDescent="0.25">
      <c r="B31" s="16" t="s">
        <v>36</v>
      </c>
      <c r="C31" s="7">
        <v>4</v>
      </c>
      <c r="D31" s="7"/>
      <c r="E31" s="8"/>
      <c r="F31" s="7"/>
      <c r="G31" s="7"/>
    </row>
    <row r="32" spans="1:22" x14ac:dyDescent="0.25">
      <c r="B32" s="16"/>
      <c r="C32" t="s">
        <v>17</v>
      </c>
      <c r="D32">
        <f>B20+B21-2</f>
        <v>16</v>
      </c>
      <c r="E32" s="8"/>
      <c r="F32" s="7"/>
      <c r="G32" s="7"/>
    </row>
    <row r="33" spans="1:7" ht="18" x14ac:dyDescent="0.35">
      <c r="B33" s="6"/>
      <c r="C33" s="7" t="s">
        <v>37</v>
      </c>
      <c r="D33" s="21">
        <f>((B20-1)*C30^2 + (B21-1)*(C31^2))/(B20+B21-2)</f>
        <v>24.75</v>
      </c>
      <c r="E33" s="8"/>
      <c r="F33" s="7"/>
      <c r="G33" s="7"/>
    </row>
    <row r="34" spans="1:7" x14ac:dyDescent="0.25">
      <c r="B34" s="9"/>
      <c r="C34" s="10" t="s">
        <v>16</v>
      </c>
      <c r="D34" s="22">
        <f>(B18-B19)/SQRT(D33/B20+D33/B21)</f>
        <v>3.8138503569823694</v>
      </c>
      <c r="E34" s="11"/>
      <c r="F34" s="7"/>
      <c r="G34" s="7"/>
    </row>
    <row r="35" spans="1:7" x14ac:dyDescent="0.25">
      <c r="F35" s="7"/>
      <c r="G35" s="7"/>
    </row>
    <row r="36" spans="1:7" x14ac:dyDescent="0.25">
      <c r="B36" s="3" t="s">
        <v>38</v>
      </c>
      <c r="C36" s="4"/>
      <c r="D36" s="4"/>
      <c r="E36" s="5"/>
      <c r="F36" s="7"/>
      <c r="G36" s="7"/>
    </row>
    <row r="37" spans="1:7" x14ac:dyDescent="0.25">
      <c r="B37" s="16" t="s">
        <v>35</v>
      </c>
      <c r="C37" s="7">
        <v>2.4</v>
      </c>
      <c r="D37" s="7"/>
      <c r="E37" s="8"/>
      <c r="F37" s="7"/>
      <c r="G37" s="7"/>
    </row>
    <row r="38" spans="1:7" x14ac:dyDescent="0.25">
      <c r="B38" s="16" t="s">
        <v>36</v>
      </c>
      <c r="C38" s="7">
        <v>2.5</v>
      </c>
      <c r="D38" s="7"/>
      <c r="E38" s="8"/>
      <c r="F38" s="7"/>
      <c r="G38" s="7"/>
    </row>
    <row r="39" spans="1:7" x14ac:dyDescent="0.25">
      <c r="B39" s="6"/>
      <c r="C39" t="s">
        <v>17</v>
      </c>
      <c r="D39" s="36">
        <f>(((C37^2/B20)+(C38^2/B21))^2)/((C37^2/B20)^2/(B20-1)+(C38^2/B21)^2/(B21-1))</f>
        <v>15.401210814901402</v>
      </c>
      <c r="E39" s="8"/>
      <c r="F39" s="7"/>
    </row>
    <row r="40" spans="1:7" x14ac:dyDescent="0.25">
      <c r="B40" s="9"/>
      <c r="C40" s="10" t="s">
        <v>16</v>
      </c>
      <c r="D40" s="22">
        <f>(B18-B19)/SQRT(POWER(C37,2)/B20+POWER(C38,2)/B21)</f>
        <v>7.7603510440660832</v>
      </c>
      <c r="E40" s="11"/>
      <c r="F40" s="7"/>
      <c r="G40" s="7"/>
    </row>
    <row r="42" spans="1:7" x14ac:dyDescent="0.25">
      <c r="A42" s="12" t="s">
        <v>45</v>
      </c>
      <c r="B42" s="18"/>
    </row>
    <row r="43" spans="1:7" x14ac:dyDescent="0.25">
      <c r="A43" s="2" t="s">
        <v>0</v>
      </c>
      <c r="B43">
        <f>B2</f>
        <v>0.05</v>
      </c>
    </row>
    <row r="45" spans="1:7" x14ac:dyDescent="0.25">
      <c r="B45" s="3" t="s">
        <v>2</v>
      </c>
      <c r="C45" s="4"/>
      <c r="D45" s="5"/>
    </row>
    <row r="46" spans="1:7" x14ac:dyDescent="0.25">
      <c r="B46" s="16"/>
      <c r="C46" s="7" t="s">
        <v>89</v>
      </c>
      <c r="D46" s="32">
        <f>(-1)*_xlfn.NORM.S.INV(B43/2)</f>
        <v>1.9599639845400538</v>
      </c>
    </row>
    <row r="47" spans="1:7" x14ac:dyDescent="0.25">
      <c r="B47" s="16"/>
      <c r="C47" s="7" t="s">
        <v>68</v>
      </c>
      <c r="D47" s="32">
        <f>(B18-B19)+D46*SQRT(POWER(C24, 2)/B20 + POWER(C25, 2)/B21)</f>
        <v>17.367232936111581</v>
      </c>
    </row>
    <row r="48" spans="1:7" x14ac:dyDescent="0.25">
      <c r="B48" s="30"/>
      <c r="C48" s="10" t="s">
        <v>69</v>
      </c>
      <c r="D48" s="17">
        <f>(B18-B19)-D46*SQRT(POWER(C24, 2)/B20 + POWER(C25, 2)/B21)</f>
        <v>0.6327670638884193</v>
      </c>
    </row>
    <row r="50" spans="1:7" x14ac:dyDescent="0.25">
      <c r="A50" s="33">
        <f>1-B43</f>
        <v>0.95</v>
      </c>
      <c r="B50" t="s">
        <v>71</v>
      </c>
      <c r="D50" s="1">
        <f>D47</f>
        <v>17.367232936111581</v>
      </c>
      <c r="E50" t="s">
        <v>70</v>
      </c>
      <c r="G50" s="1">
        <f>D48</f>
        <v>0.6327670638884193</v>
      </c>
    </row>
    <row r="51" spans="1:7" x14ac:dyDescent="0.25">
      <c r="A51" t="s">
        <v>72</v>
      </c>
      <c r="B51" t="b">
        <f>(D50*G50) &gt; 0</f>
        <v>1</v>
      </c>
    </row>
    <row r="52" spans="1:7" x14ac:dyDescent="0.25">
      <c r="F52" s="2" t="s">
        <v>77</v>
      </c>
    </row>
    <row r="53" spans="1:7" x14ac:dyDescent="0.25">
      <c r="B53" s="3" t="s">
        <v>34</v>
      </c>
      <c r="C53" s="4"/>
      <c r="D53" s="4"/>
      <c r="E53" s="5"/>
    </row>
    <row r="54" spans="1:7" x14ac:dyDescent="0.25">
      <c r="B54" s="6"/>
      <c r="C54" s="7" t="s">
        <v>76</v>
      </c>
      <c r="D54" s="21">
        <f>_xlfn.T.INV(B43/2, D32)</f>
        <v>-2.119905299221255</v>
      </c>
      <c r="E54" s="8"/>
    </row>
    <row r="55" spans="1:7" x14ac:dyDescent="0.25">
      <c r="B55" s="6"/>
      <c r="C55" s="7" t="s">
        <v>68</v>
      </c>
      <c r="D55" s="35">
        <f>(B18-B19)+D54*SQRT(D33)*SQRT(1/B20+1/B21)</f>
        <v>3.9974052710113988</v>
      </c>
      <c r="E55" s="8"/>
      <c r="F55" t="b">
        <f>(D55*D56)&gt;0</f>
        <v>1</v>
      </c>
    </row>
    <row r="56" spans="1:7" x14ac:dyDescent="0.25">
      <c r="B56" s="9"/>
      <c r="C56" s="10" t="s">
        <v>69</v>
      </c>
      <c r="D56" s="38">
        <f>(B18-B19)-D54*SQRT(D33)*SQRT(1/B20+1/B21)</f>
        <v>14.002594728988601</v>
      </c>
      <c r="E56" s="11"/>
    </row>
    <row r="58" spans="1:7" x14ac:dyDescent="0.25">
      <c r="B58" s="3" t="s">
        <v>38</v>
      </c>
      <c r="C58" s="4"/>
      <c r="D58" s="4"/>
      <c r="E58" s="5"/>
    </row>
    <row r="59" spans="1:7" x14ac:dyDescent="0.25">
      <c r="B59" s="6"/>
      <c r="C59" s="7" t="s">
        <v>76</v>
      </c>
      <c r="D59" s="21">
        <f>_xlfn.T.INV(B43/2, D39)</f>
        <v>-2.1314495455597742</v>
      </c>
      <c r="E59" s="8"/>
    </row>
    <row r="60" spans="1:7" x14ac:dyDescent="0.25">
      <c r="B60" s="6"/>
      <c r="C60" s="7" t="s">
        <v>68</v>
      </c>
      <c r="D60" s="35">
        <f>(B18-B19)+D59*SQRT(C37^2/B20+C38^2/B21)</f>
        <v>6.5280698255646321</v>
      </c>
      <c r="E60" s="8"/>
      <c r="F60" t="b">
        <f>(D60*D61)&gt;0</f>
        <v>1</v>
      </c>
    </row>
    <row r="61" spans="1:7" x14ac:dyDescent="0.25">
      <c r="B61" s="9"/>
      <c r="C61" s="10" t="s">
        <v>69</v>
      </c>
      <c r="D61" s="38">
        <f>(B18-B19)-D59*SQRT(C37^2/B20+C38^2/B21)</f>
        <v>11.471930174435368</v>
      </c>
      <c r="E61" s="11"/>
    </row>
    <row r="63" spans="1:7" x14ac:dyDescent="0.25">
      <c r="B63" s="3" t="s">
        <v>88</v>
      </c>
      <c r="C63" s="4"/>
      <c r="D63" s="5"/>
    </row>
    <row r="64" spans="1:7" x14ac:dyDescent="0.25">
      <c r="B64" s="6"/>
      <c r="C64" s="7" t="s">
        <v>89</v>
      </c>
      <c r="D64" s="32">
        <f>(-1)*_xlfn.NORM.S.INV(B43/2)</f>
        <v>1.9599639845400538</v>
      </c>
    </row>
    <row r="65" spans="2:6" x14ac:dyDescent="0.25">
      <c r="B65" s="6"/>
      <c r="C65" s="7" t="s">
        <v>68</v>
      </c>
      <c r="D65" s="32">
        <f>(N7-N8)-D64*SQRT((N7*(1-N7)/M4)+(N8*(1-N8)/M5))</f>
        <v>-0.12308286560423473</v>
      </c>
      <c r="F65" t="b">
        <f>D65*D66&gt;0</f>
        <v>0</v>
      </c>
    </row>
    <row r="66" spans="2:6" x14ac:dyDescent="0.25">
      <c r="B66" s="9"/>
      <c r="C66" s="10" t="s">
        <v>69</v>
      </c>
      <c r="D66" s="17">
        <f>(N7-N8)+D64*SQRT((N7*(1-N7)/M4)+(N8*(1-N8)/M5))</f>
        <v>2.3082865604234754E-2</v>
      </c>
    </row>
  </sheetData>
  <pageMargins left="0.7" right="0.7" top="0.75" bottom="0.75" header="0.3" footer="0.3"/>
  <pageSetup orientation="portrait" r:id="rId1"/>
  <ignoredErrors>
    <ignoredError sqref="S20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7653-C082-4473-92AB-36251D861998}">
  <dimension ref="A1:F34"/>
  <sheetViews>
    <sheetView topLeftCell="A7" zoomScale="115" zoomScaleNormal="115" workbookViewId="0">
      <selection activeCell="C38" sqref="C38"/>
    </sheetView>
  </sheetViews>
  <sheetFormatPr defaultRowHeight="15" x14ac:dyDescent="0.25"/>
  <cols>
    <col min="2" max="2" width="9.85546875" customWidth="1"/>
  </cols>
  <sheetData>
    <row r="1" spans="1:5" x14ac:dyDescent="0.25">
      <c r="A1" s="12" t="s">
        <v>114</v>
      </c>
      <c r="B1" s="12"/>
      <c r="C1" s="12"/>
      <c r="D1" s="12"/>
      <c r="E1" s="12"/>
    </row>
    <row r="2" spans="1:5" x14ac:dyDescent="0.25">
      <c r="A2" t="s">
        <v>6</v>
      </c>
      <c r="B2">
        <v>4</v>
      </c>
    </row>
    <row r="3" spans="1:5" x14ac:dyDescent="0.25">
      <c r="A3" t="s">
        <v>115</v>
      </c>
      <c r="B3">
        <v>2.75</v>
      </c>
    </row>
    <row r="4" spans="1:5" x14ac:dyDescent="0.25">
      <c r="A4" t="s">
        <v>3</v>
      </c>
      <c r="B4">
        <v>4.3999999999999997E-2</v>
      </c>
    </row>
    <row r="5" spans="1:5" x14ac:dyDescent="0.25">
      <c r="B5" s="24" t="s">
        <v>106</v>
      </c>
      <c r="C5" s="5">
        <f>B3+3*(B4/SQRT(B2))</f>
        <v>2.8159999999999998</v>
      </c>
    </row>
    <row r="6" spans="1:5" x14ac:dyDescent="0.25">
      <c r="B6" s="9" t="s">
        <v>107</v>
      </c>
      <c r="C6" s="11">
        <f>B3-3*(B4/SQRT(B2))</f>
        <v>2.6840000000000002</v>
      </c>
    </row>
    <row r="8" spans="1:5" x14ac:dyDescent="0.25">
      <c r="A8" s="12" t="s">
        <v>189</v>
      </c>
      <c r="B8" s="18"/>
      <c r="C8" s="18"/>
      <c r="D8" s="18"/>
    </row>
    <row r="9" spans="1:5" x14ac:dyDescent="0.25">
      <c r="A9" t="s">
        <v>108</v>
      </c>
      <c r="B9">
        <v>206.9</v>
      </c>
    </row>
    <row r="10" spans="1:5" x14ac:dyDescent="0.25">
      <c r="A10" t="s">
        <v>6</v>
      </c>
      <c r="B10">
        <v>5</v>
      </c>
    </row>
    <row r="11" spans="1:5" x14ac:dyDescent="0.25">
      <c r="B11" s="24" t="s">
        <v>3</v>
      </c>
      <c r="C11" s="4">
        <v>6</v>
      </c>
      <c r="D11" s="5"/>
    </row>
    <row r="12" spans="1:5" x14ac:dyDescent="0.25">
      <c r="B12" s="6"/>
      <c r="C12" s="7" t="s">
        <v>106</v>
      </c>
      <c r="D12" s="8">
        <f>B9+3*(C11/SQRT(B10))</f>
        <v>214.94984471899926</v>
      </c>
    </row>
    <row r="13" spans="1:5" x14ac:dyDescent="0.25">
      <c r="B13" s="9"/>
      <c r="C13" s="10" t="s">
        <v>107</v>
      </c>
      <c r="D13" s="11">
        <f>IF(B9-3*(C11/SQRT(B10)) &gt; 0, B9-3*(C11/SQRT(B10)), 0)</f>
        <v>198.85015528100075</v>
      </c>
    </row>
    <row r="15" spans="1:5" x14ac:dyDescent="0.25">
      <c r="B15" s="24" t="s">
        <v>110</v>
      </c>
      <c r="C15" s="4">
        <v>18.100000000000001</v>
      </c>
      <c r="D15" s="5"/>
    </row>
    <row r="16" spans="1:5" x14ac:dyDescent="0.25">
      <c r="B16" s="6" t="s">
        <v>109</v>
      </c>
      <c r="C16" s="7">
        <v>2.3260000000000001</v>
      </c>
      <c r="D16" s="8"/>
    </row>
    <row r="17" spans="1:6" x14ac:dyDescent="0.25">
      <c r="B17" s="6"/>
      <c r="C17" s="7" t="s">
        <v>106</v>
      </c>
      <c r="D17" s="8">
        <f>B9+3*(C15/(C16*SQRT(B10)))</f>
        <v>217.34011102134468</v>
      </c>
    </row>
    <row r="18" spans="1:6" x14ac:dyDescent="0.25">
      <c r="B18" s="9"/>
      <c r="C18" s="10" t="s">
        <v>107</v>
      </c>
      <c r="D18" s="11">
        <f>IF(B9-3*(C15/(C16*SQRT(B10))) &gt; 0, B9-3*(C15/(C16*SQRT(B10))), 0)</f>
        <v>196.45988897865533</v>
      </c>
    </row>
    <row r="20" spans="1:6" x14ac:dyDescent="0.25">
      <c r="A20" s="12" t="s">
        <v>118</v>
      </c>
      <c r="B20" s="18"/>
      <c r="C20" s="18"/>
      <c r="D20" s="18"/>
    </row>
    <row r="21" spans="1:6" x14ac:dyDescent="0.25">
      <c r="A21" t="s">
        <v>110</v>
      </c>
      <c r="B21">
        <v>18.100000000000001</v>
      </c>
    </row>
    <row r="22" spans="1:6" x14ac:dyDescent="0.25">
      <c r="B22" s="24" t="s">
        <v>111</v>
      </c>
      <c r="C22" s="5">
        <v>2.1139999999999999</v>
      </c>
    </row>
    <row r="23" spans="1:6" x14ac:dyDescent="0.25">
      <c r="B23" s="6" t="s">
        <v>112</v>
      </c>
      <c r="C23" s="8">
        <v>0</v>
      </c>
    </row>
    <row r="24" spans="1:6" x14ac:dyDescent="0.25">
      <c r="B24" s="6" t="s">
        <v>106</v>
      </c>
      <c r="C24" s="8">
        <f>C22*B21</f>
        <v>38.263400000000004</v>
      </c>
    </row>
    <row r="25" spans="1:6" x14ac:dyDescent="0.25">
      <c r="B25" s="9" t="s">
        <v>107</v>
      </c>
      <c r="C25" s="11">
        <f>IF(C23*B21 &gt; 0, C23*B21, 0)</f>
        <v>0</v>
      </c>
    </row>
    <row r="26" spans="1:6" x14ac:dyDescent="0.25">
      <c r="B26" s="23" t="s">
        <v>119</v>
      </c>
      <c r="C26" s="7"/>
    </row>
    <row r="28" spans="1:6" x14ac:dyDescent="0.25">
      <c r="A28" s="12" t="s">
        <v>117</v>
      </c>
      <c r="B28" s="18"/>
      <c r="C28" s="18"/>
      <c r="D28" s="18"/>
      <c r="E28" s="18" t="s">
        <v>116</v>
      </c>
      <c r="F28" s="18"/>
    </row>
    <row r="29" spans="1:6" x14ac:dyDescent="0.25">
      <c r="A29" s="2" t="s">
        <v>6</v>
      </c>
      <c r="B29">
        <v>50</v>
      </c>
    </row>
    <row r="30" spans="1:6" x14ac:dyDescent="0.25">
      <c r="A30" s="2" t="s">
        <v>15</v>
      </c>
      <c r="B30">
        <v>6.8000000000000005E-2</v>
      </c>
    </row>
    <row r="31" spans="1:6" x14ac:dyDescent="0.25">
      <c r="A31" s="14" t="s">
        <v>113</v>
      </c>
      <c r="B31" s="14"/>
      <c r="C31" t="b">
        <f>B29*B30&gt;10</f>
        <v>0</v>
      </c>
    </row>
    <row r="32" spans="1:6" x14ac:dyDescent="0.25">
      <c r="C32" t="b">
        <f>B29*(1-B30)&gt;10</f>
        <v>1</v>
      </c>
    </row>
    <row r="33" spans="2:3" x14ac:dyDescent="0.25">
      <c r="B33" t="s">
        <v>106</v>
      </c>
      <c r="C33" s="75">
        <f>B30+3*SQRT(B30*(1-B30)/B29)</f>
        <v>0.17480674136027183</v>
      </c>
    </row>
    <row r="34" spans="2:3" x14ac:dyDescent="0.25">
      <c r="B34" t="s">
        <v>107</v>
      </c>
      <c r="C34" s="75">
        <f>IF(B30-3*SQRT(B30*(1-B30)/B29) &gt; 0, B30-3*SQRT(B30*(1-B30)/B29), 0)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49F02-4409-4BFC-8728-06764BE28CBC}">
  <dimension ref="A1:P106"/>
  <sheetViews>
    <sheetView topLeftCell="A64" zoomScale="127" workbookViewId="0">
      <selection activeCell="F82" sqref="F82"/>
    </sheetView>
  </sheetViews>
  <sheetFormatPr defaultRowHeight="15" x14ac:dyDescent="0.25"/>
  <cols>
    <col min="1" max="1" width="27.28515625" customWidth="1"/>
    <col min="2" max="2" width="12.140625" customWidth="1"/>
    <col min="3" max="3" width="16.42578125" customWidth="1"/>
    <col min="4" max="4" width="14" customWidth="1"/>
    <col min="5" max="5" width="10.85546875" customWidth="1"/>
    <col min="6" max="6" width="15" customWidth="1"/>
    <col min="10" max="10" width="20.28515625" bestFit="1" customWidth="1"/>
  </cols>
  <sheetData>
    <row r="1" spans="1:15" x14ac:dyDescent="0.25">
      <c r="A1" s="48" t="s">
        <v>120</v>
      </c>
      <c r="B1" s="49" t="s">
        <v>121</v>
      </c>
      <c r="C1" s="49" t="s">
        <v>122</v>
      </c>
      <c r="D1" s="50" t="s">
        <v>123</v>
      </c>
      <c r="J1" s="48" t="s">
        <v>140</v>
      </c>
      <c r="K1" s="49" t="s">
        <v>141</v>
      </c>
      <c r="L1" s="49" t="s">
        <v>142</v>
      </c>
      <c r="M1" s="49" t="s">
        <v>143</v>
      </c>
      <c r="N1" s="50" t="s">
        <v>144</v>
      </c>
    </row>
    <row r="2" spans="1:15" x14ac:dyDescent="0.25">
      <c r="A2" s="6">
        <v>18</v>
      </c>
      <c r="B2" s="7">
        <v>20</v>
      </c>
      <c r="C2" s="7">
        <v>23</v>
      </c>
      <c r="D2" s="8">
        <v>16</v>
      </c>
      <c r="J2" s="6" t="s">
        <v>145</v>
      </c>
      <c r="K2" s="7">
        <v>6.7</v>
      </c>
      <c r="L2" s="7">
        <v>6.6</v>
      </c>
      <c r="M2" s="7">
        <v>5.5</v>
      </c>
      <c r="N2" s="8">
        <v>4.3</v>
      </c>
    </row>
    <row r="3" spans="1:15" x14ac:dyDescent="0.25">
      <c r="A3" s="6">
        <v>21.3</v>
      </c>
      <c r="B3" s="7">
        <v>24</v>
      </c>
      <c r="C3" s="7">
        <v>18</v>
      </c>
      <c r="D3" s="8">
        <v>24.91</v>
      </c>
      <c r="J3" s="6" t="s">
        <v>146</v>
      </c>
      <c r="K3" s="7">
        <v>5.5</v>
      </c>
      <c r="L3" s="7">
        <v>5.3</v>
      </c>
      <c r="M3" s="7">
        <v>6.2</v>
      </c>
      <c r="N3" s="8">
        <v>5.9</v>
      </c>
    </row>
    <row r="4" spans="1:15" x14ac:dyDescent="0.25">
      <c r="A4" s="6">
        <v>3</v>
      </c>
      <c r="B4" s="7">
        <v>15</v>
      </c>
      <c r="C4" s="7">
        <v>16</v>
      </c>
      <c r="D4" s="8">
        <v>24</v>
      </c>
      <c r="J4" s="6" t="s">
        <v>147</v>
      </c>
      <c r="K4" s="7">
        <v>4.5</v>
      </c>
      <c r="L4" s="7">
        <v>5.0999999999999996</v>
      </c>
      <c r="M4" s="7">
        <v>6.7</v>
      </c>
      <c r="N4" s="8">
        <v>5.5</v>
      </c>
    </row>
    <row r="5" spans="1:15" x14ac:dyDescent="0.25">
      <c r="A5" s="9">
        <v>20</v>
      </c>
      <c r="B5" s="10">
        <v>15</v>
      </c>
      <c r="C5" s="10">
        <v>19</v>
      </c>
      <c r="D5" s="11">
        <v>24.9</v>
      </c>
      <c r="J5" s="9" t="s">
        <v>148</v>
      </c>
      <c r="K5" s="10">
        <v>3.9</v>
      </c>
      <c r="L5" s="10">
        <v>4.5</v>
      </c>
      <c r="M5" s="10">
        <v>6.1</v>
      </c>
      <c r="N5" s="11">
        <v>4.0999999999999996</v>
      </c>
    </row>
    <row r="7" spans="1:15" x14ac:dyDescent="0.25">
      <c r="A7" s="18" t="s">
        <v>124</v>
      </c>
      <c r="B7" s="18"/>
      <c r="J7" s="18" t="s">
        <v>149</v>
      </c>
      <c r="K7" s="18"/>
      <c r="L7" s="18"/>
    </row>
    <row r="8" spans="1:15" ht="15.75" thickBot="1" x14ac:dyDescent="0.3">
      <c r="A8" s="2" t="s">
        <v>0</v>
      </c>
      <c r="B8">
        <v>0.05</v>
      </c>
      <c r="J8" s="2" t="s">
        <v>0</v>
      </c>
      <c r="K8">
        <v>0.05</v>
      </c>
    </row>
    <row r="9" spans="1:15" ht="15.75" thickBot="1" x14ac:dyDescent="0.3">
      <c r="A9" t="s">
        <v>125</v>
      </c>
      <c r="J9" s="47" t="s">
        <v>125</v>
      </c>
      <c r="K9" s="47" t="s">
        <v>127</v>
      </c>
      <c r="L9" s="47" t="s">
        <v>128</v>
      </c>
      <c r="M9" s="47" t="s">
        <v>129</v>
      </c>
      <c r="N9" s="47" t="s">
        <v>130</v>
      </c>
      <c r="O9" s="51" t="s">
        <v>155</v>
      </c>
    </row>
    <row r="10" spans="1:15" x14ac:dyDescent="0.25">
      <c r="A10" s="47" t="s">
        <v>126</v>
      </c>
      <c r="B10" s="47" t="s">
        <v>127</v>
      </c>
      <c r="C10" s="47" t="s">
        <v>128</v>
      </c>
      <c r="D10" s="47" t="s">
        <v>129</v>
      </c>
      <c r="E10" s="47" t="s">
        <v>130</v>
      </c>
      <c r="F10" s="51" t="s">
        <v>160</v>
      </c>
      <c r="J10" s="45" t="s">
        <v>145</v>
      </c>
      <c r="K10" s="45">
        <v>4</v>
      </c>
      <c r="L10" s="45">
        <v>23.1</v>
      </c>
      <c r="M10" s="45">
        <v>5.7750000000000004</v>
      </c>
      <c r="N10" s="45">
        <v>1.2624999999999982</v>
      </c>
      <c r="O10" s="1">
        <f>SQRT(N10)</f>
        <v>1.1236102527122107</v>
      </c>
    </row>
    <row r="11" spans="1:15" x14ac:dyDescent="0.25">
      <c r="A11" s="45" t="s">
        <v>120</v>
      </c>
      <c r="B11" s="45">
        <v>4</v>
      </c>
      <c r="C11" s="45">
        <v>62.3</v>
      </c>
      <c r="D11" s="45">
        <v>15.574999999999999</v>
      </c>
      <c r="E11" s="54">
        <v>72.122500000000059</v>
      </c>
      <c r="F11" s="56">
        <f>SQRT(E11)</f>
        <v>8.4924966882537003</v>
      </c>
      <c r="J11" s="45" t="s">
        <v>146</v>
      </c>
      <c r="K11" s="45">
        <v>4</v>
      </c>
      <c r="L11" s="45">
        <v>22.9</v>
      </c>
      <c r="M11" s="45">
        <v>5.7249999999999996</v>
      </c>
      <c r="N11" s="45">
        <v>0.16250000000000014</v>
      </c>
      <c r="O11" s="1">
        <f t="shared" ref="O11:O18" si="0">SQRT(N11)</f>
        <v>0.40311288741492768</v>
      </c>
    </row>
    <row r="12" spans="1:15" x14ac:dyDescent="0.25">
      <c r="A12" s="45" t="s">
        <v>121</v>
      </c>
      <c r="B12" s="45">
        <v>4</v>
      </c>
      <c r="C12" s="45">
        <v>74</v>
      </c>
      <c r="D12" s="45">
        <v>18.5</v>
      </c>
      <c r="E12" s="54">
        <v>19</v>
      </c>
      <c r="F12" s="56">
        <f t="shared" ref="F12:F14" si="1">SQRT(E12)</f>
        <v>4.358898943540674</v>
      </c>
      <c r="J12" s="45" t="s">
        <v>147</v>
      </c>
      <c r="K12" s="45">
        <v>4</v>
      </c>
      <c r="L12" s="45">
        <v>21.8</v>
      </c>
      <c r="M12" s="45">
        <v>5.45</v>
      </c>
      <c r="N12" s="45">
        <v>0.86333333333333451</v>
      </c>
      <c r="O12" s="1">
        <f t="shared" si="0"/>
        <v>0.92915732431775755</v>
      </c>
    </row>
    <row r="13" spans="1:15" x14ac:dyDescent="0.25">
      <c r="A13" s="45" t="s">
        <v>122</v>
      </c>
      <c r="B13" s="45">
        <v>4</v>
      </c>
      <c r="C13" s="45">
        <v>76</v>
      </c>
      <c r="D13" s="45">
        <v>19</v>
      </c>
      <c r="E13" s="54">
        <v>8.6666666666666661</v>
      </c>
      <c r="F13" s="56">
        <f t="shared" si="1"/>
        <v>2.9439202887759488</v>
      </c>
      <c r="J13" s="45" t="s">
        <v>148</v>
      </c>
      <c r="K13" s="45">
        <v>4</v>
      </c>
      <c r="L13" s="45">
        <v>18.600000000000001</v>
      </c>
      <c r="M13" s="45">
        <v>4.6500000000000004</v>
      </c>
      <c r="N13" s="45">
        <v>0.99666666666666026</v>
      </c>
      <c r="O13" s="1">
        <f t="shared" si="0"/>
        <v>0.99833194212479259</v>
      </c>
    </row>
    <row r="14" spans="1:15" ht="15.75" thickBot="1" x14ac:dyDescent="0.3">
      <c r="A14" s="46" t="s">
        <v>123</v>
      </c>
      <c r="B14" s="46">
        <v>4</v>
      </c>
      <c r="C14" s="46">
        <v>89.81</v>
      </c>
      <c r="D14" s="46">
        <v>22.452500000000001</v>
      </c>
      <c r="E14" s="55">
        <v>18.686358333333221</v>
      </c>
      <c r="F14" s="56">
        <f t="shared" si="1"/>
        <v>4.3227720658546431</v>
      </c>
      <c r="J14" s="45"/>
      <c r="K14" s="45"/>
      <c r="L14" s="45"/>
      <c r="M14" s="45"/>
      <c r="N14" s="45"/>
      <c r="O14" s="1"/>
    </row>
    <row r="15" spans="1:15" x14ac:dyDescent="0.25">
      <c r="A15" s="45" t="s">
        <v>159</v>
      </c>
      <c r="B15">
        <f>SUM(B11:B14)</f>
        <v>16</v>
      </c>
      <c r="D15">
        <f>SUM(C11:C14)/SUM(B11:B14)</f>
        <v>18.881875000000001</v>
      </c>
      <c r="E15" s="56"/>
      <c r="F15" s="56"/>
      <c r="J15" s="45" t="s">
        <v>141</v>
      </c>
      <c r="K15" s="45">
        <v>4</v>
      </c>
      <c r="L15" s="45">
        <v>20.599999999999998</v>
      </c>
      <c r="M15" s="45">
        <v>5.1499999999999995</v>
      </c>
      <c r="N15" s="45">
        <v>1.5033333333333398</v>
      </c>
      <c r="O15" s="1">
        <f t="shared" si="0"/>
        <v>1.2261049438499707</v>
      </c>
    </row>
    <row r="16" spans="1:15" x14ac:dyDescent="0.25">
      <c r="J16" s="45" t="s">
        <v>142</v>
      </c>
      <c r="K16" s="45">
        <v>4</v>
      </c>
      <c r="L16" s="45">
        <v>21.5</v>
      </c>
      <c r="M16" s="45">
        <v>5.375</v>
      </c>
      <c r="N16" s="45">
        <v>0.78249999999999886</v>
      </c>
      <c r="O16" s="1">
        <f>SQRT(N16)</f>
        <v>0.88459030064770594</v>
      </c>
    </row>
    <row r="17" spans="1:16" ht="15.75" thickBot="1" x14ac:dyDescent="0.3">
      <c r="A17" t="s">
        <v>131</v>
      </c>
      <c r="J17" s="45" t="s">
        <v>143</v>
      </c>
      <c r="K17" s="45">
        <v>4</v>
      </c>
      <c r="L17" s="45">
        <v>24.5</v>
      </c>
      <c r="M17" s="45">
        <v>6.125</v>
      </c>
      <c r="N17" s="45">
        <v>0.24250000000000008</v>
      </c>
      <c r="O17" s="1">
        <f t="shared" si="0"/>
        <v>0.4924428900898053</v>
      </c>
    </row>
    <row r="18" spans="1:16" ht="15.75" thickBot="1" x14ac:dyDescent="0.3">
      <c r="A18" s="47" t="s">
        <v>132</v>
      </c>
      <c r="B18" s="47" t="s">
        <v>133</v>
      </c>
      <c r="C18" s="47" t="s">
        <v>134</v>
      </c>
      <c r="D18" s="47" t="s">
        <v>135</v>
      </c>
      <c r="E18" s="47" t="s">
        <v>136</v>
      </c>
      <c r="F18" s="47" t="s">
        <v>137</v>
      </c>
      <c r="G18" s="47" t="s">
        <v>138</v>
      </c>
      <c r="J18" s="46" t="s">
        <v>144</v>
      </c>
      <c r="K18" s="46">
        <v>4</v>
      </c>
      <c r="L18" s="46">
        <v>19.799999999999997</v>
      </c>
      <c r="M18" s="46">
        <v>4.9499999999999993</v>
      </c>
      <c r="N18" s="46">
        <v>0.78333333333334088</v>
      </c>
      <c r="O18" s="1">
        <f t="shared" si="0"/>
        <v>0.88506120315678782</v>
      </c>
    </row>
    <row r="19" spans="1:16" x14ac:dyDescent="0.25">
      <c r="A19" s="45" t="s">
        <v>173</v>
      </c>
      <c r="B19" s="45">
        <v>95.378268750000018</v>
      </c>
      <c r="C19" s="45">
        <v>3</v>
      </c>
      <c r="D19" s="45">
        <v>31.792756250000007</v>
      </c>
      <c r="E19" s="45">
        <v>1.0733949058254861</v>
      </c>
      <c r="F19" s="45">
        <v>0.39703052850563608</v>
      </c>
      <c r="G19" s="45">
        <v>3.4902948194976045</v>
      </c>
      <c r="J19" s="45" t="s">
        <v>139</v>
      </c>
      <c r="K19">
        <f>SUM(K10:K18)/2</f>
        <v>16</v>
      </c>
      <c r="M19">
        <f>SUM(L10:L18)/SUM(K10:K18)</f>
        <v>5.4</v>
      </c>
      <c r="O19" s="1">
        <v>0.9345</v>
      </c>
    </row>
    <row r="20" spans="1:16" x14ac:dyDescent="0.25">
      <c r="A20" s="45" t="s">
        <v>174</v>
      </c>
      <c r="B20" s="45">
        <v>355.42657500000001</v>
      </c>
      <c r="C20" s="45">
        <v>12</v>
      </c>
      <c r="D20" s="45">
        <v>29.618881250000001</v>
      </c>
      <c r="E20" s="45"/>
      <c r="F20" s="45"/>
      <c r="G20" s="45"/>
    </row>
    <row r="21" spans="1:16" ht="15.75" thickBot="1" x14ac:dyDescent="0.3">
      <c r="A21" s="45"/>
      <c r="B21" s="45"/>
      <c r="C21" s="45"/>
      <c r="D21" s="45"/>
      <c r="E21" s="45"/>
      <c r="F21" s="45"/>
      <c r="G21" s="45"/>
      <c r="J21" t="s">
        <v>131</v>
      </c>
    </row>
    <row r="22" spans="1:16" ht="15.75" thickBot="1" x14ac:dyDescent="0.3">
      <c r="A22" s="46" t="s">
        <v>139</v>
      </c>
      <c r="B22" s="46">
        <v>450.80484375000003</v>
      </c>
      <c r="C22" s="46">
        <v>15</v>
      </c>
      <c r="D22" s="46"/>
      <c r="E22" s="46"/>
      <c r="F22" s="46"/>
      <c r="G22" s="46"/>
      <c r="J22" s="47" t="s">
        <v>132</v>
      </c>
      <c r="K22" s="47" t="s">
        <v>133</v>
      </c>
      <c r="L22" s="47" t="s">
        <v>134</v>
      </c>
      <c r="M22" s="47" t="s">
        <v>135</v>
      </c>
      <c r="N22" s="47" t="s">
        <v>136</v>
      </c>
      <c r="O22" s="47" t="s">
        <v>137</v>
      </c>
      <c r="P22" s="47" t="s">
        <v>138</v>
      </c>
    </row>
    <row r="23" spans="1:16" x14ac:dyDescent="0.25">
      <c r="J23" s="45" t="s">
        <v>150</v>
      </c>
      <c r="K23" s="45">
        <v>3.2449999999999992</v>
      </c>
      <c r="L23" s="45">
        <v>3</v>
      </c>
      <c r="M23" s="52">
        <v>1.0816666666666701</v>
      </c>
      <c r="N23" s="54">
        <v>1.4551569506726447</v>
      </c>
      <c r="O23" s="52">
        <v>0.29074636217656902</v>
      </c>
      <c r="P23" s="53">
        <v>3.8625483576247648</v>
      </c>
    </row>
    <row r="24" spans="1:16" x14ac:dyDescent="0.25">
      <c r="A24" s="2" t="s">
        <v>219</v>
      </c>
      <c r="J24" s="45" t="s">
        <v>151</v>
      </c>
      <c r="K24" s="45">
        <v>3.1649999999999974</v>
      </c>
      <c r="L24" s="45">
        <v>3</v>
      </c>
      <c r="M24" s="52">
        <v>1.054999999999999</v>
      </c>
      <c r="N24" s="54">
        <v>1.4192825112107605</v>
      </c>
      <c r="O24" s="52">
        <v>0.29994966566834164</v>
      </c>
      <c r="P24" s="53">
        <v>3.8625483576247648</v>
      </c>
    </row>
    <row r="25" spans="1:16" x14ac:dyDescent="0.25">
      <c r="A25" s="25" t="s">
        <v>156</v>
      </c>
      <c r="J25" s="45" t="s">
        <v>152</v>
      </c>
      <c r="K25" s="45">
        <v>6.6900000000000031</v>
      </c>
      <c r="L25" s="45">
        <v>9</v>
      </c>
      <c r="M25" s="52">
        <v>0.74333333333333362</v>
      </c>
      <c r="N25" s="45"/>
      <c r="O25" s="45"/>
      <c r="P25" s="45"/>
    </row>
    <row r="26" spans="1:16" x14ac:dyDescent="0.25">
      <c r="A26" s="25" t="s">
        <v>157</v>
      </c>
      <c r="J26" s="45"/>
      <c r="K26" s="45"/>
      <c r="L26" s="45"/>
      <c r="M26" s="45"/>
      <c r="N26" s="45"/>
      <c r="O26" s="45"/>
      <c r="P26" s="45"/>
    </row>
    <row r="27" spans="1:16" ht="15.75" thickBot="1" x14ac:dyDescent="0.3">
      <c r="A27" s="2" t="s">
        <v>163</v>
      </c>
      <c r="J27" s="46" t="s">
        <v>139</v>
      </c>
      <c r="K27" s="46">
        <v>13.1</v>
      </c>
      <c r="L27" s="46">
        <v>15</v>
      </c>
      <c r="M27" s="46"/>
      <c r="N27" s="46"/>
      <c r="O27" s="46"/>
      <c r="P27" s="46"/>
    </row>
    <row r="28" spans="1:16" x14ac:dyDescent="0.25">
      <c r="A28" s="25" t="s">
        <v>162</v>
      </c>
    </row>
    <row r="29" spans="1:16" x14ac:dyDescent="0.25">
      <c r="A29" s="25" t="s">
        <v>164</v>
      </c>
    </row>
    <row r="30" spans="1:16" x14ac:dyDescent="0.25">
      <c r="A30" s="25" t="s">
        <v>161</v>
      </c>
    </row>
    <row r="31" spans="1:16" x14ac:dyDescent="0.25">
      <c r="A31" s="25" t="s">
        <v>187</v>
      </c>
    </row>
    <row r="32" spans="1:16" x14ac:dyDescent="0.25">
      <c r="A32" s="25" t="s">
        <v>158</v>
      </c>
    </row>
    <row r="33" spans="1:6" x14ac:dyDescent="0.25">
      <c r="A33" s="25" t="s">
        <v>153</v>
      </c>
    </row>
    <row r="34" spans="1:6" x14ac:dyDescent="0.25">
      <c r="A34" t="s">
        <v>154</v>
      </c>
    </row>
    <row r="35" spans="1:6" ht="15.75" thickBot="1" x14ac:dyDescent="0.3"/>
    <row r="36" spans="1:6" x14ac:dyDescent="0.25">
      <c r="A36" s="63" t="s">
        <v>171</v>
      </c>
      <c r="B36" s="64"/>
      <c r="C36" s="65"/>
      <c r="D36" s="65"/>
      <c r="E36" s="65"/>
      <c r="F36" s="66"/>
    </row>
    <row r="37" spans="1:6" x14ac:dyDescent="0.25">
      <c r="A37" s="67" t="s">
        <v>165</v>
      </c>
      <c r="B37" s="7"/>
      <c r="C37" s="7"/>
      <c r="D37" s="7">
        <f>MAX(E11:E14)/MIN(E11:E14)</f>
        <v>8.3218269230769302</v>
      </c>
      <c r="E37" s="7"/>
      <c r="F37" s="68"/>
    </row>
    <row r="38" spans="1:6" x14ac:dyDescent="0.25">
      <c r="A38" s="69" t="s">
        <v>166</v>
      </c>
      <c r="B38" s="7"/>
      <c r="C38" s="7"/>
      <c r="D38" s="7"/>
      <c r="E38" s="7"/>
      <c r="F38" s="68"/>
    </row>
    <row r="39" spans="1:6" x14ac:dyDescent="0.25">
      <c r="A39" s="69" t="s">
        <v>172</v>
      </c>
      <c r="B39" s="7"/>
      <c r="C39" s="7"/>
      <c r="D39" s="7"/>
      <c r="E39" s="7"/>
      <c r="F39" s="68"/>
    </row>
    <row r="40" spans="1:6" x14ac:dyDescent="0.25">
      <c r="A40" s="70"/>
      <c r="B40" s="7"/>
      <c r="C40" s="7"/>
      <c r="D40" s="7"/>
      <c r="E40" s="7"/>
      <c r="F40" s="68"/>
    </row>
    <row r="41" spans="1:6" x14ac:dyDescent="0.25">
      <c r="A41" s="70"/>
      <c r="B41" s="7"/>
      <c r="C41" s="7"/>
      <c r="D41" s="7"/>
      <c r="E41" s="7"/>
      <c r="F41" s="68"/>
    </row>
    <row r="42" spans="1:6" x14ac:dyDescent="0.25">
      <c r="A42" s="70"/>
      <c r="B42" s="7"/>
      <c r="C42" s="7"/>
      <c r="D42" s="20" t="s">
        <v>175</v>
      </c>
      <c r="E42" s="7"/>
      <c r="F42" s="71"/>
    </row>
    <row r="43" spans="1:6" x14ac:dyDescent="0.25">
      <c r="A43" s="70"/>
      <c r="B43" s="7"/>
      <c r="C43" s="7"/>
      <c r="D43" s="20" t="s">
        <v>176</v>
      </c>
      <c r="E43" s="7"/>
      <c r="F43" s="71"/>
    </row>
    <row r="44" spans="1:6" x14ac:dyDescent="0.25">
      <c r="A44" s="70"/>
      <c r="B44" s="7"/>
      <c r="C44" s="7"/>
      <c r="D44" s="7"/>
      <c r="E44" s="7"/>
      <c r="F44" s="68"/>
    </row>
    <row r="45" spans="1:6" x14ac:dyDescent="0.25">
      <c r="A45" s="70"/>
      <c r="B45" s="7"/>
      <c r="C45" s="7"/>
      <c r="D45" s="7"/>
      <c r="E45" s="7"/>
      <c r="F45" s="68"/>
    </row>
    <row r="46" spans="1:6" x14ac:dyDescent="0.25">
      <c r="A46" s="70"/>
      <c r="B46" s="7"/>
      <c r="C46" s="7"/>
      <c r="D46" s="7"/>
      <c r="E46" s="7"/>
      <c r="F46" s="68"/>
    </row>
    <row r="47" spans="1:6" x14ac:dyDescent="0.25">
      <c r="A47" s="70"/>
      <c r="B47" s="7"/>
      <c r="C47" s="7"/>
      <c r="D47" s="7"/>
      <c r="E47" s="7"/>
      <c r="F47" s="68"/>
    </row>
    <row r="48" spans="1:6" x14ac:dyDescent="0.25">
      <c r="A48" s="70"/>
      <c r="B48" s="7"/>
      <c r="C48" s="7"/>
      <c r="D48" s="7"/>
      <c r="E48" s="7"/>
      <c r="F48" s="68"/>
    </row>
    <row r="49" spans="1:6" x14ac:dyDescent="0.25">
      <c r="A49" s="70"/>
      <c r="B49" s="7"/>
      <c r="C49" s="7"/>
      <c r="D49" s="7"/>
      <c r="E49" s="7"/>
      <c r="F49" s="68"/>
    </row>
    <row r="50" spans="1:6" x14ac:dyDescent="0.25">
      <c r="A50" s="70"/>
      <c r="B50" s="7"/>
      <c r="C50" s="7"/>
      <c r="D50" s="7"/>
      <c r="E50" s="7"/>
      <c r="F50" s="68"/>
    </row>
    <row r="51" spans="1:6" x14ac:dyDescent="0.25">
      <c r="A51" s="70"/>
      <c r="B51" s="7"/>
      <c r="C51" s="7"/>
      <c r="D51" s="7"/>
      <c r="E51" s="7"/>
      <c r="F51" s="68"/>
    </row>
    <row r="52" spans="1:6" x14ac:dyDescent="0.25">
      <c r="A52" s="70"/>
      <c r="B52" s="7"/>
      <c r="C52" s="7"/>
      <c r="D52" s="7"/>
      <c r="E52" s="7"/>
      <c r="F52" s="68"/>
    </row>
    <row r="53" spans="1:6" x14ac:dyDescent="0.25">
      <c r="A53" s="70"/>
      <c r="B53" s="7"/>
      <c r="C53" s="7"/>
      <c r="D53" s="7"/>
      <c r="E53" s="7"/>
      <c r="F53" s="68"/>
    </row>
    <row r="54" spans="1:6" x14ac:dyDescent="0.25">
      <c r="A54" s="70"/>
      <c r="B54" s="7"/>
      <c r="C54" s="7"/>
      <c r="D54" s="7"/>
      <c r="E54" s="7"/>
      <c r="F54" s="68"/>
    </row>
    <row r="55" spans="1:6" x14ac:dyDescent="0.25">
      <c r="A55" s="70"/>
      <c r="B55" s="7"/>
      <c r="C55" s="7"/>
      <c r="D55" s="7"/>
      <c r="E55" s="7"/>
      <c r="F55" s="68"/>
    </row>
    <row r="56" spans="1:6" x14ac:dyDescent="0.25">
      <c r="A56" s="70"/>
      <c r="B56" s="7"/>
      <c r="C56" s="7"/>
      <c r="D56" s="7"/>
      <c r="E56" s="7"/>
      <c r="F56" s="68"/>
    </row>
    <row r="57" spans="1:6" x14ac:dyDescent="0.25">
      <c r="A57" s="70"/>
      <c r="B57" s="7"/>
      <c r="C57" s="7"/>
      <c r="D57" s="7"/>
      <c r="E57" s="7"/>
      <c r="F57" s="68"/>
    </row>
    <row r="58" spans="1:6" ht="15.75" thickBot="1" x14ac:dyDescent="0.3">
      <c r="A58" s="72"/>
      <c r="B58" s="73"/>
      <c r="C58" s="73"/>
      <c r="D58" s="73"/>
      <c r="E58" s="73"/>
      <c r="F58" s="74"/>
    </row>
    <row r="60" spans="1:6" x14ac:dyDescent="0.25">
      <c r="A60" s="18" t="s">
        <v>169</v>
      </c>
      <c r="B60" s="18"/>
      <c r="C60" s="18"/>
    </row>
    <row r="61" spans="1:6" x14ac:dyDescent="0.25">
      <c r="C61" s="57" t="s">
        <v>120</v>
      </c>
      <c r="D61" s="58" t="s">
        <v>121</v>
      </c>
      <c r="E61" s="58" t="s">
        <v>122</v>
      </c>
      <c r="F61" s="59" t="s">
        <v>123</v>
      </c>
    </row>
    <row r="62" spans="1:6" x14ac:dyDescent="0.25">
      <c r="C62" s="9">
        <f>D11</f>
        <v>15.574999999999999</v>
      </c>
      <c r="D62" s="10">
        <f>D12</f>
        <v>18.5</v>
      </c>
      <c r="E62" s="9">
        <f>D13</f>
        <v>19</v>
      </c>
      <c r="F62" s="11">
        <f>D14</f>
        <v>22.452500000000001</v>
      </c>
    </row>
    <row r="63" spans="1:6" x14ac:dyDescent="0.25">
      <c r="A63" s="57" t="s">
        <v>120</v>
      </c>
      <c r="B63" s="5">
        <f>D11</f>
        <v>15.574999999999999</v>
      </c>
      <c r="D63" s="62">
        <f>ABS(B63-D62)/SQRT(D20*(1/B11+1/B12))</f>
        <v>0.76007516592797042</v>
      </c>
      <c r="E63">
        <f>ABS(B63-E62/SQRT(D20*(1/B11+1/B13)))</f>
        <v>10.637759605937971</v>
      </c>
    </row>
    <row r="64" spans="1:6" x14ac:dyDescent="0.25">
      <c r="A64" s="60" t="s">
        <v>121</v>
      </c>
      <c r="B64" s="8">
        <f>D12</f>
        <v>18.5</v>
      </c>
    </row>
    <row r="65" spans="1:2" x14ac:dyDescent="0.25">
      <c r="A65" s="60" t="s">
        <v>122</v>
      </c>
      <c r="B65" s="8">
        <f>D13</f>
        <v>19</v>
      </c>
    </row>
    <row r="66" spans="1:2" x14ac:dyDescent="0.25">
      <c r="A66" s="61" t="s">
        <v>123</v>
      </c>
      <c r="B66" s="11">
        <f>D14</f>
        <v>22.452500000000001</v>
      </c>
    </row>
    <row r="68" spans="1:2" x14ac:dyDescent="0.25">
      <c r="A68" s="25" t="s">
        <v>167</v>
      </c>
    </row>
    <row r="69" spans="1:2" x14ac:dyDescent="0.25">
      <c r="A69" s="25" t="s">
        <v>168</v>
      </c>
    </row>
    <row r="70" spans="1:2" x14ac:dyDescent="0.25">
      <c r="A70" s="25" t="s">
        <v>170</v>
      </c>
    </row>
    <row r="91" spans="1:2" x14ac:dyDescent="0.25">
      <c r="A91" t="s">
        <v>180</v>
      </c>
    </row>
    <row r="92" spans="1:2" ht="18" x14ac:dyDescent="0.35">
      <c r="A92" t="s">
        <v>179</v>
      </c>
    </row>
    <row r="93" spans="1:2" ht="18" x14ac:dyDescent="0.35">
      <c r="A93" t="s">
        <v>177</v>
      </c>
    </row>
    <row r="94" spans="1:2" ht="18" x14ac:dyDescent="0.35">
      <c r="A94" t="s">
        <v>178</v>
      </c>
    </row>
    <row r="96" spans="1:2" x14ac:dyDescent="0.25">
      <c r="A96" s="2" t="s">
        <v>0</v>
      </c>
      <c r="B96">
        <v>1</v>
      </c>
    </row>
    <row r="97" spans="1:3" x14ac:dyDescent="0.25">
      <c r="A97" s="2" t="s">
        <v>185</v>
      </c>
      <c r="B97">
        <v>1</v>
      </c>
    </row>
    <row r="98" spans="1:3" x14ac:dyDescent="0.25">
      <c r="A98" s="2" t="s">
        <v>186</v>
      </c>
      <c r="B98">
        <v>1</v>
      </c>
    </row>
    <row r="99" spans="1:3" x14ac:dyDescent="0.25">
      <c r="A99" s="2" t="s">
        <v>181</v>
      </c>
      <c r="B99">
        <v>1</v>
      </c>
    </row>
    <row r="100" spans="1:3" x14ac:dyDescent="0.25">
      <c r="A100" s="2" t="s">
        <v>92</v>
      </c>
      <c r="B100">
        <v>1</v>
      </c>
    </row>
    <row r="101" spans="1:3" x14ac:dyDescent="0.25">
      <c r="A101" s="2" t="s">
        <v>182</v>
      </c>
      <c r="B101">
        <v>1</v>
      </c>
    </row>
    <row r="102" spans="1:3" x14ac:dyDescent="0.25">
      <c r="A102" s="2" t="s">
        <v>93</v>
      </c>
      <c r="B102">
        <v>1</v>
      </c>
    </row>
    <row r="103" spans="1:3" ht="18" x14ac:dyDescent="0.35">
      <c r="A103" t="s">
        <v>184</v>
      </c>
      <c r="B103">
        <f>_xlfn.T.INV(B96/2,B97)</f>
        <v>0</v>
      </c>
    </row>
    <row r="104" spans="1:3" ht="18" x14ac:dyDescent="0.35">
      <c r="A104" t="s">
        <v>183</v>
      </c>
      <c r="B104">
        <f>SQRT(B98*(1/B100+1/B102))</f>
        <v>1.4142135623730951</v>
      </c>
    </row>
    <row r="105" spans="1:3" x14ac:dyDescent="0.25">
      <c r="B105" t="s">
        <v>48</v>
      </c>
      <c r="C105">
        <f>(B99-B101) + B103*B104</f>
        <v>0</v>
      </c>
    </row>
    <row r="106" spans="1:3" x14ac:dyDescent="0.25">
      <c r="B106" t="s">
        <v>47</v>
      </c>
      <c r="C106">
        <f>(B99-B101) - B103*B104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2237D-E2B5-49D5-9AB1-29B598E81CE2}">
  <dimension ref="A1:T62"/>
  <sheetViews>
    <sheetView tabSelected="1" topLeftCell="A16" zoomScale="111" workbookViewId="0">
      <selection activeCell="K61" sqref="K61"/>
    </sheetView>
  </sheetViews>
  <sheetFormatPr defaultRowHeight="15" x14ac:dyDescent="0.25"/>
  <cols>
    <col min="1" max="1" width="10.140625" customWidth="1"/>
    <col min="2" max="2" width="12.28515625" customWidth="1"/>
    <col min="3" max="3" width="10.85546875" customWidth="1"/>
    <col min="7" max="7" width="11.42578125" bestFit="1" customWidth="1"/>
    <col min="10" max="10" width="17" customWidth="1"/>
    <col min="11" max="11" width="15" customWidth="1"/>
    <col min="12" max="12" width="14.5703125" bestFit="1" customWidth="1"/>
    <col min="13" max="13" width="14.85546875" customWidth="1"/>
    <col min="14" max="14" width="27.5703125" customWidth="1"/>
    <col min="15" max="15" width="20.140625" customWidth="1"/>
    <col min="16" max="16" width="13.5703125" bestFit="1" customWidth="1"/>
    <col min="17" max="17" width="12.5703125" bestFit="1" customWidth="1"/>
    <col min="18" max="18" width="13.5703125" bestFit="1" customWidth="1"/>
  </cols>
  <sheetData>
    <row r="1" spans="1:18" x14ac:dyDescent="0.25">
      <c r="A1" s="12" t="s">
        <v>91</v>
      </c>
      <c r="B1" s="18"/>
      <c r="F1" s="12" t="s">
        <v>99</v>
      </c>
      <c r="G1" s="18"/>
      <c r="J1" s="12" t="s">
        <v>195</v>
      </c>
      <c r="K1" s="18"/>
      <c r="L1" s="18"/>
      <c r="M1" s="18"/>
      <c r="P1" s="12" t="s">
        <v>283</v>
      </c>
      <c r="Q1" t="s">
        <v>289</v>
      </c>
    </row>
    <row r="2" spans="1:18" x14ac:dyDescent="0.25">
      <c r="A2" s="2" t="s">
        <v>0</v>
      </c>
      <c r="B2">
        <v>0.05</v>
      </c>
      <c r="J2" s="88" t="s">
        <v>196</v>
      </c>
      <c r="K2" t="s">
        <v>201</v>
      </c>
      <c r="P2" s="97" t="s">
        <v>198</v>
      </c>
      <c r="Q2" t="s">
        <v>288</v>
      </c>
    </row>
    <row r="3" spans="1:18" x14ac:dyDescent="0.25">
      <c r="F3" s="24" t="s">
        <v>194</v>
      </c>
      <c r="G3" s="24" t="s">
        <v>18</v>
      </c>
      <c r="H3" s="5" t="b">
        <f>C12&lt;D4</f>
        <v>0</v>
      </c>
      <c r="J3" s="88" t="s">
        <v>197</v>
      </c>
      <c r="K3" t="s">
        <v>202</v>
      </c>
    </row>
    <row r="4" spans="1:18" ht="15.75" thickBot="1" x14ac:dyDescent="0.3">
      <c r="B4" s="24" t="s">
        <v>83</v>
      </c>
      <c r="C4" s="24" t="s">
        <v>18</v>
      </c>
      <c r="D4" s="76">
        <f>_xlfn.T.INV(B2,B9-2)</f>
        <v>-1.812461122811676</v>
      </c>
      <c r="F4" s="6"/>
      <c r="G4" s="6" t="s">
        <v>19</v>
      </c>
      <c r="H4" s="8" t="b">
        <f>C12&gt;D5</f>
        <v>1</v>
      </c>
      <c r="J4" s="88" t="s">
        <v>198</v>
      </c>
      <c r="K4" t="s">
        <v>203</v>
      </c>
      <c r="P4" t="s">
        <v>284</v>
      </c>
    </row>
    <row r="5" spans="1:18" x14ac:dyDescent="0.25">
      <c r="B5" s="6"/>
      <c r="C5" s="6" t="s">
        <v>19</v>
      </c>
      <c r="D5" s="77">
        <f>_xlfn.T.INV(1-B2,B9-2)</f>
        <v>1.8124611228116754</v>
      </c>
      <c r="F5" s="9"/>
      <c r="G5" s="9" t="s">
        <v>20</v>
      </c>
      <c r="H5" s="11" t="b">
        <f>OR(C12&lt;-D6,C12&gt;D6)</f>
        <v>1</v>
      </c>
      <c r="J5" s="88" t="s">
        <v>199</v>
      </c>
      <c r="K5" t="s">
        <v>204</v>
      </c>
      <c r="P5" s="47" t="s">
        <v>285</v>
      </c>
      <c r="Q5" s="47" t="s">
        <v>286</v>
      </c>
      <c r="R5" s="47" t="s">
        <v>287</v>
      </c>
    </row>
    <row r="6" spans="1:18" x14ac:dyDescent="0.25">
      <c r="B6" s="9"/>
      <c r="C6" s="9" t="s">
        <v>20</v>
      </c>
      <c r="D6" s="78">
        <f>_xlfn.T.INV.2T(B2,B9-2)</f>
        <v>2.2281388519862744</v>
      </c>
      <c r="J6" s="88" t="s">
        <v>200</v>
      </c>
      <c r="K6" t="s">
        <v>205</v>
      </c>
      <c r="P6" s="45">
        <v>1</v>
      </c>
      <c r="Q6" s="45">
        <v>12.2</v>
      </c>
      <c r="R6" s="45">
        <v>-2.1999999999999993</v>
      </c>
    </row>
    <row r="7" spans="1:18" x14ac:dyDescent="0.25">
      <c r="P7" s="45">
        <v>2</v>
      </c>
      <c r="Q7" s="45">
        <v>15</v>
      </c>
      <c r="R7" s="45">
        <v>0</v>
      </c>
    </row>
    <row r="8" spans="1:18" x14ac:dyDescent="0.25">
      <c r="A8" s="12" t="s">
        <v>193</v>
      </c>
      <c r="B8" s="18"/>
      <c r="C8" s="18"/>
      <c r="D8" s="18"/>
      <c r="J8" t="s">
        <v>208</v>
      </c>
      <c r="P8" s="45">
        <v>3</v>
      </c>
      <c r="Q8" s="45">
        <v>9.4</v>
      </c>
      <c r="R8" s="45">
        <v>2.5999999999999996</v>
      </c>
    </row>
    <row r="9" spans="1:18" x14ac:dyDescent="0.25">
      <c r="A9" s="2" t="s">
        <v>6</v>
      </c>
      <c r="B9">
        <v>12</v>
      </c>
      <c r="P9" s="45">
        <v>4</v>
      </c>
      <c r="Q9" s="45">
        <v>13.6</v>
      </c>
      <c r="R9" s="45">
        <v>-2.5999999999999996</v>
      </c>
    </row>
    <row r="10" spans="1:18" x14ac:dyDescent="0.25">
      <c r="A10" s="2" t="s">
        <v>276</v>
      </c>
      <c r="B10">
        <v>0.82</v>
      </c>
      <c r="J10" s="12" t="s">
        <v>220</v>
      </c>
      <c r="K10" s="12"/>
      <c r="L10" s="12"/>
      <c r="P10" s="45">
        <v>5</v>
      </c>
      <c r="Q10" s="45">
        <v>16.399999999999999</v>
      </c>
      <c r="R10" s="45">
        <v>-1.3999999999999986</v>
      </c>
    </row>
    <row r="11" spans="1:18" x14ac:dyDescent="0.25">
      <c r="J11" s="86" t="s">
        <v>221</v>
      </c>
      <c r="K11" s="87" t="s">
        <v>222</v>
      </c>
      <c r="M11" s="97" t="s">
        <v>196</v>
      </c>
      <c r="N11" t="s">
        <v>232</v>
      </c>
      <c r="P11" s="45">
        <v>6</v>
      </c>
      <c r="Q11" s="45">
        <v>19.2</v>
      </c>
      <c r="R11" s="45">
        <v>-1.1999999999999993</v>
      </c>
    </row>
    <row r="12" spans="1:18" x14ac:dyDescent="0.25">
      <c r="B12" s="2" t="s">
        <v>16</v>
      </c>
      <c r="C12" s="75">
        <f>B10*SQRT((B9-2)/(1-B10^2))</f>
        <v>4.5304558849006042</v>
      </c>
      <c r="J12" s="82">
        <v>2</v>
      </c>
      <c r="K12" s="83">
        <v>10</v>
      </c>
      <c r="M12" s="97" t="s">
        <v>197</v>
      </c>
      <c r="N12" t="s">
        <v>233</v>
      </c>
      <c r="P12" s="45">
        <v>7</v>
      </c>
      <c r="Q12" s="45">
        <v>15</v>
      </c>
      <c r="R12" s="45">
        <v>2</v>
      </c>
    </row>
    <row r="13" spans="1:18" ht="15.75" thickBot="1" x14ac:dyDescent="0.3">
      <c r="B13" s="2" t="s">
        <v>10</v>
      </c>
      <c r="C13" s="1">
        <f>_xlfn.T.DIST.2T(C12,B9-2)</f>
        <v>1.090622720645462E-3</v>
      </c>
      <c r="J13" s="82">
        <v>4</v>
      </c>
      <c r="K13" s="83">
        <v>15</v>
      </c>
      <c r="P13" s="46">
        <v>8</v>
      </c>
      <c r="Q13" s="46">
        <v>19.2</v>
      </c>
      <c r="R13" s="46">
        <v>2.8000000000000007</v>
      </c>
    </row>
    <row r="14" spans="1:18" x14ac:dyDescent="0.25">
      <c r="B14" s="2" t="s">
        <v>277</v>
      </c>
      <c r="C14" s="1">
        <f>C12/SQRT(C12^2+B9-1)</f>
        <v>0.80688965588035777</v>
      </c>
      <c r="J14" s="82">
        <v>0</v>
      </c>
      <c r="K14" s="83">
        <v>12</v>
      </c>
    </row>
    <row r="15" spans="1:18" x14ac:dyDescent="0.25">
      <c r="J15" s="82">
        <v>3</v>
      </c>
      <c r="K15" s="83">
        <v>11</v>
      </c>
    </row>
    <row r="16" spans="1:18" x14ac:dyDescent="0.25">
      <c r="A16" s="2" t="s">
        <v>278</v>
      </c>
      <c r="B16" s="25" t="s">
        <v>279</v>
      </c>
      <c r="J16" s="82">
        <v>5</v>
      </c>
      <c r="K16" s="83">
        <v>15</v>
      </c>
    </row>
    <row r="17" spans="1:20" x14ac:dyDescent="0.25">
      <c r="A17" s="96" t="s">
        <v>280</v>
      </c>
      <c r="B17" s="25" t="s">
        <v>282</v>
      </c>
      <c r="J17" s="82">
        <v>7</v>
      </c>
      <c r="K17" s="83">
        <v>18</v>
      </c>
    </row>
    <row r="18" spans="1:20" x14ac:dyDescent="0.25">
      <c r="A18" s="96" t="s">
        <v>280</v>
      </c>
      <c r="B18" t="s">
        <v>281</v>
      </c>
      <c r="J18" s="82">
        <v>4</v>
      </c>
      <c r="K18" s="83">
        <v>17</v>
      </c>
    </row>
    <row r="19" spans="1:20" x14ac:dyDescent="0.25">
      <c r="J19" s="84">
        <v>7</v>
      </c>
      <c r="K19" s="85">
        <v>22</v>
      </c>
    </row>
    <row r="20" spans="1:20" x14ac:dyDescent="0.25">
      <c r="A20" s="12" t="s">
        <v>206</v>
      </c>
      <c r="B20" s="12"/>
      <c r="C20" s="12"/>
    </row>
    <row r="21" spans="1:20" x14ac:dyDescent="0.25">
      <c r="A21" t="s">
        <v>207</v>
      </c>
      <c r="J21" t="s">
        <v>223</v>
      </c>
    </row>
    <row r="22" spans="1:20" ht="15.75" thickBot="1" x14ac:dyDescent="0.3"/>
    <row r="23" spans="1:20" x14ac:dyDescent="0.25">
      <c r="A23" s="12" t="s">
        <v>209</v>
      </c>
      <c r="B23" s="18"/>
      <c r="C23" s="18"/>
      <c r="J23" s="81" t="s">
        <v>224</v>
      </c>
      <c r="K23" s="81"/>
    </row>
    <row r="24" spans="1:20" x14ac:dyDescent="0.25">
      <c r="A24" s="2" t="s">
        <v>211</v>
      </c>
      <c r="B24">
        <v>0.16669999999999999</v>
      </c>
      <c r="J24" s="45" t="s">
        <v>225</v>
      </c>
      <c r="K24" s="52">
        <v>0.83666002653407556</v>
      </c>
      <c r="Q24" s="90" t="s">
        <v>272</v>
      </c>
      <c r="R24" s="4"/>
      <c r="S24" s="5"/>
    </row>
    <row r="25" spans="1:20" ht="17.25" x14ac:dyDescent="0.25">
      <c r="A25" s="2" t="s">
        <v>210</v>
      </c>
      <c r="B25">
        <v>1.8332999999999999</v>
      </c>
      <c r="J25" s="45" t="s">
        <v>235</v>
      </c>
      <c r="K25" s="45">
        <v>0.70000000000000007</v>
      </c>
      <c r="Q25" s="16" t="s">
        <v>271</v>
      </c>
      <c r="R25" s="7"/>
      <c r="S25" s="8"/>
    </row>
    <row r="26" spans="1:20" ht="18" x14ac:dyDescent="0.35">
      <c r="A26" t="s">
        <v>213</v>
      </c>
      <c r="B26">
        <v>4</v>
      </c>
      <c r="J26" s="45" t="s">
        <v>226</v>
      </c>
      <c r="K26" s="45">
        <v>0.65</v>
      </c>
      <c r="Q26" s="91" t="s">
        <v>253</v>
      </c>
      <c r="R26" s="7"/>
      <c r="S26" s="8"/>
    </row>
    <row r="27" spans="1:20" ht="18" x14ac:dyDescent="0.35">
      <c r="A27" s="2" t="s">
        <v>6</v>
      </c>
      <c r="B27">
        <v>10</v>
      </c>
      <c r="J27" s="45" t="s">
        <v>234</v>
      </c>
      <c r="K27" s="52">
        <v>2.3664319132398464</v>
      </c>
      <c r="L27" s="89" t="s">
        <v>242</v>
      </c>
      <c r="Q27" s="16" t="s">
        <v>292</v>
      </c>
      <c r="R27" s="7"/>
      <c r="S27" s="8"/>
      <c r="T27" s="89" t="s">
        <v>290</v>
      </c>
    </row>
    <row r="28" spans="1:20" ht="15.75" thickBot="1" x14ac:dyDescent="0.3">
      <c r="A28" s="2" t="s">
        <v>186</v>
      </c>
      <c r="B28">
        <v>196.06979999999999</v>
      </c>
      <c r="J28" s="46" t="s">
        <v>236</v>
      </c>
      <c r="K28" s="46">
        <v>8</v>
      </c>
      <c r="Q28" s="16" t="s">
        <v>254</v>
      </c>
      <c r="R28" s="7"/>
      <c r="S28" s="8"/>
      <c r="T28" t="s">
        <v>291</v>
      </c>
    </row>
    <row r="29" spans="1:20" x14ac:dyDescent="0.25">
      <c r="A29" s="2" t="s">
        <v>4</v>
      </c>
      <c r="B29">
        <v>10.5</v>
      </c>
      <c r="Q29" s="16" t="s">
        <v>293</v>
      </c>
      <c r="R29" s="7"/>
      <c r="S29" s="8"/>
    </row>
    <row r="30" spans="1:20" ht="15.75" thickBot="1" x14ac:dyDescent="0.3">
      <c r="B30">
        <v>264.5</v>
      </c>
      <c r="C30" t="s">
        <v>218</v>
      </c>
      <c r="J30" t="s">
        <v>131</v>
      </c>
      <c r="Q30" s="16" t="s">
        <v>294</v>
      </c>
      <c r="R30" s="7"/>
      <c r="S30" s="8"/>
    </row>
    <row r="31" spans="1:20" x14ac:dyDescent="0.25">
      <c r="J31" s="47"/>
      <c r="K31" s="47" t="s">
        <v>134</v>
      </c>
      <c r="L31" s="47" t="s">
        <v>133</v>
      </c>
      <c r="M31" s="47" t="s">
        <v>135</v>
      </c>
      <c r="N31" s="47" t="s">
        <v>408</v>
      </c>
      <c r="O31" s="47" t="s">
        <v>238</v>
      </c>
      <c r="Q31" s="91" t="s">
        <v>241</v>
      </c>
      <c r="R31" s="7"/>
      <c r="S31" s="8"/>
    </row>
    <row r="32" spans="1:20" ht="18" x14ac:dyDescent="0.35">
      <c r="B32" s="25" t="s">
        <v>217</v>
      </c>
      <c r="C32" s="75">
        <f>SQRT(B28)</f>
        <v>14.002492635241769</v>
      </c>
      <c r="D32" t="s">
        <v>295</v>
      </c>
      <c r="J32" s="45" t="s">
        <v>228</v>
      </c>
      <c r="K32" s="45">
        <v>1</v>
      </c>
      <c r="L32" s="45">
        <v>78.400000000000006</v>
      </c>
      <c r="M32" s="45">
        <v>78.400000000000006</v>
      </c>
      <c r="N32" s="45">
        <v>14.000000000000004</v>
      </c>
      <c r="O32" s="45">
        <v>9.6036935902880597E-3</v>
      </c>
      <c r="Q32" s="91" t="s">
        <v>239</v>
      </c>
      <c r="R32" s="7"/>
      <c r="S32" s="8"/>
    </row>
    <row r="33" spans="2:19" x14ac:dyDescent="0.25">
      <c r="B33" t="s">
        <v>212</v>
      </c>
      <c r="C33" s="75">
        <f>B24*B26+B25</f>
        <v>2.5000999999999998</v>
      </c>
      <c r="J33" s="45" t="s">
        <v>237</v>
      </c>
      <c r="K33" s="45">
        <v>6</v>
      </c>
      <c r="L33" s="45">
        <v>33.599999999999994</v>
      </c>
      <c r="M33" s="45">
        <v>5.5999999999999988</v>
      </c>
      <c r="N33" s="45"/>
      <c r="O33" s="45"/>
      <c r="Q33" s="91" t="s">
        <v>240</v>
      </c>
      <c r="R33" s="7"/>
      <c r="S33" s="8"/>
    </row>
    <row r="34" spans="2:19" ht="15.75" thickBot="1" x14ac:dyDescent="0.3">
      <c r="B34" t="s">
        <v>214</v>
      </c>
      <c r="C34" s="75">
        <f>_xlfn.T.INV(B2/2, B27-2)</f>
        <v>-2.3060041352041671</v>
      </c>
      <c r="J34" s="46" t="s">
        <v>139</v>
      </c>
      <c r="K34" s="46">
        <v>7</v>
      </c>
      <c r="L34" s="46">
        <v>112</v>
      </c>
      <c r="M34" s="46"/>
      <c r="N34" s="46"/>
      <c r="O34" s="46"/>
      <c r="Q34" s="95" t="s">
        <v>275</v>
      </c>
      <c r="R34" s="10"/>
      <c r="S34" s="11"/>
    </row>
    <row r="35" spans="2:19" ht="15.75" thickBot="1" x14ac:dyDescent="0.3"/>
    <row r="36" spans="2:19" ht="15.75" x14ac:dyDescent="0.25">
      <c r="B36" s="2" t="s">
        <v>216</v>
      </c>
      <c r="J36" s="47"/>
      <c r="K36" s="47" t="s">
        <v>349</v>
      </c>
      <c r="L36" s="47" t="s">
        <v>227</v>
      </c>
      <c r="M36" s="47" t="s">
        <v>243</v>
      </c>
      <c r="N36" s="47" t="s">
        <v>247</v>
      </c>
      <c r="O36" s="47" t="s">
        <v>230</v>
      </c>
      <c r="P36" s="47" t="s">
        <v>231</v>
      </c>
    </row>
    <row r="37" spans="2:19" x14ac:dyDescent="0.25">
      <c r="B37" s="79" t="s">
        <v>68</v>
      </c>
      <c r="C37" s="37">
        <f>C33+C34*C32*SQRT(1/B27+(B26-B29)^2/B30)</f>
        <v>-13.956153355858763</v>
      </c>
      <c r="J37" s="45" t="s">
        <v>229</v>
      </c>
      <c r="K37" s="45">
        <v>9.4</v>
      </c>
      <c r="L37" s="45">
        <v>1.7146428199482244</v>
      </c>
      <c r="M37" s="45">
        <v>5.4821913290861612</v>
      </c>
      <c r="N37" s="45">
        <v>1.5402559239975524E-3</v>
      </c>
      <c r="O37" s="52">
        <v>5.2044201633880594</v>
      </c>
      <c r="P37" s="52">
        <v>13.595579836611941</v>
      </c>
    </row>
    <row r="38" spans="2:19" ht="15.75" thickBot="1" x14ac:dyDescent="0.3">
      <c r="B38" s="80" t="s">
        <v>69</v>
      </c>
      <c r="C38" s="17">
        <f>C33-C34*C32*SQRT(1/B27+(B26-B29)^2/B30)</f>
        <v>18.956353355858763</v>
      </c>
      <c r="J38" s="46" t="s">
        <v>246</v>
      </c>
      <c r="K38" s="46">
        <v>1.4</v>
      </c>
      <c r="L38" s="46">
        <v>0.37416573867739411</v>
      </c>
      <c r="M38" s="46">
        <v>3.7416573867739413</v>
      </c>
      <c r="N38" s="46">
        <v>9.6036935902880597E-3</v>
      </c>
      <c r="O38" s="92">
        <v>0.48444941973787248</v>
      </c>
      <c r="P38" s="92">
        <v>2.3155505802621272</v>
      </c>
    </row>
    <row r="39" spans="2:19" x14ac:dyDescent="0.25">
      <c r="M39" s="25" t="s">
        <v>245</v>
      </c>
      <c r="N39" s="25" t="s">
        <v>273</v>
      </c>
      <c r="O39" s="2" t="s">
        <v>304</v>
      </c>
      <c r="Q39" s="2" t="s">
        <v>305</v>
      </c>
    </row>
    <row r="40" spans="2:19" ht="18" x14ac:dyDescent="0.35">
      <c r="B40" s="2" t="s">
        <v>215</v>
      </c>
      <c r="L40" s="25" t="s">
        <v>248</v>
      </c>
      <c r="M40" s="25" t="s">
        <v>244</v>
      </c>
      <c r="N40" s="25" t="s">
        <v>274</v>
      </c>
      <c r="O40" s="2" t="s">
        <v>303</v>
      </c>
      <c r="Q40" s="2" t="s">
        <v>306</v>
      </c>
    </row>
    <row r="41" spans="2:19" x14ac:dyDescent="0.25">
      <c r="B41" s="24" t="s">
        <v>68</v>
      </c>
      <c r="C41" s="37">
        <f>C33+C34*C32*SQRT(1+1/B27+(B26-B29)^2/B30)</f>
        <v>-33.741310580517393</v>
      </c>
      <c r="O41" t="s">
        <v>250</v>
      </c>
    </row>
    <row r="42" spans="2:19" x14ac:dyDescent="0.25">
      <c r="B42" s="9" t="s">
        <v>69</v>
      </c>
      <c r="C42" s="17">
        <f>C33-C34*C32*SQRT(1+1/B27+(B26-B29)^2/B30)</f>
        <v>38.741510580517399</v>
      </c>
      <c r="J42" s="2" t="s">
        <v>251</v>
      </c>
    </row>
    <row r="43" spans="2:19" x14ac:dyDescent="0.25">
      <c r="K43" t="s">
        <v>249</v>
      </c>
    </row>
    <row r="44" spans="2:19" x14ac:dyDescent="0.25">
      <c r="K44" t="s">
        <v>407</v>
      </c>
    </row>
    <row r="45" spans="2:19" x14ac:dyDescent="0.25">
      <c r="K45" t="s">
        <v>252</v>
      </c>
    </row>
    <row r="56" spans="10:11" x14ac:dyDescent="0.25">
      <c r="J56" s="14" t="s">
        <v>350</v>
      </c>
    </row>
    <row r="60" spans="10:11" x14ac:dyDescent="0.25">
      <c r="K60">
        <f>_xlfn.T.INV.2T(0.05,1000-1-4)</f>
        <v>1.9623510302642089</v>
      </c>
    </row>
    <row r="61" spans="10:11" x14ac:dyDescent="0.25">
      <c r="K61">
        <f>_xlfn.T.INV.2T(0.01,1000-1-4)</f>
        <v>2.5807794935341861</v>
      </c>
    </row>
    <row r="62" spans="10:11" x14ac:dyDescent="0.25">
      <c r="K62">
        <f>_xlfn.T.INV.2T(0.2,1000-1-4)</f>
        <v>1.28240298141165</v>
      </c>
    </row>
  </sheetData>
  <phoneticPr fontId="9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F24AD-4CD3-48D0-837C-C693AC712A07}">
  <dimension ref="A1:W55"/>
  <sheetViews>
    <sheetView topLeftCell="A19" zoomScale="125" workbookViewId="0">
      <selection activeCell="C43" sqref="C43"/>
    </sheetView>
  </sheetViews>
  <sheetFormatPr defaultRowHeight="15" x14ac:dyDescent="0.25"/>
  <cols>
    <col min="2" max="2" width="12.5703125" bestFit="1" customWidth="1"/>
  </cols>
  <sheetData>
    <row r="1" spans="1:16" ht="17.25" x14ac:dyDescent="0.25">
      <c r="A1" s="12" t="s">
        <v>260</v>
      </c>
      <c r="B1" s="18"/>
      <c r="G1" s="12" t="s">
        <v>307</v>
      </c>
      <c r="H1" s="18"/>
    </row>
    <row r="2" spans="1:16" x14ac:dyDescent="0.25">
      <c r="A2" s="2" t="s">
        <v>259</v>
      </c>
      <c r="B2">
        <v>50</v>
      </c>
      <c r="G2" t="s">
        <v>308</v>
      </c>
    </row>
    <row r="3" spans="1:16" x14ac:dyDescent="0.25">
      <c r="A3" s="2" t="s">
        <v>258</v>
      </c>
      <c r="B3">
        <v>4</v>
      </c>
      <c r="G3" t="s">
        <v>309</v>
      </c>
    </row>
    <row r="4" spans="1:16" x14ac:dyDescent="0.25">
      <c r="A4" s="2" t="s">
        <v>256</v>
      </c>
      <c r="B4">
        <v>1584952</v>
      </c>
      <c r="G4" t="s">
        <v>310</v>
      </c>
    </row>
    <row r="5" spans="1:16" x14ac:dyDescent="0.25">
      <c r="A5" s="2" t="s">
        <v>257</v>
      </c>
      <c r="B5">
        <v>2767685</v>
      </c>
    </row>
    <row r="6" spans="1:16" x14ac:dyDescent="0.25">
      <c r="B6" s="93" t="s">
        <v>255</v>
      </c>
      <c r="C6" s="94">
        <f>1-((B4/(B2-B3-1))/(B5/(B2-1)))</f>
        <v>0.37643314820067231</v>
      </c>
      <c r="G6" s="89" t="s">
        <v>311</v>
      </c>
    </row>
    <row r="7" spans="1:16" ht="17.25" x14ac:dyDescent="0.25">
      <c r="A7" s="25" t="s">
        <v>261</v>
      </c>
      <c r="G7" t="s">
        <v>312</v>
      </c>
    </row>
    <row r="8" spans="1:16" x14ac:dyDescent="0.25">
      <c r="A8" t="s">
        <v>262</v>
      </c>
      <c r="G8" t="s">
        <v>313</v>
      </c>
    </row>
    <row r="9" spans="1:16" x14ac:dyDescent="0.25">
      <c r="A9" t="s">
        <v>263</v>
      </c>
      <c r="G9" t="s">
        <v>314</v>
      </c>
    </row>
    <row r="10" spans="1:16" x14ac:dyDescent="0.25">
      <c r="A10" s="25" t="s">
        <v>264</v>
      </c>
    </row>
    <row r="11" spans="1:16" x14ac:dyDescent="0.25">
      <c r="A11" t="s">
        <v>265</v>
      </c>
      <c r="G11" s="89" t="s">
        <v>316</v>
      </c>
    </row>
    <row r="12" spans="1:16" x14ac:dyDescent="0.25">
      <c r="G12" t="s">
        <v>315</v>
      </c>
    </row>
    <row r="13" spans="1:16" x14ac:dyDescent="0.25">
      <c r="A13" s="12" t="s">
        <v>266</v>
      </c>
    </row>
    <row r="14" spans="1:16" x14ac:dyDescent="0.25">
      <c r="A14" t="s">
        <v>267</v>
      </c>
      <c r="G14" s="12" t="s">
        <v>317</v>
      </c>
      <c r="H14" s="98"/>
      <c r="I14" s="89" t="s">
        <v>334</v>
      </c>
    </row>
    <row r="15" spans="1:16" x14ac:dyDescent="0.25">
      <c r="A15" t="s">
        <v>268</v>
      </c>
      <c r="H15" s="97" t="s">
        <v>196</v>
      </c>
      <c r="I15" t="s">
        <v>335</v>
      </c>
      <c r="O15" s="97" t="s">
        <v>196</v>
      </c>
      <c r="P15" t="s">
        <v>336</v>
      </c>
    </row>
    <row r="17" spans="1:23" ht="15.75" thickBot="1" x14ac:dyDescent="0.3">
      <c r="A17" s="12" t="s">
        <v>269</v>
      </c>
      <c r="B17" s="18"/>
      <c r="C17" s="18"/>
    </row>
    <row r="18" spans="1:23" x14ac:dyDescent="0.25">
      <c r="T18" s="100" t="s">
        <v>337</v>
      </c>
      <c r="U18" s="65"/>
      <c r="V18" s="65"/>
      <c r="W18" s="66"/>
    </row>
    <row r="19" spans="1:23" x14ac:dyDescent="0.25">
      <c r="T19" s="70" t="s">
        <v>340</v>
      </c>
      <c r="U19" s="7"/>
      <c r="V19" s="7"/>
      <c r="W19" s="68"/>
    </row>
    <row r="20" spans="1:23" x14ac:dyDescent="0.25">
      <c r="T20" s="101" t="s">
        <v>341</v>
      </c>
      <c r="U20" s="7"/>
      <c r="V20" s="7"/>
      <c r="W20" s="68"/>
    </row>
    <row r="21" spans="1:23" x14ac:dyDescent="0.25">
      <c r="T21" s="70" t="s">
        <v>338</v>
      </c>
      <c r="U21" s="7"/>
      <c r="V21" s="7"/>
      <c r="W21" s="68"/>
    </row>
    <row r="22" spans="1:23" ht="15.75" thickBot="1" x14ac:dyDescent="0.3">
      <c r="A22" s="89" t="s">
        <v>270</v>
      </c>
      <c r="T22" s="72" t="s">
        <v>339</v>
      </c>
      <c r="U22" s="73"/>
      <c r="V22" s="73"/>
      <c r="W22" s="74"/>
    </row>
    <row r="24" spans="1:23" x14ac:dyDescent="0.25">
      <c r="A24" s="12" t="s">
        <v>296</v>
      </c>
      <c r="B24" s="18"/>
      <c r="C24" s="18"/>
      <c r="D24" s="18"/>
      <c r="E24" s="18"/>
    </row>
    <row r="25" spans="1:23" x14ac:dyDescent="0.25">
      <c r="A25" s="2" t="s">
        <v>0</v>
      </c>
      <c r="B25">
        <v>0.05</v>
      </c>
      <c r="H25" s="97" t="s">
        <v>197</v>
      </c>
      <c r="I25" t="s">
        <v>318</v>
      </c>
    </row>
    <row r="26" spans="1:23" x14ac:dyDescent="0.25">
      <c r="A26" s="2" t="s">
        <v>6</v>
      </c>
      <c r="B26">
        <v>73</v>
      </c>
    </row>
    <row r="27" spans="1:23" x14ac:dyDescent="0.25">
      <c r="A27" s="2" t="s">
        <v>302</v>
      </c>
      <c r="B27">
        <v>4</v>
      </c>
      <c r="G27" s="12" t="s">
        <v>319</v>
      </c>
      <c r="H27" s="18"/>
      <c r="I27" s="18"/>
      <c r="J27" t="s">
        <v>320</v>
      </c>
    </row>
    <row r="28" spans="1:23" x14ac:dyDescent="0.25">
      <c r="A28" s="2" t="s">
        <v>297</v>
      </c>
      <c r="B28">
        <v>0</v>
      </c>
      <c r="H28" s="97" t="s">
        <v>196</v>
      </c>
      <c r="I28" t="s">
        <v>321</v>
      </c>
    </row>
    <row r="29" spans="1:23" ht="18" x14ac:dyDescent="0.35">
      <c r="A29" s="2" t="s">
        <v>298</v>
      </c>
      <c r="B29">
        <v>2.1</v>
      </c>
    </row>
    <row r="30" spans="1:23" x14ac:dyDescent="0.25">
      <c r="B30" t="s">
        <v>299</v>
      </c>
      <c r="C30" s="75">
        <f>_xlfn.T.INV.2T(B25,B26-B27-1)</f>
        <v>1.9954689314298424</v>
      </c>
    </row>
    <row r="31" spans="1:23" x14ac:dyDescent="0.25">
      <c r="B31" s="24" t="s">
        <v>47</v>
      </c>
      <c r="C31" s="76">
        <f>B28-C30*(B29/SQRT(B26))</f>
        <v>-0.49045914315044969</v>
      </c>
    </row>
    <row r="32" spans="1:23" x14ac:dyDescent="0.25">
      <c r="B32" s="9" t="s">
        <v>48</v>
      </c>
      <c r="C32" s="78">
        <f>B28+C30*(B29/SQRT(B26))</f>
        <v>0.49045914315044969</v>
      </c>
    </row>
    <row r="34" spans="1:9" x14ac:dyDescent="0.25">
      <c r="A34" t="s">
        <v>301</v>
      </c>
    </row>
    <row r="35" spans="1:9" x14ac:dyDescent="0.25">
      <c r="B35" s="24" t="s">
        <v>47</v>
      </c>
      <c r="C35" s="37">
        <f>B28-2*(B29/SQRT(B26))</f>
        <v>-0.49157281822374843</v>
      </c>
    </row>
    <row r="36" spans="1:9" x14ac:dyDescent="0.25">
      <c r="B36" s="9" t="s">
        <v>48</v>
      </c>
      <c r="C36" s="17">
        <f>B28+2*(B29/SQRT(B26))</f>
        <v>0.49157281822374843</v>
      </c>
    </row>
    <row r="38" spans="1:9" x14ac:dyDescent="0.25">
      <c r="A38" s="12" t="s">
        <v>300</v>
      </c>
      <c r="B38" s="18"/>
      <c r="C38" s="18"/>
      <c r="D38" s="18"/>
      <c r="E38" s="18"/>
    </row>
    <row r="39" spans="1:9" x14ac:dyDescent="0.25">
      <c r="B39" s="24" t="s">
        <v>47</v>
      </c>
      <c r="C39" s="37">
        <f>B28-C30*B29</f>
        <v>-4.190484756002669</v>
      </c>
    </row>
    <row r="40" spans="1:9" x14ac:dyDescent="0.25">
      <c r="B40" s="9" t="s">
        <v>48</v>
      </c>
      <c r="C40" s="17">
        <f>B28+C30*B29</f>
        <v>4.190484756002669</v>
      </c>
      <c r="H40" s="97" t="s">
        <v>197</v>
      </c>
      <c r="I40" t="s">
        <v>322</v>
      </c>
    </row>
    <row r="42" spans="1:9" x14ac:dyDescent="0.25">
      <c r="A42" t="s">
        <v>301</v>
      </c>
    </row>
    <row r="43" spans="1:9" x14ac:dyDescent="0.25">
      <c r="B43" s="24" t="s">
        <v>47</v>
      </c>
      <c r="C43" s="37">
        <f>B28-2*B29</f>
        <v>-4.2</v>
      </c>
    </row>
    <row r="44" spans="1:9" x14ac:dyDescent="0.25">
      <c r="B44" s="9" t="s">
        <v>48</v>
      </c>
      <c r="C44" s="17">
        <f>B28+2*B29</f>
        <v>4.2</v>
      </c>
    </row>
    <row r="50" spans="8:13" x14ac:dyDescent="0.25">
      <c r="H50" s="97" t="s">
        <v>198</v>
      </c>
      <c r="I50" t="s">
        <v>323</v>
      </c>
    </row>
    <row r="51" spans="8:13" x14ac:dyDescent="0.25">
      <c r="I51" t="s">
        <v>324</v>
      </c>
      <c r="J51" t="s">
        <v>328</v>
      </c>
    </row>
    <row r="52" spans="8:13" x14ac:dyDescent="0.25">
      <c r="I52" t="s">
        <v>325</v>
      </c>
      <c r="J52" t="s">
        <v>329</v>
      </c>
    </row>
    <row r="53" spans="8:13" x14ac:dyDescent="0.25">
      <c r="I53" s="99" t="s">
        <v>326</v>
      </c>
      <c r="J53" s="99" t="s">
        <v>330</v>
      </c>
      <c r="K53" s="99"/>
      <c r="L53" s="99"/>
      <c r="M53" t="s">
        <v>332</v>
      </c>
    </row>
    <row r="54" spans="8:13" x14ac:dyDescent="0.25">
      <c r="I54" s="99" t="s">
        <v>327</v>
      </c>
      <c r="J54" s="99" t="s">
        <v>331</v>
      </c>
      <c r="K54" s="99"/>
      <c r="L54" s="99"/>
      <c r="M54" t="s">
        <v>332</v>
      </c>
    </row>
    <row r="55" spans="8:13" x14ac:dyDescent="0.25">
      <c r="H55" t="s">
        <v>333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91F01-B87C-48C8-B51A-D19CE5CFFA1D}">
  <dimension ref="A1:E37"/>
  <sheetViews>
    <sheetView workbookViewId="0">
      <selection activeCell="M19" sqref="M19"/>
    </sheetView>
  </sheetViews>
  <sheetFormatPr defaultRowHeight="15" x14ac:dyDescent="0.25"/>
  <cols>
    <col min="1" max="1" width="13.7109375" bestFit="1" customWidth="1"/>
    <col min="2" max="2" width="12.28515625" bestFit="1" customWidth="1"/>
  </cols>
  <sheetData>
    <row r="1" spans="1:5" x14ac:dyDescent="0.25">
      <c r="A1" s="12" t="s">
        <v>344</v>
      </c>
      <c r="B1" s="18"/>
    </row>
    <row r="2" spans="1:5" s="103" customFormat="1" x14ac:dyDescent="0.25">
      <c r="A2" s="102"/>
      <c r="B2" s="104"/>
      <c r="D2" s="97" t="s">
        <v>196</v>
      </c>
      <c r="E2" s="103" t="s">
        <v>345</v>
      </c>
    </row>
    <row r="3" spans="1:5" x14ac:dyDescent="0.25">
      <c r="A3" s="105" t="s">
        <v>342</v>
      </c>
      <c r="B3" s="106" t="s">
        <v>343</v>
      </c>
    </row>
    <row r="4" spans="1:5" x14ac:dyDescent="0.25">
      <c r="A4" s="107">
        <v>2007</v>
      </c>
      <c r="B4" s="108">
        <v>173966</v>
      </c>
    </row>
    <row r="5" spans="1:5" x14ac:dyDescent="0.25">
      <c r="A5" s="109">
        <v>2008</v>
      </c>
      <c r="B5" s="110">
        <v>174703</v>
      </c>
    </row>
    <row r="6" spans="1:5" x14ac:dyDescent="0.25">
      <c r="A6" s="109">
        <v>2009</v>
      </c>
      <c r="B6" s="110">
        <v>173159</v>
      </c>
    </row>
    <row r="7" spans="1:5" x14ac:dyDescent="0.25">
      <c r="A7" s="109">
        <v>2010</v>
      </c>
      <c r="B7" s="110">
        <v>173698</v>
      </c>
    </row>
    <row r="8" spans="1:5" x14ac:dyDescent="0.25">
      <c r="A8" s="109">
        <v>2011</v>
      </c>
      <c r="B8" s="110">
        <v>174043</v>
      </c>
    </row>
    <row r="9" spans="1:5" x14ac:dyDescent="0.25">
      <c r="A9" s="109">
        <v>2012</v>
      </c>
      <c r="B9" s="110">
        <v>175676</v>
      </c>
    </row>
    <row r="10" spans="1:5" x14ac:dyDescent="0.25">
      <c r="A10" s="109">
        <v>2013</v>
      </c>
      <c r="B10" s="110">
        <v>175199</v>
      </c>
    </row>
    <row r="11" spans="1:5" x14ac:dyDescent="0.25">
      <c r="A11" s="109">
        <v>2014</v>
      </c>
      <c r="B11" s="110">
        <v>176286</v>
      </c>
    </row>
    <row r="12" spans="1:5" x14ac:dyDescent="0.25">
      <c r="A12" s="109">
        <v>2015</v>
      </c>
      <c r="B12" s="110">
        <v>178005</v>
      </c>
    </row>
    <row r="13" spans="1:5" x14ac:dyDescent="0.25">
      <c r="A13" s="111">
        <v>2016</v>
      </c>
      <c r="B13" s="112">
        <v>179688</v>
      </c>
    </row>
    <row r="15" spans="1:5" x14ac:dyDescent="0.25">
      <c r="D15" s="97" t="s">
        <v>197</v>
      </c>
      <c r="E15" t="s">
        <v>346</v>
      </c>
    </row>
    <row r="26" spans="4:5" x14ac:dyDescent="0.25">
      <c r="D26" s="97" t="s">
        <v>198</v>
      </c>
      <c r="E26" t="s">
        <v>347</v>
      </c>
    </row>
    <row r="37" spans="4:5" x14ac:dyDescent="0.25">
      <c r="D37" t="s">
        <v>199</v>
      </c>
      <c r="E37" t="s">
        <v>348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2C05B-91B3-4929-98DF-257027E09E7C}">
  <dimension ref="A1:V27"/>
  <sheetViews>
    <sheetView zoomScale="114" workbookViewId="0">
      <selection activeCell="J27" sqref="J27"/>
    </sheetView>
  </sheetViews>
  <sheetFormatPr defaultRowHeight="15" x14ac:dyDescent="0.25"/>
  <cols>
    <col min="3" max="3" width="12.5703125" bestFit="1" customWidth="1"/>
    <col min="13" max="13" width="12.5703125" bestFit="1" customWidth="1"/>
    <col min="15" max="15" width="10.28515625" customWidth="1"/>
    <col min="17" max="17" width="9.42578125" customWidth="1"/>
  </cols>
  <sheetData>
    <row r="1" spans="1:22" x14ac:dyDescent="0.25">
      <c r="E1" s="12" t="s">
        <v>10</v>
      </c>
      <c r="F1" s="18"/>
      <c r="G1" s="103"/>
      <c r="H1" s="103"/>
      <c r="K1" s="12" t="s">
        <v>372</v>
      </c>
      <c r="L1" s="18"/>
      <c r="O1" s="12" t="s">
        <v>377</v>
      </c>
    </row>
    <row r="2" spans="1:22" x14ac:dyDescent="0.25">
      <c r="E2" s="102" t="s">
        <v>361</v>
      </c>
      <c r="F2" s="104">
        <v>17.54</v>
      </c>
      <c r="G2" s="103"/>
      <c r="H2" s="103"/>
      <c r="O2" t="s">
        <v>398</v>
      </c>
    </row>
    <row r="3" spans="1:22" x14ac:dyDescent="0.25">
      <c r="A3" t="s">
        <v>351</v>
      </c>
      <c r="E3" s="103"/>
      <c r="F3" s="103" t="s">
        <v>10</v>
      </c>
      <c r="G3" s="103">
        <f>_xlfn.CHISQ.DIST.RT(F2,C8)</f>
        <v>1.5532358064888985E-4</v>
      </c>
      <c r="H3" s="103"/>
      <c r="O3" t="s">
        <v>399</v>
      </c>
    </row>
    <row r="4" spans="1:22" s="103" customFormat="1" x14ac:dyDescent="0.25">
      <c r="A4" s="12" t="s">
        <v>91</v>
      </c>
      <c r="B4" s="18"/>
      <c r="E4" s="12" t="s">
        <v>99</v>
      </c>
      <c r="F4" s="18"/>
      <c r="G4"/>
      <c r="K4" s="115" t="s">
        <v>373</v>
      </c>
      <c r="L4" s="103">
        <v>40</v>
      </c>
      <c r="O4" s="2" t="s">
        <v>0</v>
      </c>
      <c r="P4">
        <v>0.01</v>
      </c>
      <c r="Q4"/>
      <c r="R4"/>
      <c r="S4"/>
      <c r="T4"/>
      <c r="U4"/>
      <c r="V4"/>
    </row>
    <row r="5" spans="1:22" s="103" customFormat="1" x14ac:dyDescent="0.25">
      <c r="A5" s="2" t="s">
        <v>0</v>
      </c>
      <c r="B5" s="103">
        <v>0.01</v>
      </c>
      <c r="E5" t="s">
        <v>77</v>
      </c>
      <c r="F5" t="b">
        <f>G3&lt;B5</f>
        <v>1</v>
      </c>
      <c r="G5"/>
      <c r="K5" s="115" t="s">
        <v>92</v>
      </c>
      <c r="L5" s="103">
        <v>69</v>
      </c>
      <c r="O5" s="2" t="s">
        <v>378</v>
      </c>
      <c r="P5"/>
      <c r="Q5" t="s">
        <v>397</v>
      </c>
      <c r="R5"/>
      <c r="S5"/>
      <c r="T5"/>
      <c r="U5"/>
      <c r="V5"/>
    </row>
    <row r="6" spans="1:22" x14ac:dyDescent="0.25">
      <c r="A6" s="2" t="s">
        <v>352</v>
      </c>
      <c r="B6">
        <v>2</v>
      </c>
      <c r="K6" s="115" t="s">
        <v>374</v>
      </c>
      <c r="L6">
        <v>61</v>
      </c>
      <c r="O6" s="2" t="s">
        <v>379</v>
      </c>
      <c r="P6">
        <v>2</v>
      </c>
      <c r="Q6" t="s">
        <v>380</v>
      </c>
      <c r="S6" s="103"/>
      <c r="T6" s="103"/>
      <c r="U6" s="103"/>
      <c r="V6" s="103"/>
    </row>
    <row r="7" spans="1:22" x14ac:dyDescent="0.25">
      <c r="A7" s="2" t="s">
        <v>353</v>
      </c>
      <c r="B7">
        <v>3</v>
      </c>
      <c r="G7" s="121" t="s">
        <v>370</v>
      </c>
      <c r="H7" s="121"/>
      <c r="I7" s="121"/>
      <c r="K7" s="115" t="s">
        <v>93</v>
      </c>
      <c r="L7">
        <v>384</v>
      </c>
      <c r="O7" s="103"/>
      <c r="P7" s="103" t="s">
        <v>134</v>
      </c>
      <c r="Q7" s="103">
        <f>P6-P5-1</f>
        <v>1</v>
      </c>
      <c r="R7" s="103"/>
      <c r="S7" s="103"/>
      <c r="T7" s="103"/>
      <c r="U7" s="103"/>
      <c r="V7" s="103"/>
    </row>
    <row r="8" spans="1:22" x14ac:dyDescent="0.25">
      <c r="B8" t="s">
        <v>134</v>
      </c>
      <c r="C8">
        <f>(B6-1)*(B7-1)</f>
        <v>2</v>
      </c>
      <c r="F8" s="114" t="s">
        <v>362</v>
      </c>
      <c r="G8" s="113" t="s">
        <v>367</v>
      </c>
      <c r="H8" s="113" t="s">
        <v>368</v>
      </c>
      <c r="I8" s="113" t="s">
        <v>369</v>
      </c>
      <c r="L8" s="119" t="s">
        <v>375</v>
      </c>
      <c r="M8">
        <f>(L4+L6)/(L5+L7)</f>
        <v>0.22295805739514349</v>
      </c>
      <c r="O8" s="103"/>
      <c r="P8" s="103" t="s">
        <v>359</v>
      </c>
      <c r="Q8" s="103">
        <f>_xlfn.CHISQ.INV.RT(P4,Q7)</f>
        <v>6.6348966010212118</v>
      </c>
      <c r="R8" s="103"/>
    </row>
    <row r="9" spans="1:22" s="103" customFormat="1" x14ac:dyDescent="0.25">
      <c r="B9" s="103" t="s">
        <v>359</v>
      </c>
      <c r="C9" s="103">
        <f>_xlfn.CHISQ.INV.RT(B5,C8)</f>
        <v>9.2103403719761818</v>
      </c>
      <c r="F9" s="113" t="s">
        <v>363</v>
      </c>
      <c r="G9" s="116">
        <v>56</v>
      </c>
      <c r="H9" s="116">
        <v>68</v>
      </c>
      <c r="I9" s="116">
        <v>35</v>
      </c>
      <c r="J9" s="113">
        <f>SUM(G9:I9)</f>
        <v>159</v>
      </c>
      <c r="L9" s="119" t="s">
        <v>376</v>
      </c>
      <c r="M9" s="103">
        <f>(L4/L5-L6/L7)/SQRT(M8*(1-M8)*(1/L5+1/L7))</f>
        <v>7.7328705604672985</v>
      </c>
      <c r="O9"/>
      <c r="P9"/>
      <c r="Q9"/>
      <c r="R9"/>
      <c r="S9"/>
      <c r="T9"/>
      <c r="U9"/>
      <c r="V9"/>
    </row>
    <row r="10" spans="1:22" s="103" customFormat="1" x14ac:dyDescent="0.25">
      <c r="F10" s="113" t="s">
        <v>364</v>
      </c>
      <c r="G10" s="116">
        <v>19</v>
      </c>
      <c r="H10" s="116">
        <v>19</v>
      </c>
      <c r="I10" s="116">
        <v>28</v>
      </c>
      <c r="J10" s="113">
        <f t="shared" ref="J10:J12" si="0">SUM(G10:I10)</f>
        <v>66</v>
      </c>
      <c r="L10" s="119" t="s">
        <v>10</v>
      </c>
      <c r="M10" s="103">
        <f>2*(1-_xlfn.NORM.S.DIST(M9,TRUE))</f>
        <v>1.0436096431476471E-14</v>
      </c>
      <c r="O10" s="12" t="s">
        <v>360</v>
      </c>
      <c r="P10" s="18"/>
      <c r="Q10"/>
      <c r="R10"/>
      <c r="S10"/>
      <c r="T10"/>
      <c r="U10"/>
      <c r="V10"/>
    </row>
    <row r="11" spans="1:22" s="103" customFormat="1" x14ac:dyDescent="0.25">
      <c r="A11" s="12" t="s">
        <v>360</v>
      </c>
      <c r="B11" s="18"/>
      <c r="F11" s="113" t="s">
        <v>365</v>
      </c>
      <c r="G11" s="116">
        <v>6</v>
      </c>
      <c r="H11" s="116">
        <v>10</v>
      </c>
      <c r="I11" s="116">
        <v>16</v>
      </c>
      <c r="J11" s="113">
        <f t="shared" si="0"/>
        <v>32</v>
      </c>
      <c r="L11" s="119" t="s">
        <v>361</v>
      </c>
      <c r="M11" s="103">
        <f>M9^2</f>
        <v>59.79728710494183</v>
      </c>
      <c r="O11" s="102" t="s">
        <v>6</v>
      </c>
      <c r="P11" s="104">
        <v>220</v>
      </c>
      <c r="Q11" s="14" t="s">
        <v>396</v>
      </c>
    </row>
    <row r="12" spans="1:22" s="103" customFormat="1" ht="18" x14ac:dyDescent="0.35">
      <c r="A12" s="102" t="s">
        <v>6</v>
      </c>
      <c r="B12" s="104">
        <v>291</v>
      </c>
      <c r="F12" s="113" t="s">
        <v>366</v>
      </c>
      <c r="G12" s="116">
        <v>12</v>
      </c>
      <c r="H12" s="116">
        <v>9</v>
      </c>
      <c r="I12" s="116">
        <v>13</v>
      </c>
      <c r="J12" s="113">
        <f t="shared" si="0"/>
        <v>34</v>
      </c>
      <c r="O12" s="120" t="s">
        <v>381</v>
      </c>
      <c r="P12" s="103">
        <v>0.13</v>
      </c>
      <c r="Q12" s="103" t="s">
        <v>382</v>
      </c>
    </row>
    <row r="13" spans="1:22" ht="18" x14ac:dyDescent="0.35">
      <c r="A13" s="2" t="s">
        <v>355</v>
      </c>
      <c r="B13" s="103">
        <v>159</v>
      </c>
      <c r="C13" s="103" t="s">
        <v>357</v>
      </c>
      <c r="D13" s="103"/>
      <c r="G13" s="113">
        <f>SUM(G9:G12)</f>
        <v>93</v>
      </c>
      <c r="H13" s="113">
        <f t="shared" ref="H13:I13" si="1">SUM(H9:H12)</f>
        <v>106</v>
      </c>
      <c r="I13" s="113">
        <f t="shared" si="1"/>
        <v>92</v>
      </c>
      <c r="J13" s="117">
        <f>SUM(J9:J12)</f>
        <v>291</v>
      </c>
      <c r="O13" s="103"/>
      <c r="P13" s="103" t="s">
        <v>392</v>
      </c>
      <c r="Q13" s="103">
        <f>P11*P12</f>
        <v>28.6</v>
      </c>
      <c r="R13" s="103"/>
      <c r="S13" s="103"/>
      <c r="T13" s="103"/>
      <c r="U13" s="103"/>
      <c r="V13" s="103"/>
    </row>
    <row r="14" spans="1:22" ht="18" x14ac:dyDescent="0.35">
      <c r="A14" s="2" t="s">
        <v>356</v>
      </c>
      <c r="B14" s="103">
        <v>93</v>
      </c>
      <c r="C14" s="103" t="s">
        <v>358</v>
      </c>
      <c r="D14" s="103"/>
      <c r="O14" s="103"/>
      <c r="P14" s="103"/>
      <c r="Q14" s="103"/>
      <c r="R14" s="103"/>
      <c r="S14" s="103"/>
      <c r="T14" s="103"/>
      <c r="U14" s="103"/>
      <c r="V14" s="103"/>
    </row>
    <row r="15" spans="1:22" ht="18" x14ac:dyDescent="0.35">
      <c r="B15" t="s">
        <v>354</v>
      </c>
      <c r="C15">
        <f>B13*B14/B12</f>
        <v>50.814432989690722</v>
      </c>
      <c r="G15" s="122" t="s">
        <v>371</v>
      </c>
      <c r="H15" s="122"/>
      <c r="I15" s="122"/>
      <c r="O15" s="115" t="s">
        <v>383</v>
      </c>
      <c r="P15" s="115" t="s">
        <v>391</v>
      </c>
      <c r="Q15" s="115" t="s">
        <v>390</v>
      </c>
      <c r="R15" s="115" t="s">
        <v>393</v>
      </c>
      <c r="S15" s="115"/>
    </row>
    <row r="16" spans="1:22" s="103" customFormat="1" x14ac:dyDescent="0.25">
      <c r="A16" s="12" t="s">
        <v>1</v>
      </c>
      <c r="B16" s="18"/>
      <c r="F16" s="114" t="s">
        <v>362</v>
      </c>
      <c r="G16" s="113" t="s">
        <v>367</v>
      </c>
      <c r="H16" s="113" t="s">
        <v>368</v>
      </c>
      <c r="I16" s="113" t="s">
        <v>369</v>
      </c>
      <c r="O16" t="s">
        <v>384</v>
      </c>
      <c r="P16" s="116">
        <v>0.13</v>
      </c>
      <c r="Q16" s="116">
        <v>38</v>
      </c>
      <c r="R16" s="116">
        <f>P16*$P$11</f>
        <v>28.6</v>
      </c>
      <c r="S16"/>
      <c r="T16"/>
      <c r="U16"/>
      <c r="V16"/>
    </row>
    <row r="17" spans="1:22" s="103" customFormat="1" x14ac:dyDescent="0.25">
      <c r="A17" s="102"/>
      <c r="B17" s="104"/>
      <c r="F17" s="113" t="s">
        <v>363</v>
      </c>
      <c r="G17" s="116">
        <f>($J$9*G13)/$J$13</f>
        <v>50.814432989690722</v>
      </c>
      <c r="H17" s="116">
        <f>($J$9*H13)/$J$13</f>
        <v>57.917525773195877</v>
      </c>
      <c r="I17" s="116">
        <f>($J$9*I13)/$J$13</f>
        <v>50.268041237113401</v>
      </c>
      <c r="J17" s="113">
        <f>SUM(G17:I17)</f>
        <v>159</v>
      </c>
      <c r="O17" t="s">
        <v>385</v>
      </c>
      <c r="P17" s="116">
        <v>0.13</v>
      </c>
      <c r="Q17" s="116">
        <v>30</v>
      </c>
      <c r="R17" s="116">
        <f t="shared" ref="R16:R21" si="2">P17*$P$11</f>
        <v>28.6</v>
      </c>
      <c r="T17"/>
      <c r="U17"/>
      <c r="V17"/>
    </row>
    <row r="18" spans="1:22" s="103" customFormat="1" x14ac:dyDescent="0.25">
      <c r="A18" s="102"/>
      <c r="B18" s="104"/>
      <c r="F18" s="113" t="s">
        <v>364</v>
      </c>
      <c r="G18" s="116">
        <f>($J$10*G13)/$J$13</f>
        <v>21.092783505154639</v>
      </c>
      <c r="H18" s="116">
        <f>($J$10*H13)/$J$13</f>
        <v>24.041237113402062</v>
      </c>
      <c r="I18" s="116">
        <f t="shared" ref="H18:I18" si="3">($J$10*I13)/$J$13</f>
        <v>20.865979381443299</v>
      </c>
      <c r="J18" s="113">
        <f t="shared" ref="J18:J20" si="4">SUM(G18:I18)</f>
        <v>66</v>
      </c>
      <c r="O18" s="103" t="s">
        <v>386</v>
      </c>
      <c r="P18" s="116">
        <v>0.24</v>
      </c>
      <c r="Q18" s="116">
        <v>44</v>
      </c>
      <c r="R18" s="116">
        <f t="shared" si="2"/>
        <v>52.8</v>
      </c>
    </row>
    <row r="19" spans="1:22" x14ac:dyDescent="0.25">
      <c r="F19" s="113" t="s">
        <v>365</v>
      </c>
      <c r="G19" s="116">
        <f>($J$11*G13)/$J$13</f>
        <v>10.226804123711339</v>
      </c>
      <c r="H19" s="116">
        <f t="shared" ref="H19:I19" si="5">($J$11*H13)/$J$13</f>
        <v>11.656357388316151</v>
      </c>
      <c r="I19" s="116">
        <f t="shared" si="5"/>
        <v>10.116838487972508</v>
      </c>
      <c r="J19" s="113">
        <f t="shared" si="4"/>
        <v>32</v>
      </c>
      <c r="O19" s="103" t="s">
        <v>387</v>
      </c>
      <c r="P19" s="116">
        <v>0.2</v>
      </c>
      <c r="Q19" s="116">
        <v>52</v>
      </c>
      <c r="R19" s="116">
        <f t="shared" si="2"/>
        <v>44</v>
      </c>
      <c r="S19" s="103"/>
      <c r="T19" s="103"/>
      <c r="U19" s="103"/>
      <c r="V19" s="103"/>
    </row>
    <row r="20" spans="1:22" x14ac:dyDescent="0.25">
      <c r="F20" s="113" t="s">
        <v>366</v>
      </c>
      <c r="G20" s="116">
        <f>($J$12*G13)/$J$13</f>
        <v>10.865979381443299</v>
      </c>
      <c r="H20" s="116">
        <f t="shared" ref="H20:I20" si="6">($J$12*H13)/$J$13</f>
        <v>12.384879725085911</v>
      </c>
      <c r="I20" s="116">
        <f t="shared" si="6"/>
        <v>10.749140893470789</v>
      </c>
      <c r="J20" s="113">
        <f t="shared" si="4"/>
        <v>34</v>
      </c>
      <c r="O20" s="103" t="s">
        <v>388</v>
      </c>
      <c r="P20" s="116">
        <v>0.16</v>
      </c>
      <c r="Q20" s="116">
        <v>30</v>
      </c>
      <c r="R20" s="116">
        <f t="shared" si="2"/>
        <v>35.200000000000003</v>
      </c>
      <c r="S20" s="103"/>
      <c r="T20" s="103"/>
      <c r="U20" s="103"/>
      <c r="V20" s="103"/>
    </row>
    <row r="21" spans="1:22" x14ac:dyDescent="0.25">
      <c r="F21" s="103"/>
      <c r="G21" s="113">
        <f>SUM(G17:G20)</f>
        <v>92.999999999999986</v>
      </c>
      <c r="H21" s="113">
        <f t="shared" ref="H21" si="7">SUM(H17:H20)</f>
        <v>106</v>
      </c>
      <c r="I21" s="113">
        <f t="shared" ref="I21" si="8">SUM(I17:I20)</f>
        <v>92.000000000000014</v>
      </c>
      <c r="J21" s="117">
        <f>SUM(J17:J20)</f>
        <v>291</v>
      </c>
      <c r="O21" t="s">
        <v>389</v>
      </c>
      <c r="P21" s="116">
        <v>0.14000000000000001</v>
      </c>
      <c r="Q21" s="116">
        <v>26</v>
      </c>
      <c r="R21" s="116">
        <f t="shared" si="2"/>
        <v>30.800000000000004</v>
      </c>
      <c r="S21" s="103"/>
    </row>
    <row r="23" spans="1:22" x14ac:dyDescent="0.25">
      <c r="F23" s="118" t="s">
        <v>10</v>
      </c>
      <c r="G23">
        <f>_xlfn.CHISQ.TEST(G9:I12,G17:I20)</f>
        <v>7.478972103908567E-3</v>
      </c>
      <c r="P23" t="s">
        <v>10</v>
      </c>
      <c r="Q23">
        <f>_xlfn.CHISQ.TEST(Q16:Q21,R16:R21)</f>
        <v>0.17998336916128585</v>
      </c>
    </row>
    <row r="24" spans="1:22" x14ac:dyDescent="0.25">
      <c r="F24" s="114" t="s">
        <v>361</v>
      </c>
      <c r="G24">
        <f>_xlfn.CHISQ.INV.RT(G23,C8)</f>
        <v>9.7913198314044081</v>
      </c>
      <c r="P24" t="s">
        <v>361</v>
      </c>
      <c r="Q24">
        <f>_xlfn.CHISQ.INV.RT(Q23,Q7)</f>
        <v>1.7977613778471273</v>
      </c>
    </row>
    <row r="26" spans="1:22" x14ac:dyDescent="0.25">
      <c r="O26" s="2" t="s">
        <v>278</v>
      </c>
      <c r="P26" t="s">
        <v>394</v>
      </c>
    </row>
    <row r="27" spans="1:22" x14ac:dyDescent="0.25">
      <c r="P27" t="s">
        <v>395</v>
      </c>
    </row>
  </sheetData>
  <mergeCells count="2">
    <mergeCell ref="G7:I7"/>
    <mergeCell ref="G15:I1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EF5D2-C21E-4307-BA55-464075796348}">
  <sheetPr codeName="Sheet1"/>
  <dimension ref="A1:S45"/>
  <sheetViews>
    <sheetView topLeftCell="A10" zoomScale="119" zoomScaleNormal="280" workbookViewId="0">
      <selection activeCell="F32" sqref="F32"/>
    </sheetView>
  </sheetViews>
  <sheetFormatPr defaultRowHeight="15" x14ac:dyDescent="0.25"/>
  <cols>
    <col min="1" max="1" width="20.42578125" bestFit="1" customWidth="1"/>
    <col min="2" max="2" width="10.28515625" bestFit="1" customWidth="1"/>
    <col min="3" max="3" width="14.85546875" customWidth="1"/>
    <col min="4" max="4" width="14.7109375" bestFit="1" customWidth="1"/>
    <col min="5" max="5" width="18.28515625" bestFit="1" customWidth="1"/>
    <col min="9" max="9" width="14.42578125" customWidth="1"/>
  </cols>
  <sheetData>
    <row r="1" spans="1:10" x14ac:dyDescent="0.25">
      <c r="A1" s="103"/>
      <c r="B1" s="103"/>
      <c r="C1" s="103"/>
      <c r="D1" s="103"/>
      <c r="E1" s="103"/>
      <c r="F1" s="103"/>
      <c r="G1" s="103"/>
      <c r="H1" s="103"/>
      <c r="I1" s="103"/>
      <c r="J1" s="103"/>
    </row>
    <row r="2" spans="1:10" x14ac:dyDescent="0.25">
      <c r="A2" s="103"/>
      <c r="B2" s="103" t="s">
        <v>400</v>
      </c>
      <c r="C2" s="103" t="s">
        <v>401</v>
      </c>
      <c r="D2" s="103" t="s">
        <v>402</v>
      </c>
      <c r="F2" s="103"/>
      <c r="G2" s="103"/>
      <c r="I2" s="103"/>
      <c r="J2" s="103"/>
    </row>
    <row r="3" spans="1:10" x14ac:dyDescent="0.25">
      <c r="A3" s="103" t="s">
        <v>403</v>
      </c>
      <c r="B3" s="103">
        <v>185</v>
      </c>
      <c r="C3" s="103">
        <v>85</v>
      </c>
      <c r="D3" s="103">
        <v>270</v>
      </c>
      <c r="E3" s="103"/>
      <c r="G3" s="103"/>
      <c r="H3" s="103"/>
      <c r="J3" s="103"/>
    </row>
    <row r="4" spans="1:10" x14ac:dyDescent="0.25">
      <c r="A4" s="103" t="s">
        <v>404</v>
      </c>
      <c r="B4" s="103">
        <v>15</v>
      </c>
      <c r="C4" s="103">
        <v>15</v>
      </c>
      <c r="D4" s="103">
        <v>30</v>
      </c>
      <c r="E4" s="103"/>
      <c r="G4" s="103"/>
      <c r="H4" s="103"/>
      <c r="J4" s="103"/>
    </row>
    <row r="5" spans="1:10" x14ac:dyDescent="0.25">
      <c r="A5" s="103" t="s">
        <v>405</v>
      </c>
      <c r="B5" s="103">
        <v>200</v>
      </c>
      <c r="C5" s="103">
        <v>100</v>
      </c>
      <c r="D5" s="103">
        <v>300</v>
      </c>
      <c r="E5" s="103"/>
      <c r="G5" s="103"/>
      <c r="H5" s="103"/>
      <c r="J5" s="103"/>
    </row>
    <row r="8" spans="1:10" x14ac:dyDescent="0.25">
      <c r="B8">
        <f>$D$3*B5/$D$5</f>
        <v>180</v>
      </c>
      <c r="C8" s="103">
        <f>$D$3*C5/$D$5</f>
        <v>90</v>
      </c>
    </row>
    <row r="9" spans="1:10" x14ac:dyDescent="0.25">
      <c r="B9">
        <f>$D$4*B5/$D$5</f>
        <v>20</v>
      </c>
      <c r="C9" s="103">
        <f>$D$4*C5/$D$5</f>
        <v>10</v>
      </c>
    </row>
    <row r="11" spans="1:10" x14ac:dyDescent="0.25">
      <c r="B11">
        <f>_xlfn.CHISQ.TEST(B3:C4,B8:C9)</f>
        <v>4.1226833337163669E-2</v>
      </c>
    </row>
    <row r="12" spans="1:10" x14ac:dyDescent="0.25">
      <c r="B12">
        <f>_xlfn.CHISQ.INV.RT(B11,1)</f>
        <v>4.1666666666666661</v>
      </c>
    </row>
    <row r="14" spans="1:10" x14ac:dyDescent="0.25">
      <c r="A14">
        <f>1.32+0.0345*140</f>
        <v>6.15</v>
      </c>
    </row>
    <row r="15" spans="1:10" x14ac:dyDescent="0.25">
      <c r="A15">
        <f>7.3-A14</f>
        <v>1.1499999999999995</v>
      </c>
    </row>
    <row r="17" spans="1:19" x14ac:dyDescent="0.25">
      <c r="B17" t="s">
        <v>6</v>
      </c>
      <c r="C17">
        <v>160</v>
      </c>
    </row>
    <row r="18" spans="1:19" x14ac:dyDescent="0.25">
      <c r="B18" t="s">
        <v>152</v>
      </c>
      <c r="C18" t="s">
        <v>406</v>
      </c>
    </row>
    <row r="19" spans="1:19" x14ac:dyDescent="0.25">
      <c r="A19">
        <v>0.25</v>
      </c>
      <c r="B19">
        <v>0</v>
      </c>
      <c r="C19">
        <v>10</v>
      </c>
      <c r="D19">
        <f>A19*$C$17</f>
        <v>40</v>
      </c>
    </row>
    <row r="20" spans="1:19" x14ac:dyDescent="0.25">
      <c r="A20" s="103">
        <v>0.25</v>
      </c>
      <c r="B20">
        <v>1</v>
      </c>
      <c r="C20">
        <v>65</v>
      </c>
      <c r="D20" s="103">
        <f t="shared" ref="D20:D22" si="0">A20*$C$17</f>
        <v>40</v>
      </c>
    </row>
    <row r="21" spans="1:19" x14ac:dyDescent="0.25">
      <c r="A21" s="103">
        <v>0.25</v>
      </c>
      <c r="B21">
        <v>2</v>
      </c>
      <c r="C21">
        <v>71</v>
      </c>
      <c r="D21" s="103">
        <f t="shared" si="0"/>
        <v>40</v>
      </c>
    </row>
    <row r="22" spans="1:19" x14ac:dyDescent="0.25">
      <c r="A22" s="103">
        <v>0.25</v>
      </c>
      <c r="B22">
        <v>3</v>
      </c>
      <c r="C22">
        <v>14</v>
      </c>
      <c r="D22" s="103">
        <f t="shared" si="0"/>
        <v>40</v>
      </c>
    </row>
    <row r="24" spans="1:19" x14ac:dyDescent="0.25">
      <c r="C24">
        <f>_xlfn.CHISQ.TEST(C19:C22,D19:D22)</f>
        <v>4.9067607225793657E-17</v>
      </c>
    </row>
    <row r="25" spans="1:19" x14ac:dyDescent="0.25">
      <c r="C25">
        <f>_xlfn.CHISQ.INV.RT(C24,3)</f>
        <v>79.050000000000011</v>
      </c>
    </row>
    <row r="27" spans="1:19" x14ac:dyDescent="0.2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</row>
    <row r="28" spans="1:19" x14ac:dyDescent="0.25">
      <c r="B28" s="103">
        <v>215</v>
      </c>
      <c r="C28" s="103"/>
      <c r="D28" s="103">
        <v>15</v>
      </c>
      <c r="F28" s="103"/>
      <c r="G28" s="103"/>
      <c r="I28" s="103"/>
      <c r="J28" s="103"/>
      <c r="K28" s="103"/>
      <c r="L28" s="103"/>
      <c r="M28" s="103"/>
      <c r="O28" s="103"/>
      <c r="P28" s="103"/>
      <c r="R28" s="103"/>
      <c r="S28" s="103"/>
    </row>
    <row r="29" spans="1:19" x14ac:dyDescent="0.25">
      <c r="B29" s="103">
        <v>204</v>
      </c>
      <c r="C29" s="103"/>
      <c r="D29" s="103">
        <v>20</v>
      </c>
      <c r="E29" s="103"/>
      <c r="G29" s="103"/>
      <c r="H29" s="103"/>
      <c r="J29" s="103"/>
      <c r="K29" s="103"/>
      <c r="L29" s="103"/>
      <c r="M29" s="103"/>
      <c r="N29" s="103"/>
      <c r="P29" s="103"/>
      <c r="Q29" s="103"/>
      <c r="S29" s="103"/>
    </row>
    <row r="30" spans="1:19" x14ac:dyDescent="0.25">
      <c r="B30" s="103">
        <v>160</v>
      </c>
      <c r="C30" s="103"/>
      <c r="D30" s="103">
        <v>10</v>
      </c>
      <c r="E30" s="103"/>
      <c r="G30" s="103"/>
      <c r="H30" s="103"/>
      <c r="J30" s="103"/>
      <c r="K30" s="103"/>
      <c r="L30" s="103"/>
      <c r="M30" s="103"/>
      <c r="N30" s="103"/>
      <c r="P30" s="103"/>
      <c r="Q30" s="103"/>
      <c r="S30" s="103"/>
    </row>
    <row r="31" spans="1:19" x14ac:dyDescent="0.25">
      <c r="B31" s="103">
        <v>226</v>
      </c>
      <c r="C31" s="103"/>
      <c r="D31" s="103">
        <v>19</v>
      </c>
      <c r="E31" s="103"/>
      <c r="G31" s="103"/>
      <c r="H31" s="103"/>
      <c r="J31" s="103"/>
      <c r="K31" s="103"/>
      <c r="L31" s="103"/>
      <c r="M31" s="103"/>
      <c r="N31" s="103"/>
      <c r="P31" s="103"/>
      <c r="Q31" s="103"/>
      <c r="S31" s="103"/>
    </row>
    <row r="32" spans="1:19" x14ac:dyDescent="0.25">
      <c r="B32" s="103">
        <v>232</v>
      </c>
      <c r="C32" s="103"/>
      <c r="D32" s="103">
        <v>24</v>
      </c>
      <c r="E32" s="103"/>
      <c r="G32" s="103"/>
      <c r="H32" s="103"/>
      <c r="J32" s="103"/>
      <c r="K32" s="103"/>
      <c r="L32" s="103"/>
      <c r="M32" s="103"/>
      <c r="N32" s="103"/>
      <c r="P32" s="103"/>
      <c r="Q32" s="103"/>
      <c r="S32" s="103"/>
    </row>
    <row r="33" spans="2:17" x14ac:dyDescent="0.25">
      <c r="B33" s="103">
        <v>224</v>
      </c>
      <c r="D33" s="103">
        <v>21</v>
      </c>
    </row>
    <row r="34" spans="2:17" x14ac:dyDescent="0.25">
      <c r="B34" s="103">
        <v>205</v>
      </c>
      <c r="D34" s="103">
        <v>27</v>
      </c>
    </row>
    <row r="35" spans="2:17" x14ac:dyDescent="0.25">
      <c r="B35" s="103">
        <v>184</v>
      </c>
      <c r="D35" s="103">
        <v>12</v>
      </c>
    </row>
    <row r="36" spans="2:17" x14ac:dyDescent="0.25">
      <c r="B36" s="103">
        <v>207</v>
      </c>
      <c r="D36" s="103">
        <v>16</v>
      </c>
    </row>
    <row r="37" spans="2:17" x14ac:dyDescent="0.25">
      <c r="B37" s="103">
        <v>212</v>
      </c>
      <c r="D37" s="103">
        <v>17</v>
      </c>
    </row>
    <row r="39" spans="2:17" x14ac:dyDescent="0.25">
      <c r="B39">
        <f>AVERAGE(B28:B37)</f>
        <v>206.9</v>
      </c>
      <c r="D39">
        <f>AVERAGE(D28:D37)</f>
        <v>18.100000000000001</v>
      </c>
    </row>
    <row r="43" spans="2:17" x14ac:dyDescent="0.25">
      <c r="B43" s="103">
        <v>5</v>
      </c>
      <c r="C43" s="103">
        <v>0</v>
      </c>
      <c r="D43" s="103">
        <v>2</v>
      </c>
      <c r="E43" s="103">
        <v>2</v>
      </c>
      <c r="F43" s="103">
        <v>3</v>
      </c>
      <c r="G43" s="103">
        <v>8</v>
      </c>
      <c r="H43" s="103">
        <v>10</v>
      </c>
      <c r="I43" s="103">
        <v>3</v>
      </c>
      <c r="J43" s="103">
        <v>5</v>
      </c>
      <c r="K43" s="103">
        <v>5</v>
      </c>
      <c r="L43" s="103">
        <v>1</v>
      </c>
      <c r="M43" s="103">
        <v>2</v>
      </c>
      <c r="N43" s="103">
        <v>0</v>
      </c>
      <c r="O43" s="103">
        <v>2</v>
      </c>
      <c r="P43" s="103">
        <v>3</v>
      </c>
      <c r="Q43" s="103"/>
    </row>
    <row r="44" spans="2:17" x14ac:dyDescent="0.25">
      <c r="B44">
        <f>B43/50</f>
        <v>0.1</v>
      </c>
      <c r="C44" s="103">
        <f t="shared" ref="C44:P44" si="1">C43/50</f>
        <v>0</v>
      </c>
      <c r="D44" s="103">
        <f t="shared" si="1"/>
        <v>0.04</v>
      </c>
      <c r="E44" s="103">
        <f t="shared" si="1"/>
        <v>0.04</v>
      </c>
      <c r="F44" s="103">
        <f t="shared" si="1"/>
        <v>0.06</v>
      </c>
      <c r="G44" s="103">
        <f t="shared" si="1"/>
        <v>0.16</v>
      </c>
      <c r="H44" s="103">
        <f t="shared" si="1"/>
        <v>0.2</v>
      </c>
      <c r="I44" s="103">
        <f t="shared" si="1"/>
        <v>0.06</v>
      </c>
      <c r="J44" s="103">
        <f t="shared" si="1"/>
        <v>0.1</v>
      </c>
      <c r="K44" s="103">
        <f t="shared" si="1"/>
        <v>0.1</v>
      </c>
      <c r="L44" s="103">
        <f t="shared" si="1"/>
        <v>0.02</v>
      </c>
      <c r="M44" s="103">
        <f t="shared" si="1"/>
        <v>0.04</v>
      </c>
      <c r="N44" s="103">
        <f t="shared" si="1"/>
        <v>0</v>
      </c>
      <c r="O44" s="103">
        <f t="shared" si="1"/>
        <v>0.04</v>
      </c>
      <c r="P44" s="103">
        <f t="shared" si="1"/>
        <v>0.06</v>
      </c>
    </row>
    <row r="45" spans="2:17" x14ac:dyDescent="0.25">
      <c r="B45">
        <f>AVERAGE(B44:P44)</f>
        <v>6.8000000000000019E-2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Chapt 9</vt:lpstr>
      <vt:lpstr>Chapt 10</vt:lpstr>
      <vt:lpstr>Chapt 17</vt:lpstr>
      <vt:lpstr>Chapt 11</vt:lpstr>
      <vt:lpstr>Chapt 12</vt:lpstr>
      <vt:lpstr>Chapter 13</vt:lpstr>
      <vt:lpstr>Chapter 14</vt:lpstr>
      <vt:lpstr>Chapter 15</vt:lpstr>
      <vt:lpstr>Utilities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Giang Tran</dc:creator>
  <cp:lastModifiedBy>Thanh Giang Tran</cp:lastModifiedBy>
  <dcterms:created xsi:type="dcterms:W3CDTF">2020-06-27T00:03:35Z</dcterms:created>
  <dcterms:modified xsi:type="dcterms:W3CDTF">2020-09-02T23:24:59Z</dcterms:modified>
</cp:coreProperties>
</file>