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5C5647A7-B5D2-4864-99B0-8332DDFDD835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PWM" sheetId="1" r:id="rId1"/>
    <sheet name="Ip" sheetId="6" r:id="rId2"/>
    <sheet name="ADC" sheetId="2" r:id="rId3"/>
    <sheet name="Lambda DAC" sheetId="5" r:id="rId4"/>
    <sheet name="LSU 4.9 Pinout" sheetId="3" r:id="rId5"/>
    <sheet name="HEX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6"/>
  <c r="B7" i="6" s="1"/>
  <c r="B6" i="6"/>
  <c r="B26" i="2"/>
  <c r="C26" i="2" s="1"/>
  <c r="B28" i="2"/>
  <c r="G3" i="5"/>
  <c r="G4" i="5"/>
  <c r="G5" i="5"/>
  <c r="G6" i="5"/>
  <c r="G7" i="5"/>
  <c r="G8" i="5"/>
  <c r="G9" i="5"/>
  <c r="G10" i="5"/>
  <c r="G11" i="5"/>
  <c r="G12" i="5"/>
  <c r="G13" i="5"/>
  <c r="G14" i="5"/>
  <c r="G15" i="5"/>
  <c r="G2" i="5"/>
  <c r="D3" i="5"/>
  <c r="E3" i="5" s="1"/>
  <c r="F3" i="5" s="1"/>
  <c r="D4" i="5"/>
  <c r="E4" i="5" s="1"/>
  <c r="F4" i="5" s="1"/>
  <c r="D5" i="5"/>
  <c r="E5" i="5" s="1"/>
  <c r="F5" i="5" s="1"/>
  <c r="D6" i="5"/>
  <c r="E6" i="5" s="1"/>
  <c r="F6" i="5" s="1"/>
  <c r="D7" i="5"/>
  <c r="E7" i="5" s="1"/>
  <c r="F7" i="5" s="1"/>
  <c r="D8" i="5"/>
  <c r="E8" i="5" s="1"/>
  <c r="F8" i="5" s="1"/>
  <c r="D9" i="5"/>
  <c r="F9" i="5" s="1"/>
  <c r="D10" i="5"/>
  <c r="E10" i="5" s="1"/>
  <c r="F10" i="5" s="1"/>
  <c r="D11" i="5"/>
  <c r="E11" i="5" s="1"/>
  <c r="F11" i="5" s="1"/>
  <c r="D12" i="5"/>
  <c r="E12" i="5" s="1"/>
  <c r="F12" i="5" s="1"/>
  <c r="D13" i="5"/>
  <c r="E13" i="5" s="1"/>
  <c r="F13" i="5" s="1"/>
  <c r="D14" i="5"/>
  <c r="E14" i="5" s="1"/>
  <c r="F14" i="5" s="1"/>
  <c r="D15" i="5"/>
  <c r="E15" i="5" s="1"/>
  <c r="F15" i="5" s="1"/>
  <c r="D2" i="5"/>
  <c r="E2" i="5" s="1"/>
  <c r="F2" i="5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2" i="5"/>
  <c r="B6" i="2"/>
  <c r="C20" i="2" l="1"/>
  <c r="C19" i="2"/>
  <c r="B16" i="2"/>
  <c r="B17" i="2" s="1"/>
  <c r="B22" i="2" l="1"/>
  <c r="B23" i="2"/>
  <c r="B11" i="1"/>
  <c r="B10" i="1"/>
  <c r="B12" i="2" l="1"/>
  <c r="B13" i="2" s="1"/>
  <c r="B3" i="2"/>
  <c r="B7" i="2" s="1"/>
  <c r="B5" i="1" l="1"/>
</calcChain>
</file>

<file path=xl/sharedStrings.xml><?xml version="1.0" encoding="utf-8"?>
<sst xmlns="http://schemas.openxmlformats.org/spreadsheetml/2006/main" count="85" uniqueCount="83">
  <si>
    <t>Fcpu</t>
  </si>
  <si>
    <t>Prescaler</t>
  </si>
  <si>
    <t>1, 8, 64, 256 and 1024 are valid</t>
  </si>
  <si>
    <t>Fpwm</t>
  </si>
  <si>
    <t>TOP</t>
  </si>
  <si>
    <t>Referenz, V</t>
  </si>
  <si>
    <t>ADC Wert</t>
  </si>
  <si>
    <t>ADC-Spannung, V</t>
  </si>
  <si>
    <t>Spannungsteiler</t>
  </si>
  <si>
    <t>echte Spannung, V</t>
  </si>
  <si>
    <t>Gesamtwiderstand / Massenwiderstand</t>
  </si>
  <si>
    <t>ADC-Wert</t>
  </si>
  <si>
    <t>Resolution, bit</t>
  </si>
  <si>
    <t>Ubat, V</t>
  </si>
  <si>
    <t>condens, V</t>
  </si>
  <si>
    <t>duty, %</t>
  </si>
  <si>
    <t>dutyCycle</t>
  </si>
  <si>
    <t>Pin#</t>
  </si>
  <si>
    <t>Color</t>
  </si>
  <si>
    <t>Function</t>
  </si>
  <si>
    <t>Description</t>
  </si>
  <si>
    <t>yellow</t>
  </si>
  <si>
    <t>grey</t>
  </si>
  <si>
    <t>black</t>
  </si>
  <si>
    <t>red</t>
  </si>
  <si>
    <t>white</t>
  </si>
  <si>
    <t>green</t>
  </si>
  <si>
    <t>IP</t>
  </si>
  <si>
    <t>VM</t>
  </si>
  <si>
    <t>Uh-</t>
  </si>
  <si>
    <t>Uh+</t>
  </si>
  <si>
    <t>IA</t>
  </si>
  <si>
    <t>UN</t>
  </si>
  <si>
    <t>Pump current APE</t>
  </si>
  <si>
    <t>Virtual groun</t>
  </si>
  <si>
    <t>Heater voltage H+</t>
  </si>
  <si>
    <t>Heater voltage H-</t>
  </si>
  <si>
    <t>Trim resistor</t>
  </si>
  <si>
    <t>Nernst voltage</t>
  </si>
  <si>
    <t>Spannung</t>
  </si>
  <si>
    <t>ADC Wert für Referenz</t>
  </si>
  <si>
    <t>Differenz</t>
  </si>
  <si>
    <t>ADC Ur</t>
  </si>
  <si>
    <t>ADC Ua</t>
  </si>
  <si>
    <t>Ua bereinigt</t>
  </si>
  <si>
    <t>Ur bereinigt</t>
  </si>
  <si>
    <t>Reihenwiderstand</t>
  </si>
  <si>
    <t>Massenwiderstand</t>
  </si>
  <si>
    <t>0x9D</t>
  </si>
  <si>
    <t>Byte</t>
  </si>
  <si>
    <t>Bit 7</t>
  </si>
  <si>
    <t>Bit 6</t>
  </si>
  <si>
    <t>Bit 0</t>
  </si>
  <si>
    <t>Bit 1</t>
  </si>
  <si>
    <t>Bit 2</t>
  </si>
  <si>
    <t>Bit 3</t>
  </si>
  <si>
    <t>Bit 4</t>
  </si>
  <si>
    <t>Bit 5</t>
  </si>
  <si>
    <t>0x88</t>
  </si>
  <si>
    <t>0x89</t>
  </si>
  <si>
    <t>Calibration</t>
  </si>
  <si>
    <t>V8</t>
  </si>
  <si>
    <t>V17</t>
  </si>
  <si>
    <t>0x28</t>
  </si>
  <si>
    <t>0x2e</t>
  </si>
  <si>
    <t>Lambda</t>
  </si>
  <si>
    <t>AFR</t>
  </si>
  <si>
    <t>Output Voltage, V</t>
  </si>
  <si>
    <t>Output Voltage , mV</t>
  </si>
  <si>
    <t>DAC Value</t>
  </si>
  <si>
    <t>Output voltage calculated, mV</t>
  </si>
  <si>
    <t>Drift, mV</t>
  </si>
  <si>
    <t>Spannung Referenz, mV</t>
  </si>
  <si>
    <t>ADC Wert dazu:</t>
  </si>
  <si>
    <t>Spannung Referenz gemessen</t>
  </si>
  <si>
    <t>Drift:</t>
  </si>
  <si>
    <t>Shunt</t>
  </si>
  <si>
    <t>Ua</t>
  </si>
  <si>
    <t>Ua_ref</t>
  </si>
  <si>
    <t>delta</t>
  </si>
  <si>
    <t>divisor</t>
  </si>
  <si>
    <t>Amp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</si>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</sst>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0" fillId="2" borderId="0" xfId="0" applyFill="1"/>
    <xf numFmtId="2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8</xdr:row>
      <xdr:rowOff>9525</xdr:rowOff>
    </xdr:from>
    <xdr:to>
      <xdr:col>16</xdr:col>
      <xdr:colOff>649329</xdr:colOff>
      <xdr:row>34</xdr:row>
      <xdr:rowOff>95953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1533525"/>
          <a:ext cx="11669754" cy="5039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L17" sqref="L17"/>
    </sheetView>
  </sheetViews>
  <sheetFormatPr baseColWidth="10" defaultColWidth="9.140625" defaultRowHeight="15" x14ac:dyDescent="0.25"/>
  <cols>
    <col min="1" max="1" width="14" bestFit="1" customWidth="1"/>
  </cols>
  <sheetData>
    <row r="1" spans="1:3" x14ac:dyDescent="0.25">
      <c r="A1" t="s">
        <v>0</v>
      </c>
      <c r="B1">
        <v>16000000</v>
      </c>
    </row>
    <row r="2" spans="1:3" x14ac:dyDescent="0.25">
      <c r="A2" t="s">
        <v>1</v>
      </c>
      <c r="B2">
        <v>256</v>
      </c>
      <c r="C2" t="s">
        <v>2</v>
      </c>
    </row>
    <row r="3" spans="1:3" x14ac:dyDescent="0.25">
      <c r="A3" t="s">
        <v>12</v>
      </c>
      <c r="B3">
        <v>8</v>
      </c>
    </row>
    <row r="4" spans="1:3" x14ac:dyDescent="0.25">
      <c r="A4" t="s">
        <v>4</v>
      </c>
      <c r="B4">
        <f>POWER(2,B3)-1</f>
        <v>255</v>
      </c>
    </row>
    <row r="5" spans="1:3" x14ac:dyDescent="0.25">
      <c r="A5" t="s">
        <v>3</v>
      </c>
      <c r="B5">
        <f>B1/(B2*(1+B4))</f>
        <v>244.140625</v>
      </c>
    </row>
    <row r="8" spans="1:3" x14ac:dyDescent="0.25">
      <c r="A8" t="s">
        <v>13</v>
      </c>
      <c r="B8">
        <v>13.6</v>
      </c>
    </row>
    <row r="9" spans="1:3" x14ac:dyDescent="0.25">
      <c r="A9" t="s">
        <v>14</v>
      </c>
      <c r="B9">
        <v>1.5</v>
      </c>
    </row>
    <row r="10" spans="1:3" x14ac:dyDescent="0.25">
      <c r="A10" t="s">
        <v>15</v>
      </c>
      <c r="B10">
        <f>(B9/B8)*100</f>
        <v>11.029411764705882</v>
      </c>
    </row>
    <row r="11" spans="1:3" x14ac:dyDescent="0.25">
      <c r="A11" t="s">
        <v>16</v>
      </c>
      <c r="B11">
        <f>(1024*B10)/100</f>
        <v>112.94117647058823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33D4-38E1-42C6-9DE3-B349AD92F31E}">
  <dimension ref="A1:B7"/>
  <sheetViews>
    <sheetView workbookViewId="0">
      <selection activeCell="B7" sqref="B7"/>
    </sheetView>
  </sheetViews>
  <sheetFormatPr baseColWidth="10" defaultRowHeight="15" x14ac:dyDescent="0.25"/>
  <sheetData>
    <row r="1" spans="1:2" x14ac:dyDescent="0.25">
      <c r="A1" t="s">
        <v>76</v>
      </c>
      <c r="B1">
        <v>61900</v>
      </c>
    </row>
    <row r="2" spans="1:2" x14ac:dyDescent="0.25">
      <c r="A2" t="s">
        <v>81</v>
      </c>
      <c r="B2">
        <v>8</v>
      </c>
    </row>
    <row r="3" spans="1:2" x14ac:dyDescent="0.25">
      <c r="A3" t="s">
        <v>77</v>
      </c>
      <c r="B3">
        <v>2069</v>
      </c>
    </row>
    <row r="4" spans="1:2" x14ac:dyDescent="0.25">
      <c r="A4" t="s">
        <v>78</v>
      </c>
      <c r="B4">
        <v>1503</v>
      </c>
    </row>
    <row r="5" spans="1:2" x14ac:dyDescent="0.25">
      <c r="A5" t="s">
        <v>79</v>
      </c>
      <c r="B5">
        <f>(B3-B4)*1000</f>
        <v>566000</v>
      </c>
    </row>
    <row r="6" spans="1:2" x14ac:dyDescent="0.25">
      <c r="A6" t="s">
        <v>80</v>
      </c>
      <c r="B6">
        <f>B1*B2</f>
        <v>495200</v>
      </c>
    </row>
    <row r="7" spans="1:2" x14ac:dyDescent="0.25">
      <c r="A7" t="s">
        <v>82</v>
      </c>
      <c r="B7">
        <f>B5/B6*1000</f>
        <v>1142.9725363489499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workbookViewId="0">
      <selection activeCell="B27" sqref="B27"/>
    </sheetView>
  </sheetViews>
  <sheetFormatPr baseColWidth="10" defaultRowHeight="15" x14ac:dyDescent="0.25"/>
  <cols>
    <col min="1" max="1" width="28" bestFit="1" customWidth="1"/>
    <col min="2" max="2" width="12.7109375" bestFit="1" customWidth="1"/>
    <col min="3" max="3" width="36.85546875" bestFit="1" customWidth="1"/>
  </cols>
  <sheetData>
    <row r="1" spans="1:3" x14ac:dyDescent="0.25">
      <c r="A1" t="s">
        <v>5</v>
      </c>
      <c r="B1">
        <v>5</v>
      </c>
    </row>
    <row r="2" spans="1:3" x14ac:dyDescent="0.25">
      <c r="A2" t="s">
        <v>6</v>
      </c>
      <c r="B2">
        <v>563</v>
      </c>
      <c r="C2">
        <v>566</v>
      </c>
    </row>
    <row r="3" spans="1:3" x14ac:dyDescent="0.25">
      <c r="A3" t="s">
        <v>7</v>
      </c>
      <c r="B3">
        <f>B2*(B1/1024)</f>
        <v>2.7490234375</v>
      </c>
    </row>
    <row r="4" spans="1:3" x14ac:dyDescent="0.25">
      <c r="A4" t="s">
        <v>46</v>
      </c>
      <c r="B4">
        <v>40000</v>
      </c>
    </row>
    <row r="5" spans="1:3" x14ac:dyDescent="0.25">
      <c r="A5" t="s">
        <v>47</v>
      </c>
      <c r="B5">
        <v>10000</v>
      </c>
    </row>
    <row r="6" spans="1:3" x14ac:dyDescent="0.25">
      <c r="A6" t="s">
        <v>8</v>
      </c>
      <c r="B6">
        <f>(B4+B5)/B5</f>
        <v>5</v>
      </c>
      <c r="C6" t="s">
        <v>10</v>
      </c>
    </row>
    <row r="7" spans="1:3" x14ac:dyDescent="0.25">
      <c r="A7" t="s">
        <v>9</v>
      </c>
      <c r="B7">
        <f>B3*B6</f>
        <v>13.7451171875</v>
      </c>
    </row>
    <row r="11" spans="1:3" x14ac:dyDescent="0.25">
      <c r="A11" t="s">
        <v>9</v>
      </c>
      <c r="B11">
        <v>13</v>
      </c>
    </row>
    <row r="12" spans="1:3" x14ac:dyDescent="0.25">
      <c r="A12" t="s">
        <v>7</v>
      </c>
      <c r="B12">
        <f>B11/B6</f>
        <v>2.6</v>
      </c>
    </row>
    <row r="13" spans="1:3" x14ac:dyDescent="0.25">
      <c r="A13" t="s">
        <v>11</v>
      </c>
      <c r="B13">
        <f>(B12*1024)/5</f>
        <v>532.48</v>
      </c>
    </row>
    <row r="15" spans="1:3" x14ac:dyDescent="0.25">
      <c r="A15" t="s">
        <v>40</v>
      </c>
      <c r="B15">
        <v>247</v>
      </c>
    </row>
    <row r="16" spans="1:3" x14ac:dyDescent="0.25">
      <c r="A16" t="s">
        <v>39</v>
      </c>
      <c r="B16">
        <f>(5/1024)*B15</f>
        <v>1.2060546875</v>
      </c>
    </row>
    <row r="17" spans="1:3" x14ac:dyDescent="0.25">
      <c r="A17" t="s">
        <v>41</v>
      </c>
      <c r="B17">
        <f>B16 - 1.225</f>
        <v>-1.8945312500000089E-2</v>
      </c>
    </row>
    <row r="19" spans="1:3" x14ac:dyDescent="0.25">
      <c r="A19" t="s">
        <v>43</v>
      </c>
      <c r="B19">
        <v>135</v>
      </c>
      <c r="C19">
        <f>(5/1024)*B19</f>
        <v>0.6591796875</v>
      </c>
    </row>
    <row r="20" spans="1:3" x14ac:dyDescent="0.25">
      <c r="A20" t="s">
        <v>42</v>
      </c>
      <c r="B20">
        <v>299</v>
      </c>
      <c r="C20">
        <f>(5/1024)*B20</f>
        <v>1.4599609375</v>
      </c>
    </row>
    <row r="22" spans="1:3" x14ac:dyDescent="0.25">
      <c r="A22" t="s">
        <v>44</v>
      </c>
      <c r="B22">
        <f>C19-B17</f>
        <v>0.67812500000000009</v>
      </c>
    </row>
    <row r="23" spans="1:3" x14ac:dyDescent="0.25">
      <c r="A23" t="s">
        <v>45</v>
      </c>
      <c r="B23">
        <f>C20-B17</f>
        <v>1.4789062500000001</v>
      </c>
    </row>
    <row r="25" spans="1:3" x14ac:dyDescent="0.25">
      <c r="A25" t="s">
        <v>72</v>
      </c>
      <c r="B25">
        <v>1225</v>
      </c>
    </row>
    <row r="26" spans="1:3" x14ac:dyDescent="0.25">
      <c r="A26" t="s">
        <v>73</v>
      </c>
      <c r="B26">
        <f>ROUND(B25*1024/5000,0)</f>
        <v>251</v>
      </c>
      <c r="C26">
        <f>B26*5000/1024</f>
        <v>1225.5859375</v>
      </c>
    </row>
    <row r="27" spans="1:3" x14ac:dyDescent="0.25">
      <c r="A27" t="s">
        <v>74</v>
      </c>
      <c r="B27">
        <v>247</v>
      </c>
    </row>
    <row r="28" spans="1:3" x14ac:dyDescent="0.25">
      <c r="A28" t="s">
        <v>75</v>
      </c>
      <c r="B28">
        <f>B25-B27</f>
        <v>978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3162-803F-415C-B518-404A37595211}">
  <dimension ref="A1:G15"/>
  <sheetViews>
    <sheetView workbookViewId="0">
      <selection activeCell="G7" sqref="G7"/>
    </sheetView>
  </sheetViews>
  <sheetFormatPr baseColWidth="10" defaultRowHeight="15" x14ac:dyDescent="0.25"/>
  <cols>
    <col min="1" max="1" width="10.28515625" customWidth="1"/>
    <col min="2" max="2" width="7" bestFit="1" customWidth="1"/>
    <col min="3" max="3" width="17" bestFit="1" customWidth="1"/>
    <col min="4" max="4" width="19.140625" bestFit="1" customWidth="1"/>
    <col min="5" max="5" width="10.28515625" bestFit="1" customWidth="1"/>
    <col min="6" max="6" width="28.140625" bestFit="1" customWidth="1"/>
  </cols>
  <sheetData>
    <row r="1" spans="1:7" x14ac:dyDescent="0.25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</row>
    <row r="2" spans="1:7" x14ac:dyDescent="0.25">
      <c r="A2" s="3">
        <v>0.65</v>
      </c>
      <c r="B2">
        <f>A2*14.7</f>
        <v>9.5549999999999997</v>
      </c>
      <c r="C2" s="4">
        <f>7*A2-4.3</f>
        <v>0.25</v>
      </c>
      <c r="D2">
        <f>7*A2*1000-4300</f>
        <v>250</v>
      </c>
      <c r="E2">
        <f>ROUND(D2*1024/5000,0)</f>
        <v>51</v>
      </c>
      <c r="F2" s="4">
        <f>ROUND(E2*5000/1024,2)</f>
        <v>249.02</v>
      </c>
      <c r="G2" s="4">
        <f>F2-D2</f>
        <v>-0.97999999999998977</v>
      </c>
    </row>
    <row r="3" spans="1:7" x14ac:dyDescent="0.25">
      <c r="A3" s="3">
        <v>0.7</v>
      </c>
      <c r="B3">
        <f t="shared" ref="B3:B15" si="0">A3*14.7</f>
        <v>10.29</v>
      </c>
      <c r="C3" s="4">
        <f t="shared" ref="C3:C15" si="1">7*A3-4.3</f>
        <v>0.59999999999999964</v>
      </c>
      <c r="D3">
        <f t="shared" ref="D3:D15" si="2">7*A3*1000-4300</f>
        <v>599.99999999999909</v>
      </c>
      <c r="E3">
        <f t="shared" ref="E3:E15" si="3">ROUND(D3*1024/5000,0)</f>
        <v>123</v>
      </c>
      <c r="F3" s="4">
        <f t="shared" ref="F3:F15" si="4">ROUND(E3*5000/1024,2)</f>
        <v>600.59</v>
      </c>
      <c r="G3" s="4">
        <f t="shared" ref="G3:G15" si="5">F3-D3</f>
        <v>0.59000000000094133</v>
      </c>
    </row>
    <row r="4" spans="1:7" x14ac:dyDescent="0.25">
      <c r="A4" s="3">
        <v>0.75</v>
      </c>
      <c r="B4">
        <f t="shared" si="0"/>
        <v>11.024999999999999</v>
      </c>
      <c r="C4" s="4">
        <f t="shared" si="1"/>
        <v>0.95000000000000018</v>
      </c>
      <c r="D4">
        <f t="shared" si="2"/>
        <v>950</v>
      </c>
      <c r="E4">
        <f t="shared" si="3"/>
        <v>195</v>
      </c>
      <c r="F4" s="4">
        <f t="shared" si="4"/>
        <v>952.15</v>
      </c>
      <c r="G4" s="4">
        <f t="shared" si="5"/>
        <v>2.1499999999999773</v>
      </c>
    </row>
    <row r="5" spans="1:7" x14ac:dyDescent="0.25">
      <c r="A5" s="3">
        <v>0.8</v>
      </c>
      <c r="B5">
        <f t="shared" si="0"/>
        <v>11.76</v>
      </c>
      <c r="C5" s="4">
        <f t="shared" si="1"/>
        <v>1.3000000000000007</v>
      </c>
      <c r="D5">
        <f t="shared" si="2"/>
        <v>1300.0000000000009</v>
      </c>
      <c r="E5">
        <f t="shared" si="3"/>
        <v>266</v>
      </c>
      <c r="F5" s="4">
        <f t="shared" si="4"/>
        <v>1298.83</v>
      </c>
      <c r="G5" s="4">
        <f t="shared" si="5"/>
        <v>-1.1700000000009823</v>
      </c>
    </row>
    <row r="6" spans="1:7" x14ac:dyDescent="0.25">
      <c r="A6" s="3">
        <v>0.85</v>
      </c>
      <c r="B6">
        <f t="shared" si="0"/>
        <v>12.494999999999999</v>
      </c>
      <c r="C6" s="4">
        <f t="shared" si="1"/>
        <v>1.6500000000000004</v>
      </c>
      <c r="D6">
        <f t="shared" si="2"/>
        <v>1650</v>
      </c>
      <c r="E6">
        <f t="shared" si="3"/>
        <v>338</v>
      </c>
      <c r="F6" s="4">
        <f t="shared" si="4"/>
        <v>1650.39</v>
      </c>
      <c r="G6" s="4">
        <f t="shared" si="5"/>
        <v>0.39000000000010004</v>
      </c>
    </row>
    <row r="7" spans="1:7" x14ac:dyDescent="0.25">
      <c r="A7" s="3">
        <v>0.9</v>
      </c>
      <c r="B7">
        <f t="shared" si="0"/>
        <v>13.23</v>
      </c>
      <c r="C7" s="4">
        <f t="shared" si="1"/>
        <v>2</v>
      </c>
      <c r="D7">
        <f t="shared" si="2"/>
        <v>2000</v>
      </c>
      <c r="E7">
        <f t="shared" si="3"/>
        <v>410</v>
      </c>
      <c r="F7" s="4">
        <f t="shared" si="4"/>
        <v>2001.95</v>
      </c>
      <c r="G7" s="4">
        <f t="shared" si="5"/>
        <v>1.9500000000000455</v>
      </c>
    </row>
    <row r="8" spans="1:7" x14ac:dyDescent="0.25">
      <c r="A8" s="3">
        <v>0.95</v>
      </c>
      <c r="B8">
        <f t="shared" si="0"/>
        <v>13.964999999999998</v>
      </c>
      <c r="C8" s="4">
        <f t="shared" si="1"/>
        <v>2.3499999999999996</v>
      </c>
      <c r="D8">
        <f t="shared" si="2"/>
        <v>2349.9999999999991</v>
      </c>
      <c r="E8">
        <f t="shared" si="3"/>
        <v>481</v>
      </c>
      <c r="F8" s="4">
        <f t="shared" si="4"/>
        <v>2348.63</v>
      </c>
      <c r="G8" s="4">
        <f t="shared" si="5"/>
        <v>-1.3699999999989814</v>
      </c>
    </row>
    <row r="9" spans="1:7" x14ac:dyDescent="0.25">
      <c r="A9" s="5">
        <v>1</v>
      </c>
      <c r="B9" s="6">
        <f t="shared" si="0"/>
        <v>14.7</v>
      </c>
      <c r="C9" s="7">
        <f t="shared" si="1"/>
        <v>2.7</v>
      </c>
      <c r="D9" s="6">
        <f t="shared" si="2"/>
        <v>2700</v>
      </c>
      <c r="E9" s="6">
        <v>553</v>
      </c>
      <c r="F9" s="7">
        <f t="shared" si="4"/>
        <v>2700.2</v>
      </c>
      <c r="G9" s="4">
        <f t="shared" si="5"/>
        <v>0.1999999999998181</v>
      </c>
    </row>
    <row r="10" spans="1:7" x14ac:dyDescent="0.25">
      <c r="A10" s="3">
        <v>1.05</v>
      </c>
      <c r="B10">
        <f t="shared" si="0"/>
        <v>15.435</v>
      </c>
      <c r="C10" s="4">
        <f t="shared" si="1"/>
        <v>3.0500000000000007</v>
      </c>
      <c r="D10">
        <f t="shared" si="2"/>
        <v>3050.0000000000009</v>
      </c>
      <c r="E10">
        <f t="shared" si="3"/>
        <v>625</v>
      </c>
      <c r="F10" s="4">
        <f t="shared" si="4"/>
        <v>3051.76</v>
      </c>
      <c r="G10" s="4">
        <f t="shared" si="5"/>
        <v>1.7599999999993088</v>
      </c>
    </row>
    <row r="11" spans="1:7" x14ac:dyDescent="0.25">
      <c r="A11" s="3">
        <v>1.1000000000000001</v>
      </c>
      <c r="B11">
        <f t="shared" si="0"/>
        <v>16.170000000000002</v>
      </c>
      <c r="C11" s="4">
        <f t="shared" si="1"/>
        <v>3.4000000000000012</v>
      </c>
      <c r="D11">
        <f t="shared" si="2"/>
        <v>3400.0000000000009</v>
      </c>
      <c r="E11">
        <f t="shared" si="3"/>
        <v>696</v>
      </c>
      <c r="F11" s="4">
        <f t="shared" si="4"/>
        <v>3398.44</v>
      </c>
      <c r="G11" s="4">
        <f t="shared" si="5"/>
        <v>-1.5600000000008549</v>
      </c>
    </row>
    <row r="12" spans="1:7" x14ac:dyDescent="0.25">
      <c r="A12" s="3">
        <v>1.1499999999999999</v>
      </c>
      <c r="B12">
        <f t="shared" si="0"/>
        <v>16.904999999999998</v>
      </c>
      <c r="C12" s="4">
        <f t="shared" si="1"/>
        <v>3.7499999999999991</v>
      </c>
      <c r="D12">
        <f t="shared" si="2"/>
        <v>3749.9999999999991</v>
      </c>
      <c r="E12">
        <f t="shared" si="3"/>
        <v>768</v>
      </c>
      <c r="F12" s="4">
        <f t="shared" si="4"/>
        <v>3750</v>
      </c>
      <c r="G12" s="4">
        <f t="shared" si="5"/>
        <v>0</v>
      </c>
    </row>
    <row r="13" spans="1:7" x14ac:dyDescent="0.25">
      <c r="A13" s="3">
        <v>1.2</v>
      </c>
      <c r="B13">
        <f t="shared" si="0"/>
        <v>17.639999999999997</v>
      </c>
      <c r="C13" s="4">
        <f t="shared" si="1"/>
        <v>4.1000000000000005</v>
      </c>
      <c r="D13">
        <f t="shared" si="2"/>
        <v>4100</v>
      </c>
      <c r="E13">
        <f t="shared" si="3"/>
        <v>840</v>
      </c>
      <c r="F13" s="4">
        <f t="shared" si="4"/>
        <v>4101.5600000000004</v>
      </c>
      <c r="G13" s="4">
        <f t="shared" si="5"/>
        <v>1.5600000000004002</v>
      </c>
    </row>
    <row r="14" spans="1:7" x14ac:dyDescent="0.25">
      <c r="A14" s="3">
        <v>1.25</v>
      </c>
      <c r="B14">
        <f t="shared" si="0"/>
        <v>18.375</v>
      </c>
      <c r="C14" s="4">
        <f t="shared" si="1"/>
        <v>4.45</v>
      </c>
      <c r="D14">
        <f t="shared" si="2"/>
        <v>4450</v>
      </c>
      <c r="E14">
        <f t="shared" si="3"/>
        <v>911</v>
      </c>
      <c r="F14" s="4">
        <f t="shared" si="4"/>
        <v>4448.24</v>
      </c>
      <c r="G14" s="4">
        <f t="shared" si="5"/>
        <v>-1.7600000000002183</v>
      </c>
    </row>
    <row r="15" spans="1:7" x14ac:dyDescent="0.25">
      <c r="A15" s="3">
        <v>1.3</v>
      </c>
      <c r="B15">
        <f t="shared" si="0"/>
        <v>19.11</v>
      </c>
      <c r="C15" s="4">
        <f t="shared" si="1"/>
        <v>4.8</v>
      </c>
      <c r="D15">
        <f t="shared" si="2"/>
        <v>4800</v>
      </c>
      <c r="E15">
        <f t="shared" si="3"/>
        <v>983</v>
      </c>
      <c r="F15" s="4">
        <f t="shared" si="4"/>
        <v>4799.8</v>
      </c>
      <c r="G15" s="4">
        <f t="shared" si="5"/>
        <v>-0.1999999999998181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K10" sqref="K10"/>
    </sheetView>
  </sheetViews>
  <sheetFormatPr baseColWidth="10" defaultRowHeight="15" x14ac:dyDescent="0.25"/>
  <cols>
    <col min="1" max="1" width="4.85546875" bestFit="1" customWidth="1"/>
    <col min="3" max="3" width="17" bestFit="1" customWidth="1"/>
  </cols>
  <sheetData>
    <row r="1" spans="1:4" x14ac:dyDescent="0.25">
      <c r="A1" s="1" t="s">
        <v>17</v>
      </c>
      <c r="B1" s="1" t="s">
        <v>18</v>
      </c>
      <c r="C1" s="1" t="s">
        <v>20</v>
      </c>
      <c r="D1" s="1" t="s">
        <v>19</v>
      </c>
    </row>
    <row r="2" spans="1:4" x14ac:dyDescent="0.25">
      <c r="A2">
        <v>1</v>
      </c>
      <c r="B2" t="s">
        <v>24</v>
      </c>
      <c r="C2" t="s">
        <v>33</v>
      </c>
      <c r="D2" t="s">
        <v>27</v>
      </c>
    </row>
    <row r="3" spans="1:4" x14ac:dyDescent="0.25">
      <c r="A3">
        <v>2</v>
      </c>
      <c r="B3" t="s">
        <v>21</v>
      </c>
      <c r="C3" t="s">
        <v>34</v>
      </c>
      <c r="D3" t="s">
        <v>28</v>
      </c>
    </row>
    <row r="4" spans="1:4" x14ac:dyDescent="0.25">
      <c r="A4">
        <v>3</v>
      </c>
      <c r="B4" t="s">
        <v>25</v>
      </c>
      <c r="C4" t="s">
        <v>36</v>
      </c>
      <c r="D4" t="s">
        <v>29</v>
      </c>
    </row>
    <row r="5" spans="1:4" x14ac:dyDescent="0.25">
      <c r="A5">
        <v>4</v>
      </c>
      <c r="B5" t="s">
        <v>22</v>
      </c>
      <c r="C5" t="s">
        <v>35</v>
      </c>
      <c r="D5" t="s">
        <v>30</v>
      </c>
    </row>
    <row r="6" spans="1:4" x14ac:dyDescent="0.25">
      <c r="A6">
        <v>5</v>
      </c>
      <c r="B6" t="s">
        <v>26</v>
      </c>
      <c r="C6" t="s">
        <v>37</v>
      </c>
      <c r="D6" t="s">
        <v>31</v>
      </c>
    </row>
    <row r="7" spans="1:4" x14ac:dyDescent="0.25">
      <c r="A7">
        <v>6</v>
      </c>
      <c r="B7" t="s">
        <v>23</v>
      </c>
      <c r="C7" t="s">
        <v>38</v>
      </c>
      <c r="D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6524-B061-4F2B-88F7-CA3E31CEFDE1}">
  <dimension ref="A1:J15"/>
  <sheetViews>
    <sheetView workbookViewId="0">
      <selection activeCell="H15" sqref="H15"/>
    </sheetView>
  </sheetViews>
  <sheetFormatPr baseColWidth="10" defaultRowHeight="15" x14ac:dyDescent="0.25"/>
  <cols>
    <col min="2" max="9" width="4.85546875" style="2" bestFit="1" customWidth="1"/>
  </cols>
  <sheetData>
    <row r="1" spans="1:10" x14ac:dyDescent="0.25">
      <c r="A1" t="s">
        <v>49</v>
      </c>
      <c r="B1" s="2" t="s">
        <v>50</v>
      </c>
      <c r="C1" s="2" t="s">
        <v>51</v>
      </c>
      <c r="D1" s="2" t="s">
        <v>57</v>
      </c>
      <c r="E1" s="2" t="s">
        <v>56</v>
      </c>
      <c r="F1" s="2" t="s">
        <v>55</v>
      </c>
      <c r="G1" s="2" t="s">
        <v>54</v>
      </c>
      <c r="H1" s="2" t="s">
        <v>53</v>
      </c>
      <c r="I1" s="2" t="s">
        <v>52</v>
      </c>
    </row>
    <row r="2" spans="1:10" x14ac:dyDescent="0.25">
      <c r="A2" t="s">
        <v>48</v>
      </c>
      <c r="B2" s="2">
        <v>1</v>
      </c>
      <c r="C2" s="2">
        <v>0</v>
      </c>
      <c r="D2" s="2">
        <v>0</v>
      </c>
      <c r="E2" s="2">
        <v>1</v>
      </c>
      <c r="F2" s="2">
        <v>1</v>
      </c>
      <c r="G2" s="2">
        <v>1</v>
      </c>
      <c r="H2" s="2">
        <v>0</v>
      </c>
      <c r="I2" s="2">
        <v>1</v>
      </c>
      <c r="J2" t="s">
        <v>60</v>
      </c>
    </row>
    <row r="4" spans="1:10" x14ac:dyDescent="0.25">
      <c r="A4" t="s">
        <v>58</v>
      </c>
      <c r="B4" s="2">
        <v>1</v>
      </c>
      <c r="C4" s="2">
        <v>0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t="s">
        <v>61</v>
      </c>
    </row>
    <row r="6" spans="1:10" x14ac:dyDescent="0.25">
      <c r="A6" t="s">
        <v>59</v>
      </c>
      <c r="B6" s="2">
        <v>1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1</v>
      </c>
      <c r="J6" t="s">
        <v>62</v>
      </c>
    </row>
    <row r="14" spans="1:10" x14ac:dyDescent="0.25">
      <c r="A14" t="s">
        <v>63</v>
      </c>
      <c r="B14" s="2">
        <v>0</v>
      </c>
      <c r="C14" s="2">
        <v>0</v>
      </c>
      <c r="D14" s="2">
        <v>1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</row>
    <row r="15" spans="1:10" x14ac:dyDescent="0.25">
      <c r="A15" t="s">
        <v>64</v>
      </c>
      <c r="B15" s="2">
        <v>0</v>
      </c>
      <c r="C15" s="2">
        <v>0</v>
      </c>
      <c r="D15" s="2">
        <v>1</v>
      </c>
      <c r="E15" s="2">
        <v>0</v>
      </c>
      <c r="F15" s="2">
        <v>1</v>
      </c>
      <c r="G15" s="2">
        <v>1</v>
      </c>
      <c r="H15" s="2">
        <v>1</v>
      </c>
      <c r="I15" s="2">
        <v>0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PWM</vt:lpstr>
      <vt:lpstr>Ip</vt:lpstr>
      <vt:lpstr>ADC</vt:lpstr>
      <vt:lpstr>Lambda DAC</vt:lpstr>
      <vt:lpstr>LSU 4.9 Pinout</vt:lpstr>
      <vt:lpstr>HEX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2022-06-01T21:21:11Z</dcterms:modified>
</cp:coreProperties>
</file>