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JUK/"/>
    </mc:Choice>
  </mc:AlternateContent>
  <bookViews>
    <workbookView xWindow="880" yWindow="460" windowWidth="32720" windowHeight="20540" tabRatio="350" activeTab="1"/>
  </bookViews>
  <sheets>
    <sheet name="แผนงานช่วย" sheetId="1" r:id="rId1"/>
    <sheet name="ordeลูกค้า" sheetId="2" r:id="rId2"/>
    <sheet name="Sheet1" sheetId="3" r:id="rId3"/>
  </sheets>
  <definedNames>
    <definedName name="_xlnm._FilterDatabase" localSheetId="1" hidden="1">ordeลูกค้า!$A$4:$A$19</definedName>
    <definedName name="_xlnm.Print_Area" localSheetId="1">ordeลูกค้า!$A$61:$D$77</definedName>
    <definedName name="_xlnm.Print_Area" localSheetId="0">แผนงานช่วย!$A$39:$S$53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2" l="1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17" i="3"/>
  <c r="K17" i="3"/>
  <c r="J17" i="3"/>
  <c r="E16" i="3"/>
  <c r="K16" i="3"/>
  <c r="J16" i="3"/>
  <c r="E15" i="3"/>
  <c r="J15" i="3"/>
  <c r="E14" i="3"/>
  <c r="L14" i="3"/>
  <c r="I14" i="3"/>
  <c r="H14" i="3"/>
  <c r="G14" i="3"/>
  <c r="J14" i="3"/>
  <c r="E13" i="3"/>
  <c r="K13" i="3"/>
  <c r="H13" i="3"/>
  <c r="J13" i="3"/>
  <c r="E12" i="3"/>
  <c r="K12" i="3"/>
  <c r="G12" i="3"/>
  <c r="J12" i="3"/>
  <c r="E11" i="3"/>
  <c r="J11" i="3"/>
  <c r="E10" i="3"/>
  <c r="J10" i="3"/>
  <c r="E9" i="3"/>
  <c r="H9" i="3"/>
  <c r="G9" i="3"/>
  <c r="J9" i="3"/>
  <c r="E8" i="3"/>
  <c r="K8" i="3"/>
  <c r="E7" i="3"/>
  <c r="I7" i="3"/>
  <c r="E6" i="3"/>
  <c r="L6" i="3"/>
  <c r="H6" i="3"/>
  <c r="G6" i="3"/>
  <c r="J6" i="3"/>
  <c r="E5" i="3"/>
  <c r="K5" i="3"/>
  <c r="H5" i="3"/>
  <c r="J5" i="3"/>
  <c r="E4" i="3"/>
  <c r="K4" i="3"/>
  <c r="E3" i="3"/>
  <c r="I3" i="3"/>
  <c r="J3" i="3"/>
  <c r="E2" i="3"/>
  <c r="I2" i="3"/>
  <c r="J2" i="3"/>
  <c r="K10" i="3"/>
  <c r="G10" i="3"/>
  <c r="L10" i="3"/>
  <c r="L17" i="3"/>
  <c r="G2" i="3"/>
  <c r="L2" i="3"/>
  <c r="L5" i="3"/>
  <c r="I6" i="3"/>
  <c r="K9" i="3"/>
  <c r="H10" i="3"/>
  <c r="L13" i="3"/>
  <c r="G17" i="3"/>
  <c r="K2" i="3"/>
  <c r="H2" i="3"/>
  <c r="G5" i="3"/>
  <c r="K6" i="3"/>
  <c r="L9" i="3"/>
  <c r="I10" i="3"/>
  <c r="G13" i="3"/>
  <c r="K14" i="3"/>
  <c r="G16" i="3"/>
  <c r="H17" i="3"/>
  <c r="J4" i="3"/>
  <c r="G4" i="3"/>
  <c r="J7" i="3"/>
  <c r="G3" i="3"/>
  <c r="K3" i="3"/>
  <c r="H4" i="3"/>
  <c r="L4" i="3"/>
  <c r="I5" i="3"/>
  <c r="G7" i="3"/>
  <c r="K7" i="3"/>
  <c r="H8" i="3"/>
  <c r="L8" i="3"/>
  <c r="I9" i="3"/>
  <c r="G11" i="3"/>
  <c r="K11" i="3"/>
  <c r="H12" i="3"/>
  <c r="L12" i="3"/>
  <c r="I13" i="3"/>
  <c r="G15" i="3"/>
  <c r="K15" i="3"/>
  <c r="H16" i="3"/>
  <c r="L16" i="3"/>
  <c r="I17" i="3"/>
  <c r="H3" i="3"/>
  <c r="L3" i="3"/>
  <c r="I4" i="3"/>
  <c r="H7" i="3"/>
  <c r="L7" i="3"/>
  <c r="I8" i="3"/>
  <c r="H11" i="3"/>
  <c r="L11" i="3"/>
  <c r="I12" i="3"/>
  <c r="H15" i="3"/>
  <c r="L15" i="3"/>
  <c r="I16" i="3"/>
  <c r="J8" i="3"/>
  <c r="I11" i="3"/>
  <c r="I15" i="3"/>
  <c r="G8" i="3"/>
  <c r="W20" i="2"/>
  <c r="S25" i="2"/>
  <c r="Z20" i="2"/>
  <c r="T25" i="2"/>
  <c r="T20" i="2"/>
  <c r="R25" i="2"/>
  <c r="AC17" i="2"/>
  <c r="R17" i="2"/>
  <c r="AC19" i="2"/>
  <c r="X19" i="2"/>
  <c r="AC18" i="2"/>
  <c r="X18" i="2"/>
  <c r="X17" i="2"/>
  <c r="AC16" i="2"/>
  <c r="X16" i="2"/>
  <c r="AC15" i="2"/>
  <c r="X15" i="2"/>
  <c r="AC14" i="2"/>
  <c r="X14" i="2"/>
  <c r="AC13" i="2"/>
  <c r="X13" i="2"/>
  <c r="AC12" i="2"/>
  <c r="X12" i="2"/>
  <c r="AC11" i="2"/>
  <c r="X11" i="2"/>
  <c r="AC10" i="2"/>
  <c r="X10" i="2"/>
  <c r="AC9" i="2"/>
  <c r="X9" i="2"/>
  <c r="AC8" i="2"/>
  <c r="X8" i="2"/>
  <c r="AC7" i="2"/>
  <c r="X7" i="2"/>
  <c r="AC6" i="2"/>
  <c r="X6" i="2"/>
  <c r="AC5" i="2"/>
  <c r="X5" i="2"/>
  <c r="AC4" i="2"/>
  <c r="X4" i="2"/>
  <c r="Q20" i="2"/>
  <c r="Q25" i="2"/>
  <c r="R5" i="2"/>
  <c r="U17" i="2"/>
  <c r="AA17" i="2"/>
  <c r="U5" i="2"/>
  <c r="AA13" i="2"/>
  <c r="X20" i="2"/>
  <c r="S31" i="2"/>
  <c r="R13" i="2"/>
  <c r="U13" i="2"/>
  <c r="AA9" i="2"/>
  <c r="R9" i="2"/>
  <c r="U9" i="2"/>
  <c r="U4" i="2"/>
  <c r="AA5" i="2"/>
  <c r="R16" i="2"/>
  <c r="R12" i="2"/>
  <c r="R8" i="2"/>
  <c r="R4" i="2"/>
  <c r="U16" i="2"/>
  <c r="U12" i="2"/>
  <c r="U8" i="2"/>
  <c r="AA4" i="2"/>
  <c r="AA16" i="2"/>
  <c r="AA12" i="2"/>
  <c r="AA8" i="2"/>
  <c r="R19" i="2"/>
  <c r="R15" i="2"/>
  <c r="R11" i="2"/>
  <c r="R7" i="2"/>
  <c r="U19" i="2"/>
  <c r="U15" i="2"/>
  <c r="U11" i="2"/>
  <c r="U7" i="2"/>
  <c r="AA19" i="2"/>
  <c r="AA15" i="2"/>
  <c r="AA11" i="2"/>
  <c r="AA7" i="2"/>
  <c r="X21" i="2"/>
  <c r="R18" i="2"/>
  <c r="R14" i="2"/>
  <c r="R10" i="2"/>
  <c r="R6" i="2"/>
  <c r="U18" i="2"/>
  <c r="U14" i="2"/>
  <c r="U10" i="2"/>
  <c r="U6" i="2"/>
  <c r="AA18" i="2"/>
  <c r="AA14" i="2"/>
  <c r="AA10" i="2"/>
  <c r="AA6" i="2"/>
  <c r="E4" i="2"/>
  <c r="I4" i="2"/>
  <c r="E5" i="2"/>
  <c r="J5" i="2"/>
  <c r="E6" i="2"/>
  <c r="J6" i="2"/>
  <c r="E7" i="2"/>
  <c r="J7" i="2"/>
  <c r="E8" i="2"/>
  <c r="K8" i="2"/>
  <c r="E9" i="2"/>
  <c r="L9" i="2"/>
  <c r="E10" i="2"/>
  <c r="L10" i="2"/>
  <c r="E11" i="2"/>
  <c r="G11" i="2"/>
  <c r="E12" i="2"/>
  <c r="K12" i="2"/>
  <c r="E13" i="2"/>
  <c r="L13" i="2"/>
  <c r="E14" i="2"/>
  <c r="G14" i="2"/>
  <c r="E15" i="2"/>
  <c r="G15" i="2"/>
  <c r="E16" i="2"/>
  <c r="J16" i="2"/>
  <c r="E17" i="2"/>
  <c r="L17" i="2"/>
  <c r="E18" i="2"/>
  <c r="I18" i="2"/>
  <c r="E19" i="2"/>
  <c r="I19" i="2"/>
  <c r="R20" i="2"/>
  <c r="Q31" i="2"/>
  <c r="U20" i="2"/>
  <c r="U21" i="2"/>
  <c r="R31" i="2"/>
  <c r="AA20" i="2"/>
  <c r="R21" i="2"/>
  <c r="G6" i="2"/>
  <c r="G17" i="2"/>
  <c r="G13" i="2"/>
  <c r="G8" i="2"/>
  <c r="H16" i="2"/>
  <c r="H11" i="2"/>
  <c r="H7" i="2"/>
  <c r="I16" i="2"/>
  <c r="I17" i="2"/>
  <c r="I12" i="2"/>
  <c r="I8" i="2"/>
  <c r="J4" i="2"/>
  <c r="J8" i="2"/>
  <c r="J19" i="2"/>
  <c r="J15" i="2"/>
  <c r="K16" i="2"/>
  <c r="K15" i="2"/>
  <c r="K11" i="2"/>
  <c r="K7" i="2"/>
  <c r="L8" i="2"/>
  <c r="L16" i="2"/>
  <c r="L12" i="2"/>
  <c r="L7" i="2"/>
  <c r="G7" i="2"/>
  <c r="G16" i="2"/>
  <c r="G12" i="2"/>
  <c r="H19" i="2"/>
  <c r="H15" i="2"/>
  <c r="H10" i="2"/>
  <c r="H6" i="2"/>
  <c r="H12" i="2"/>
  <c r="I15" i="2"/>
  <c r="I11" i="2"/>
  <c r="I7" i="2"/>
  <c r="J11" i="2"/>
  <c r="J18" i="2"/>
  <c r="J14" i="2"/>
  <c r="K19" i="2"/>
  <c r="K14" i="2"/>
  <c r="K10" i="2"/>
  <c r="K6" i="2"/>
  <c r="L19" i="2"/>
  <c r="L15" i="2"/>
  <c r="L11" i="2"/>
  <c r="L6" i="2"/>
  <c r="G19" i="2"/>
  <c r="G10" i="2"/>
  <c r="H18" i="2"/>
  <c r="H14" i="2"/>
  <c r="H9" i="2"/>
  <c r="H5" i="2"/>
  <c r="I14" i="2"/>
  <c r="I10" i="2"/>
  <c r="I6" i="2"/>
  <c r="J10" i="2"/>
  <c r="J17" i="2"/>
  <c r="J13" i="2"/>
  <c r="K18" i="2"/>
  <c r="K13" i="2"/>
  <c r="K9" i="2"/>
  <c r="K5" i="2"/>
  <c r="L18" i="2"/>
  <c r="L14" i="2"/>
  <c r="L5" i="2"/>
  <c r="G5" i="2"/>
  <c r="G18" i="2"/>
  <c r="G9" i="2"/>
  <c r="H17" i="2"/>
  <c r="H13" i="2"/>
  <c r="H8" i="2"/>
  <c r="H4" i="2"/>
  <c r="I13" i="2"/>
  <c r="I9" i="2"/>
  <c r="I5" i="2"/>
  <c r="J9" i="2"/>
  <c r="J12" i="2"/>
  <c r="K17" i="2"/>
  <c r="K4" i="2"/>
  <c r="L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G4" i="2"/>
  <c r="T31" i="2"/>
  <c r="AA21" i="2"/>
  <c r="O16" i="2"/>
  <c r="O4" i="2"/>
  <c r="O11" i="2"/>
  <c r="O15" i="2"/>
  <c r="O5" i="2"/>
  <c r="O19" i="2"/>
  <c r="O14" i="2"/>
  <c r="O12" i="2"/>
  <c r="O17" i="2"/>
  <c r="O6" i="2"/>
  <c r="O9" i="2"/>
  <c r="O7" i="2"/>
  <c r="O8" i="2"/>
  <c r="O18" i="2"/>
  <c r="O10" i="2"/>
  <c r="O13" i="2"/>
  <c r="B13" i="1"/>
  <c r="B14" i="1"/>
  <c r="B15" i="1"/>
  <c r="B16" i="1"/>
  <c r="B17" i="1"/>
  <c r="B18" i="1"/>
  <c r="B19" i="1"/>
  <c r="B20" i="1"/>
  <c r="D17" i="1"/>
  <c r="D18" i="1"/>
  <c r="D19" i="1"/>
  <c r="D20" i="1"/>
  <c r="B38" i="1"/>
  <c r="K38" i="1"/>
  <c r="C20" i="1"/>
  <c r="B37" i="1"/>
  <c r="K37" i="1"/>
  <c r="C19" i="1"/>
  <c r="B36" i="1"/>
  <c r="B35" i="1"/>
  <c r="B34" i="1"/>
  <c r="K34" i="1"/>
  <c r="C16" i="1"/>
  <c r="B33" i="1"/>
  <c r="K33" i="1"/>
  <c r="C15" i="1"/>
  <c r="B32" i="1"/>
  <c r="E32" i="1"/>
  <c r="J14" i="1"/>
  <c r="B31" i="1"/>
  <c r="K31" i="1"/>
  <c r="C13" i="1"/>
  <c r="B30" i="1"/>
  <c r="B29" i="1"/>
  <c r="D29" i="1"/>
  <c r="B11" i="1"/>
  <c r="J29" i="1"/>
  <c r="B28" i="1"/>
  <c r="B27" i="1"/>
  <c r="G27" i="1"/>
  <c r="J27" i="1"/>
  <c r="B26" i="1"/>
  <c r="G26" i="1"/>
  <c r="D26" i="1"/>
  <c r="B8" i="1"/>
  <c r="B25" i="1"/>
  <c r="G25" i="1"/>
  <c r="D25" i="1"/>
  <c r="B24" i="1"/>
  <c r="G24" i="1"/>
  <c r="D24" i="1"/>
  <c r="B23" i="1"/>
  <c r="B7" i="1"/>
  <c r="H7" i="1"/>
  <c r="D7" i="1"/>
  <c r="K25" i="1"/>
  <c r="K7" i="1"/>
  <c r="P18" i="2"/>
  <c r="AE18" i="2"/>
  <c r="P4" i="2"/>
  <c r="AE4" i="2"/>
  <c r="K24" i="1"/>
  <c r="K26" i="1"/>
  <c r="I27" i="1"/>
  <c r="G29" i="1"/>
  <c r="E31" i="1"/>
  <c r="I31" i="1"/>
  <c r="J31" i="1"/>
  <c r="N13" i="1"/>
  <c r="I32" i="1"/>
  <c r="P8" i="2"/>
  <c r="AE8" i="2"/>
  <c r="P17" i="2"/>
  <c r="AE17" i="2"/>
  <c r="P5" i="2"/>
  <c r="AE5" i="2"/>
  <c r="P16" i="2"/>
  <c r="AE16" i="2"/>
  <c r="O8" i="1"/>
  <c r="P6" i="2"/>
  <c r="AE6" i="2"/>
  <c r="I29" i="1"/>
  <c r="M13" i="1"/>
  <c r="D14" i="1"/>
  <c r="F14" i="1"/>
  <c r="H14" i="1"/>
  <c r="P13" i="2"/>
  <c r="AE13" i="2"/>
  <c r="P7" i="2"/>
  <c r="AE7" i="2"/>
  <c r="P12" i="2"/>
  <c r="AE12" i="2"/>
  <c r="P15" i="2"/>
  <c r="AE15" i="2"/>
  <c r="P19" i="2"/>
  <c r="AE19" i="2"/>
  <c r="D27" i="1"/>
  <c r="E13" i="1"/>
  <c r="F37" i="1"/>
  <c r="H19" i="1"/>
  <c r="P10" i="2"/>
  <c r="AE10" i="2"/>
  <c r="P9" i="2"/>
  <c r="AE9" i="2"/>
  <c r="P14" i="2"/>
  <c r="AE14" i="2"/>
  <c r="P11" i="2"/>
  <c r="AE11" i="2"/>
  <c r="O20" i="2"/>
  <c r="K35" i="1"/>
  <c r="C17" i="1"/>
  <c r="J35" i="1"/>
  <c r="H35" i="1"/>
  <c r="F35" i="1"/>
  <c r="D23" i="1"/>
  <c r="K23" i="1"/>
  <c r="G23" i="1"/>
  <c r="L14" i="1"/>
  <c r="F11" i="1"/>
  <c r="L11" i="1"/>
  <c r="J28" i="1"/>
  <c r="D28" i="1"/>
  <c r="K28" i="1"/>
  <c r="C10" i="1"/>
  <c r="F19" i="1"/>
  <c r="F7" i="1"/>
  <c r="J7" i="1"/>
  <c r="L7" i="1"/>
  <c r="O13" i="1"/>
  <c r="H13" i="1"/>
  <c r="K36" i="1"/>
  <c r="C18" i="1"/>
  <c r="H36" i="1"/>
  <c r="F36" i="1"/>
  <c r="J11" i="1"/>
  <c r="N6" i="1"/>
  <c r="F6" i="1"/>
  <c r="B6" i="1"/>
  <c r="L6" i="1"/>
  <c r="J6" i="1"/>
  <c r="H6" i="1"/>
  <c r="D6" i="1"/>
  <c r="N8" i="1"/>
  <c r="L8" i="1"/>
  <c r="J8" i="1"/>
  <c r="H8" i="1"/>
  <c r="F8" i="1"/>
  <c r="D8" i="1"/>
  <c r="B9" i="1"/>
  <c r="L9" i="1"/>
  <c r="J9" i="1"/>
  <c r="H9" i="1"/>
  <c r="F9" i="1"/>
  <c r="D9" i="1"/>
  <c r="J30" i="1"/>
  <c r="D30" i="1"/>
  <c r="K30" i="1"/>
  <c r="C12" i="1"/>
  <c r="D11" i="1"/>
  <c r="H11" i="1"/>
  <c r="K6" i="1"/>
  <c r="M6" i="1"/>
  <c r="E33" i="1"/>
  <c r="G13" i="1"/>
  <c r="I13" i="1"/>
  <c r="K13" i="1"/>
  <c r="K27" i="1"/>
  <c r="C9" i="1"/>
  <c r="K29" i="1"/>
  <c r="E8" i="1"/>
  <c r="G8" i="1"/>
  <c r="K8" i="1"/>
  <c r="M8" i="1"/>
  <c r="G28" i="1"/>
  <c r="G30" i="1"/>
  <c r="J32" i="1"/>
  <c r="K32" i="1"/>
  <c r="N14" i="1"/>
  <c r="I33" i="1"/>
  <c r="E34" i="1"/>
  <c r="J36" i="1"/>
  <c r="H37" i="1"/>
  <c r="J37" i="1"/>
  <c r="M19" i="1"/>
  <c r="F38" i="1"/>
  <c r="I28" i="1"/>
  <c r="I30" i="1"/>
  <c r="C14" i="1"/>
  <c r="J33" i="1"/>
  <c r="E15" i="1"/>
  <c r="I34" i="1"/>
  <c r="H38" i="1"/>
  <c r="J34" i="1"/>
  <c r="E16" i="1"/>
  <c r="J38" i="1"/>
  <c r="L19" i="1"/>
  <c r="P20" i="2"/>
  <c r="S27" i="2"/>
  <c r="S29" i="2"/>
  <c r="R27" i="2"/>
  <c r="T29" i="2"/>
  <c r="T27" i="2"/>
  <c r="R29" i="2"/>
  <c r="Q27" i="2"/>
  <c r="Q29" i="2"/>
  <c r="G7" i="1"/>
  <c r="I7" i="1"/>
  <c r="C7" i="1"/>
  <c r="E7" i="1"/>
  <c r="J13" i="1"/>
  <c r="N7" i="1"/>
  <c r="E9" i="1"/>
  <c r="K14" i="1"/>
  <c r="C6" i="1"/>
  <c r="G6" i="1"/>
  <c r="I6" i="1"/>
  <c r="E6" i="1"/>
  <c r="O14" i="1"/>
  <c r="D13" i="1"/>
  <c r="L13" i="1"/>
  <c r="O7" i="1"/>
  <c r="M7" i="1"/>
  <c r="I14" i="1"/>
  <c r="N9" i="1"/>
  <c r="F13" i="1"/>
  <c r="I8" i="1"/>
  <c r="C8" i="1"/>
  <c r="O6" i="1"/>
  <c r="G20" i="1"/>
  <c r="E20" i="1"/>
  <c r="M16" i="1"/>
  <c r="K16" i="1"/>
  <c r="I16" i="1"/>
  <c r="G16" i="1"/>
  <c r="O16" i="1"/>
  <c r="N16" i="1"/>
  <c r="L16" i="1"/>
  <c r="J16" i="1"/>
  <c r="H16" i="1"/>
  <c r="F16" i="1"/>
  <c r="D16" i="1"/>
  <c r="J15" i="1"/>
  <c r="F15" i="1"/>
  <c r="D15" i="1"/>
  <c r="H15" i="1"/>
  <c r="O15" i="1"/>
  <c r="N15" i="1"/>
  <c r="L15" i="1"/>
  <c r="G17" i="1"/>
  <c r="E17" i="1"/>
  <c r="I15" i="1"/>
  <c r="M15" i="1"/>
  <c r="K15" i="1"/>
  <c r="G15" i="1"/>
  <c r="N12" i="1"/>
  <c r="L12" i="1"/>
  <c r="J12" i="1"/>
  <c r="H12" i="1"/>
  <c r="F12" i="1"/>
  <c r="D12" i="1"/>
  <c r="B12" i="1"/>
  <c r="N18" i="1"/>
  <c r="M18" i="1"/>
  <c r="L18" i="1"/>
  <c r="J18" i="1"/>
  <c r="H18" i="1"/>
  <c r="O18" i="1"/>
  <c r="F18" i="1"/>
  <c r="K20" i="1"/>
  <c r="I20" i="1"/>
  <c r="K19" i="1"/>
  <c r="I19" i="1"/>
  <c r="E14" i="1"/>
  <c r="M9" i="1"/>
  <c r="G9" i="1"/>
  <c r="E12" i="1"/>
  <c r="K18" i="1"/>
  <c r="I18" i="1"/>
  <c r="J19" i="1"/>
  <c r="N10" i="1"/>
  <c r="L10" i="1"/>
  <c r="J10" i="1"/>
  <c r="H10" i="1"/>
  <c r="D10" i="1"/>
  <c r="B10" i="1"/>
  <c r="F10" i="1"/>
  <c r="I9" i="1"/>
  <c r="O17" i="1"/>
  <c r="N17" i="1"/>
  <c r="M17" i="1"/>
  <c r="L17" i="1"/>
  <c r="J17" i="1"/>
  <c r="H17" i="1"/>
  <c r="F17" i="1"/>
  <c r="O9" i="1"/>
  <c r="I10" i="1"/>
  <c r="G10" i="1"/>
  <c r="M10" i="1"/>
  <c r="K10" i="1"/>
  <c r="O10" i="1"/>
  <c r="C11" i="1"/>
  <c r="I11" i="1"/>
  <c r="E11" i="1"/>
  <c r="M11" i="1"/>
  <c r="G11" i="1"/>
  <c r="O11" i="1"/>
  <c r="K11" i="1"/>
  <c r="C5" i="1"/>
  <c r="I5" i="1"/>
  <c r="G5" i="1"/>
  <c r="E5" i="1"/>
  <c r="O20" i="1"/>
  <c r="N20" i="1"/>
  <c r="M20" i="1"/>
  <c r="L20" i="1"/>
  <c r="J20" i="1"/>
  <c r="H20" i="1"/>
  <c r="F20" i="1"/>
  <c r="B5" i="1"/>
  <c r="N5" i="1"/>
  <c r="L5" i="1"/>
  <c r="J5" i="1"/>
  <c r="H5" i="1"/>
  <c r="F5" i="1"/>
  <c r="D5" i="1"/>
  <c r="G19" i="1"/>
  <c r="E19" i="1"/>
  <c r="I12" i="1"/>
  <c r="G12" i="1"/>
  <c r="E18" i="1"/>
  <c r="G18" i="1"/>
  <c r="O12" i="1"/>
  <c r="M12" i="1"/>
  <c r="K12" i="1"/>
  <c r="K9" i="1"/>
  <c r="N19" i="1"/>
  <c r="N11" i="1"/>
  <c r="E10" i="1"/>
  <c r="G14" i="1"/>
  <c r="M14" i="1"/>
  <c r="O5" i="1"/>
  <c r="M5" i="1"/>
  <c r="K5" i="1"/>
  <c r="K17" i="1"/>
  <c r="I17" i="1"/>
  <c r="O19" i="1"/>
</calcChain>
</file>

<file path=xl/sharedStrings.xml><?xml version="1.0" encoding="utf-8"?>
<sst xmlns="http://schemas.openxmlformats.org/spreadsheetml/2006/main" count="287" uniqueCount="132">
  <si>
    <t>ตารางเวลาการทำงานแต่ละหน่วยการผลิต</t>
  </si>
  <si>
    <t>งาน i</t>
  </si>
  <si>
    <t>แผนงานช่วยที่ 1 (k=1)</t>
  </si>
  <si>
    <t>t*i,1</t>
  </si>
  <si>
    <t>t*i,2</t>
  </si>
  <si>
    <t>แผนงานช่วยที่ 2 (k=2)</t>
  </si>
  <si>
    <t>แผนงานช่วยที่ 3 (k=3)</t>
  </si>
  <si>
    <t>แผนงานช่วยที่ 4 (k=4)</t>
  </si>
  <si>
    <t>แผนงานช่วยที่ 5 (k=5)</t>
  </si>
  <si>
    <t>แผนงานช่วยที่ 6 (k=6)</t>
  </si>
  <si>
    <t>แผนงานช่วยที่ 7 (k=7)</t>
  </si>
  <si>
    <t>ค่า m= 8</t>
  </si>
  <si>
    <t>แผนงานช่วย = m-1 =8-1 = 7 แผนงานช่วย</t>
  </si>
  <si>
    <t>รายการที่ลูกค้าสั่งผลิต</t>
  </si>
  <si>
    <t>No.</t>
  </si>
  <si>
    <t>ชนิด</t>
  </si>
  <si>
    <t>ขนาด</t>
  </si>
  <si>
    <t>กำหนดส่ง</t>
  </si>
  <si>
    <t>หน่วยผลิตที่1</t>
  </si>
  <si>
    <t>หน่วยผลิตที่2</t>
  </si>
  <si>
    <t>หน่วยผลิตที่3</t>
  </si>
  <si>
    <t>หน่วยผลิตที่4</t>
  </si>
  <si>
    <t>หน่วยผลิตที่5</t>
  </si>
  <si>
    <t>หน่วยผลิตที่6</t>
  </si>
  <si>
    <t>หน่วยผลิตที่7</t>
  </si>
  <si>
    <t>หน่วยผลิตที่8</t>
  </si>
  <si>
    <t>15/01/2017</t>
  </si>
  <si>
    <t>20/01/2017</t>
  </si>
  <si>
    <t>28/01/2017</t>
  </si>
  <si>
    <t>18/01/2017</t>
  </si>
  <si>
    <t xml:space="preserve">ปริมาณ (Q) </t>
  </si>
  <si>
    <t>ปริมาณเผื่อเสีย (Qo)</t>
  </si>
  <si>
    <t>แผนงานช่วยที่1</t>
  </si>
  <si>
    <t>แผนงานช่วยที่7</t>
  </si>
  <si>
    <t>แผนงานช่วยที่6</t>
  </si>
  <si>
    <t>แผนงานช่วยที่5</t>
  </si>
  <si>
    <t>แผนงานช่วยที่4</t>
  </si>
  <si>
    <t>แผนงานช่วยที่3</t>
  </si>
  <si>
    <t>แผนงานช่วยที่2</t>
  </si>
  <si>
    <t>Total time</t>
  </si>
  <si>
    <t>Hour</t>
  </si>
  <si>
    <t>Date</t>
  </si>
  <si>
    <t>FCFS</t>
  </si>
  <si>
    <t>EDD</t>
  </si>
  <si>
    <t>SPT</t>
  </si>
  <si>
    <t>LPT</t>
  </si>
  <si>
    <t>ชนิดสินค้า</t>
  </si>
  <si>
    <t>ขนาด (cm³)</t>
  </si>
  <si>
    <t>หน่วยการผลิต</t>
  </si>
  <si>
    <t>หน่วยการผลิตที่1</t>
  </si>
  <si>
    <t>หน่วยการผลิตที่2</t>
  </si>
  <si>
    <t>(วินาที/ชิ้น)</t>
  </si>
  <si>
    <t>หน่วยการผลิตที่3</t>
  </si>
  <si>
    <t>หน่วยการผลิตที่4</t>
  </si>
  <si>
    <t>หน่วยการผลิตที่5</t>
  </si>
  <si>
    <t>หน่วยการผลิตที่6</t>
  </si>
  <si>
    <t>หน่วยการผลิตที่8</t>
  </si>
  <si>
    <t>เวลา sec/pc</t>
  </si>
  <si>
    <t xml:space="preserve">ถ้วยรางวัลโลหะ </t>
  </si>
  <si>
    <t>เสาตั้งป้าย</t>
  </si>
  <si>
    <t>โต๊ะเหล็ก</t>
  </si>
  <si>
    <t>ชั้นวางของ</t>
  </si>
  <si>
    <t xml:space="preserve">ความสูง 20 cm </t>
  </si>
  <si>
    <t xml:space="preserve">ความสูง 30 cm </t>
  </si>
  <si>
    <t xml:space="preserve">ความสูง 50 cm </t>
  </si>
  <si>
    <t xml:space="preserve">ความสูง 80 cm </t>
  </si>
  <si>
    <t>ความสูง 50 cm</t>
  </si>
  <si>
    <t>ความสูง 80 cm</t>
  </si>
  <si>
    <t>ความสูง 100 cm</t>
  </si>
  <si>
    <t>ความสูง 150 cm</t>
  </si>
  <si>
    <t>10 ชั้น</t>
  </si>
  <si>
    <t>15 ชั้น</t>
  </si>
  <si>
    <t>20 ชั้น</t>
  </si>
  <si>
    <t>5 ชั้น</t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</si>
  <si>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50 </t>
    </r>
    <r>
      <rPr>
        <sz val="16"/>
        <color theme="1"/>
        <rFont val="Angsana New"/>
        <family val="1"/>
      </rPr>
      <t>x 50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</si>
  <si>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50 </t>
    </r>
    <r>
      <rPr>
        <sz val="16"/>
        <color theme="1"/>
        <rFont val="Angsana New"/>
        <family val="1"/>
      </rPr>
      <t>x 100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</si>
  <si>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</t>
    </r>
    <r>
      <rPr>
        <sz val="16"/>
        <color theme="1"/>
        <rFont val="Angsana New"/>
        <family val="1"/>
      </rPr>
      <t>80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x 100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</si>
  <si>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กว้าง </t>
    </r>
    <r>
      <rPr>
        <sz val="16"/>
        <color theme="1"/>
        <rFont val="Angsana New"/>
        <family val="1"/>
      </rPr>
      <t xml:space="preserve">x </t>
    </r>
    <r>
      <rPr>
        <sz val="16"/>
        <color theme="1"/>
        <rFont val="Cordia New"/>
        <family val="2"/>
      </rPr>
      <t xml:space="preserve">ยาว 100 </t>
    </r>
    <r>
      <rPr>
        <sz val="16"/>
        <color theme="1"/>
        <rFont val="Angsana New"/>
        <family val="1"/>
      </rPr>
      <t>x 120</t>
    </r>
    <r>
      <rPr>
        <sz val="16"/>
        <color theme="1"/>
        <rFont val="Cordia New"/>
        <family val="2"/>
      </rPr>
      <t xml:space="preserve"> </t>
    </r>
    <r>
      <rPr>
        <sz val="16"/>
        <color theme="1"/>
        <rFont val="Angsana New"/>
        <family val="1"/>
      </rPr>
      <t>cm</t>
    </r>
  </si>
  <si>
    <r>
      <t xml:space="preserve">Milling Machine </t>
    </r>
    <r>
      <rPr>
        <b/>
        <sz val="14"/>
        <color theme="1"/>
        <rFont val="Angsana New"/>
        <family val="1"/>
      </rPr>
      <t>(วินาที/ชิ้น)</t>
    </r>
  </si>
  <si>
    <t>Dilling  Machine</t>
  </si>
  <si>
    <t>Trimming Machine</t>
  </si>
  <si>
    <t xml:space="preserve">Polishing </t>
  </si>
  <si>
    <t>Welding</t>
  </si>
  <si>
    <t>Packing</t>
  </si>
  <si>
    <t>คิดเผื่อผลิต 40% เวลา hr/order</t>
  </si>
  <si>
    <t>ที่ได้จากจัด FCFS</t>
  </si>
  <si>
    <t>Lateness</t>
  </si>
  <si>
    <t>Due date</t>
  </si>
  <si>
    <t>Due date (hr)</t>
  </si>
  <si>
    <t>Process time</t>
  </si>
  <si>
    <t>Average Completion Time</t>
  </si>
  <si>
    <t>(Sum of Total Flow Time / No. of Jobs)</t>
  </si>
  <si>
    <t>Utilization</t>
  </si>
  <si>
    <t>(Total Processing Time / Sum of Total Flow Time)</t>
  </si>
  <si>
    <t>Average No. of Jobs in System</t>
  </si>
  <si>
    <t>(Sum of Total Flow Time / Total Processing Time)</t>
  </si>
  <si>
    <t>(Total Late Days / No of Jobs)</t>
  </si>
  <si>
    <t>Flow Time</t>
  </si>
  <si>
    <t>ที่ได้จากEDD</t>
  </si>
  <si>
    <t>ที่ได้จาก SPT</t>
  </si>
  <si>
    <t>ที่ได้จาก LPT</t>
  </si>
  <si>
    <t>Average Job Lateness (hr)</t>
  </si>
  <si>
    <t>ช่วงกว้างของเวลา (hr)</t>
  </si>
  <si>
    <r>
      <t xml:space="preserve">กว้าง </t>
    </r>
    <r>
      <rPr>
        <b/>
        <sz val="16"/>
        <color theme="1"/>
        <rFont val="Angsana New"/>
        <family val="1"/>
      </rPr>
      <t xml:space="preserve">x </t>
    </r>
    <r>
      <rPr>
        <b/>
        <sz val="16"/>
        <color theme="1"/>
        <rFont val="Cordia New"/>
        <family val="2"/>
      </rPr>
      <t xml:space="preserve">ยาว 50 </t>
    </r>
    <r>
      <rPr>
        <b/>
        <sz val="16"/>
        <color theme="1"/>
        <rFont val="Angsana New"/>
        <family val="1"/>
      </rPr>
      <t>x 50</t>
    </r>
    <r>
      <rPr>
        <b/>
        <sz val="16"/>
        <color theme="1"/>
        <rFont val="Cordia New"/>
        <family val="2"/>
      </rPr>
      <t xml:space="preserve"> </t>
    </r>
    <r>
      <rPr>
        <b/>
        <sz val="16"/>
        <color theme="1"/>
        <rFont val="Angsana New"/>
        <family val="1"/>
      </rPr>
      <t>cm</t>
    </r>
  </si>
  <si>
    <r>
      <t xml:space="preserve">กว้าง </t>
    </r>
    <r>
      <rPr>
        <b/>
        <sz val="16"/>
        <color theme="1"/>
        <rFont val="Angsana New"/>
        <family val="1"/>
      </rPr>
      <t xml:space="preserve">x </t>
    </r>
    <r>
      <rPr>
        <b/>
        <sz val="16"/>
        <color theme="1"/>
        <rFont val="Cordia New"/>
        <family val="2"/>
      </rPr>
      <t xml:space="preserve">ยาว 50 </t>
    </r>
    <r>
      <rPr>
        <b/>
        <sz val="16"/>
        <color theme="1"/>
        <rFont val="Angsana New"/>
        <family val="1"/>
      </rPr>
      <t>x 100</t>
    </r>
    <r>
      <rPr>
        <b/>
        <sz val="16"/>
        <color theme="1"/>
        <rFont val="Cordia New"/>
        <family val="2"/>
      </rPr>
      <t xml:space="preserve"> </t>
    </r>
    <r>
      <rPr>
        <b/>
        <sz val="16"/>
        <color theme="1"/>
        <rFont val="Angsana New"/>
        <family val="1"/>
      </rPr>
      <t>cm</t>
    </r>
  </si>
  <si>
    <r>
      <t xml:space="preserve">กว้าง </t>
    </r>
    <r>
      <rPr>
        <b/>
        <sz val="16"/>
        <color theme="1"/>
        <rFont val="Angsana New"/>
        <family val="1"/>
      </rPr>
      <t xml:space="preserve">x </t>
    </r>
    <r>
      <rPr>
        <b/>
        <sz val="16"/>
        <color theme="1"/>
        <rFont val="Cordia New"/>
        <family val="2"/>
      </rPr>
      <t xml:space="preserve">ยาว </t>
    </r>
    <r>
      <rPr>
        <b/>
        <sz val="16"/>
        <color theme="1"/>
        <rFont val="Angsana New"/>
        <family val="1"/>
      </rPr>
      <t>80</t>
    </r>
    <r>
      <rPr>
        <b/>
        <sz val="16"/>
        <color theme="1"/>
        <rFont val="Cordia New"/>
        <family val="2"/>
      </rPr>
      <t xml:space="preserve"> </t>
    </r>
    <r>
      <rPr>
        <b/>
        <sz val="16"/>
        <color theme="1"/>
        <rFont val="Angsana New"/>
        <family val="1"/>
      </rPr>
      <t>x 100</t>
    </r>
    <r>
      <rPr>
        <b/>
        <sz val="16"/>
        <color theme="1"/>
        <rFont val="Cordia New"/>
        <family val="2"/>
      </rPr>
      <t xml:space="preserve"> </t>
    </r>
    <r>
      <rPr>
        <b/>
        <sz val="16"/>
        <color theme="1"/>
        <rFont val="Angsana New"/>
        <family val="1"/>
      </rPr>
      <t>cm</t>
    </r>
  </si>
  <si>
    <r>
      <t xml:space="preserve">กว้าง </t>
    </r>
    <r>
      <rPr>
        <b/>
        <sz val="16"/>
        <color theme="1"/>
        <rFont val="Angsana New"/>
        <family val="1"/>
      </rPr>
      <t xml:space="preserve">x </t>
    </r>
    <r>
      <rPr>
        <b/>
        <sz val="16"/>
        <color theme="1"/>
        <rFont val="Cordia New"/>
        <family val="2"/>
      </rPr>
      <t xml:space="preserve">ยาว 100 </t>
    </r>
    <r>
      <rPr>
        <b/>
        <sz val="16"/>
        <color theme="1"/>
        <rFont val="Angsana New"/>
        <family val="1"/>
      </rPr>
      <t>x 120</t>
    </r>
    <r>
      <rPr>
        <b/>
        <sz val="16"/>
        <color theme="1"/>
        <rFont val="Cordia New"/>
        <family val="2"/>
      </rPr>
      <t xml:space="preserve"> </t>
    </r>
    <r>
      <rPr>
        <b/>
        <sz val="16"/>
        <color theme="1"/>
        <rFont val="Angsana New"/>
        <family val="1"/>
      </rPr>
      <t>cm</t>
    </r>
  </si>
  <si>
    <t>หน่วย ชั่วโมง</t>
  </si>
  <si>
    <t>Raw Material</t>
  </si>
  <si>
    <t>เกียร</t>
  </si>
  <si>
    <t xml:space="preserve">Diameter 20 cm </t>
  </si>
  <si>
    <t xml:space="preserve">Diameter 30 cm </t>
  </si>
  <si>
    <t xml:space="preserve">Diameter 50 cm </t>
  </si>
  <si>
    <t xml:space="preserve">Diameter  80 cm </t>
  </si>
  <si>
    <t>เหล็ก</t>
  </si>
  <si>
    <t>C-clamp</t>
  </si>
  <si>
    <t>ความยาว 50 cm</t>
  </si>
  <si>
    <t>ความยาว  80 cm</t>
  </si>
  <si>
    <t>ความยาว  100 cm</t>
  </si>
  <si>
    <t>ความยาว  150 cm</t>
  </si>
  <si>
    <t>เหล็กกล้าคาร์บอน</t>
  </si>
  <si>
    <t>เหล็กแท่ง, เหล็ก,น็อต,สกรู</t>
  </si>
  <si>
    <t>น็อต,สกรู</t>
  </si>
  <si>
    <t>เหล็กแท่ง, เหล็กบาง,</t>
  </si>
  <si>
    <t>ปริมาณ</t>
  </si>
  <si>
    <t>เหล็ก Diameter 23cm</t>
  </si>
  <si>
    <t>หนา 22 cm</t>
  </si>
  <si>
    <t>เหล็กแผ่นหนา 17 cm</t>
  </si>
  <si>
    <t>เหล็กแผ่นหนา 0.5 cm</t>
  </si>
  <si>
    <t>เหล็กแท่งสูง 80 cm</t>
  </si>
  <si>
    <t>เหล็กแผ่นหนา  0.3 cm'</t>
  </si>
  <si>
    <t>เหล็กงแท่งสูงตามจำนวนชั้น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</si>
</sst>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6"/>
      <color rgb="FFFF0000"/>
      <name val="Angsana New"/>
      <family val="1"/>
    </font>
    <font>
      <sz val="16"/>
      <name val="Angsana New"/>
      <family val="1"/>
    </font>
    <font>
      <sz val="14"/>
      <color theme="1"/>
      <name val="Angsana New"/>
      <family val="1"/>
    </font>
    <font>
      <b/>
      <sz val="14"/>
      <color theme="1"/>
      <name val="Angsana New"/>
      <family val="1"/>
    </font>
    <font>
      <sz val="16"/>
      <color theme="1"/>
      <name val="Cordia Ne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ordia New"/>
      <family val="2"/>
    </font>
    <font>
      <b/>
      <sz val="11"/>
      <color rgb="FF3F3F3F"/>
      <name val="Calibri"/>
      <family val="2"/>
      <charset val="222"/>
      <scheme val="minor"/>
    </font>
    <font>
      <b/>
      <sz val="16"/>
      <name val="Angsana New"/>
      <family val="1"/>
    </font>
    <font>
      <b/>
      <sz val="16"/>
      <color rgb="FFFF0000"/>
      <name val="Angsana New"/>
      <family val="1"/>
    </font>
    <font>
      <b/>
      <sz val="16"/>
      <color theme="0"/>
      <name val="Angsana New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2" fillId="11" borderId="30" applyNumberFormat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7" borderId="0" xfId="0" applyFill="1"/>
    <xf numFmtId="0" fontId="6" fillId="8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6" fillId="9" borderId="0" xfId="0" applyFont="1" applyFill="1" applyBorder="1" applyAlignment="1">
      <alignment horizontal="center" vertical="center" wrapText="1"/>
    </xf>
    <xf numFmtId="0" fontId="0" fillId="9" borderId="0" xfId="0" applyFill="1"/>
    <xf numFmtId="0" fontId="1" fillId="9" borderId="0" xfId="0" applyFont="1" applyFill="1"/>
    <xf numFmtId="0" fontId="2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5" xfId="0" applyBorder="1"/>
    <xf numFmtId="0" fontId="0" fillId="0" borderId="1" xfId="0" applyFill="1" applyBorder="1"/>
    <xf numFmtId="0" fontId="9" fillId="3" borderId="4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horizontal="center"/>
    </xf>
    <xf numFmtId="0" fontId="6" fillId="4" borderId="20" xfId="0" applyFont="1" applyFill="1" applyBorder="1" applyAlignment="1">
      <alignment vertical="center" wrapText="1"/>
    </xf>
    <xf numFmtId="0" fontId="9" fillId="4" borderId="21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vertical="top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top" wrapText="1"/>
    </xf>
    <xf numFmtId="0" fontId="2" fillId="4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12" fillId="0" borderId="1" xfId="3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vertical="top" wrapText="1"/>
    </xf>
    <xf numFmtId="0" fontId="9" fillId="12" borderId="4" xfId="0" applyFont="1" applyFill="1" applyBorder="1" applyAlignment="1">
      <alignment vertical="top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31" xfId="0" applyFont="1" applyFill="1" applyBorder="1" applyAlignment="1">
      <alignment horizontal="center" vertical="center" wrapText="1"/>
    </xf>
    <xf numFmtId="164" fontId="2" fillId="12" borderId="32" xfId="2" applyFont="1" applyFill="1" applyBorder="1" applyAlignment="1">
      <alignment vertical="center" wrapText="1"/>
    </xf>
    <xf numFmtId="164" fontId="2" fillId="12" borderId="33" xfId="2" applyFont="1" applyFill="1" applyBorder="1" applyAlignment="1">
      <alignment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9" fillId="12" borderId="25" xfId="0" applyFont="1" applyFill="1" applyBorder="1" applyAlignment="1">
      <alignment vertical="top" wrapText="1"/>
    </xf>
    <xf numFmtId="0" fontId="9" fillId="12" borderId="34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12" borderId="5" xfId="2" applyFont="1" applyFill="1" applyBorder="1" applyAlignment="1">
      <alignment horizontal="center" vertical="center" wrapText="1"/>
    </xf>
    <xf numFmtId="164" fontId="2" fillId="12" borderId="19" xfId="2" applyFont="1" applyFill="1" applyBorder="1" applyAlignment="1">
      <alignment horizontal="center" vertical="center" wrapText="1"/>
    </xf>
    <xf numFmtId="164" fontId="2" fillId="12" borderId="16" xfId="2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top"/>
    </xf>
  </cellXfs>
  <cellStyles count="4">
    <cellStyle name="Comma" xfId="2" builtinId="3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52"/>
  <sheetViews>
    <sheetView view="pageBreakPreview" zoomScale="80" zoomScaleNormal="80" zoomScalePageLayoutView="80" workbookViewId="0">
      <selection activeCell="R29" sqref="R29"/>
    </sheetView>
  </sheetViews>
  <sheetFormatPr baseColWidth="10" defaultColWidth="10.83203125" defaultRowHeight="24" x14ac:dyDescent="0.4"/>
  <cols>
    <col min="1" max="1" width="10.83203125" style="1"/>
    <col min="2" max="2" width="16.1640625" style="1" customWidth="1"/>
    <col min="3" max="16384" width="10.83203125" style="1"/>
  </cols>
  <sheetData>
    <row r="1" spans="1:15" x14ac:dyDescent="0.4">
      <c r="D1" s="1" t="s">
        <v>0</v>
      </c>
    </row>
    <row r="2" spans="1:15" x14ac:dyDescent="0.4">
      <c r="B2" s="1" t="s">
        <v>11</v>
      </c>
      <c r="C2" s="1" t="s">
        <v>12</v>
      </c>
    </row>
    <row r="3" spans="1:15" x14ac:dyDescent="0.4">
      <c r="A3" s="4" t="s">
        <v>1</v>
      </c>
      <c r="B3" s="113" t="s">
        <v>2</v>
      </c>
      <c r="C3" s="113"/>
      <c r="D3" s="113" t="s">
        <v>5</v>
      </c>
      <c r="E3" s="113"/>
      <c r="F3" s="113" t="s">
        <v>6</v>
      </c>
      <c r="G3" s="113"/>
      <c r="H3" s="113" t="s">
        <v>7</v>
      </c>
      <c r="I3" s="113"/>
      <c r="J3" s="113" t="s">
        <v>8</v>
      </c>
      <c r="K3" s="113"/>
      <c r="L3" s="113" t="s">
        <v>9</v>
      </c>
      <c r="M3" s="113"/>
      <c r="N3" s="113" t="s">
        <v>10</v>
      </c>
      <c r="O3" s="113"/>
    </row>
    <row r="4" spans="1:15" s="2" customFormat="1" x14ac:dyDescent="0.4">
      <c r="A4" s="5"/>
      <c r="B4" s="6" t="s">
        <v>3</v>
      </c>
      <c r="C4" s="6" t="s">
        <v>4</v>
      </c>
      <c r="D4" s="6" t="s">
        <v>3</v>
      </c>
      <c r="E4" s="6" t="s">
        <v>4</v>
      </c>
      <c r="F4" s="6" t="s">
        <v>3</v>
      </c>
      <c r="G4" s="6" t="s">
        <v>4</v>
      </c>
      <c r="H4" s="6" t="s">
        <v>3</v>
      </c>
      <c r="I4" s="6" t="s">
        <v>4</v>
      </c>
      <c r="J4" s="6" t="s">
        <v>3</v>
      </c>
      <c r="K4" s="6" t="s">
        <v>4</v>
      </c>
      <c r="L4" s="6" t="s">
        <v>3</v>
      </c>
      <c r="M4" s="6" t="s">
        <v>4</v>
      </c>
      <c r="N4" s="6" t="s">
        <v>3</v>
      </c>
      <c r="O4" s="6" t="s">
        <v>4</v>
      </c>
    </row>
    <row r="5" spans="1:15" s="2" customFormat="1" x14ac:dyDescent="0.4">
      <c r="A5" s="6">
        <v>1</v>
      </c>
      <c r="B5" s="7">
        <f>D23</f>
        <v>1.6912320483749059</v>
      </c>
      <c r="C5" s="12">
        <f>K23</f>
        <v>0.38973922902494335</v>
      </c>
      <c r="D5" s="11">
        <f>D23+E23</f>
        <v>1.6912320483749059</v>
      </c>
      <c r="E5" s="12">
        <f>J23+K23</f>
        <v>0.38973922902494335</v>
      </c>
      <c r="F5" s="11">
        <f>D23+E23+F23</f>
        <v>1.6912320483749059</v>
      </c>
      <c r="G5" s="11">
        <f>I23+J23+K23</f>
        <v>0.38973922902494335</v>
      </c>
      <c r="H5" s="11">
        <f>D23+E23+F23+G23</f>
        <v>3.8170823885109604</v>
      </c>
      <c r="I5" s="11">
        <f>H23+I23+J23+K23</f>
        <v>0.38973922902494335</v>
      </c>
      <c r="J5" s="11">
        <f>D23+E23+F23+G23+H23</f>
        <v>3.8170823885109604</v>
      </c>
      <c r="K5" s="11">
        <f>G23+H23+I23+J23+K23</f>
        <v>2.5155895691609982</v>
      </c>
      <c r="L5" s="11">
        <f>D23+E23+F23+G23+H23+I23</f>
        <v>3.8170823885109604</v>
      </c>
      <c r="M5" s="11">
        <f>F23+G23+H23+I23+J23+K23</f>
        <v>2.5155895691609982</v>
      </c>
      <c r="N5" s="11">
        <f>D23+E23+F23+G23+H23+I23+J23+K23</f>
        <v>4.2068216175359039</v>
      </c>
      <c r="O5" s="11">
        <f>E23+F23+G23+H23+I23+J23+K23</f>
        <v>2.5155895691609982</v>
      </c>
    </row>
    <row r="6" spans="1:15" s="2" customFormat="1" x14ac:dyDescent="0.4">
      <c r="A6" s="6">
        <v>2</v>
      </c>
      <c r="B6" s="7">
        <f t="shared" ref="B6:B20" si="0">D24</f>
        <v>1.3988095238095239</v>
      </c>
      <c r="C6" s="12">
        <f>K24</f>
        <v>0.29761904761904762</v>
      </c>
      <c r="D6" s="11">
        <f t="shared" ref="D6:D20" si="1">D24+E24</f>
        <v>1.3988095238095239</v>
      </c>
      <c r="E6" s="11">
        <f t="shared" ref="E6:E20" si="2">J24+K24</f>
        <v>0.29761904761904762</v>
      </c>
      <c r="F6" s="11">
        <f t="shared" ref="F6:F20" si="3">D24+E24+F24</f>
        <v>1.3988095238095239</v>
      </c>
      <c r="G6" s="11">
        <f t="shared" ref="G6:G20" si="4">I24+J24+K24</f>
        <v>0.29761904761904762</v>
      </c>
      <c r="H6" s="11">
        <f t="shared" ref="H6:H20" si="5">D24+E24+F24+G24</f>
        <v>2.8869047619047619</v>
      </c>
      <c r="I6" s="11">
        <f t="shared" ref="I6:I20" si="6">H24+I24+J24+K24</f>
        <v>0.29761904761904762</v>
      </c>
      <c r="J6" s="11">
        <f t="shared" ref="J6:J20" si="7">D24+E24+F24+G24+H24</f>
        <v>2.8869047619047619</v>
      </c>
      <c r="K6" s="11">
        <f t="shared" ref="K6:K20" si="8">G24+H24+I24+J24+K24</f>
        <v>1.7857142857142856</v>
      </c>
      <c r="L6" s="11">
        <f t="shared" ref="L6:L20" si="9">D24+E24+F24+G24+H24+I24</f>
        <v>2.8869047619047619</v>
      </c>
      <c r="M6" s="11">
        <f t="shared" ref="M6:M20" si="10">F24+G24+H24+I24+J24+K24</f>
        <v>1.7857142857142856</v>
      </c>
      <c r="N6" s="11">
        <f t="shared" ref="N6:N20" si="11">D24+E24+F24+G24+H24+I24+J24+K24</f>
        <v>3.1845238095238093</v>
      </c>
      <c r="O6" s="11">
        <f t="shared" ref="O6:O20" si="12">E24+F24+G24+H24+I24+J24+K24</f>
        <v>1.7857142857142856</v>
      </c>
    </row>
    <row r="7" spans="1:15" s="2" customFormat="1" x14ac:dyDescent="0.4">
      <c r="A7" s="6">
        <v>3</v>
      </c>
      <c r="B7" s="7">
        <f t="shared" si="0"/>
        <v>2.6020408163265305</v>
      </c>
      <c r="C7" s="12">
        <f t="shared" ref="C7:C20" si="13">K25</f>
        <v>0.63775510204081631</v>
      </c>
      <c r="D7" s="11">
        <f t="shared" si="1"/>
        <v>2.6020408163265305</v>
      </c>
      <c r="E7" s="11">
        <f t="shared" si="2"/>
        <v>0.63775510204081631</v>
      </c>
      <c r="F7" s="11">
        <f t="shared" si="3"/>
        <v>2.6020408163265305</v>
      </c>
      <c r="G7" s="11">
        <f t="shared" si="4"/>
        <v>0.63775510204081631</v>
      </c>
      <c r="H7" s="11">
        <f t="shared" si="5"/>
        <v>5.1530612244897958</v>
      </c>
      <c r="I7" s="11">
        <f t="shared" si="6"/>
        <v>0.63775510204081631</v>
      </c>
      <c r="J7" s="11">
        <f t="shared" si="7"/>
        <v>5.1530612244897958</v>
      </c>
      <c r="K7" s="11">
        <f t="shared" si="8"/>
        <v>3.1887755102040813</v>
      </c>
      <c r="L7" s="11">
        <f t="shared" si="9"/>
        <v>5.1530612244897958</v>
      </c>
      <c r="M7" s="11">
        <f t="shared" si="10"/>
        <v>3.1887755102040813</v>
      </c>
      <c r="N7" s="11">
        <f t="shared" si="11"/>
        <v>5.7908163265306118</v>
      </c>
      <c r="O7" s="11">
        <f t="shared" si="12"/>
        <v>3.1887755102040813</v>
      </c>
    </row>
    <row r="8" spans="1:15" s="2" customFormat="1" x14ac:dyDescent="0.4">
      <c r="A8" s="6">
        <v>4</v>
      </c>
      <c r="B8" s="7">
        <f t="shared" si="0"/>
        <v>0.47808012093726371</v>
      </c>
      <c r="C8" s="12">
        <f t="shared" si="13"/>
        <v>0.11337868480725624</v>
      </c>
      <c r="D8" s="11">
        <f t="shared" si="1"/>
        <v>0.47808012093726371</v>
      </c>
      <c r="E8" s="11">
        <f t="shared" si="2"/>
        <v>0.11337868480725624</v>
      </c>
      <c r="F8" s="11">
        <f t="shared" si="3"/>
        <v>0.47808012093726371</v>
      </c>
      <c r="G8" s="11">
        <f t="shared" si="4"/>
        <v>0.11337868480725624</v>
      </c>
      <c r="H8" s="11">
        <f t="shared" si="5"/>
        <v>0.90325018896447462</v>
      </c>
      <c r="I8" s="11">
        <f t="shared" si="6"/>
        <v>0.11337868480725624</v>
      </c>
      <c r="J8" s="11">
        <f t="shared" si="7"/>
        <v>0.90325018896447462</v>
      </c>
      <c r="K8" s="11">
        <f t="shared" si="8"/>
        <v>0.53854875283446713</v>
      </c>
      <c r="L8" s="11">
        <f t="shared" si="9"/>
        <v>0.90325018896447462</v>
      </c>
      <c r="M8" s="11">
        <f t="shared" si="10"/>
        <v>0.53854875283446713</v>
      </c>
      <c r="N8" s="11">
        <f t="shared" si="11"/>
        <v>1.0166288737717308</v>
      </c>
      <c r="O8" s="11">
        <f t="shared" si="12"/>
        <v>0.53854875283446713</v>
      </c>
    </row>
    <row r="9" spans="1:15" s="2" customFormat="1" x14ac:dyDescent="0.4">
      <c r="A9" s="6">
        <v>5</v>
      </c>
      <c r="B9" s="7">
        <f t="shared" si="0"/>
        <v>2.5368480725623583</v>
      </c>
      <c r="C9" s="12">
        <f t="shared" si="13"/>
        <v>0.58460884353741505</v>
      </c>
      <c r="D9" s="11">
        <f t="shared" si="1"/>
        <v>2.5368480725623583</v>
      </c>
      <c r="E9" s="11">
        <f t="shared" si="2"/>
        <v>3.7733843537414966</v>
      </c>
      <c r="F9" s="11">
        <f t="shared" si="3"/>
        <v>2.5368480725623583</v>
      </c>
      <c r="G9" s="11">
        <f t="shared" si="4"/>
        <v>8.2057823129251695</v>
      </c>
      <c r="H9" s="11">
        <f t="shared" si="5"/>
        <v>5.7256235827664401</v>
      </c>
      <c r="I9" s="11">
        <f t="shared" si="6"/>
        <v>8.2057823129251695</v>
      </c>
      <c r="J9" s="11">
        <f t="shared" si="7"/>
        <v>5.7256235827664401</v>
      </c>
      <c r="K9" s="11">
        <f t="shared" si="8"/>
        <v>11.394557823129253</v>
      </c>
      <c r="L9" s="11">
        <f t="shared" si="9"/>
        <v>10.158021541950113</v>
      </c>
      <c r="M9" s="11">
        <f t="shared" si="10"/>
        <v>11.394557823129253</v>
      </c>
      <c r="N9" s="11">
        <f t="shared" si="11"/>
        <v>13.93140589569161</v>
      </c>
      <c r="O9" s="11">
        <f t="shared" si="12"/>
        <v>11.394557823129253</v>
      </c>
    </row>
    <row r="10" spans="1:15" s="2" customFormat="1" x14ac:dyDescent="0.4">
      <c r="A10" s="6">
        <v>6</v>
      </c>
      <c r="B10" s="7">
        <f t="shared" si="0"/>
        <v>4.795918367346939</v>
      </c>
      <c r="C10" s="12">
        <f t="shared" si="13"/>
        <v>1.0204081632653061</v>
      </c>
      <c r="D10" s="11">
        <f t="shared" si="1"/>
        <v>4.795918367346939</v>
      </c>
      <c r="E10" s="11">
        <f t="shared" si="2"/>
        <v>6.1224489795918364</v>
      </c>
      <c r="F10" s="11">
        <f t="shared" si="3"/>
        <v>4.795918367346939</v>
      </c>
      <c r="G10" s="11">
        <f t="shared" si="4"/>
        <v>13.418367346938778</v>
      </c>
      <c r="H10" s="11">
        <f t="shared" si="5"/>
        <v>9.8979591836734695</v>
      </c>
      <c r="I10" s="11">
        <f t="shared" si="6"/>
        <v>13.418367346938778</v>
      </c>
      <c r="J10" s="11">
        <f t="shared" si="7"/>
        <v>9.8979591836734695</v>
      </c>
      <c r="K10" s="11">
        <f t="shared" si="8"/>
        <v>18.520408163265305</v>
      </c>
      <c r="L10" s="11">
        <f t="shared" si="9"/>
        <v>17.19387755102041</v>
      </c>
      <c r="M10" s="11">
        <f t="shared" si="10"/>
        <v>18.520408163265305</v>
      </c>
      <c r="N10" s="11">
        <f t="shared" si="11"/>
        <v>23.316326530612248</v>
      </c>
      <c r="O10" s="11">
        <f t="shared" si="12"/>
        <v>18.520408163265305</v>
      </c>
    </row>
    <row r="11" spans="1:15" s="2" customFormat="1" x14ac:dyDescent="0.4">
      <c r="A11" s="6">
        <v>7</v>
      </c>
      <c r="B11" s="7">
        <f t="shared" si="0"/>
        <v>6.5051020408163254</v>
      </c>
      <c r="C11" s="11">
        <f t="shared" si="13"/>
        <v>1.5943877551020407</v>
      </c>
      <c r="D11" s="11">
        <f t="shared" si="1"/>
        <v>6.5051020408163254</v>
      </c>
      <c r="E11" s="11">
        <f t="shared" si="2"/>
        <v>7.9719387755102034</v>
      </c>
      <c r="F11" s="11">
        <f t="shared" si="3"/>
        <v>6.5051020408163254</v>
      </c>
      <c r="G11" s="11">
        <f t="shared" si="4"/>
        <v>17.410714285714285</v>
      </c>
      <c r="H11" s="11">
        <f t="shared" si="5"/>
        <v>12.882653061224488</v>
      </c>
      <c r="I11" s="11">
        <f t="shared" si="6"/>
        <v>17.410714285714285</v>
      </c>
      <c r="J11" s="11">
        <f t="shared" si="7"/>
        <v>12.882653061224488</v>
      </c>
      <c r="K11" s="11">
        <f t="shared" si="8"/>
        <v>23.788265306122447</v>
      </c>
      <c r="L11" s="11">
        <f t="shared" si="9"/>
        <v>22.321428571428569</v>
      </c>
      <c r="M11" s="11">
        <f t="shared" si="10"/>
        <v>23.788265306122447</v>
      </c>
      <c r="N11" s="11">
        <f t="shared" si="11"/>
        <v>30.293367346938773</v>
      </c>
      <c r="O11" s="11">
        <f t="shared" si="12"/>
        <v>23.788265306122447</v>
      </c>
    </row>
    <row r="12" spans="1:15" s="2" customFormat="1" x14ac:dyDescent="0.4">
      <c r="A12" s="6">
        <v>8</v>
      </c>
      <c r="B12" s="7">
        <f t="shared" si="0"/>
        <v>4.7808012093726378</v>
      </c>
      <c r="C12" s="11">
        <f t="shared" si="13"/>
        <v>1.1337868480725626</v>
      </c>
      <c r="D12" s="11">
        <f t="shared" si="1"/>
        <v>4.7808012093726378</v>
      </c>
      <c r="E12" s="11">
        <f t="shared" si="2"/>
        <v>5.3854875283446724</v>
      </c>
      <c r="F12" s="11">
        <f t="shared" si="3"/>
        <v>4.7808012093726378</v>
      </c>
      <c r="G12" s="11">
        <f t="shared" si="4"/>
        <v>11.862244897959185</v>
      </c>
      <c r="H12" s="11">
        <f t="shared" si="5"/>
        <v>9.0325018896447471</v>
      </c>
      <c r="I12" s="11">
        <f t="shared" si="6"/>
        <v>11.862244897959185</v>
      </c>
      <c r="J12" s="11">
        <f t="shared" si="7"/>
        <v>9.0325018896447471</v>
      </c>
      <c r="K12" s="11">
        <f t="shared" si="8"/>
        <v>16.113945578231295</v>
      </c>
      <c r="L12" s="11">
        <f t="shared" si="9"/>
        <v>15.50925925925926</v>
      </c>
      <c r="M12" s="11">
        <f t="shared" si="10"/>
        <v>16.113945578231295</v>
      </c>
      <c r="N12" s="11">
        <f t="shared" si="11"/>
        <v>20.894746787603932</v>
      </c>
      <c r="O12" s="11">
        <f t="shared" si="12"/>
        <v>16.113945578231295</v>
      </c>
    </row>
    <row r="13" spans="1:15" s="2" customFormat="1" x14ac:dyDescent="0.4">
      <c r="A13" s="6">
        <v>9</v>
      </c>
      <c r="B13" s="7">
        <f t="shared" si="0"/>
        <v>0</v>
      </c>
      <c r="C13" s="11">
        <f t="shared" si="13"/>
        <v>1.9486961451247169</v>
      </c>
      <c r="D13" s="11">
        <f t="shared" si="1"/>
        <v>14.562074829931975</v>
      </c>
      <c r="E13" s="11">
        <f t="shared" si="2"/>
        <v>12.577947845804989</v>
      </c>
      <c r="F13" s="11">
        <f t="shared" si="3"/>
        <v>14.562074829931975</v>
      </c>
      <c r="G13" s="11">
        <f t="shared" si="4"/>
        <v>27.352607709750568</v>
      </c>
      <c r="H13" s="11">
        <f t="shared" si="5"/>
        <v>14.562074829931975</v>
      </c>
      <c r="I13" s="11">
        <f t="shared" si="6"/>
        <v>27.352607709750568</v>
      </c>
      <c r="J13" s="11">
        <f t="shared" si="7"/>
        <v>14.562074829931975</v>
      </c>
      <c r="K13" s="11">
        <f t="shared" si="8"/>
        <v>27.352607709750568</v>
      </c>
      <c r="L13" s="11">
        <f t="shared" si="9"/>
        <v>29.336734693877553</v>
      </c>
      <c r="M13" s="11">
        <f t="shared" si="10"/>
        <v>27.352607709750568</v>
      </c>
      <c r="N13" s="11">
        <f t="shared" si="11"/>
        <v>41.914682539682538</v>
      </c>
      <c r="O13" s="11">
        <f t="shared" si="12"/>
        <v>41.914682539682538</v>
      </c>
    </row>
    <row r="14" spans="1:15" s="2" customFormat="1" x14ac:dyDescent="0.4">
      <c r="A14" s="6">
        <v>10</v>
      </c>
      <c r="B14" s="7">
        <f t="shared" si="0"/>
        <v>0</v>
      </c>
      <c r="C14" s="11">
        <f t="shared" si="13"/>
        <v>2.5510204081632653</v>
      </c>
      <c r="D14" s="11">
        <f t="shared" si="1"/>
        <v>18.367346938775508</v>
      </c>
      <c r="E14" s="11">
        <f t="shared" si="2"/>
        <v>15.30612244897959</v>
      </c>
      <c r="F14" s="11">
        <f t="shared" si="3"/>
        <v>18.367346938775508</v>
      </c>
      <c r="G14" s="11">
        <f t="shared" si="4"/>
        <v>33.545918367346935</v>
      </c>
      <c r="H14" s="11">
        <f t="shared" si="5"/>
        <v>18.367346938775508</v>
      </c>
      <c r="I14" s="11">
        <f t="shared" si="6"/>
        <v>33.545918367346935</v>
      </c>
      <c r="J14" s="11">
        <f t="shared" si="7"/>
        <v>18.367346938775508</v>
      </c>
      <c r="K14" s="11">
        <f t="shared" si="8"/>
        <v>33.545918367346935</v>
      </c>
      <c r="L14" s="11">
        <f t="shared" si="9"/>
        <v>36.607142857142854</v>
      </c>
      <c r="M14" s="11">
        <f t="shared" si="10"/>
        <v>33.545918367346935</v>
      </c>
      <c r="N14" s="11">
        <f t="shared" si="11"/>
        <v>51.913265306122447</v>
      </c>
      <c r="O14" s="11">
        <f t="shared" si="12"/>
        <v>51.913265306122447</v>
      </c>
    </row>
    <row r="15" spans="1:15" s="2" customFormat="1" x14ac:dyDescent="0.4">
      <c r="A15" s="6">
        <v>11</v>
      </c>
      <c r="B15" s="7">
        <f t="shared" si="0"/>
        <v>0</v>
      </c>
      <c r="C15" s="11">
        <f t="shared" si="13"/>
        <v>1.806972789115646</v>
      </c>
      <c r="D15" s="11">
        <f t="shared" si="1"/>
        <v>12.23922902494331</v>
      </c>
      <c r="E15" s="11">
        <f t="shared" si="2"/>
        <v>9.0348639455782305</v>
      </c>
      <c r="F15" s="11">
        <f t="shared" si="3"/>
        <v>12.23922902494331</v>
      </c>
      <c r="G15" s="11">
        <f t="shared" si="4"/>
        <v>19.732142857142858</v>
      </c>
      <c r="H15" s="11">
        <f t="shared" si="5"/>
        <v>12.23922902494331</v>
      </c>
      <c r="I15" s="11">
        <f t="shared" si="6"/>
        <v>19.732142857142858</v>
      </c>
      <c r="J15" s="11">
        <f t="shared" si="7"/>
        <v>12.23922902494331</v>
      </c>
      <c r="K15" s="11">
        <f t="shared" si="8"/>
        <v>19.732142857142858</v>
      </c>
      <c r="L15" s="11">
        <f t="shared" si="9"/>
        <v>22.936507936507937</v>
      </c>
      <c r="M15" s="11">
        <f t="shared" si="10"/>
        <v>19.732142857142858</v>
      </c>
      <c r="N15" s="11">
        <f t="shared" si="11"/>
        <v>31.971371882086167</v>
      </c>
      <c r="O15" s="11">
        <f t="shared" si="12"/>
        <v>31.971371882086167</v>
      </c>
    </row>
    <row r="16" spans="1:15" s="2" customFormat="1" x14ac:dyDescent="0.4">
      <c r="A16" s="6">
        <v>12</v>
      </c>
      <c r="B16" s="7">
        <f t="shared" si="0"/>
        <v>0</v>
      </c>
      <c r="C16" s="11">
        <f t="shared" si="13"/>
        <v>0.56689342403628129</v>
      </c>
      <c r="D16" s="11">
        <f t="shared" si="1"/>
        <v>3.8619614512471663</v>
      </c>
      <c r="E16" s="11">
        <f t="shared" si="2"/>
        <v>2.6927437641723362</v>
      </c>
      <c r="F16" s="11">
        <f t="shared" si="3"/>
        <v>3.8619614512471663</v>
      </c>
      <c r="G16" s="11">
        <f t="shared" si="4"/>
        <v>5.9311224489795924</v>
      </c>
      <c r="H16" s="11">
        <f t="shared" si="5"/>
        <v>3.8619614512471663</v>
      </c>
      <c r="I16" s="11">
        <f t="shared" si="6"/>
        <v>5.9311224489795924</v>
      </c>
      <c r="J16" s="11">
        <f t="shared" si="7"/>
        <v>3.8619614512471663</v>
      </c>
      <c r="K16" s="11">
        <f t="shared" si="8"/>
        <v>5.9311224489795924</v>
      </c>
      <c r="L16" s="11">
        <f t="shared" si="9"/>
        <v>7.1003401360544229</v>
      </c>
      <c r="M16" s="11">
        <f t="shared" si="10"/>
        <v>5.9311224489795924</v>
      </c>
      <c r="N16" s="11">
        <f t="shared" si="11"/>
        <v>9.79308390022676</v>
      </c>
      <c r="O16" s="11">
        <f t="shared" si="12"/>
        <v>9.79308390022676</v>
      </c>
    </row>
    <row r="17" spans="1:15" s="2" customFormat="1" x14ac:dyDescent="0.4">
      <c r="A17" s="6">
        <v>13</v>
      </c>
      <c r="B17" s="7">
        <f t="shared" si="0"/>
        <v>0</v>
      </c>
      <c r="C17" s="11">
        <f t="shared" si="13"/>
        <v>0.66255668934240364</v>
      </c>
      <c r="D17" s="11">
        <f t="shared" si="1"/>
        <v>0</v>
      </c>
      <c r="E17" s="11">
        <f t="shared" si="2"/>
        <v>4.2765022675736954</v>
      </c>
      <c r="F17" s="11">
        <f t="shared" si="3"/>
        <v>4.8426870748299313</v>
      </c>
      <c r="G17" s="11">
        <f t="shared" si="4"/>
        <v>4.2765022675736954</v>
      </c>
      <c r="H17" s="11">
        <f t="shared" si="5"/>
        <v>4.8426870748299313</v>
      </c>
      <c r="I17" s="11">
        <f t="shared" si="6"/>
        <v>8.0109126984126977</v>
      </c>
      <c r="J17" s="11">
        <f t="shared" si="7"/>
        <v>8.5770975056689345</v>
      </c>
      <c r="K17" s="11">
        <f t="shared" si="8"/>
        <v>8.0109126984126977</v>
      </c>
      <c r="L17" s="11">
        <f t="shared" si="9"/>
        <v>8.5770975056689345</v>
      </c>
      <c r="M17" s="11">
        <f t="shared" si="10"/>
        <v>12.85359977324263</v>
      </c>
      <c r="N17" s="11">
        <f t="shared" si="11"/>
        <v>12.85359977324263</v>
      </c>
      <c r="O17" s="11">
        <f t="shared" si="12"/>
        <v>12.85359977324263</v>
      </c>
    </row>
    <row r="18" spans="1:15" s="2" customFormat="1" x14ac:dyDescent="0.4">
      <c r="A18" s="6">
        <v>14</v>
      </c>
      <c r="B18" s="7">
        <f t="shared" si="0"/>
        <v>0</v>
      </c>
      <c r="C18" s="11">
        <f t="shared" si="13"/>
        <v>0.76530612244897955</v>
      </c>
      <c r="D18" s="11">
        <f t="shared" si="1"/>
        <v>0</v>
      </c>
      <c r="E18" s="11">
        <f t="shared" si="2"/>
        <v>4.5918367346938771</v>
      </c>
      <c r="F18" s="11">
        <f t="shared" si="3"/>
        <v>5.420918367346939</v>
      </c>
      <c r="G18" s="11">
        <f t="shared" si="4"/>
        <v>4.5918367346938771</v>
      </c>
      <c r="H18" s="11">
        <f t="shared" si="5"/>
        <v>5.420918367346939</v>
      </c>
      <c r="I18" s="11">
        <f t="shared" si="6"/>
        <v>8.545918367346939</v>
      </c>
      <c r="J18" s="11">
        <f t="shared" si="7"/>
        <v>9.375</v>
      </c>
      <c r="K18" s="11">
        <f t="shared" si="8"/>
        <v>8.545918367346939</v>
      </c>
      <c r="L18" s="11">
        <f t="shared" si="9"/>
        <v>9.375</v>
      </c>
      <c r="M18" s="11">
        <f t="shared" si="10"/>
        <v>13.966836734693878</v>
      </c>
      <c r="N18" s="11">
        <f t="shared" si="11"/>
        <v>13.966836734693878</v>
      </c>
      <c r="O18" s="11">
        <f t="shared" si="12"/>
        <v>13.966836734693878</v>
      </c>
    </row>
    <row r="19" spans="1:15" s="2" customFormat="1" x14ac:dyDescent="0.4">
      <c r="A19" s="6">
        <v>15</v>
      </c>
      <c r="B19" s="7">
        <f t="shared" si="0"/>
        <v>0</v>
      </c>
      <c r="C19" s="11">
        <f t="shared" si="13"/>
        <v>0.47831632653061223</v>
      </c>
      <c r="D19" s="11">
        <f t="shared" si="1"/>
        <v>0</v>
      </c>
      <c r="E19" s="11">
        <f t="shared" si="2"/>
        <v>2.391581632653061</v>
      </c>
      <c r="F19" s="11">
        <f t="shared" si="3"/>
        <v>2.8762755102040813</v>
      </c>
      <c r="G19" s="11">
        <f t="shared" si="4"/>
        <v>2.391581632653061</v>
      </c>
      <c r="H19" s="11">
        <f t="shared" si="5"/>
        <v>2.8762755102040813</v>
      </c>
      <c r="I19" s="11">
        <f t="shared" si="6"/>
        <v>4.3686224489795915</v>
      </c>
      <c r="J19" s="11">
        <f t="shared" si="7"/>
        <v>4.8533163265306118</v>
      </c>
      <c r="K19" s="11">
        <f t="shared" si="8"/>
        <v>4.3686224489795915</v>
      </c>
      <c r="L19" s="11">
        <f t="shared" si="9"/>
        <v>4.8533163265306118</v>
      </c>
      <c r="M19" s="11">
        <f t="shared" si="10"/>
        <v>7.2448979591836729</v>
      </c>
      <c r="N19" s="11">
        <f t="shared" si="11"/>
        <v>7.2448979591836729</v>
      </c>
      <c r="O19" s="11">
        <f t="shared" si="12"/>
        <v>7.2448979591836729</v>
      </c>
    </row>
    <row r="20" spans="1:15" s="2" customFormat="1" x14ac:dyDescent="0.4">
      <c r="A20" s="6">
        <v>16</v>
      </c>
      <c r="B20" s="7">
        <f t="shared" si="0"/>
        <v>0</v>
      </c>
      <c r="C20" s="11">
        <f t="shared" si="13"/>
        <v>0.28344671201814065</v>
      </c>
      <c r="D20" s="11">
        <f t="shared" si="1"/>
        <v>0</v>
      </c>
      <c r="E20" s="11">
        <f t="shared" si="2"/>
        <v>1.3463718820861681</v>
      </c>
      <c r="F20" s="11">
        <f t="shared" si="3"/>
        <v>1.8849206349206351</v>
      </c>
      <c r="G20" s="11">
        <f t="shared" si="4"/>
        <v>1.3463718820861681</v>
      </c>
      <c r="H20" s="11">
        <f t="shared" si="5"/>
        <v>1.8849206349206351</v>
      </c>
      <c r="I20" s="11">
        <f t="shared" si="6"/>
        <v>2.4447278911564627</v>
      </c>
      <c r="J20" s="11">
        <f t="shared" si="7"/>
        <v>2.98327664399093</v>
      </c>
      <c r="K20" s="11">
        <f t="shared" si="8"/>
        <v>2.4447278911564627</v>
      </c>
      <c r="L20" s="11">
        <f t="shared" si="9"/>
        <v>2.98327664399093</v>
      </c>
      <c r="M20" s="11">
        <f t="shared" si="10"/>
        <v>4.329648526077098</v>
      </c>
      <c r="N20" s="11">
        <f t="shared" si="11"/>
        <v>4.329648526077098</v>
      </c>
      <c r="O20" s="11">
        <f t="shared" si="12"/>
        <v>4.329648526077098</v>
      </c>
    </row>
    <row r="21" spans="1:15" s="2" customFormat="1" x14ac:dyDescent="0.4"/>
    <row r="22" spans="1:15" s="2" customFormat="1" x14ac:dyDescent="0.4">
      <c r="A22" s="10" t="s">
        <v>30</v>
      </c>
      <c r="B22" s="10" t="s">
        <v>31</v>
      </c>
      <c r="C22" s="10" t="s">
        <v>17</v>
      </c>
      <c r="D22" s="10" t="s">
        <v>18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23</v>
      </c>
      <c r="J22" s="10" t="s">
        <v>24</v>
      </c>
      <c r="K22" s="10" t="s">
        <v>25</v>
      </c>
    </row>
    <row r="23" spans="1:15" x14ac:dyDescent="0.4">
      <c r="A23" s="6">
        <v>5000</v>
      </c>
      <c r="B23" s="7">
        <f>A23/(1-0.02)</f>
        <v>5102.0408163265311</v>
      </c>
      <c r="C23" s="8">
        <v>43009</v>
      </c>
      <c r="D23" s="7">
        <f>B23*3.58/(3600*3)</f>
        <v>1.6912320483749059</v>
      </c>
      <c r="E23" s="6"/>
      <c r="F23" s="6"/>
      <c r="G23" s="7">
        <f>B23*3/(3600*2)</f>
        <v>2.1258503401360547</v>
      </c>
      <c r="H23" s="7"/>
      <c r="I23" s="7"/>
      <c r="J23" s="7"/>
      <c r="K23" s="7">
        <f>B23*0.55/(3600*2)</f>
        <v>0.38973922902494335</v>
      </c>
    </row>
    <row r="24" spans="1:15" x14ac:dyDescent="0.4">
      <c r="A24" s="6">
        <v>3500</v>
      </c>
      <c r="B24" s="7">
        <f>A24/(1-0.02)</f>
        <v>3571.4285714285716</v>
      </c>
      <c r="C24" s="8">
        <v>42795</v>
      </c>
      <c r="D24" s="7">
        <f>B24*4.23/(3600*3)</f>
        <v>1.3988095238095239</v>
      </c>
      <c r="E24" s="6"/>
      <c r="F24" s="6"/>
      <c r="G24" s="7">
        <f t="shared" ref="G24:G30" si="14">B24*3/(3600*2)</f>
        <v>1.4880952380952379</v>
      </c>
      <c r="H24" s="7"/>
      <c r="I24" s="7"/>
      <c r="J24" s="7"/>
      <c r="K24" s="7">
        <f>B24*0.6/(3600*2)</f>
        <v>0.29761904761904762</v>
      </c>
    </row>
    <row r="25" spans="1:15" x14ac:dyDescent="0.4">
      <c r="A25" s="6">
        <v>6000</v>
      </c>
      <c r="B25" s="7">
        <f t="shared" ref="B25:B38" si="15">A25/(1-0.02)</f>
        <v>6122.4489795918371</v>
      </c>
      <c r="C25" s="8">
        <v>43040</v>
      </c>
      <c r="D25" s="7">
        <f>B25*4.59/(3600*3)</f>
        <v>2.6020408163265305</v>
      </c>
      <c r="E25" s="6"/>
      <c r="F25" s="6"/>
      <c r="G25" s="7">
        <f t="shared" si="14"/>
        <v>2.5510204081632653</v>
      </c>
      <c r="H25" s="7"/>
      <c r="I25" s="7"/>
      <c r="J25" s="7"/>
      <c r="K25" s="7">
        <f>B25*0.75/(3600*2)</f>
        <v>0.63775510204081631</v>
      </c>
    </row>
    <row r="26" spans="1:15" x14ac:dyDescent="0.4">
      <c r="A26" s="6">
        <v>1000</v>
      </c>
      <c r="B26" s="7">
        <f t="shared" si="15"/>
        <v>1020.4081632653061</v>
      </c>
      <c r="C26" s="8">
        <v>43009</v>
      </c>
      <c r="D26" s="7">
        <f>B26*5.06/(3600*3)</f>
        <v>0.47808012093726371</v>
      </c>
      <c r="E26" s="6"/>
      <c r="F26" s="6"/>
      <c r="G26" s="7">
        <f t="shared" si="14"/>
        <v>0.42517006802721091</v>
      </c>
      <c r="H26" s="7"/>
      <c r="I26" s="7"/>
      <c r="J26" s="7"/>
      <c r="K26" s="7">
        <f>B26*0.8/(3600*2)</f>
        <v>0.11337868480725624</v>
      </c>
    </row>
    <row r="27" spans="1:15" x14ac:dyDescent="0.4">
      <c r="A27" s="6">
        <v>7500</v>
      </c>
      <c r="B27" s="7">
        <f t="shared" si="15"/>
        <v>7653.0612244897957</v>
      </c>
      <c r="C27" s="9">
        <v>42948</v>
      </c>
      <c r="D27" s="7">
        <f>B27*3.58/(3600*3)</f>
        <v>2.5368480725623583</v>
      </c>
      <c r="E27" s="6"/>
      <c r="F27" s="6"/>
      <c r="G27" s="7">
        <f t="shared" si="14"/>
        <v>3.1887755102040813</v>
      </c>
      <c r="H27" s="7"/>
      <c r="I27" s="7">
        <f>B27*4.17/(3600*2)</f>
        <v>4.4323979591836737</v>
      </c>
      <c r="J27" s="7">
        <f>B27*3/(3600*2)</f>
        <v>3.1887755102040813</v>
      </c>
      <c r="K27" s="7">
        <f>B27*0.55/(3600*2)</f>
        <v>0.58460884353741505</v>
      </c>
    </row>
    <row r="28" spans="1:15" x14ac:dyDescent="0.4">
      <c r="A28" s="6">
        <v>12000</v>
      </c>
      <c r="B28" s="7">
        <f t="shared" si="15"/>
        <v>12244.897959183674</v>
      </c>
      <c r="C28" s="6" t="s">
        <v>26</v>
      </c>
      <c r="D28" s="7">
        <f>B28*4.23/(3600*3)</f>
        <v>4.795918367346939</v>
      </c>
      <c r="E28" s="6"/>
      <c r="F28" s="6"/>
      <c r="G28" s="7">
        <f t="shared" si="14"/>
        <v>5.1020408163265305</v>
      </c>
      <c r="H28" s="7"/>
      <c r="I28" s="7">
        <f>B28*4.29/(3600*2)</f>
        <v>7.2959183673469399</v>
      </c>
      <c r="J28" s="7">
        <f t="shared" ref="J28:J38" si="16">B28*3/(3600*2)</f>
        <v>5.1020408163265305</v>
      </c>
      <c r="K28" s="7">
        <f>B28*0.6/(3600*2)</f>
        <v>1.0204081632653061</v>
      </c>
    </row>
    <row r="29" spans="1:15" x14ac:dyDescent="0.4">
      <c r="A29" s="6">
        <v>15000</v>
      </c>
      <c r="B29" s="7">
        <f t="shared" si="15"/>
        <v>15306.122448979591</v>
      </c>
      <c r="C29" s="6" t="s">
        <v>27</v>
      </c>
      <c r="D29" s="7">
        <f>B29*4.59/(3600*3)</f>
        <v>6.5051020408163254</v>
      </c>
      <c r="E29" s="6"/>
      <c r="F29" s="6"/>
      <c r="G29" s="7">
        <f t="shared" si="14"/>
        <v>6.3775510204081627</v>
      </c>
      <c r="H29" s="7"/>
      <c r="I29" s="7">
        <f>B29*4.44/(3600*2)</f>
        <v>9.4387755102040831</v>
      </c>
      <c r="J29" s="7">
        <f t="shared" si="16"/>
        <v>6.3775510204081627</v>
      </c>
      <c r="K29" s="7">
        <f>B29*0.75/(3600*2)</f>
        <v>1.5943877551020407</v>
      </c>
    </row>
    <row r="30" spans="1:15" x14ac:dyDescent="0.4">
      <c r="A30" s="6">
        <v>10000</v>
      </c>
      <c r="B30" s="7">
        <f t="shared" si="15"/>
        <v>10204.081632653062</v>
      </c>
      <c r="C30" s="8">
        <v>42856</v>
      </c>
      <c r="D30" s="7">
        <f>B30*5.06/(3600*3)</f>
        <v>4.7808012093726378</v>
      </c>
      <c r="E30" s="6"/>
      <c r="F30" s="6"/>
      <c r="G30" s="7">
        <f t="shared" si="14"/>
        <v>4.2517006802721093</v>
      </c>
      <c r="H30" s="7"/>
      <c r="I30" s="7">
        <f>B30*4.57/(3600*2)</f>
        <v>6.4767573696145133</v>
      </c>
      <c r="J30" s="7">
        <f t="shared" si="16"/>
        <v>4.2517006802721093</v>
      </c>
      <c r="K30" s="7">
        <f>B30*0.8/(3600*2)</f>
        <v>1.1337868480725626</v>
      </c>
    </row>
    <row r="31" spans="1:15" x14ac:dyDescent="0.4">
      <c r="A31" s="6">
        <v>25000</v>
      </c>
      <c r="B31" s="7">
        <f t="shared" si="15"/>
        <v>25510.204081632655</v>
      </c>
      <c r="C31" s="6" t="s">
        <v>28</v>
      </c>
      <c r="D31" s="6"/>
      <c r="E31" s="7">
        <f>B31*4.11/(3600*2)</f>
        <v>14.562074829931975</v>
      </c>
      <c r="F31" s="7"/>
      <c r="G31" s="7"/>
      <c r="H31" s="7"/>
      <c r="I31" s="7">
        <f>B31*4.17/(3600*2)</f>
        <v>14.774659863945578</v>
      </c>
      <c r="J31" s="7">
        <f t="shared" si="16"/>
        <v>10.629251700680271</v>
      </c>
      <c r="K31" s="7">
        <f>B31*0.55/(3600*2)</f>
        <v>1.9486961451247169</v>
      </c>
    </row>
    <row r="32" spans="1:15" x14ac:dyDescent="0.4">
      <c r="A32" s="6">
        <v>30000</v>
      </c>
      <c r="B32" s="7">
        <f t="shared" si="15"/>
        <v>30612.244897959183</v>
      </c>
      <c r="C32" s="6" t="s">
        <v>28</v>
      </c>
      <c r="D32" s="6"/>
      <c r="E32" s="7">
        <f>B32*4.32/(3600*2)</f>
        <v>18.367346938775508</v>
      </c>
      <c r="F32" s="7"/>
      <c r="G32" s="7"/>
      <c r="H32" s="7"/>
      <c r="I32" s="7">
        <f>B32*4.29/(3600*2)</f>
        <v>18.239795918367346</v>
      </c>
      <c r="J32" s="7">
        <f t="shared" si="16"/>
        <v>12.755102040816325</v>
      </c>
      <c r="K32" s="7">
        <f>B32*0.6/(3600*2)</f>
        <v>2.5510204081632653</v>
      </c>
    </row>
    <row r="33" spans="1:18" x14ac:dyDescent="0.4">
      <c r="A33" s="6">
        <v>17000</v>
      </c>
      <c r="B33" s="7">
        <f t="shared" si="15"/>
        <v>17346.938775510203</v>
      </c>
      <c r="C33" s="6" t="s">
        <v>29</v>
      </c>
      <c r="D33" s="6"/>
      <c r="E33" s="7">
        <f>B33*5.08/(3600*2)</f>
        <v>12.23922902494331</v>
      </c>
      <c r="F33" s="7"/>
      <c r="G33" s="7"/>
      <c r="H33" s="7"/>
      <c r="I33" s="7">
        <f>B33*4.44/(3600*2)</f>
        <v>10.697278911564627</v>
      </c>
      <c r="J33" s="7">
        <f t="shared" si="16"/>
        <v>7.2278911564625838</v>
      </c>
      <c r="K33" s="7">
        <f>B33*0.75/(3600*2)</f>
        <v>1.806972789115646</v>
      </c>
    </row>
    <row r="34" spans="1:18" x14ac:dyDescent="0.4">
      <c r="A34" s="6">
        <v>5000</v>
      </c>
      <c r="B34" s="7">
        <f t="shared" si="15"/>
        <v>5102.0408163265311</v>
      </c>
      <c r="C34" s="8">
        <v>42948</v>
      </c>
      <c r="D34" s="6"/>
      <c r="E34" s="7">
        <f>B34*5.45/(3600*2)</f>
        <v>3.8619614512471663</v>
      </c>
      <c r="F34" s="7"/>
      <c r="G34" s="7"/>
      <c r="H34" s="7"/>
      <c r="I34" s="7">
        <f>B34*4.57/(3600*2)</f>
        <v>3.2383786848072567</v>
      </c>
      <c r="J34" s="7">
        <f t="shared" si="16"/>
        <v>2.1258503401360547</v>
      </c>
      <c r="K34" s="7">
        <f>B34*0.8/(3600*2)</f>
        <v>0.56689342403628129</v>
      </c>
    </row>
    <row r="35" spans="1:18" x14ac:dyDescent="0.4">
      <c r="A35" s="6">
        <v>8500</v>
      </c>
      <c r="B35" s="7">
        <f t="shared" si="15"/>
        <v>8673.4693877551017</v>
      </c>
      <c r="C35" s="8">
        <v>43009</v>
      </c>
      <c r="D35" s="6"/>
      <c r="E35" s="7"/>
      <c r="F35" s="7">
        <f>B35*4.02/(3600*2)</f>
        <v>4.8426870748299313</v>
      </c>
      <c r="G35" s="7"/>
      <c r="H35" s="7">
        <f>B35*3.1/(3600*2)</f>
        <v>3.7344104308390023</v>
      </c>
      <c r="I35" s="7"/>
      <c r="J35" s="7">
        <f t="shared" si="16"/>
        <v>3.6139455782312919</v>
      </c>
      <c r="K35" s="7">
        <f>B35*0.55/(3600*2)</f>
        <v>0.66255668934240364</v>
      </c>
    </row>
    <row r="36" spans="1:18" x14ac:dyDescent="0.4">
      <c r="A36" s="6">
        <v>9000</v>
      </c>
      <c r="B36" s="7">
        <f t="shared" si="15"/>
        <v>9183.6734693877552</v>
      </c>
      <c r="C36" s="8">
        <v>43070</v>
      </c>
      <c r="D36" s="6"/>
      <c r="E36" s="7"/>
      <c r="F36" s="7">
        <f>B36*4.25/(3600*2)</f>
        <v>5.420918367346939</v>
      </c>
      <c r="G36" s="7"/>
      <c r="H36" s="7">
        <f t="shared" ref="H36:H38" si="17">B36*3.1/(3600*2)</f>
        <v>3.9540816326530615</v>
      </c>
      <c r="I36" s="7"/>
      <c r="J36" s="7">
        <f t="shared" si="16"/>
        <v>3.8265306122448979</v>
      </c>
      <c r="K36" s="7">
        <f>B36*0.6/(3600*2)</f>
        <v>0.76530612244897955</v>
      </c>
    </row>
    <row r="37" spans="1:18" x14ac:dyDescent="0.4">
      <c r="A37" s="6">
        <v>4500</v>
      </c>
      <c r="B37" s="7">
        <f t="shared" si="15"/>
        <v>4591.8367346938776</v>
      </c>
      <c r="C37" s="8">
        <v>42917</v>
      </c>
      <c r="D37" s="6"/>
      <c r="E37" s="7"/>
      <c r="F37" s="7">
        <f>B37*4.51/(3600*2)</f>
        <v>2.8762755102040813</v>
      </c>
      <c r="G37" s="7"/>
      <c r="H37" s="7">
        <f t="shared" si="17"/>
        <v>1.9770408163265307</v>
      </c>
      <c r="I37" s="7"/>
      <c r="J37" s="7">
        <f t="shared" si="16"/>
        <v>1.9132653061224489</v>
      </c>
      <c r="K37" s="7">
        <f>B37*0.75/(3600*2)</f>
        <v>0.47831632653061223</v>
      </c>
    </row>
    <row r="38" spans="1:18" x14ac:dyDescent="0.4">
      <c r="A38" s="6">
        <v>2500</v>
      </c>
      <c r="B38" s="7">
        <f t="shared" si="15"/>
        <v>2551.0204081632655</v>
      </c>
      <c r="C38" s="8">
        <v>42826</v>
      </c>
      <c r="D38" s="6"/>
      <c r="E38" s="7"/>
      <c r="F38" s="7">
        <f>B38*5.32/(3600*2)</f>
        <v>1.8849206349206351</v>
      </c>
      <c r="G38" s="7"/>
      <c r="H38" s="7">
        <f t="shared" si="17"/>
        <v>1.0983560090702948</v>
      </c>
      <c r="I38" s="7"/>
      <c r="J38" s="7">
        <f t="shared" si="16"/>
        <v>1.0629251700680273</v>
      </c>
      <c r="K38" s="7">
        <f>B38*0.8/(3600*2)</f>
        <v>0.28344671201814065</v>
      </c>
    </row>
    <row r="40" spans="1:18" x14ac:dyDescent="0.4">
      <c r="B40" s="80" t="s">
        <v>32</v>
      </c>
      <c r="C40" s="80">
        <v>10</v>
      </c>
      <c r="D40" s="80">
        <v>9</v>
      </c>
      <c r="E40" s="80">
        <v>11</v>
      </c>
      <c r="F40" s="80">
        <v>14</v>
      </c>
      <c r="G40" s="80">
        <v>13</v>
      </c>
      <c r="H40" s="80">
        <v>12</v>
      </c>
      <c r="I40" s="80">
        <v>15</v>
      </c>
      <c r="J40" s="80">
        <v>16</v>
      </c>
      <c r="K40" s="80">
        <v>7</v>
      </c>
      <c r="L40" s="80">
        <v>8</v>
      </c>
      <c r="M40" s="80">
        <v>6</v>
      </c>
      <c r="N40" s="80">
        <v>3</v>
      </c>
      <c r="O40" s="80">
        <v>5</v>
      </c>
      <c r="P40" s="80">
        <v>1</v>
      </c>
      <c r="Q40" s="80">
        <v>2</v>
      </c>
      <c r="R40" s="80">
        <v>4</v>
      </c>
    </row>
    <row r="41" spans="1:18" x14ac:dyDescent="0.4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1:18" x14ac:dyDescent="0.4">
      <c r="B42" s="80" t="s">
        <v>38</v>
      </c>
      <c r="C42" s="80">
        <v>14</v>
      </c>
      <c r="D42" s="80">
        <v>13</v>
      </c>
      <c r="E42" s="80">
        <v>15</v>
      </c>
      <c r="F42" s="80">
        <v>16</v>
      </c>
      <c r="G42" s="80">
        <v>5</v>
      </c>
      <c r="H42" s="80">
        <v>8</v>
      </c>
      <c r="I42" s="80">
        <v>6</v>
      </c>
      <c r="J42" s="80">
        <v>7</v>
      </c>
      <c r="K42" s="80">
        <v>10</v>
      </c>
      <c r="L42" s="80">
        <v>9</v>
      </c>
      <c r="M42" s="80">
        <v>11</v>
      </c>
      <c r="N42" s="80">
        <v>12</v>
      </c>
      <c r="O42" s="80">
        <v>3</v>
      </c>
      <c r="P42" s="80">
        <v>1</v>
      </c>
      <c r="Q42" s="80">
        <v>2</v>
      </c>
      <c r="R42" s="80">
        <v>4</v>
      </c>
    </row>
    <row r="43" spans="1:18" x14ac:dyDescent="0.4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1:18" x14ac:dyDescent="0.4">
      <c r="B44" s="80" t="s">
        <v>37</v>
      </c>
      <c r="C44" s="80">
        <v>5</v>
      </c>
      <c r="D44" s="80">
        <v>12</v>
      </c>
      <c r="E44" s="80">
        <v>8</v>
      </c>
      <c r="F44" s="80">
        <v>6</v>
      </c>
      <c r="G44" s="80">
        <v>7</v>
      </c>
      <c r="H44" s="80">
        <v>11</v>
      </c>
      <c r="I44" s="80">
        <v>9</v>
      </c>
      <c r="J44" s="80">
        <v>10</v>
      </c>
      <c r="K44" s="80">
        <v>14</v>
      </c>
      <c r="L44" s="80">
        <v>13</v>
      </c>
      <c r="M44" s="80">
        <v>15</v>
      </c>
      <c r="N44" s="80">
        <v>16</v>
      </c>
      <c r="O44" s="80">
        <v>3</v>
      </c>
      <c r="P44" s="80">
        <v>1</v>
      </c>
      <c r="Q44" s="80">
        <v>2</v>
      </c>
      <c r="R44" s="80">
        <v>4</v>
      </c>
    </row>
    <row r="45" spans="1:18" x14ac:dyDescent="0.4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1:18" x14ac:dyDescent="0.4">
      <c r="B46" s="80" t="s">
        <v>36</v>
      </c>
      <c r="C46" s="80">
        <v>16</v>
      </c>
      <c r="D46" s="80">
        <v>15</v>
      </c>
      <c r="E46" s="80">
        <v>12</v>
      </c>
      <c r="F46" s="80">
        <v>13</v>
      </c>
      <c r="G46" s="80">
        <v>14</v>
      </c>
      <c r="H46" s="80">
        <v>5</v>
      </c>
      <c r="I46" s="80">
        <v>8</v>
      </c>
      <c r="J46" s="80">
        <v>6</v>
      </c>
      <c r="K46" s="80">
        <v>11</v>
      </c>
      <c r="L46" s="80">
        <v>7</v>
      </c>
      <c r="M46" s="80">
        <v>9</v>
      </c>
      <c r="N46" s="80">
        <v>10</v>
      </c>
      <c r="O46" s="80">
        <v>3</v>
      </c>
      <c r="P46" s="80">
        <v>1</v>
      </c>
      <c r="Q46" s="80">
        <v>2</v>
      </c>
      <c r="R46" s="80">
        <v>4</v>
      </c>
    </row>
    <row r="47" spans="1:18" x14ac:dyDescent="0.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1:18" x14ac:dyDescent="0.4">
      <c r="B48" s="80" t="s">
        <v>35</v>
      </c>
      <c r="C48" s="80">
        <v>12</v>
      </c>
      <c r="D48" s="80">
        <v>5</v>
      </c>
      <c r="E48" s="80">
        <v>8</v>
      </c>
      <c r="F48" s="80">
        <v>6</v>
      </c>
      <c r="G48" s="80">
        <v>11</v>
      </c>
      <c r="H48" s="80">
        <v>7</v>
      </c>
      <c r="I48" s="80">
        <v>9</v>
      </c>
      <c r="J48" s="80">
        <v>10</v>
      </c>
      <c r="K48" s="80">
        <v>14</v>
      </c>
      <c r="L48" s="80">
        <v>13</v>
      </c>
      <c r="M48" s="80">
        <v>15</v>
      </c>
      <c r="N48" s="80">
        <v>3</v>
      </c>
      <c r="O48" s="80">
        <v>1</v>
      </c>
      <c r="P48" s="80">
        <v>16</v>
      </c>
      <c r="Q48" s="80">
        <v>2</v>
      </c>
      <c r="R48" s="80">
        <v>4</v>
      </c>
    </row>
    <row r="49" spans="2:18" x14ac:dyDescent="0.4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 x14ac:dyDescent="0.4">
      <c r="B50" s="80" t="s">
        <v>34</v>
      </c>
      <c r="C50" s="80">
        <v>16</v>
      </c>
      <c r="D50" s="80">
        <v>15</v>
      </c>
      <c r="E50" s="80">
        <v>13</v>
      </c>
      <c r="F50" s="80">
        <v>14</v>
      </c>
      <c r="G50" s="80">
        <v>5</v>
      </c>
      <c r="H50" s="80">
        <v>8</v>
      </c>
      <c r="I50" s="80">
        <v>6</v>
      </c>
      <c r="J50" s="80">
        <v>7</v>
      </c>
      <c r="K50" s="80">
        <v>10</v>
      </c>
      <c r="L50" s="80">
        <v>9</v>
      </c>
      <c r="M50" s="80">
        <v>11</v>
      </c>
      <c r="N50" s="80">
        <v>12</v>
      </c>
      <c r="O50" s="80">
        <v>3</v>
      </c>
      <c r="P50" s="80">
        <v>1</v>
      </c>
      <c r="Q50" s="80">
        <v>2</v>
      </c>
      <c r="R50" s="80">
        <v>4</v>
      </c>
    </row>
    <row r="51" spans="2:18" x14ac:dyDescent="0.4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 x14ac:dyDescent="0.4">
      <c r="B52" s="80" t="s">
        <v>33</v>
      </c>
      <c r="C52" s="80">
        <v>16</v>
      </c>
      <c r="D52" s="80">
        <v>15</v>
      </c>
      <c r="E52" s="80">
        <v>12</v>
      </c>
      <c r="F52" s="80">
        <v>13</v>
      </c>
      <c r="G52" s="80">
        <v>14</v>
      </c>
      <c r="H52" s="80">
        <v>11</v>
      </c>
      <c r="I52" s="80">
        <v>9</v>
      </c>
      <c r="J52" s="80">
        <v>10</v>
      </c>
      <c r="K52" s="80">
        <v>7</v>
      </c>
      <c r="L52" s="80">
        <v>6</v>
      </c>
      <c r="M52" s="80">
        <v>8</v>
      </c>
      <c r="N52" s="80">
        <v>5</v>
      </c>
      <c r="O52" s="80">
        <v>3</v>
      </c>
      <c r="P52" s="80">
        <v>1</v>
      </c>
      <c r="Q52" s="80">
        <v>2</v>
      </c>
      <c r="R52" s="80">
        <v>4</v>
      </c>
    </row>
  </sheetData>
  <mergeCells count="7">
    <mergeCell ref="N3:O3"/>
    <mergeCell ref="B3:C3"/>
    <mergeCell ref="D3:E3"/>
    <mergeCell ref="F3:G3"/>
    <mergeCell ref="H3:I3"/>
    <mergeCell ref="J3:K3"/>
    <mergeCell ref="L3:M3"/>
  </mergeCells>
  <pageMargins left="0.25" right="0.25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77"/>
  <sheetViews>
    <sheetView tabSelected="1" view="pageBreakPreview" topLeftCell="P1" workbookViewId="0">
      <selection activeCell="B68" sqref="B68"/>
    </sheetView>
  </sheetViews>
  <sheetFormatPr baseColWidth="10" defaultColWidth="9.1640625" defaultRowHeight="24" x14ac:dyDescent="0.4"/>
  <cols>
    <col min="1" max="1" width="11.6640625" style="1" customWidth="1"/>
    <col min="2" max="2" width="25" style="1" customWidth="1"/>
    <col min="3" max="3" width="20.6640625" style="1" bestFit="1" customWidth="1"/>
    <col min="4" max="4" width="24.5" style="1" customWidth="1"/>
    <col min="5" max="5" width="14.83203125" style="1" bestFit="1" customWidth="1"/>
    <col min="6" max="6" width="10.83203125" style="1" customWidth="1"/>
    <col min="7" max="12" width="16.1640625" style="1" customWidth="1"/>
    <col min="13" max="13" width="3.1640625" style="1" customWidth="1"/>
    <col min="14" max="14" width="3.6640625" style="1" customWidth="1"/>
    <col min="15" max="15" width="16.1640625" style="1" customWidth="1"/>
    <col min="16" max="16" width="42.83203125" style="1" bestFit="1" customWidth="1"/>
    <col min="17" max="25" width="16.6640625" style="1" customWidth="1"/>
    <col min="26" max="26" width="12.83203125" style="1" customWidth="1"/>
    <col min="27" max="27" width="13.5" style="1" customWidth="1"/>
    <col min="28" max="28" width="8" style="1" customWidth="1"/>
    <col min="29" max="29" width="10.83203125" style="1" bestFit="1" customWidth="1"/>
    <col min="30" max="16384" width="9.1640625" style="1"/>
  </cols>
  <sheetData>
    <row r="1" spans="1:36" x14ac:dyDescent="0.4">
      <c r="A1" s="13"/>
      <c r="B1" s="13"/>
      <c r="C1" s="17" t="s">
        <v>13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36" x14ac:dyDescent="0.4">
      <c r="A2" s="14">
        <v>42370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04" t="s">
        <v>89</v>
      </c>
      <c r="P2" s="110" t="s">
        <v>84</v>
      </c>
      <c r="Q2" s="120" t="s">
        <v>85</v>
      </c>
      <c r="R2" s="121"/>
      <c r="S2" s="122"/>
      <c r="T2" s="123" t="s">
        <v>98</v>
      </c>
      <c r="U2" s="124"/>
      <c r="V2" s="125"/>
      <c r="W2" s="126" t="s">
        <v>99</v>
      </c>
      <c r="X2" s="127"/>
      <c r="Y2" s="128"/>
      <c r="Z2" s="129" t="s">
        <v>100</v>
      </c>
      <c r="AA2" s="130"/>
      <c r="AB2" s="131"/>
      <c r="AC2" s="132"/>
      <c r="AD2" s="133"/>
      <c r="AE2" s="134"/>
      <c r="AF2" s="132" t="s">
        <v>57</v>
      </c>
      <c r="AG2" s="133"/>
      <c r="AH2" s="133"/>
      <c r="AI2" s="134"/>
      <c r="AJ2" s="19"/>
    </row>
    <row r="3" spans="1:36" s="3" customFormat="1" x14ac:dyDescent="0.4">
      <c r="A3" s="15" t="s">
        <v>14</v>
      </c>
      <c r="B3" s="10" t="s">
        <v>15</v>
      </c>
      <c r="C3" s="10" t="s">
        <v>16</v>
      </c>
      <c r="D3" s="10" t="s">
        <v>30</v>
      </c>
      <c r="E3" s="10" t="s">
        <v>31</v>
      </c>
      <c r="F3" s="10" t="s">
        <v>17</v>
      </c>
      <c r="G3" s="27" t="s">
        <v>18</v>
      </c>
      <c r="H3" s="27" t="s">
        <v>19</v>
      </c>
      <c r="I3" s="27" t="s">
        <v>20</v>
      </c>
      <c r="J3" s="27" t="s">
        <v>21</v>
      </c>
      <c r="K3" s="27" t="s">
        <v>22</v>
      </c>
      <c r="L3" s="36" t="s">
        <v>23</v>
      </c>
      <c r="M3" s="40"/>
      <c r="N3" s="38"/>
      <c r="O3" s="104" t="s">
        <v>39</v>
      </c>
      <c r="P3" s="99" t="s">
        <v>40</v>
      </c>
      <c r="Q3" s="105" t="s">
        <v>97</v>
      </c>
      <c r="R3" s="105" t="s">
        <v>86</v>
      </c>
      <c r="S3" s="105" t="s">
        <v>42</v>
      </c>
      <c r="T3" s="106" t="s">
        <v>97</v>
      </c>
      <c r="U3" s="106" t="s">
        <v>86</v>
      </c>
      <c r="V3" s="106" t="s">
        <v>43</v>
      </c>
      <c r="W3" s="107" t="s">
        <v>97</v>
      </c>
      <c r="X3" s="107" t="s">
        <v>86</v>
      </c>
      <c r="Y3" s="107" t="s">
        <v>44</v>
      </c>
      <c r="Z3" s="108" t="s">
        <v>97</v>
      </c>
      <c r="AA3" s="108" t="s">
        <v>86</v>
      </c>
      <c r="AB3" s="108" t="s">
        <v>45</v>
      </c>
      <c r="AC3" s="99" t="s">
        <v>88</v>
      </c>
      <c r="AD3" s="99" t="s">
        <v>87</v>
      </c>
      <c r="AE3" s="99" t="s">
        <v>41</v>
      </c>
      <c r="AF3" s="105" t="s">
        <v>42</v>
      </c>
      <c r="AG3" s="106" t="s">
        <v>43</v>
      </c>
      <c r="AH3" s="101" t="s">
        <v>44</v>
      </c>
      <c r="AI3" s="102" t="s">
        <v>45</v>
      </c>
      <c r="AJ3" s="43"/>
    </row>
    <row r="4" spans="1:36" s="19" customFormat="1" x14ac:dyDescent="0.4">
      <c r="A4" s="28">
        <v>1</v>
      </c>
      <c r="B4" s="18" t="s">
        <v>109</v>
      </c>
      <c r="C4" s="28" t="s">
        <v>110</v>
      </c>
      <c r="D4" s="29">
        <v>10</v>
      </c>
      <c r="E4" s="30">
        <f t="shared" ref="E4:E19" si="0">D4/(1-0.02)</f>
        <v>10.204081632653061</v>
      </c>
      <c r="F4" s="31">
        <v>42738</v>
      </c>
      <c r="G4" s="30">
        <f>E4*C25/(3600*3)</f>
        <v>5.1020408163265305</v>
      </c>
      <c r="H4" s="30">
        <f t="shared" ref="H4:H10" si="1">E4*D25/(3600*2)</f>
        <v>0</v>
      </c>
      <c r="I4" s="30">
        <f t="shared" ref="I4:I15" si="2">E4*E25/(3600*2)</f>
        <v>1.2755102040816326</v>
      </c>
      <c r="J4" s="30">
        <f>E4*F25/(3600*2)</f>
        <v>6.1224489795918364</v>
      </c>
      <c r="K4" s="30">
        <f t="shared" ref="K4:K15" si="3">E4*G25/(3600*2)</f>
        <v>0</v>
      </c>
      <c r="L4" s="37">
        <f t="shared" ref="L4:L7" si="4">E4*H25/(3600*2)</f>
        <v>0.85034013605442171</v>
      </c>
      <c r="M4" s="41"/>
      <c r="N4" s="39"/>
      <c r="O4" s="97">
        <f>G4+H4+I4+J4+K4+L4</f>
        <v>13.350340136054422</v>
      </c>
      <c r="P4" s="97">
        <f>O4*1.6</f>
        <v>21.360544217687078</v>
      </c>
      <c r="Q4" s="28">
        <v>13.35</v>
      </c>
      <c r="R4" s="28">
        <f>Q4-AC4</f>
        <v>-10.65</v>
      </c>
      <c r="S4" s="28">
        <v>1</v>
      </c>
      <c r="T4" s="28">
        <v>48.02</v>
      </c>
      <c r="U4" s="28">
        <f>T4-AC4</f>
        <v>24.020000000000003</v>
      </c>
      <c r="V4" s="28">
        <v>1</v>
      </c>
      <c r="W4" s="28">
        <v>22.57</v>
      </c>
      <c r="X4" s="28">
        <f>W4-AC4</f>
        <v>-1.4299999999999997</v>
      </c>
      <c r="Y4" s="28">
        <v>1</v>
      </c>
      <c r="Z4" s="28">
        <v>67.3</v>
      </c>
      <c r="AA4" s="28">
        <f>Z4-AC4</f>
        <v>43.3</v>
      </c>
      <c r="AB4" s="28">
        <v>1</v>
      </c>
      <c r="AC4" s="28">
        <f>AD4*8</f>
        <v>24</v>
      </c>
      <c r="AD4" s="28">
        <v>3</v>
      </c>
      <c r="AE4" s="97">
        <f t="shared" ref="AE4:AE19" si="5">O4/8</f>
        <v>1.6687925170068028</v>
      </c>
      <c r="AF4" s="28">
        <v>1</v>
      </c>
      <c r="AG4" s="28">
        <v>9</v>
      </c>
      <c r="AH4" s="103">
        <v>6</v>
      </c>
      <c r="AI4" s="98">
        <v>11</v>
      </c>
      <c r="AJ4" s="32"/>
    </row>
    <row r="5" spans="1:36" s="19" customFormat="1" x14ac:dyDescent="0.4">
      <c r="A5" s="28">
        <v>2</v>
      </c>
      <c r="B5" s="33"/>
      <c r="C5" s="28" t="s">
        <v>111</v>
      </c>
      <c r="D5" s="29">
        <v>8</v>
      </c>
      <c r="E5" s="30">
        <f t="shared" si="0"/>
        <v>8.1632653061224492</v>
      </c>
      <c r="F5" s="31">
        <v>42738</v>
      </c>
      <c r="G5" s="30">
        <f>E5*C26/(3600*3)</f>
        <v>5.4421768707482991</v>
      </c>
      <c r="H5" s="30">
        <f t="shared" si="1"/>
        <v>0</v>
      </c>
      <c r="I5" s="30">
        <f t="shared" si="2"/>
        <v>1.1337868480725624</v>
      </c>
      <c r="J5" s="30">
        <f t="shared" ref="J5:J19" si="6">E5*F26/(3600*2)</f>
        <v>5.1020408163265305</v>
      </c>
      <c r="K5" s="30">
        <f t="shared" si="3"/>
        <v>0</v>
      </c>
      <c r="L5" s="37">
        <f t="shared" si="4"/>
        <v>0.6802721088435375</v>
      </c>
      <c r="M5" s="41"/>
      <c r="N5" s="39"/>
      <c r="O5" s="97">
        <f>G5+H5+I5+J5+K5+L5</f>
        <v>12.358276643990928</v>
      </c>
      <c r="P5" s="97">
        <f t="shared" ref="P5:P20" si="7">O5*1.6</f>
        <v>19.773242630385486</v>
      </c>
      <c r="Q5" s="97">
        <v>18.28</v>
      </c>
      <c r="R5" s="28">
        <f t="shared" ref="R5:R19" si="8">Q5-AC5</f>
        <v>-5.7199999999999989</v>
      </c>
      <c r="S5" s="28">
        <v>2</v>
      </c>
      <c r="T5" s="28">
        <v>25.94</v>
      </c>
      <c r="U5" s="28">
        <f t="shared" ref="U5:U19" si="9">T5-AC5</f>
        <v>1.9400000000000013</v>
      </c>
      <c r="V5" s="28">
        <v>2</v>
      </c>
      <c r="W5" s="28">
        <v>27.6</v>
      </c>
      <c r="X5" s="28">
        <f t="shared" ref="X5:X19" si="10">W5-AC5</f>
        <v>3.6000000000000014</v>
      </c>
      <c r="Y5" s="28">
        <v>2</v>
      </c>
      <c r="Z5" s="28">
        <v>46.3</v>
      </c>
      <c r="AA5" s="28">
        <f t="shared" ref="AA5:AA19" si="11">Z5-AC5</f>
        <v>22.299999999999997</v>
      </c>
      <c r="AB5" s="28">
        <v>2</v>
      </c>
      <c r="AC5" s="28">
        <f t="shared" ref="AC5:AC19" si="12">AD5*8</f>
        <v>24</v>
      </c>
      <c r="AD5" s="97">
        <v>3</v>
      </c>
      <c r="AE5" s="97">
        <f t="shared" si="5"/>
        <v>1.544784580498866</v>
      </c>
      <c r="AF5" s="28">
        <v>2</v>
      </c>
      <c r="AG5" s="28">
        <v>6</v>
      </c>
      <c r="AH5" s="103">
        <v>9</v>
      </c>
      <c r="AI5" s="98">
        <v>8</v>
      </c>
      <c r="AJ5" s="32"/>
    </row>
    <row r="6" spans="1:36" s="19" customFormat="1" x14ac:dyDescent="0.4">
      <c r="A6" s="28">
        <v>3</v>
      </c>
      <c r="B6" s="33"/>
      <c r="C6" s="28" t="s">
        <v>112</v>
      </c>
      <c r="D6" s="29">
        <v>12</v>
      </c>
      <c r="E6" s="30">
        <f t="shared" si="0"/>
        <v>12.244897959183673</v>
      </c>
      <c r="F6" s="31">
        <v>42740</v>
      </c>
      <c r="G6" s="30">
        <f>E6*C27/(3600*3)</f>
        <v>10.204081632653061</v>
      </c>
      <c r="H6" s="30">
        <f t="shared" si="1"/>
        <v>0</v>
      </c>
      <c r="I6" s="30">
        <f t="shared" si="2"/>
        <v>2.0408163265306118</v>
      </c>
      <c r="J6" s="30">
        <f t="shared" si="6"/>
        <v>8.0782312925170068</v>
      </c>
      <c r="K6" s="30">
        <f t="shared" si="3"/>
        <v>0</v>
      </c>
      <c r="L6" s="37">
        <f t="shared" si="4"/>
        <v>1.0204081632653059</v>
      </c>
      <c r="M6" s="41"/>
      <c r="N6" s="39"/>
      <c r="O6" s="97">
        <f t="shared" ref="O6:O19" si="13">G6+H6+I6+J6+K6+L6</f>
        <v>21.343537414965983</v>
      </c>
      <c r="P6" s="97">
        <f t="shared" si="7"/>
        <v>34.149659863945573</v>
      </c>
      <c r="Q6" s="97">
        <v>31.88</v>
      </c>
      <c r="R6" s="28">
        <f t="shared" si="8"/>
        <v>-8.120000000000001</v>
      </c>
      <c r="S6" s="28">
        <v>3</v>
      </c>
      <c r="T6" s="28">
        <v>98.13</v>
      </c>
      <c r="U6" s="28">
        <f t="shared" si="9"/>
        <v>58.129999999999995</v>
      </c>
      <c r="V6" s="28">
        <v>3</v>
      </c>
      <c r="W6" s="28">
        <v>50.52</v>
      </c>
      <c r="X6" s="28">
        <f t="shared" si="10"/>
        <v>10.520000000000003</v>
      </c>
      <c r="Y6" s="28">
        <v>3</v>
      </c>
      <c r="Z6" s="28">
        <v>34.76</v>
      </c>
      <c r="AA6" s="28">
        <f t="shared" si="11"/>
        <v>-5.240000000000002</v>
      </c>
      <c r="AB6" s="28">
        <v>3</v>
      </c>
      <c r="AC6" s="28">
        <f t="shared" si="12"/>
        <v>40</v>
      </c>
      <c r="AD6" s="97">
        <v>5</v>
      </c>
      <c r="AE6" s="97">
        <f t="shared" si="5"/>
        <v>2.6679421768707479</v>
      </c>
      <c r="AF6" s="28">
        <v>3</v>
      </c>
      <c r="AG6" s="28">
        <v>15</v>
      </c>
      <c r="AH6" s="103">
        <v>12</v>
      </c>
      <c r="AI6" s="98">
        <v>5</v>
      </c>
      <c r="AJ6" s="32"/>
    </row>
    <row r="7" spans="1:36" s="19" customFormat="1" x14ac:dyDescent="0.4">
      <c r="A7" s="28">
        <v>4</v>
      </c>
      <c r="B7" s="33"/>
      <c r="C7" s="28" t="s">
        <v>113</v>
      </c>
      <c r="D7" s="29">
        <v>5</v>
      </c>
      <c r="E7" s="30">
        <f t="shared" si="0"/>
        <v>5.1020408163265305</v>
      </c>
      <c r="F7" s="31">
        <v>42738</v>
      </c>
      <c r="G7" s="30">
        <f>E7*C28/(3600*3)</f>
        <v>5.1020408163265305</v>
      </c>
      <c r="H7" s="30">
        <f t="shared" si="1"/>
        <v>0</v>
      </c>
      <c r="I7" s="30">
        <f t="shared" si="2"/>
        <v>1.0629251700680271</v>
      </c>
      <c r="J7" s="30">
        <f t="shared" si="6"/>
        <v>3.4722222222222223</v>
      </c>
      <c r="K7" s="30">
        <f t="shared" si="3"/>
        <v>0</v>
      </c>
      <c r="L7" s="37">
        <f t="shared" si="4"/>
        <v>0.42517006802721086</v>
      </c>
      <c r="M7" s="41"/>
      <c r="N7" s="39"/>
      <c r="O7" s="97">
        <f t="shared" si="13"/>
        <v>10.062358276643991</v>
      </c>
      <c r="P7" s="97">
        <f t="shared" si="7"/>
        <v>16.099773242630388</v>
      </c>
      <c r="Q7" s="97">
        <v>34.76</v>
      </c>
      <c r="R7" s="28">
        <f t="shared" si="8"/>
        <v>10.759999999999998</v>
      </c>
      <c r="S7" s="28">
        <v>4</v>
      </c>
      <c r="T7" s="28">
        <v>19.7</v>
      </c>
      <c r="U7" s="28">
        <f t="shared" si="9"/>
        <v>-4.3000000000000007</v>
      </c>
      <c r="V7" s="28">
        <v>4</v>
      </c>
      <c r="W7" s="28">
        <v>30.82</v>
      </c>
      <c r="X7" s="28">
        <f t="shared" si="10"/>
        <v>6.82</v>
      </c>
      <c r="Y7" s="28">
        <v>4</v>
      </c>
      <c r="Z7" s="28">
        <v>33.43</v>
      </c>
      <c r="AA7" s="28">
        <f t="shared" si="11"/>
        <v>9.43</v>
      </c>
      <c r="AB7" s="28">
        <v>4</v>
      </c>
      <c r="AC7" s="28">
        <f t="shared" si="12"/>
        <v>24</v>
      </c>
      <c r="AD7" s="97">
        <v>3</v>
      </c>
      <c r="AE7" s="97">
        <f t="shared" si="5"/>
        <v>1.2577947845804989</v>
      </c>
      <c r="AF7" s="28">
        <v>4</v>
      </c>
      <c r="AG7" s="28">
        <v>5</v>
      </c>
      <c r="AH7" s="103">
        <v>13</v>
      </c>
      <c r="AI7" s="98">
        <v>4</v>
      </c>
      <c r="AJ7" s="32"/>
    </row>
    <row r="8" spans="1:36" s="19" customFormat="1" x14ac:dyDescent="0.4">
      <c r="A8" s="28">
        <v>5</v>
      </c>
      <c r="B8" s="18" t="s">
        <v>115</v>
      </c>
      <c r="C8" s="34" t="s">
        <v>116</v>
      </c>
      <c r="D8" s="29">
        <v>20</v>
      </c>
      <c r="E8" s="30">
        <f t="shared" si="0"/>
        <v>20.408163265306122</v>
      </c>
      <c r="F8" s="31">
        <v>42739</v>
      </c>
      <c r="G8" s="30">
        <f t="shared" ref="G8:G19" si="14">E8*C29/(3600*3)</f>
        <v>9.8261526832955397</v>
      </c>
      <c r="H8" s="30">
        <f t="shared" si="1"/>
        <v>0</v>
      </c>
      <c r="I8" s="30">
        <f t="shared" si="2"/>
        <v>0</v>
      </c>
      <c r="J8" s="30">
        <f t="shared" si="6"/>
        <v>5.1020408163265305</v>
      </c>
      <c r="K8" s="30">
        <f t="shared" si="3"/>
        <v>0</v>
      </c>
      <c r="L8" s="37">
        <f>E8*H29/(3600*2)</f>
        <v>1.7006802721088434</v>
      </c>
      <c r="M8" s="41"/>
      <c r="N8" s="39"/>
      <c r="O8" s="97">
        <f t="shared" si="13"/>
        <v>16.628873771730913</v>
      </c>
      <c r="P8" s="97">
        <f t="shared" si="7"/>
        <v>26.606198034769463</v>
      </c>
      <c r="Q8" s="97">
        <v>42.47</v>
      </c>
      <c r="R8" s="28">
        <f t="shared" si="8"/>
        <v>10.469999999999999</v>
      </c>
      <c r="S8" s="28">
        <v>5</v>
      </c>
      <c r="T8" s="28">
        <v>63.11</v>
      </c>
      <c r="U8" s="28">
        <f t="shared" si="9"/>
        <v>31.11</v>
      </c>
      <c r="V8" s="28">
        <v>5</v>
      </c>
      <c r="W8" s="28">
        <v>56.3</v>
      </c>
      <c r="X8" s="28">
        <f t="shared" si="10"/>
        <v>24.299999999999997</v>
      </c>
      <c r="Y8" s="28">
        <v>5</v>
      </c>
      <c r="Z8" s="28">
        <v>93.15</v>
      </c>
      <c r="AA8" s="28">
        <f t="shared" si="11"/>
        <v>61.150000000000006</v>
      </c>
      <c r="AB8" s="28">
        <v>5</v>
      </c>
      <c r="AC8" s="28">
        <f t="shared" si="12"/>
        <v>32</v>
      </c>
      <c r="AD8" s="97">
        <v>4</v>
      </c>
      <c r="AE8" s="97">
        <f t="shared" si="5"/>
        <v>2.0786092214663641</v>
      </c>
      <c r="AF8" s="28">
        <v>5</v>
      </c>
      <c r="AG8" s="28">
        <v>12</v>
      </c>
      <c r="AH8" s="103">
        <v>1</v>
      </c>
      <c r="AI8" s="98">
        <v>16</v>
      </c>
      <c r="AJ8" s="32"/>
    </row>
    <row r="9" spans="1:36" s="19" customFormat="1" x14ac:dyDescent="0.4">
      <c r="A9" s="28">
        <v>6</v>
      </c>
      <c r="B9" s="33"/>
      <c r="C9" s="34" t="s">
        <v>117</v>
      </c>
      <c r="D9" s="29">
        <v>5</v>
      </c>
      <c r="E9" s="30">
        <f t="shared" si="0"/>
        <v>5.1020408163265305</v>
      </c>
      <c r="F9" s="31">
        <v>42736</v>
      </c>
      <c r="G9" s="30">
        <f t="shared" si="14"/>
        <v>2.8344671201814058</v>
      </c>
      <c r="H9" s="30">
        <f t="shared" si="1"/>
        <v>0</v>
      </c>
      <c r="I9" s="30">
        <f t="shared" si="2"/>
        <v>0</v>
      </c>
      <c r="J9" s="30">
        <f t="shared" si="6"/>
        <v>1.4172335600907029</v>
      </c>
      <c r="K9" s="30">
        <f t="shared" si="3"/>
        <v>0</v>
      </c>
      <c r="L9" s="37">
        <f t="shared" ref="L9:L19" si="15">E9*H30/(3600*2)</f>
        <v>0.42517006802721086</v>
      </c>
      <c r="M9" s="41"/>
      <c r="N9" s="39"/>
      <c r="O9" s="97">
        <f t="shared" si="13"/>
        <v>4.6768707482993195</v>
      </c>
      <c r="P9" s="97">
        <f t="shared" si="7"/>
        <v>7.4829931972789119</v>
      </c>
      <c r="Q9" s="97">
        <v>42.9</v>
      </c>
      <c r="R9" s="28">
        <f t="shared" si="8"/>
        <v>34.9</v>
      </c>
      <c r="S9" s="28">
        <v>6</v>
      </c>
      <c r="T9" s="28">
        <v>5.47</v>
      </c>
      <c r="U9" s="28">
        <f t="shared" si="9"/>
        <v>-2.5300000000000002</v>
      </c>
      <c r="V9" s="28">
        <v>6</v>
      </c>
      <c r="W9" s="28">
        <v>4.68</v>
      </c>
      <c r="X9" s="28">
        <f t="shared" si="10"/>
        <v>-3.3200000000000003</v>
      </c>
      <c r="Y9" s="28">
        <v>6</v>
      </c>
      <c r="Z9" s="28">
        <v>82.7</v>
      </c>
      <c r="AA9" s="28">
        <f t="shared" si="11"/>
        <v>74.7</v>
      </c>
      <c r="AB9" s="28">
        <v>6</v>
      </c>
      <c r="AC9" s="28">
        <f t="shared" si="12"/>
        <v>8</v>
      </c>
      <c r="AD9" s="97">
        <v>1</v>
      </c>
      <c r="AE9" s="97">
        <f t="shared" si="5"/>
        <v>0.58460884353741494</v>
      </c>
      <c r="AF9" s="28">
        <v>6</v>
      </c>
      <c r="AG9" s="28">
        <v>2</v>
      </c>
      <c r="AH9" s="103">
        <v>2</v>
      </c>
      <c r="AI9" s="98">
        <v>15</v>
      </c>
      <c r="AJ9" s="32"/>
    </row>
    <row r="10" spans="1:36" s="19" customFormat="1" x14ac:dyDescent="0.4">
      <c r="A10" s="28">
        <v>7</v>
      </c>
      <c r="B10" s="33"/>
      <c r="C10" s="34" t="s">
        <v>118</v>
      </c>
      <c r="D10" s="29">
        <v>23</v>
      </c>
      <c r="E10" s="30">
        <f t="shared" si="0"/>
        <v>23.469387755102041</v>
      </c>
      <c r="F10" s="31">
        <v>42741</v>
      </c>
      <c r="G10" s="30">
        <f t="shared" si="14"/>
        <v>16.298185941043084</v>
      </c>
      <c r="H10" s="30">
        <f t="shared" si="1"/>
        <v>0</v>
      </c>
      <c r="I10" s="30">
        <f t="shared" si="2"/>
        <v>0</v>
      </c>
      <c r="J10" s="30">
        <f t="shared" si="6"/>
        <v>8.1490929705215418</v>
      </c>
      <c r="K10" s="30">
        <f t="shared" si="3"/>
        <v>0</v>
      </c>
      <c r="L10" s="37">
        <f t="shared" si="15"/>
        <v>1.9557823129251699</v>
      </c>
      <c r="M10" s="41"/>
      <c r="N10" s="39"/>
      <c r="O10" s="97">
        <f t="shared" si="13"/>
        <v>26.403061224489793</v>
      </c>
      <c r="P10" s="97">
        <f t="shared" si="7"/>
        <v>42.244897959183675</v>
      </c>
      <c r="Q10" s="97">
        <v>64.91</v>
      </c>
      <c r="R10" s="28">
        <f t="shared" si="8"/>
        <v>16.909999999999997</v>
      </c>
      <c r="S10" s="28">
        <v>7</v>
      </c>
      <c r="T10" s="28">
        <v>107.22</v>
      </c>
      <c r="U10" s="28">
        <f t="shared" si="9"/>
        <v>59.22</v>
      </c>
      <c r="V10" s="28">
        <v>7</v>
      </c>
      <c r="W10" s="28">
        <v>89.14</v>
      </c>
      <c r="X10" s="28">
        <f t="shared" si="10"/>
        <v>41.14</v>
      </c>
      <c r="Y10" s="28">
        <v>7</v>
      </c>
      <c r="Z10" s="28">
        <v>81.760000000000005</v>
      </c>
      <c r="AA10" s="28">
        <f t="shared" si="11"/>
        <v>33.760000000000005</v>
      </c>
      <c r="AB10" s="28">
        <v>7</v>
      </c>
      <c r="AC10" s="28">
        <f t="shared" si="12"/>
        <v>48</v>
      </c>
      <c r="AD10" s="97">
        <v>6</v>
      </c>
      <c r="AE10" s="97">
        <f t="shared" si="5"/>
        <v>3.3003826530612241</v>
      </c>
      <c r="AF10" s="28">
        <v>7</v>
      </c>
      <c r="AG10" s="28">
        <v>16</v>
      </c>
      <c r="AH10" s="103">
        <v>4</v>
      </c>
      <c r="AI10" s="98">
        <v>13</v>
      </c>
      <c r="AJ10" s="32"/>
    </row>
    <row r="11" spans="1:36" s="19" customFormat="1" x14ac:dyDescent="0.4">
      <c r="A11" s="28">
        <v>8</v>
      </c>
      <c r="B11" s="33"/>
      <c r="C11" s="28" t="s">
        <v>119</v>
      </c>
      <c r="D11" s="29">
        <v>9</v>
      </c>
      <c r="E11" s="30">
        <f t="shared" si="0"/>
        <v>9.183673469387756</v>
      </c>
      <c r="F11" s="31">
        <v>42738</v>
      </c>
      <c r="G11" s="30">
        <f>E11*C32/(3600*3)</f>
        <v>8.5034013605442187</v>
      </c>
      <c r="H11" s="30">
        <f>E11*D32/(3600*2)</f>
        <v>0</v>
      </c>
      <c r="I11" s="30">
        <f t="shared" si="2"/>
        <v>0</v>
      </c>
      <c r="J11" s="30">
        <f t="shared" si="6"/>
        <v>3.8265306122448983</v>
      </c>
      <c r="K11" s="30">
        <f t="shared" si="3"/>
        <v>0</v>
      </c>
      <c r="L11" s="37">
        <f t="shared" si="15"/>
        <v>0.76530612244897966</v>
      </c>
      <c r="M11" s="41"/>
      <c r="N11" s="39"/>
      <c r="O11" s="97">
        <f t="shared" si="13"/>
        <v>13.095238095238097</v>
      </c>
      <c r="P11" s="97">
        <f t="shared" si="7"/>
        <v>20.952380952380956</v>
      </c>
      <c r="Q11" s="97">
        <v>67.900000000000006</v>
      </c>
      <c r="R11" s="28">
        <f t="shared" si="8"/>
        <v>43.900000000000006</v>
      </c>
      <c r="S11" s="28">
        <v>8</v>
      </c>
      <c r="T11" s="28">
        <v>32.130000000000003</v>
      </c>
      <c r="U11" s="28">
        <f t="shared" si="9"/>
        <v>8.1300000000000026</v>
      </c>
      <c r="V11" s="28">
        <v>8</v>
      </c>
      <c r="W11" s="28">
        <v>61.8</v>
      </c>
      <c r="X11" s="28">
        <f t="shared" si="10"/>
        <v>37.799999999999997</v>
      </c>
      <c r="Y11" s="28">
        <v>8</v>
      </c>
      <c r="Z11" s="28">
        <v>39.49</v>
      </c>
      <c r="AA11" s="28">
        <f t="shared" si="11"/>
        <v>15.490000000000002</v>
      </c>
      <c r="AB11" s="28">
        <v>8</v>
      </c>
      <c r="AC11" s="28">
        <f t="shared" si="12"/>
        <v>24</v>
      </c>
      <c r="AD11" s="97">
        <v>3</v>
      </c>
      <c r="AE11" s="97">
        <f t="shared" si="5"/>
        <v>1.6369047619047621</v>
      </c>
      <c r="AF11" s="28">
        <v>8</v>
      </c>
      <c r="AG11" s="28">
        <v>7</v>
      </c>
      <c r="AH11" s="103">
        <v>10</v>
      </c>
      <c r="AI11" s="98">
        <v>7</v>
      </c>
      <c r="AJ11" s="32"/>
    </row>
    <row r="12" spans="1:36" s="19" customFormat="1" x14ac:dyDescent="0.4">
      <c r="A12" s="28">
        <v>9</v>
      </c>
      <c r="B12" s="18" t="s">
        <v>60</v>
      </c>
      <c r="C12" s="35" t="s">
        <v>74</v>
      </c>
      <c r="D12" s="29">
        <v>6</v>
      </c>
      <c r="E12" s="30">
        <f t="shared" si="0"/>
        <v>6.1224489795918364</v>
      </c>
      <c r="F12" s="31">
        <v>42737</v>
      </c>
      <c r="G12" s="30">
        <f t="shared" si="14"/>
        <v>2.0408163265306118</v>
      </c>
      <c r="H12" s="30">
        <f>E12*D33/(3600*2)</f>
        <v>0.76530612244897955</v>
      </c>
      <c r="I12" s="30">
        <f t="shared" si="2"/>
        <v>0.76530612244897955</v>
      </c>
      <c r="J12" s="30">
        <f t="shared" si="6"/>
        <v>0</v>
      </c>
      <c r="K12" s="30">
        <f t="shared" si="3"/>
        <v>3.0612244897959182</v>
      </c>
      <c r="L12" s="37">
        <f t="shared" si="15"/>
        <v>0.51020408163265296</v>
      </c>
      <c r="M12" s="41"/>
      <c r="N12" s="39"/>
      <c r="O12" s="97">
        <f t="shared" si="13"/>
        <v>7.1428571428571423</v>
      </c>
      <c r="P12" s="97">
        <f t="shared" si="7"/>
        <v>11.428571428571429</v>
      </c>
      <c r="Q12" s="97">
        <v>70.45</v>
      </c>
      <c r="R12" s="28">
        <f t="shared" si="8"/>
        <v>54.45</v>
      </c>
      <c r="S12" s="28">
        <v>9</v>
      </c>
      <c r="T12" s="28">
        <v>10.77</v>
      </c>
      <c r="U12" s="28">
        <f t="shared" si="9"/>
        <v>-5.23</v>
      </c>
      <c r="V12" s="28">
        <v>9</v>
      </c>
      <c r="W12" s="28">
        <v>9.98</v>
      </c>
      <c r="X12" s="28">
        <f t="shared" si="10"/>
        <v>-6.02</v>
      </c>
      <c r="Y12" s="28">
        <v>9</v>
      </c>
      <c r="Z12" s="28">
        <v>82.27</v>
      </c>
      <c r="AA12" s="28">
        <f t="shared" si="11"/>
        <v>66.27</v>
      </c>
      <c r="AB12" s="28">
        <v>9</v>
      </c>
      <c r="AC12" s="28">
        <f t="shared" si="12"/>
        <v>16</v>
      </c>
      <c r="AD12" s="97">
        <v>2</v>
      </c>
      <c r="AE12" s="97">
        <f t="shared" si="5"/>
        <v>0.89285714285714279</v>
      </c>
      <c r="AF12" s="28">
        <v>9</v>
      </c>
      <c r="AG12" s="28">
        <v>3</v>
      </c>
      <c r="AH12" s="103">
        <v>3</v>
      </c>
      <c r="AI12" s="98">
        <v>14</v>
      </c>
      <c r="AJ12" s="32"/>
    </row>
    <row r="13" spans="1:36" s="19" customFormat="1" x14ac:dyDescent="0.4">
      <c r="A13" s="28">
        <v>10</v>
      </c>
      <c r="B13" s="33"/>
      <c r="C13" s="35" t="s">
        <v>75</v>
      </c>
      <c r="D13" s="29">
        <v>12</v>
      </c>
      <c r="E13" s="30">
        <f t="shared" si="0"/>
        <v>12.244897959183673</v>
      </c>
      <c r="F13" s="31">
        <v>42739</v>
      </c>
      <c r="G13" s="30">
        <f t="shared" si="14"/>
        <v>4.5351473922902494</v>
      </c>
      <c r="H13" s="30">
        <f t="shared" ref="H13:H19" si="16">E13*D34/(3600*2)</f>
        <v>1.5306122448979591</v>
      </c>
      <c r="I13" s="30">
        <f t="shared" si="2"/>
        <v>2.0408163265306118</v>
      </c>
      <c r="J13" s="30">
        <f t="shared" si="6"/>
        <v>0</v>
      </c>
      <c r="K13" s="30">
        <f t="shared" si="3"/>
        <v>7.1428571428571423</v>
      </c>
      <c r="L13" s="37">
        <f t="shared" si="15"/>
        <v>1.0204081632653059</v>
      </c>
      <c r="M13" s="41"/>
      <c r="N13" s="39"/>
      <c r="O13" s="97">
        <f t="shared" si="13"/>
        <v>16.269841269841269</v>
      </c>
      <c r="P13" s="97">
        <f t="shared" si="7"/>
        <v>26.031746031746032</v>
      </c>
      <c r="Q13" s="97">
        <v>81.61</v>
      </c>
      <c r="R13" s="28">
        <f t="shared" si="8"/>
        <v>49.61</v>
      </c>
      <c r="S13" s="28">
        <v>10</v>
      </c>
      <c r="T13" s="28">
        <v>64.41</v>
      </c>
      <c r="U13" s="28">
        <f t="shared" si="9"/>
        <v>32.409999999999997</v>
      </c>
      <c r="V13" s="28">
        <v>10</v>
      </c>
      <c r="W13" s="28">
        <v>40.4</v>
      </c>
      <c r="X13" s="28">
        <f t="shared" si="10"/>
        <v>8.3999999999999986</v>
      </c>
      <c r="Y13" s="28">
        <v>10</v>
      </c>
      <c r="Z13" s="28">
        <v>70.430000000000007</v>
      </c>
      <c r="AA13" s="28">
        <f t="shared" si="11"/>
        <v>38.430000000000007</v>
      </c>
      <c r="AB13" s="28">
        <v>10</v>
      </c>
      <c r="AC13" s="28">
        <f t="shared" si="12"/>
        <v>32</v>
      </c>
      <c r="AD13" s="97">
        <v>4</v>
      </c>
      <c r="AE13" s="97">
        <f t="shared" si="5"/>
        <v>2.0337301587301586</v>
      </c>
      <c r="AF13" s="28">
        <v>10</v>
      </c>
      <c r="AG13" s="28">
        <v>11</v>
      </c>
      <c r="AH13" s="103">
        <v>5</v>
      </c>
      <c r="AI13" s="98">
        <v>12</v>
      </c>
      <c r="AJ13" s="32"/>
    </row>
    <row r="14" spans="1:36" s="19" customFormat="1" x14ac:dyDescent="0.4">
      <c r="A14" s="28">
        <v>11</v>
      </c>
      <c r="B14" s="33"/>
      <c r="C14" s="35" t="s">
        <v>76</v>
      </c>
      <c r="D14" s="29">
        <v>13</v>
      </c>
      <c r="E14" s="30">
        <f t="shared" si="0"/>
        <v>13.26530612244898</v>
      </c>
      <c r="F14" s="31">
        <v>42739</v>
      </c>
      <c r="G14" s="30">
        <f t="shared" si="14"/>
        <v>5.5272108843537415</v>
      </c>
      <c r="H14" s="30">
        <f t="shared" si="16"/>
        <v>1.6581632653061225</v>
      </c>
      <c r="I14" s="30">
        <f t="shared" si="2"/>
        <v>2.7636054421768708</v>
      </c>
      <c r="J14" s="30">
        <f t="shared" si="6"/>
        <v>0</v>
      </c>
      <c r="K14" s="30">
        <f t="shared" si="3"/>
        <v>8.8435374149659864</v>
      </c>
      <c r="L14" s="37">
        <f t="shared" si="15"/>
        <v>1.1054421768707483</v>
      </c>
      <c r="M14" s="41"/>
      <c r="N14" s="39"/>
      <c r="O14" s="97">
        <f t="shared" si="13"/>
        <v>19.897959183673471</v>
      </c>
      <c r="P14" s="97">
        <f t="shared" si="7"/>
        <v>31.836734693877556</v>
      </c>
      <c r="Q14" s="97">
        <v>91.26</v>
      </c>
      <c r="R14" s="28">
        <f t="shared" si="8"/>
        <v>59.260000000000005</v>
      </c>
      <c r="S14" s="28">
        <v>11</v>
      </c>
      <c r="T14" s="28">
        <v>87.92</v>
      </c>
      <c r="U14" s="28">
        <f t="shared" si="9"/>
        <v>55.92</v>
      </c>
      <c r="V14" s="28">
        <v>11</v>
      </c>
      <c r="W14" s="28">
        <v>77.099999999999994</v>
      </c>
      <c r="X14" s="28">
        <f t="shared" si="10"/>
        <v>45.099999999999994</v>
      </c>
      <c r="Y14" s="28">
        <v>11</v>
      </c>
      <c r="Z14" s="28">
        <v>59.23</v>
      </c>
      <c r="AA14" s="28">
        <f t="shared" si="11"/>
        <v>27.229999999999997</v>
      </c>
      <c r="AB14" s="28">
        <v>11</v>
      </c>
      <c r="AC14" s="28">
        <f t="shared" si="12"/>
        <v>32</v>
      </c>
      <c r="AD14" s="97">
        <v>4</v>
      </c>
      <c r="AE14" s="97">
        <f t="shared" si="5"/>
        <v>2.4872448979591839</v>
      </c>
      <c r="AF14" s="28">
        <v>11</v>
      </c>
      <c r="AG14" s="28">
        <v>14</v>
      </c>
      <c r="AH14" s="103">
        <v>8</v>
      </c>
      <c r="AI14" s="98">
        <v>9</v>
      </c>
      <c r="AJ14" s="32"/>
    </row>
    <row r="15" spans="1:36" s="19" customFormat="1" x14ac:dyDescent="0.4">
      <c r="A15" s="28">
        <v>12</v>
      </c>
      <c r="B15" s="33"/>
      <c r="C15" s="35" t="s">
        <v>77</v>
      </c>
      <c r="D15" s="29">
        <v>5</v>
      </c>
      <c r="E15" s="30">
        <f t="shared" si="0"/>
        <v>5.1020408163265305</v>
      </c>
      <c r="F15" s="31">
        <v>42736</v>
      </c>
      <c r="G15" s="30">
        <f t="shared" si="14"/>
        <v>2.8344671201814058</v>
      </c>
      <c r="H15" s="30">
        <f t="shared" si="16"/>
        <v>0.63775510204081631</v>
      </c>
      <c r="I15" s="30">
        <f t="shared" si="2"/>
        <v>1.2755102040816326</v>
      </c>
      <c r="J15" s="30">
        <f t="shared" si="6"/>
        <v>0</v>
      </c>
      <c r="K15" s="30">
        <f t="shared" si="3"/>
        <v>3.9682539682539684</v>
      </c>
      <c r="L15" s="37">
        <f t="shared" si="15"/>
        <v>0.42517006802721086</v>
      </c>
      <c r="M15" s="41"/>
      <c r="N15" s="39"/>
      <c r="O15" s="97">
        <f t="shared" si="13"/>
        <v>9.1411564625850339</v>
      </c>
      <c r="P15" s="97">
        <f t="shared" si="7"/>
        <v>14.625850340136054</v>
      </c>
      <c r="Q15" s="97">
        <v>93.07</v>
      </c>
      <c r="R15" s="28">
        <f t="shared" si="8"/>
        <v>77.069999999999993</v>
      </c>
      <c r="S15" s="28">
        <v>12</v>
      </c>
      <c r="T15" s="28">
        <v>15.17</v>
      </c>
      <c r="U15" s="28">
        <f t="shared" si="9"/>
        <v>-0.83000000000000007</v>
      </c>
      <c r="V15" s="28">
        <v>12</v>
      </c>
      <c r="W15" s="28">
        <v>14.02</v>
      </c>
      <c r="X15" s="28">
        <f t="shared" si="10"/>
        <v>-1.9800000000000004</v>
      </c>
      <c r="Y15" s="28">
        <v>12</v>
      </c>
      <c r="Z15" s="28">
        <v>37.72</v>
      </c>
      <c r="AA15" s="28">
        <f t="shared" si="11"/>
        <v>21.72</v>
      </c>
      <c r="AB15" s="28">
        <v>12</v>
      </c>
      <c r="AC15" s="28">
        <f t="shared" si="12"/>
        <v>16</v>
      </c>
      <c r="AD15" s="97">
        <v>2</v>
      </c>
      <c r="AE15" s="97">
        <f t="shared" si="5"/>
        <v>1.1426445578231292</v>
      </c>
      <c r="AF15" s="28">
        <v>12</v>
      </c>
      <c r="AG15" s="28">
        <v>4</v>
      </c>
      <c r="AH15" s="103">
        <v>11</v>
      </c>
      <c r="AI15" s="98">
        <v>6</v>
      </c>
      <c r="AJ15" s="32"/>
    </row>
    <row r="16" spans="1:36" s="19" customFormat="1" x14ac:dyDescent="0.4">
      <c r="A16" s="28">
        <v>13</v>
      </c>
      <c r="B16" s="18" t="s">
        <v>61</v>
      </c>
      <c r="C16" s="28" t="s">
        <v>73</v>
      </c>
      <c r="D16" s="29">
        <v>2</v>
      </c>
      <c r="E16" s="30">
        <f t="shared" si="0"/>
        <v>2.0408163265306123</v>
      </c>
      <c r="F16" s="31">
        <v>42739</v>
      </c>
      <c r="G16" s="30">
        <f t="shared" si="14"/>
        <v>0.79365079365079372</v>
      </c>
      <c r="H16" s="30">
        <f t="shared" si="16"/>
        <v>0.25510204081632654</v>
      </c>
      <c r="I16" s="30">
        <f>E16*E37/(3600*2)</f>
        <v>0.25510204081632654</v>
      </c>
      <c r="J16" s="30">
        <f t="shared" si="6"/>
        <v>0.51020408163265307</v>
      </c>
      <c r="K16" s="30">
        <f>E16*G37/(3600*2)</f>
        <v>1.0770975056689343</v>
      </c>
      <c r="L16" s="37">
        <f t="shared" si="15"/>
        <v>0.17006802721088438</v>
      </c>
      <c r="M16" s="41"/>
      <c r="N16" s="39"/>
      <c r="O16" s="97">
        <f t="shared" si="13"/>
        <v>3.0612244897959182</v>
      </c>
      <c r="P16" s="97">
        <f t="shared" si="7"/>
        <v>4.8979591836734695</v>
      </c>
      <c r="Q16" s="97">
        <v>93.24</v>
      </c>
      <c r="R16" s="28">
        <f t="shared" si="8"/>
        <v>85.24</v>
      </c>
      <c r="S16" s="28">
        <v>13</v>
      </c>
      <c r="T16" s="28">
        <v>3.07</v>
      </c>
      <c r="U16" s="28">
        <f t="shared" si="9"/>
        <v>-4.93</v>
      </c>
      <c r="V16" s="28">
        <v>13</v>
      </c>
      <c r="W16" s="28">
        <v>16.87</v>
      </c>
      <c r="X16" s="28">
        <f t="shared" si="10"/>
        <v>8.870000000000001</v>
      </c>
      <c r="Y16" s="28">
        <v>13</v>
      </c>
      <c r="Z16" s="28">
        <v>61.46</v>
      </c>
      <c r="AA16" s="28">
        <f t="shared" si="11"/>
        <v>53.46</v>
      </c>
      <c r="AB16" s="28">
        <v>13</v>
      </c>
      <c r="AC16" s="28">
        <f t="shared" si="12"/>
        <v>8</v>
      </c>
      <c r="AD16" s="97">
        <v>1</v>
      </c>
      <c r="AE16" s="97">
        <f t="shared" si="5"/>
        <v>0.38265306122448978</v>
      </c>
      <c r="AF16" s="28">
        <v>13</v>
      </c>
      <c r="AG16" s="28">
        <v>1</v>
      </c>
      <c r="AH16" s="103">
        <v>7</v>
      </c>
      <c r="AI16" s="98">
        <v>10</v>
      </c>
      <c r="AJ16" s="32"/>
    </row>
    <row r="17" spans="1:36" s="19" customFormat="1" x14ac:dyDescent="0.4">
      <c r="A17" s="28">
        <v>14</v>
      </c>
      <c r="B17" s="28"/>
      <c r="C17" s="28" t="s">
        <v>70</v>
      </c>
      <c r="D17" s="29">
        <v>7</v>
      </c>
      <c r="E17" s="30">
        <f t="shared" si="0"/>
        <v>7.1428571428571432</v>
      </c>
      <c r="F17" s="31">
        <v>42739</v>
      </c>
      <c r="G17" s="30">
        <f t="shared" si="14"/>
        <v>3.1746031746031749</v>
      </c>
      <c r="H17" s="30">
        <f t="shared" si="16"/>
        <v>1.4880952380952384</v>
      </c>
      <c r="I17" s="30">
        <f t="shared" ref="I17:I19" si="17">E17*E38/(3600*2)</f>
        <v>1.4880952380952384</v>
      </c>
      <c r="J17" s="30">
        <f t="shared" si="6"/>
        <v>1.9841269841269842</v>
      </c>
      <c r="K17" s="30">
        <f t="shared" ref="K17:K19" si="18">E17*G38/(3600*2)</f>
        <v>7.4404761904761907</v>
      </c>
      <c r="L17" s="37">
        <f t="shared" si="15"/>
        <v>0.59523809523809534</v>
      </c>
      <c r="M17" s="41"/>
      <c r="N17" s="39"/>
      <c r="O17" s="97">
        <f t="shared" si="13"/>
        <v>16.170634920634921</v>
      </c>
      <c r="P17" s="97">
        <f t="shared" si="7"/>
        <v>25.873015873015873</v>
      </c>
      <c r="Q17" s="97">
        <v>102.46</v>
      </c>
      <c r="R17" s="28">
        <f t="shared" si="8"/>
        <v>70.459999999999994</v>
      </c>
      <c r="S17" s="28">
        <v>14</v>
      </c>
      <c r="T17" s="28">
        <v>54.79</v>
      </c>
      <c r="U17" s="28">
        <f t="shared" si="9"/>
        <v>22.79</v>
      </c>
      <c r="V17" s="28">
        <v>14</v>
      </c>
      <c r="W17" s="28">
        <v>95.2</v>
      </c>
      <c r="X17" s="28">
        <f t="shared" si="10"/>
        <v>63.2</v>
      </c>
      <c r="Y17" s="28">
        <v>14</v>
      </c>
      <c r="Z17" s="28">
        <v>33</v>
      </c>
      <c r="AA17" s="28">
        <f t="shared" si="11"/>
        <v>1</v>
      </c>
      <c r="AB17" s="28">
        <v>14</v>
      </c>
      <c r="AC17" s="28">
        <f t="shared" si="12"/>
        <v>32</v>
      </c>
      <c r="AD17" s="97">
        <v>4</v>
      </c>
      <c r="AE17" s="97">
        <f t="shared" si="5"/>
        <v>2.0213293650793651</v>
      </c>
      <c r="AF17" s="28">
        <v>14</v>
      </c>
      <c r="AG17" s="28">
        <v>10</v>
      </c>
      <c r="AH17" s="103">
        <v>14</v>
      </c>
      <c r="AI17" s="98">
        <v>3</v>
      </c>
      <c r="AJ17" s="32"/>
    </row>
    <row r="18" spans="1:36" s="19" customFormat="1" x14ac:dyDescent="0.4">
      <c r="A18" s="28">
        <v>15</v>
      </c>
      <c r="B18" s="28"/>
      <c r="C18" s="28" t="s">
        <v>71</v>
      </c>
      <c r="D18" s="29">
        <v>4</v>
      </c>
      <c r="E18" s="30">
        <f t="shared" si="0"/>
        <v>4.0816326530612246</v>
      </c>
      <c r="F18" s="31">
        <v>42738</v>
      </c>
      <c r="G18" s="30">
        <f t="shared" si="14"/>
        <v>2.0786092214663645</v>
      </c>
      <c r="H18" s="30">
        <f t="shared" si="16"/>
        <v>1.1904761904761907</v>
      </c>
      <c r="I18" s="30">
        <f t="shared" si="17"/>
        <v>1.1904761904761907</v>
      </c>
      <c r="J18" s="30">
        <f t="shared" si="6"/>
        <v>1.2471655328798188</v>
      </c>
      <c r="K18" s="30">
        <f t="shared" si="18"/>
        <v>7.0861678004535156</v>
      </c>
      <c r="L18" s="37">
        <f t="shared" si="15"/>
        <v>0.34013605442176875</v>
      </c>
      <c r="M18" s="41"/>
      <c r="N18" s="39"/>
      <c r="O18" s="97">
        <f t="shared" si="13"/>
        <v>13.13303099017385</v>
      </c>
      <c r="P18" s="97">
        <f t="shared" si="7"/>
        <v>21.012849584278161</v>
      </c>
      <c r="Q18" s="97">
        <v>108.56</v>
      </c>
      <c r="R18" s="28">
        <f t="shared" si="8"/>
        <v>84.56</v>
      </c>
      <c r="S18" s="28">
        <v>15</v>
      </c>
      <c r="T18" s="28">
        <v>41.39</v>
      </c>
      <c r="U18" s="28">
        <f t="shared" si="9"/>
        <v>17.39</v>
      </c>
      <c r="V18" s="28">
        <v>15</v>
      </c>
      <c r="W18" s="28">
        <v>101.3</v>
      </c>
      <c r="X18" s="28">
        <f t="shared" si="10"/>
        <v>77.3</v>
      </c>
      <c r="Y18" s="28">
        <v>15</v>
      </c>
      <c r="Z18" s="28">
        <v>24.94</v>
      </c>
      <c r="AA18" s="28">
        <f t="shared" si="11"/>
        <v>0.94000000000000128</v>
      </c>
      <c r="AB18" s="28">
        <v>15</v>
      </c>
      <c r="AC18" s="28">
        <f t="shared" si="12"/>
        <v>24</v>
      </c>
      <c r="AD18" s="97">
        <v>3</v>
      </c>
      <c r="AE18" s="97">
        <f t="shared" si="5"/>
        <v>1.6416288737717313</v>
      </c>
      <c r="AF18" s="28">
        <v>15</v>
      </c>
      <c r="AG18" s="28">
        <v>8</v>
      </c>
      <c r="AH18" s="28">
        <v>15</v>
      </c>
      <c r="AI18" s="28">
        <v>2</v>
      </c>
    </row>
    <row r="19" spans="1:36" s="19" customFormat="1" x14ac:dyDescent="0.4">
      <c r="A19" s="28">
        <v>16</v>
      </c>
      <c r="B19" s="28"/>
      <c r="C19" s="28" t="s">
        <v>72</v>
      </c>
      <c r="D19" s="29">
        <v>5</v>
      </c>
      <c r="E19" s="30">
        <f t="shared" si="0"/>
        <v>5.1020408163265305</v>
      </c>
      <c r="F19" s="31">
        <v>42739</v>
      </c>
      <c r="G19" s="30">
        <f t="shared" si="14"/>
        <v>3.0706727135298562</v>
      </c>
      <c r="H19" s="30">
        <f t="shared" si="16"/>
        <v>1.9132653061224489</v>
      </c>
      <c r="I19" s="30">
        <f t="shared" si="17"/>
        <v>1.9132653061224489</v>
      </c>
      <c r="J19" s="30">
        <f t="shared" si="6"/>
        <v>1.7006802721088434</v>
      </c>
      <c r="K19" s="30">
        <f t="shared" si="18"/>
        <v>10.629251700680271</v>
      </c>
      <c r="L19" s="37">
        <f t="shared" si="15"/>
        <v>0.42517006802721086</v>
      </c>
      <c r="M19" s="41"/>
      <c r="N19" s="39"/>
      <c r="O19" s="97">
        <f t="shared" si="13"/>
        <v>19.652305366591079</v>
      </c>
      <c r="P19" s="97">
        <f t="shared" si="7"/>
        <v>31.443688586545729</v>
      </c>
      <c r="Q19" s="97">
        <v>119.73</v>
      </c>
      <c r="R19" s="28">
        <f t="shared" si="8"/>
        <v>87.73</v>
      </c>
      <c r="S19" s="28">
        <v>16</v>
      </c>
      <c r="T19" s="28">
        <v>86.81</v>
      </c>
      <c r="U19" s="28">
        <f t="shared" si="9"/>
        <v>54.81</v>
      </c>
      <c r="V19" s="28">
        <v>16</v>
      </c>
      <c r="W19" s="28">
        <v>112.47</v>
      </c>
      <c r="X19" s="28">
        <f t="shared" si="10"/>
        <v>80.47</v>
      </c>
      <c r="Y19" s="28">
        <v>16</v>
      </c>
      <c r="Z19" s="28">
        <v>17.940000000000001</v>
      </c>
      <c r="AA19" s="28">
        <f t="shared" si="11"/>
        <v>-14.059999999999999</v>
      </c>
      <c r="AB19" s="28">
        <v>16</v>
      </c>
      <c r="AC19" s="28">
        <f t="shared" si="12"/>
        <v>32</v>
      </c>
      <c r="AD19" s="97">
        <v>4</v>
      </c>
      <c r="AE19" s="97">
        <f t="shared" si="5"/>
        <v>2.4565381708238849</v>
      </c>
      <c r="AF19" s="28">
        <v>16</v>
      </c>
      <c r="AG19" s="28">
        <v>13</v>
      </c>
      <c r="AH19" s="28">
        <v>16</v>
      </c>
      <c r="AI19" s="28">
        <v>1</v>
      </c>
    </row>
    <row r="20" spans="1:36" x14ac:dyDescent="0.4">
      <c r="O20" s="109">
        <f>SUM(O4:O19)</f>
        <v>222.38756613756607</v>
      </c>
      <c r="P20" s="99">
        <f t="shared" si="7"/>
        <v>355.82010582010571</v>
      </c>
      <c r="Q20" s="96">
        <f>SUM(Q4:Q19)</f>
        <v>1076.8300000000002</v>
      </c>
      <c r="R20" s="96">
        <f>SUM(R7:R19)</f>
        <v>685.31999999999994</v>
      </c>
      <c r="S20" s="96"/>
      <c r="T20" s="42">
        <f>SUM(T4:T19)</f>
        <v>764.05</v>
      </c>
      <c r="U20" s="42">
        <f>SUM(U4,U5,U6,U8,U10,U11,U13,U14,U17,U18,U19)</f>
        <v>365.87</v>
      </c>
      <c r="V20" s="42"/>
      <c r="W20" s="44">
        <f>SUM(W4:W19)</f>
        <v>810.77</v>
      </c>
      <c r="X20" s="44">
        <f>SUM(X5:X7,X8,X10,X11,X13,X14,X16,X17,X18,X19)</f>
        <v>407.52</v>
      </c>
      <c r="Y20" s="44"/>
      <c r="Z20" s="100">
        <f>SUM(Z4:Z19)</f>
        <v>865.88000000000011</v>
      </c>
      <c r="AA20" s="100">
        <f>SUM(AA4,AA5,AA7,AA8,AA9,AA10,AA11,AA12,AA13,AA14,AA15,AA16,AA17,AA18)</f>
        <v>469.17999999999995</v>
      </c>
      <c r="AB20" s="100"/>
      <c r="AC20" s="114"/>
      <c r="AD20" s="115"/>
      <c r="AE20" s="115"/>
      <c r="AF20" s="115"/>
      <c r="AG20" s="115"/>
      <c r="AH20" s="115"/>
      <c r="AI20" s="116"/>
    </row>
    <row r="21" spans="1:36" ht="25" thickBot="1" x14ac:dyDescent="0.45">
      <c r="A21" s="84"/>
      <c r="B21" s="85"/>
      <c r="C21" s="142" t="s">
        <v>48</v>
      </c>
      <c r="D21" s="143"/>
      <c r="E21" s="143"/>
      <c r="F21" s="143"/>
      <c r="G21" s="143"/>
      <c r="H21" s="144"/>
      <c r="I21" s="86"/>
      <c r="J21" s="87"/>
      <c r="O21" s="77"/>
      <c r="P21" s="77"/>
      <c r="Q21" s="96"/>
      <c r="R21" s="96">
        <f>R20/8</f>
        <v>85.664999999999992</v>
      </c>
      <c r="S21" s="96"/>
      <c r="T21" s="42"/>
      <c r="U21" s="42">
        <f>U20/8</f>
        <v>45.733750000000001</v>
      </c>
      <c r="V21" s="42"/>
      <c r="W21" s="44"/>
      <c r="X21" s="44">
        <f>X20/8</f>
        <v>50.94</v>
      </c>
      <c r="Y21" s="44"/>
      <c r="Z21" s="100"/>
      <c r="AA21" s="100">
        <f>AA20/8</f>
        <v>58.647499999999994</v>
      </c>
      <c r="AB21" s="100"/>
      <c r="AC21" s="117"/>
      <c r="AD21" s="118"/>
      <c r="AE21" s="118"/>
      <c r="AF21" s="118"/>
      <c r="AG21" s="118"/>
      <c r="AH21" s="118"/>
      <c r="AI21" s="119"/>
    </row>
    <row r="22" spans="1:36" ht="48" x14ac:dyDescent="0.4">
      <c r="A22" s="88" t="s">
        <v>46</v>
      </c>
      <c r="B22" s="81" t="s">
        <v>47</v>
      </c>
      <c r="C22" s="78" t="s">
        <v>49</v>
      </c>
      <c r="D22" s="78" t="s">
        <v>50</v>
      </c>
      <c r="E22" s="78" t="s">
        <v>52</v>
      </c>
      <c r="F22" s="78" t="s">
        <v>53</v>
      </c>
      <c r="G22" s="78" t="s">
        <v>54</v>
      </c>
      <c r="H22" s="78" t="s">
        <v>55</v>
      </c>
      <c r="I22" s="135" t="s">
        <v>56</v>
      </c>
      <c r="J22" s="13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36" ht="48" x14ac:dyDescent="0.4">
      <c r="A23" s="89"/>
      <c r="B23" s="82"/>
      <c r="C23" s="78" t="s">
        <v>78</v>
      </c>
      <c r="D23" s="78" t="s">
        <v>79</v>
      </c>
      <c r="E23" s="78" t="s">
        <v>80</v>
      </c>
      <c r="F23" s="78" t="s">
        <v>81</v>
      </c>
      <c r="G23" s="78" t="s">
        <v>82</v>
      </c>
      <c r="H23" s="78" t="s">
        <v>83</v>
      </c>
      <c r="I23" s="137"/>
      <c r="J23" s="138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36" ht="25" thickBot="1" x14ac:dyDescent="0.45">
      <c r="A24" s="90"/>
      <c r="B24" s="83"/>
      <c r="C24" s="50"/>
      <c r="D24" s="16" t="s">
        <v>51</v>
      </c>
      <c r="E24" s="16" t="s">
        <v>51</v>
      </c>
      <c r="F24" s="16" t="s">
        <v>51</v>
      </c>
      <c r="G24" s="16" t="s">
        <v>51</v>
      </c>
      <c r="H24" s="16" t="s">
        <v>51</v>
      </c>
      <c r="I24" s="137"/>
      <c r="J24" s="138"/>
      <c r="K24"/>
      <c r="L24" s="21" t="s">
        <v>44</v>
      </c>
      <c r="M24" s="24"/>
      <c r="N24"/>
      <c r="O24"/>
      <c r="P24" s="48"/>
      <c r="Q24" s="75" t="s">
        <v>42</v>
      </c>
      <c r="R24" s="75" t="s">
        <v>43</v>
      </c>
      <c r="S24" s="75" t="s">
        <v>44</v>
      </c>
      <c r="T24" s="76" t="s">
        <v>45</v>
      </c>
      <c r="U24"/>
      <c r="V24"/>
      <c r="W24"/>
      <c r="X24"/>
      <c r="Y24"/>
    </row>
    <row r="25" spans="1:36" x14ac:dyDescent="0.4">
      <c r="A25" s="151" t="s">
        <v>109</v>
      </c>
      <c r="B25" s="28" t="s">
        <v>110</v>
      </c>
      <c r="C25" s="51">
        <v>5400</v>
      </c>
      <c r="D25" s="51"/>
      <c r="E25" s="51">
        <v>900</v>
      </c>
      <c r="F25" s="51">
        <v>4320</v>
      </c>
      <c r="G25" s="51"/>
      <c r="H25" s="51">
        <v>600</v>
      </c>
      <c r="I25" s="137"/>
      <c r="J25" s="138"/>
      <c r="K25" s="20">
        <f>SUM(C25:J25)</f>
        <v>11220</v>
      </c>
      <c r="L25" s="22">
        <v>6</v>
      </c>
      <c r="M25" s="25"/>
      <c r="N25"/>
      <c r="O25"/>
      <c r="P25" s="45" t="s">
        <v>90</v>
      </c>
      <c r="Q25" s="93">
        <f>Q20/16</f>
        <v>67.30187500000001</v>
      </c>
      <c r="R25" s="93">
        <f>T20/16</f>
        <v>47.753124999999997</v>
      </c>
      <c r="S25" s="93">
        <f>W20/16</f>
        <v>50.673124999999999</v>
      </c>
      <c r="T25" s="93">
        <f>Z20/16</f>
        <v>54.117500000000007</v>
      </c>
      <c r="U25"/>
      <c r="V25"/>
      <c r="W25"/>
      <c r="X25"/>
      <c r="Y25"/>
    </row>
    <row r="26" spans="1:36" x14ac:dyDescent="0.4">
      <c r="A26" s="146"/>
      <c r="B26" s="28" t="s">
        <v>111</v>
      </c>
      <c r="C26" s="51">
        <v>7200</v>
      </c>
      <c r="D26" s="51"/>
      <c r="E26" s="51">
        <v>1000</v>
      </c>
      <c r="F26" s="51">
        <v>4500</v>
      </c>
      <c r="G26" s="51"/>
      <c r="H26" s="51">
        <v>600</v>
      </c>
      <c r="I26" s="137"/>
      <c r="J26" s="138"/>
      <c r="K26" s="20">
        <f t="shared" ref="K26:K40" si="19">SUM(C26:J26)</f>
        <v>13300</v>
      </c>
      <c r="L26" s="22">
        <v>9</v>
      </c>
      <c r="M26" s="25"/>
      <c r="N26"/>
      <c r="O26"/>
      <c r="P26" s="47" t="s">
        <v>91</v>
      </c>
      <c r="Q26" s="93"/>
      <c r="R26" s="93"/>
      <c r="S26" s="93"/>
      <c r="T26" s="93"/>
      <c r="U26"/>
      <c r="V26"/>
      <c r="W26"/>
      <c r="X26"/>
      <c r="Y26"/>
    </row>
    <row r="27" spans="1:36" x14ac:dyDescent="0.4">
      <c r="A27" s="146"/>
      <c r="B27" s="28" t="s">
        <v>112</v>
      </c>
      <c r="C27" s="51">
        <v>9000</v>
      </c>
      <c r="D27" s="52"/>
      <c r="E27" s="51">
        <v>1200</v>
      </c>
      <c r="F27" s="51">
        <v>4750</v>
      </c>
      <c r="G27" s="51"/>
      <c r="H27" s="51">
        <v>600</v>
      </c>
      <c r="I27" s="137"/>
      <c r="J27" s="138"/>
      <c r="K27" s="20">
        <f t="shared" si="19"/>
        <v>15550</v>
      </c>
      <c r="L27" s="22">
        <v>12</v>
      </c>
      <c r="M27" s="25"/>
      <c r="N27"/>
      <c r="O27"/>
      <c r="P27" s="45" t="s">
        <v>92</v>
      </c>
      <c r="Q27" s="94">
        <f>(O20/Q20)*100%</f>
        <v>0.20652058926438346</v>
      </c>
      <c r="R27" s="94">
        <f>(O20/T20)*100%</f>
        <v>0.29106415304962513</v>
      </c>
      <c r="S27" s="94">
        <f>(O20/W20)*100%</f>
        <v>0.27429180425714578</v>
      </c>
      <c r="T27" s="94">
        <f>(O20/Z20)*100%</f>
        <v>0.25683416424627664</v>
      </c>
      <c r="U27"/>
      <c r="V27"/>
      <c r="W27"/>
      <c r="X27"/>
      <c r="Y27"/>
    </row>
    <row r="28" spans="1:36" x14ac:dyDescent="0.4">
      <c r="A28" s="147"/>
      <c r="B28" s="28" t="s">
        <v>113</v>
      </c>
      <c r="C28" s="51">
        <v>10800</v>
      </c>
      <c r="D28" s="52"/>
      <c r="E28" s="51">
        <v>1500</v>
      </c>
      <c r="F28" s="51">
        <v>4900</v>
      </c>
      <c r="G28" s="51"/>
      <c r="H28" s="51">
        <v>600</v>
      </c>
      <c r="I28" s="137"/>
      <c r="J28" s="138"/>
      <c r="K28" s="20">
        <f t="shared" si="19"/>
        <v>17800</v>
      </c>
      <c r="L28" s="22">
        <v>13</v>
      </c>
      <c r="M28" s="25"/>
      <c r="N28"/>
      <c r="O28"/>
      <c r="P28" s="47" t="s">
        <v>93</v>
      </c>
      <c r="Q28" s="93"/>
      <c r="R28" s="93"/>
      <c r="S28" s="93"/>
      <c r="T28" s="93"/>
      <c r="U28"/>
      <c r="V28"/>
      <c r="W28"/>
      <c r="X28"/>
      <c r="Y28"/>
    </row>
    <row r="29" spans="1:36" x14ac:dyDescent="0.4">
      <c r="A29" s="145" t="s">
        <v>115</v>
      </c>
      <c r="B29" s="34" t="s">
        <v>116</v>
      </c>
      <c r="C29" s="63">
        <v>5200</v>
      </c>
      <c r="D29" s="64"/>
      <c r="E29" s="65"/>
      <c r="F29" s="65">
        <v>1800</v>
      </c>
      <c r="G29" s="65"/>
      <c r="H29" s="66">
        <v>600</v>
      </c>
      <c r="I29" s="139"/>
      <c r="J29" s="138"/>
      <c r="K29" s="20">
        <f t="shared" si="19"/>
        <v>7600</v>
      </c>
      <c r="L29" s="22">
        <v>1</v>
      </c>
      <c r="M29" s="25"/>
      <c r="N29"/>
      <c r="O29"/>
      <c r="P29" s="45" t="s">
        <v>94</v>
      </c>
      <c r="Q29" s="93">
        <f>Q20/O20</f>
        <v>4.8421322230483295</v>
      </c>
      <c r="R29" s="93">
        <f>T20/O20</f>
        <v>3.4356686988847591</v>
      </c>
      <c r="S29" s="93">
        <f>W20/O20</f>
        <v>3.6457523866171013</v>
      </c>
      <c r="T29" s="93">
        <f>Z20/O20</f>
        <v>3.8935630037174738</v>
      </c>
      <c r="U29"/>
      <c r="V29"/>
      <c r="W29"/>
      <c r="X29"/>
      <c r="Y29"/>
    </row>
    <row r="30" spans="1:36" x14ac:dyDescent="0.4">
      <c r="A30" s="146"/>
      <c r="B30" s="34" t="s">
        <v>117</v>
      </c>
      <c r="C30" s="67">
        <v>6000</v>
      </c>
      <c r="D30" s="53"/>
      <c r="E30" s="51"/>
      <c r="F30" s="51">
        <v>2000</v>
      </c>
      <c r="G30" s="51"/>
      <c r="H30" s="68">
        <v>600</v>
      </c>
      <c r="I30" s="139"/>
      <c r="J30" s="138"/>
      <c r="K30" s="20">
        <f t="shared" si="19"/>
        <v>8600</v>
      </c>
      <c r="L30" s="22">
        <v>2</v>
      </c>
      <c r="M30" s="25"/>
      <c r="N30"/>
      <c r="O30"/>
      <c r="P30" s="47" t="s">
        <v>95</v>
      </c>
      <c r="Q30" s="93"/>
      <c r="R30" s="93"/>
      <c r="S30" s="93"/>
      <c r="T30" s="93"/>
      <c r="U30"/>
      <c r="V30"/>
      <c r="W30"/>
      <c r="X30"/>
      <c r="Y30"/>
    </row>
    <row r="31" spans="1:36" x14ac:dyDescent="0.4">
      <c r="A31" s="146"/>
      <c r="B31" s="34" t="s">
        <v>118</v>
      </c>
      <c r="C31" s="67">
        <v>7500</v>
      </c>
      <c r="D31" s="53"/>
      <c r="E31" s="52"/>
      <c r="F31" s="51">
        <v>2500</v>
      </c>
      <c r="G31" s="52"/>
      <c r="H31" s="68">
        <v>600</v>
      </c>
      <c r="I31" s="139"/>
      <c r="J31" s="138"/>
      <c r="K31" s="20">
        <f t="shared" si="19"/>
        <v>10600</v>
      </c>
      <c r="L31" s="22">
        <v>4</v>
      </c>
      <c r="M31" s="25"/>
      <c r="N31"/>
      <c r="O31"/>
      <c r="P31" s="46" t="s">
        <v>101</v>
      </c>
      <c r="Q31" s="93">
        <f>R20/16</f>
        <v>42.832499999999996</v>
      </c>
      <c r="R31" s="93">
        <f>U20/16</f>
        <v>22.866875</v>
      </c>
      <c r="S31" s="93">
        <f>X20/16</f>
        <v>25.47</v>
      </c>
      <c r="T31" s="93">
        <f>AA20/16</f>
        <v>29.323749999999997</v>
      </c>
      <c r="U31"/>
      <c r="V31"/>
      <c r="W31"/>
      <c r="X31"/>
      <c r="Y31"/>
    </row>
    <row r="32" spans="1:36" x14ac:dyDescent="0.4">
      <c r="A32" s="147"/>
      <c r="B32" s="28" t="s">
        <v>119</v>
      </c>
      <c r="C32" s="69">
        <v>10000</v>
      </c>
      <c r="D32" s="70"/>
      <c r="E32" s="71"/>
      <c r="F32" s="72">
        <v>3000</v>
      </c>
      <c r="G32" s="73"/>
      <c r="H32" s="74">
        <v>600</v>
      </c>
      <c r="I32" s="139"/>
      <c r="J32" s="138"/>
      <c r="K32" s="20">
        <f t="shared" si="19"/>
        <v>13600</v>
      </c>
      <c r="L32" s="22">
        <v>10</v>
      </c>
      <c r="M32" s="25"/>
      <c r="N32"/>
      <c r="O32"/>
      <c r="P32" s="47" t="s">
        <v>96</v>
      </c>
      <c r="Q32" s="92"/>
      <c r="R32" s="92"/>
      <c r="S32" s="92"/>
      <c r="T32" s="92"/>
      <c r="U32"/>
      <c r="V32"/>
      <c r="W32"/>
      <c r="X32"/>
      <c r="Y32"/>
    </row>
    <row r="33" spans="1:25" x14ac:dyDescent="0.4">
      <c r="A33" s="148" t="s">
        <v>60</v>
      </c>
      <c r="B33" s="55" t="s">
        <v>103</v>
      </c>
      <c r="C33" s="51">
        <v>3600</v>
      </c>
      <c r="D33" s="51">
        <v>900</v>
      </c>
      <c r="E33" s="51">
        <v>900</v>
      </c>
      <c r="F33" s="51">
        <v>0</v>
      </c>
      <c r="G33" s="51">
        <v>3600</v>
      </c>
      <c r="H33" s="51">
        <v>600</v>
      </c>
      <c r="I33" s="137"/>
      <c r="J33" s="138"/>
      <c r="K33" s="20">
        <f t="shared" si="19"/>
        <v>9600</v>
      </c>
      <c r="L33" s="22">
        <v>3</v>
      </c>
      <c r="M33" s="25"/>
      <c r="N33"/>
      <c r="O33"/>
      <c r="P33" s="49" t="s">
        <v>102</v>
      </c>
      <c r="Q33" s="92">
        <v>119.73</v>
      </c>
      <c r="R33" s="92">
        <v>107.22</v>
      </c>
      <c r="S33" s="95">
        <v>112.47</v>
      </c>
      <c r="T33" s="92">
        <v>93.15</v>
      </c>
      <c r="U33"/>
      <c r="V33"/>
      <c r="W33"/>
      <c r="X33"/>
      <c r="Y33"/>
    </row>
    <row r="34" spans="1:25" x14ac:dyDescent="0.4">
      <c r="A34" s="149"/>
      <c r="B34" s="55" t="s">
        <v>104</v>
      </c>
      <c r="C34" s="51">
        <v>4000</v>
      </c>
      <c r="D34" s="51">
        <v>900</v>
      </c>
      <c r="E34" s="51">
        <v>1200</v>
      </c>
      <c r="F34" s="51">
        <v>0</v>
      </c>
      <c r="G34" s="51">
        <v>4200</v>
      </c>
      <c r="H34" s="51">
        <v>600</v>
      </c>
      <c r="I34" s="137"/>
      <c r="J34" s="138"/>
      <c r="K34" s="20">
        <f t="shared" si="19"/>
        <v>10900</v>
      </c>
      <c r="L34" s="22">
        <v>5</v>
      </c>
      <c r="M34" s="25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4">
      <c r="A35" s="149"/>
      <c r="B35" s="55" t="s">
        <v>105</v>
      </c>
      <c r="C35" s="56">
        <v>4500</v>
      </c>
      <c r="D35" s="51">
        <v>900</v>
      </c>
      <c r="E35" s="56">
        <v>1500</v>
      </c>
      <c r="F35" s="56">
        <v>0</v>
      </c>
      <c r="G35" s="56">
        <v>4800</v>
      </c>
      <c r="H35" s="51">
        <v>600</v>
      </c>
      <c r="I35" s="137"/>
      <c r="J35" s="138"/>
      <c r="K35" s="20">
        <f t="shared" si="19"/>
        <v>12300</v>
      </c>
      <c r="L35" s="22">
        <v>8</v>
      </c>
      <c r="M35" s="25"/>
      <c r="N35"/>
      <c r="O35"/>
      <c r="P35"/>
      <c r="Q35"/>
      <c r="R35"/>
      <c r="S35"/>
      <c r="T35"/>
      <c r="U35"/>
      <c r="V35"/>
      <c r="W35"/>
      <c r="X35"/>
      <c r="Y35"/>
    </row>
    <row r="36" spans="1:25" ht="25" thickBot="1" x14ac:dyDescent="0.45">
      <c r="A36" s="150"/>
      <c r="B36" s="55" t="s">
        <v>106</v>
      </c>
      <c r="C36" s="57">
        <v>6000</v>
      </c>
      <c r="D36" s="54">
        <v>900</v>
      </c>
      <c r="E36" s="57">
        <v>1800</v>
      </c>
      <c r="F36" s="57">
        <v>0</v>
      </c>
      <c r="G36" s="57">
        <v>5600</v>
      </c>
      <c r="H36" s="54">
        <v>600</v>
      </c>
      <c r="I36" s="137"/>
      <c r="J36" s="138"/>
      <c r="K36" s="20">
        <f t="shared" si="19"/>
        <v>14900</v>
      </c>
      <c r="L36" s="22">
        <v>11</v>
      </c>
      <c r="M36" s="25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4">
      <c r="A37" s="148" t="s">
        <v>61</v>
      </c>
      <c r="B37" s="10" t="s">
        <v>73</v>
      </c>
      <c r="C37" s="51">
        <v>4200</v>
      </c>
      <c r="D37" s="51">
        <v>900</v>
      </c>
      <c r="E37" s="51">
        <v>900</v>
      </c>
      <c r="F37" s="51">
        <v>1800</v>
      </c>
      <c r="G37" s="51">
        <v>3800</v>
      </c>
      <c r="H37" s="51">
        <v>600</v>
      </c>
      <c r="I37" s="137"/>
      <c r="J37" s="138"/>
      <c r="K37" s="20">
        <f t="shared" si="19"/>
        <v>12200</v>
      </c>
      <c r="L37" s="22">
        <v>7</v>
      </c>
      <c r="M37" s="25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4">
      <c r="A38" s="149"/>
      <c r="B38" s="10" t="s">
        <v>70</v>
      </c>
      <c r="C38" s="51">
        <v>4800</v>
      </c>
      <c r="D38" s="51">
        <v>1500</v>
      </c>
      <c r="E38" s="51">
        <v>1500</v>
      </c>
      <c r="F38" s="51">
        <v>2000</v>
      </c>
      <c r="G38" s="51">
        <v>7500</v>
      </c>
      <c r="H38" s="51">
        <v>600</v>
      </c>
      <c r="I38" s="137"/>
      <c r="J38" s="138"/>
      <c r="K38" s="20">
        <f t="shared" si="19"/>
        <v>17900</v>
      </c>
      <c r="L38" s="22">
        <v>14</v>
      </c>
      <c r="M38" s="25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4">
      <c r="A39" s="149"/>
      <c r="B39" s="10" t="s">
        <v>71</v>
      </c>
      <c r="C39" s="51">
        <v>5500</v>
      </c>
      <c r="D39" s="51">
        <v>2100</v>
      </c>
      <c r="E39" s="51">
        <v>2100</v>
      </c>
      <c r="F39" s="51">
        <v>2200</v>
      </c>
      <c r="G39" s="51">
        <v>12500</v>
      </c>
      <c r="H39" s="51">
        <v>600</v>
      </c>
      <c r="I39" s="137"/>
      <c r="J39" s="138"/>
      <c r="K39" s="20">
        <f t="shared" si="19"/>
        <v>25000</v>
      </c>
      <c r="L39" s="23">
        <v>15</v>
      </c>
      <c r="M39" s="26"/>
    </row>
    <row r="40" spans="1:25" x14ac:dyDescent="0.4">
      <c r="A40" s="149"/>
      <c r="B40" s="58" t="s">
        <v>72</v>
      </c>
      <c r="C40" s="56">
        <v>6500</v>
      </c>
      <c r="D40" s="56">
        <v>2700</v>
      </c>
      <c r="E40" s="51">
        <v>2700</v>
      </c>
      <c r="F40" s="56">
        <v>2400</v>
      </c>
      <c r="G40" s="51">
        <v>15000</v>
      </c>
      <c r="H40" s="56">
        <v>600</v>
      </c>
      <c r="I40" s="137"/>
      <c r="J40" s="138"/>
      <c r="K40" s="20">
        <f t="shared" si="19"/>
        <v>29900</v>
      </c>
      <c r="L40" s="23">
        <v>16</v>
      </c>
      <c r="M40" s="26"/>
    </row>
    <row r="41" spans="1:25" x14ac:dyDescent="0.4">
      <c r="A41" s="59"/>
      <c r="B41" s="60"/>
      <c r="C41" s="60"/>
      <c r="D41" s="60"/>
      <c r="E41" s="60"/>
      <c r="F41" s="60"/>
      <c r="G41" s="61"/>
      <c r="H41" s="62"/>
      <c r="I41" s="140"/>
      <c r="J41" s="141"/>
      <c r="K41"/>
    </row>
    <row r="42" spans="1:25" x14ac:dyDescent="0.4">
      <c r="G42" s="79" t="s">
        <v>107</v>
      </c>
    </row>
    <row r="43" spans="1:25" x14ac:dyDescent="0.4">
      <c r="A43" s="15" t="s">
        <v>14</v>
      </c>
      <c r="B43" s="10" t="s">
        <v>15</v>
      </c>
      <c r="C43" s="10" t="s">
        <v>16</v>
      </c>
      <c r="D43" s="10" t="s">
        <v>30</v>
      </c>
      <c r="E43" s="10" t="s">
        <v>31</v>
      </c>
      <c r="F43" s="10" t="s">
        <v>17</v>
      </c>
      <c r="G43" s="27" t="s">
        <v>18</v>
      </c>
      <c r="H43" s="27" t="s">
        <v>19</v>
      </c>
      <c r="I43" s="27" t="s">
        <v>20</v>
      </c>
      <c r="J43" s="27" t="s">
        <v>21</v>
      </c>
      <c r="K43" s="27" t="s">
        <v>22</v>
      </c>
      <c r="L43" s="27" t="s">
        <v>23</v>
      </c>
      <c r="O43" s="10" t="s">
        <v>15</v>
      </c>
      <c r="P43" s="10" t="s">
        <v>16</v>
      </c>
    </row>
    <row r="44" spans="1:25" x14ac:dyDescent="0.4">
      <c r="A44" s="28">
        <v>1</v>
      </c>
      <c r="B44" s="91" t="s">
        <v>109</v>
      </c>
      <c r="C44" s="28" t="s">
        <v>110</v>
      </c>
      <c r="D44" s="29">
        <v>10</v>
      </c>
      <c r="E44" s="30">
        <f t="shared" ref="E44:E59" si="20">D44/(1-0.02)</f>
        <v>10.204081632653061</v>
      </c>
      <c r="F44" s="31">
        <v>42738</v>
      </c>
      <c r="G44" s="30">
        <v>5</v>
      </c>
      <c r="H44" s="30">
        <v>0</v>
      </c>
      <c r="I44" s="30">
        <v>1.25</v>
      </c>
      <c r="J44" s="30">
        <v>6.25</v>
      </c>
      <c r="K44" s="30">
        <v>0</v>
      </c>
      <c r="L44" s="30">
        <v>0.84</v>
      </c>
      <c r="O44" s="18" t="s">
        <v>58</v>
      </c>
      <c r="P44" s="28" t="s">
        <v>62</v>
      </c>
    </row>
    <row r="45" spans="1:25" x14ac:dyDescent="0.4">
      <c r="A45" s="28">
        <v>2</v>
      </c>
      <c r="B45" s="33"/>
      <c r="C45" s="28" t="s">
        <v>111</v>
      </c>
      <c r="D45" s="29">
        <v>8</v>
      </c>
      <c r="E45" s="30">
        <f t="shared" si="20"/>
        <v>8.1632653061224492</v>
      </c>
      <c r="F45" s="31">
        <v>42738</v>
      </c>
      <c r="G45" s="30">
        <v>4.45</v>
      </c>
      <c r="H45" s="30">
        <v>0</v>
      </c>
      <c r="I45" s="30">
        <v>1.1000000000000001</v>
      </c>
      <c r="J45" s="30">
        <v>4.9000000000000004</v>
      </c>
      <c r="K45" s="30">
        <v>0</v>
      </c>
      <c r="L45" s="30">
        <v>0.7</v>
      </c>
      <c r="O45" s="33"/>
      <c r="P45" s="28" t="s">
        <v>63</v>
      </c>
    </row>
    <row r="46" spans="1:25" x14ac:dyDescent="0.4">
      <c r="A46" s="28">
        <v>3</v>
      </c>
      <c r="B46" s="33"/>
      <c r="C46" s="28" t="s">
        <v>112</v>
      </c>
      <c r="D46" s="29">
        <v>12</v>
      </c>
      <c r="E46" s="30">
        <f t="shared" si="20"/>
        <v>12.244897959183673</v>
      </c>
      <c r="F46" s="31">
        <v>42740</v>
      </c>
      <c r="G46" s="30">
        <v>10.25</v>
      </c>
      <c r="H46" s="30">
        <v>0</v>
      </c>
      <c r="I46" s="30">
        <v>2.0499999999999998</v>
      </c>
      <c r="J46" s="30">
        <v>8.1</v>
      </c>
      <c r="K46" s="30">
        <v>0</v>
      </c>
      <c r="L46" s="30">
        <v>1</v>
      </c>
      <c r="O46" s="33"/>
      <c r="P46" s="28" t="s">
        <v>64</v>
      </c>
    </row>
    <row r="47" spans="1:25" x14ac:dyDescent="0.4">
      <c r="A47" s="28">
        <v>4</v>
      </c>
      <c r="B47" s="33"/>
      <c r="C47" s="28" t="s">
        <v>113</v>
      </c>
      <c r="D47" s="29">
        <v>5</v>
      </c>
      <c r="E47" s="30">
        <f t="shared" si="20"/>
        <v>5.1020408163265305</v>
      </c>
      <c r="F47" s="31">
        <v>42738</v>
      </c>
      <c r="G47" s="30">
        <v>5.1100000000000003</v>
      </c>
      <c r="H47" s="30">
        <v>0</v>
      </c>
      <c r="I47" s="30">
        <v>1.1299999999999999</v>
      </c>
      <c r="J47" s="30">
        <v>3.45</v>
      </c>
      <c r="K47" s="30">
        <v>0</v>
      </c>
      <c r="L47" s="30">
        <v>0.45</v>
      </c>
      <c r="O47" s="33"/>
      <c r="P47" s="28" t="s">
        <v>65</v>
      </c>
    </row>
    <row r="48" spans="1:25" x14ac:dyDescent="0.4">
      <c r="A48" s="28">
        <v>5</v>
      </c>
      <c r="B48" s="91" t="s">
        <v>115</v>
      </c>
      <c r="C48" s="34" t="s">
        <v>116</v>
      </c>
      <c r="D48" s="29">
        <v>20</v>
      </c>
      <c r="E48" s="30">
        <f t="shared" si="20"/>
        <v>20.408163265306122</v>
      </c>
      <c r="F48" s="31">
        <v>42739</v>
      </c>
      <c r="G48" s="30">
        <v>9.8000000000000007</v>
      </c>
      <c r="H48" s="30">
        <v>0</v>
      </c>
      <c r="I48" s="30">
        <v>0</v>
      </c>
      <c r="J48" s="30">
        <v>5.15</v>
      </c>
      <c r="K48" s="30">
        <v>0</v>
      </c>
      <c r="L48" s="30">
        <v>1.72</v>
      </c>
      <c r="O48" s="18" t="s">
        <v>59</v>
      </c>
      <c r="P48" s="34" t="s">
        <v>66</v>
      </c>
    </row>
    <row r="49" spans="1:16" x14ac:dyDescent="0.4">
      <c r="A49" s="28">
        <v>6</v>
      </c>
      <c r="B49" s="33"/>
      <c r="C49" s="34" t="s">
        <v>117</v>
      </c>
      <c r="D49" s="29">
        <v>5</v>
      </c>
      <c r="E49" s="30">
        <f t="shared" si="20"/>
        <v>5.1020408163265305</v>
      </c>
      <c r="F49" s="31">
        <v>42736</v>
      </c>
      <c r="G49" s="30">
        <v>2.88</v>
      </c>
      <c r="H49" s="30">
        <v>0</v>
      </c>
      <c r="I49" s="30">
        <v>0</v>
      </c>
      <c r="J49" s="30">
        <v>1.44</v>
      </c>
      <c r="K49" s="30">
        <v>0</v>
      </c>
      <c r="L49" s="30">
        <v>0.41</v>
      </c>
      <c r="O49" s="33"/>
      <c r="P49" s="34" t="s">
        <v>67</v>
      </c>
    </row>
    <row r="50" spans="1:16" x14ac:dyDescent="0.4">
      <c r="A50" s="28">
        <v>7</v>
      </c>
      <c r="B50" s="33"/>
      <c r="C50" s="34" t="s">
        <v>118</v>
      </c>
      <c r="D50" s="29">
        <v>23</v>
      </c>
      <c r="E50" s="30">
        <f t="shared" si="20"/>
        <v>23.469387755102041</v>
      </c>
      <c r="F50" s="31">
        <v>42741</v>
      </c>
      <c r="G50" s="30">
        <v>16.3</v>
      </c>
      <c r="H50" s="30">
        <v>0</v>
      </c>
      <c r="I50" s="30">
        <v>0</v>
      </c>
      <c r="J50" s="30">
        <v>8.15</v>
      </c>
      <c r="K50" s="30">
        <v>0</v>
      </c>
      <c r="L50" s="30">
        <v>1.95</v>
      </c>
      <c r="O50" s="33"/>
      <c r="P50" s="34" t="s">
        <v>68</v>
      </c>
    </row>
    <row r="51" spans="1:16" x14ac:dyDescent="0.4">
      <c r="A51" s="28">
        <v>8</v>
      </c>
      <c r="B51" s="33"/>
      <c r="C51" s="28" t="s">
        <v>119</v>
      </c>
      <c r="D51" s="29">
        <v>9</v>
      </c>
      <c r="E51" s="30">
        <f t="shared" si="20"/>
        <v>9.183673469387756</v>
      </c>
      <c r="F51" s="31">
        <v>42738</v>
      </c>
      <c r="G51" s="30">
        <v>8.5</v>
      </c>
      <c r="H51" s="30">
        <v>0</v>
      </c>
      <c r="I51" s="30">
        <v>0</v>
      </c>
      <c r="J51" s="30">
        <v>3.85</v>
      </c>
      <c r="K51" s="30">
        <v>0</v>
      </c>
      <c r="L51" s="30">
        <v>0.77</v>
      </c>
      <c r="O51" s="33"/>
      <c r="P51" s="28" t="s">
        <v>69</v>
      </c>
    </row>
    <row r="52" spans="1:16" x14ac:dyDescent="0.4">
      <c r="A52" s="28">
        <v>9</v>
      </c>
      <c r="B52" s="91" t="s">
        <v>60</v>
      </c>
      <c r="C52" s="35" t="s">
        <v>74</v>
      </c>
      <c r="D52" s="29">
        <v>6</v>
      </c>
      <c r="E52" s="30">
        <f t="shared" si="20"/>
        <v>6.1224489795918364</v>
      </c>
      <c r="F52" s="31">
        <v>42737</v>
      </c>
      <c r="G52" s="30">
        <v>2.0499999999999998</v>
      </c>
      <c r="H52" s="30">
        <v>0.75</v>
      </c>
      <c r="I52" s="30">
        <v>0.75</v>
      </c>
      <c r="J52" s="30">
        <v>0</v>
      </c>
      <c r="K52" s="30">
        <v>3.1</v>
      </c>
      <c r="L52" s="30">
        <v>1</v>
      </c>
      <c r="O52" s="18" t="s">
        <v>60</v>
      </c>
      <c r="P52" s="35" t="s">
        <v>74</v>
      </c>
    </row>
    <row r="53" spans="1:16" x14ac:dyDescent="0.4">
      <c r="A53" s="28">
        <v>10</v>
      </c>
      <c r="B53" s="33"/>
      <c r="C53" s="35" t="s">
        <v>75</v>
      </c>
      <c r="D53" s="29">
        <v>12</v>
      </c>
      <c r="E53" s="30">
        <f t="shared" si="20"/>
        <v>12.244897959183673</v>
      </c>
      <c r="F53" s="31">
        <v>42739</v>
      </c>
      <c r="G53" s="30">
        <v>5</v>
      </c>
      <c r="H53" s="30">
        <v>2</v>
      </c>
      <c r="I53" s="30">
        <v>2.1</v>
      </c>
      <c r="J53" s="30">
        <v>0</v>
      </c>
      <c r="K53" s="30">
        <v>7.2</v>
      </c>
      <c r="L53" s="30">
        <v>1.1200000000000001</v>
      </c>
      <c r="O53" s="33"/>
      <c r="P53" s="35" t="s">
        <v>75</v>
      </c>
    </row>
    <row r="54" spans="1:16" x14ac:dyDescent="0.4">
      <c r="A54" s="28">
        <v>11</v>
      </c>
      <c r="B54" s="33"/>
      <c r="C54" s="35" t="s">
        <v>76</v>
      </c>
      <c r="D54" s="29">
        <v>13</v>
      </c>
      <c r="E54" s="30">
        <f t="shared" si="20"/>
        <v>13.26530612244898</v>
      </c>
      <c r="F54" s="31">
        <v>42739</v>
      </c>
      <c r="G54" s="30">
        <v>5.55</v>
      </c>
      <c r="H54" s="30">
        <v>1.68</v>
      </c>
      <c r="I54" s="30">
        <v>2.75</v>
      </c>
      <c r="J54" s="30">
        <v>0</v>
      </c>
      <c r="K54" s="30">
        <v>8.85</v>
      </c>
      <c r="L54" s="30">
        <v>1.1299999999999999</v>
      </c>
      <c r="O54" s="33"/>
      <c r="P54" s="35" t="s">
        <v>76</v>
      </c>
    </row>
    <row r="55" spans="1:16" x14ac:dyDescent="0.4">
      <c r="A55" s="28">
        <v>12</v>
      </c>
      <c r="B55" s="33"/>
      <c r="C55" s="35" t="s">
        <v>77</v>
      </c>
      <c r="D55" s="29">
        <v>5</v>
      </c>
      <c r="E55" s="30">
        <f t="shared" si="20"/>
        <v>5.1020408163265305</v>
      </c>
      <c r="F55" s="31">
        <v>42736</v>
      </c>
      <c r="G55" s="30">
        <v>2.85</v>
      </c>
      <c r="H55" s="30">
        <v>0.68</v>
      </c>
      <c r="I55" s="30">
        <v>1.3</v>
      </c>
      <c r="J55" s="30">
        <v>0</v>
      </c>
      <c r="K55" s="30">
        <v>4</v>
      </c>
      <c r="L55" s="30">
        <v>0.5</v>
      </c>
      <c r="O55" s="33"/>
      <c r="P55" s="35" t="s">
        <v>77</v>
      </c>
    </row>
    <row r="56" spans="1:16" x14ac:dyDescent="0.4">
      <c r="A56" s="28">
        <v>13</v>
      </c>
      <c r="B56" s="91" t="s">
        <v>61</v>
      </c>
      <c r="C56" s="28" t="s">
        <v>73</v>
      </c>
      <c r="D56" s="29">
        <v>2</v>
      </c>
      <c r="E56" s="30">
        <f t="shared" si="20"/>
        <v>2.0408163265306123</v>
      </c>
      <c r="F56" s="31">
        <v>42739</v>
      </c>
      <c r="G56" s="30">
        <v>0.82</v>
      </c>
      <c r="H56" s="30">
        <v>0.35</v>
      </c>
      <c r="I56" s="30">
        <v>0.3</v>
      </c>
      <c r="J56" s="30">
        <v>0.5</v>
      </c>
      <c r="K56" s="30">
        <v>1.1000000000000001</v>
      </c>
      <c r="L56" s="30">
        <v>0.2</v>
      </c>
      <c r="O56" s="18" t="s">
        <v>61</v>
      </c>
      <c r="P56" s="28" t="s">
        <v>73</v>
      </c>
    </row>
    <row r="57" spans="1:16" x14ac:dyDescent="0.4">
      <c r="A57" s="28">
        <v>14</v>
      </c>
      <c r="B57" s="28"/>
      <c r="C57" s="28" t="s">
        <v>70</v>
      </c>
      <c r="D57" s="29">
        <v>7</v>
      </c>
      <c r="E57" s="30">
        <f t="shared" si="20"/>
        <v>7.1428571428571432</v>
      </c>
      <c r="F57" s="31">
        <v>42739</v>
      </c>
      <c r="G57" s="30">
        <v>3.2</v>
      </c>
      <c r="H57" s="30">
        <v>1.5</v>
      </c>
      <c r="I57" s="30">
        <v>1.52</v>
      </c>
      <c r="J57" s="30">
        <v>2.02</v>
      </c>
      <c r="K57" s="30">
        <v>7.5</v>
      </c>
      <c r="L57" s="30">
        <v>0.65</v>
      </c>
      <c r="O57" s="28"/>
      <c r="P57" s="28" t="s">
        <v>70</v>
      </c>
    </row>
    <row r="58" spans="1:16" x14ac:dyDescent="0.4">
      <c r="A58" s="28">
        <v>15</v>
      </c>
      <c r="B58" s="28"/>
      <c r="C58" s="28" t="s">
        <v>71</v>
      </c>
      <c r="D58" s="29">
        <v>4</v>
      </c>
      <c r="E58" s="30">
        <f t="shared" si="20"/>
        <v>4.0816326530612246</v>
      </c>
      <c r="F58" s="31">
        <v>42738</v>
      </c>
      <c r="G58" s="30">
        <v>2.12</v>
      </c>
      <c r="H58" s="30">
        <v>1.24</v>
      </c>
      <c r="I58" s="30">
        <v>1.25</v>
      </c>
      <c r="J58" s="30">
        <v>1.28</v>
      </c>
      <c r="K58" s="30">
        <v>7.13</v>
      </c>
      <c r="L58" s="30">
        <v>0.4</v>
      </c>
      <c r="O58" s="28"/>
      <c r="P58" s="28" t="s">
        <v>71</v>
      </c>
    </row>
    <row r="59" spans="1:16" x14ac:dyDescent="0.4">
      <c r="A59" s="28">
        <v>16</v>
      </c>
      <c r="B59" s="28"/>
      <c r="C59" s="28" t="s">
        <v>72</v>
      </c>
      <c r="D59" s="29">
        <v>5</v>
      </c>
      <c r="E59" s="30">
        <f t="shared" si="20"/>
        <v>5.1020408163265305</v>
      </c>
      <c r="F59" s="31">
        <v>42739</v>
      </c>
      <c r="G59" s="30">
        <v>3.12</v>
      </c>
      <c r="H59" s="30">
        <v>2.02</v>
      </c>
      <c r="I59" s="30">
        <v>2</v>
      </c>
      <c r="J59" s="30">
        <v>1.72</v>
      </c>
      <c r="K59" s="30">
        <v>10.65</v>
      </c>
      <c r="L59" s="30">
        <v>0.48</v>
      </c>
      <c r="O59" s="28"/>
      <c r="P59" s="28" t="s">
        <v>72</v>
      </c>
    </row>
    <row r="61" spans="1:16" x14ac:dyDescent="0.4">
      <c r="A61" s="112" t="s">
        <v>15</v>
      </c>
      <c r="B61" s="112" t="s">
        <v>16</v>
      </c>
      <c r="C61" s="112" t="s">
        <v>108</v>
      </c>
      <c r="D61" s="112" t="s">
        <v>124</v>
      </c>
    </row>
    <row r="62" spans="1:16" x14ac:dyDescent="0.4">
      <c r="A62" s="95" t="s">
        <v>109</v>
      </c>
      <c r="B62" s="95" t="s">
        <v>110</v>
      </c>
      <c r="C62" s="111" t="s">
        <v>114</v>
      </c>
      <c r="D62" s="111" t="s">
        <v>125</v>
      </c>
    </row>
    <row r="63" spans="1:16" x14ac:dyDescent="0.4">
      <c r="A63" s="95"/>
      <c r="B63" s="95" t="s">
        <v>111</v>
      </c>
      <c r="C63" s="111"/>
      <c r="D63" s="111" t="s">
        <v>126</v>
      </c>
    </row>
    <row r="64" spans="1:16" x14ac:dyDescent="0.4">
      <c r="A64" s="95"/>
      <c r="B64" s="95" t="s">
        <v>112</v>
      </c>
      <c r="C64" s="111"/>
      <c r="D64" s="111"/>
    </row>
    <row r="65" spans="1:4" x14ac:dyDescent="0.4">
      <c r="A65" s="95"/>
      <c r="B65" s="95" t="s">
        <v>113</v>
      </c>
      <c r="C65" s="111"/>
      <c r="D65" s="111"/>
    </row>
    <row r="66" spans="1:4" x14ac:dyDescent="0.4">
      <c r="A66" s="95" t="s">
        <v>115</v>
      </c>
      <c r="B66" s="34" t="s">
        <v>116</v>
      </c>
      <c r="C66" s="111" t="s">
        <v>120</v>
      </c>
      <c r="D66" s="111" t="s">
        <v>127</v>
      </c>
    </row>
    <row r="67" spans="1:4" x14ac:dyDescent="0.4">
      <c r="A67" s="95"/>
      <c r="B67" s="34" t="s">
        <v>117</v>
      </c>
      <c r="C67" s="111"/>
      <c r="D67" s="111"/>
    </row>
    <row r="68" spans="1:4" x14ac:dyDescent="0.4">
      <c r="A68" s="95"/>
      <c r="B68" s="34" t="s">
        <v>118</v>
      </c>
      <c r="C68" s="111"/>
      <c r="D68" s="111"/>
    </row>
    <row r="69" spans="1:4" x14ac:dyDescent="0.4">
      <c r="A69" s="95"/>
      <c r="B69" s="95" t="s">
        <v>119</v>
      </c>
      <c r="C69" s="111"/>
      <c r="D69" s="111"/>
    </row>
    <row r="70" spans="1:4" x14ac:dyDescent="0.4">
      <c r="A70" s="95" t="s">
        <v>60</v>
      </c>
      <c r="B70" s="35" t="s">
        <v>74</v>
      </c>
      <c r="C70" s="111" t="s">
        <v>121</v>
      </c>
      <c r="D70" s="111" t="s">
        <v>128</v>
      </c>
    </row>
    <row r="71" spans="1:4" x14ac:dyDescent="0.4">
      <c r="A71" s="95"/>
      <c r="B71" s="35" t="s">
        <v>75</v>
      </c>
      <c r="C71" s="111"/>
      <c r="D71" s="111" t="s">
        <v>129</v>
      </c>
    </row>
    <row r="72" spans="1:4" x14ac:dyDescent="0.4">
      <c r="A72" s="95"/>
      <c r="B72" s="35" t="s">
        <v>76</v>
      </c>
      <c r="C72" s="111"/>
      <c r="D72" s="111"/>
    </row>
    <row r="73" spans="1:4" x14ac:dyDescent="0.4">
      <c r="A73" s="95"/>
      <c r="B73" s="35" t="s">
        <v>77</v>
      </c>
      <c r="C73" s="111"/>
      <c r="D73" s="111"/>
    </row>
    <row r="74" spans="1:4" x14ac:dyDescent="0.4">
      <c r="A74" s="95" t="s">
        <v>61</v>
      </c>
      <c r="B74" s="95" t="s">
        <v>73</v>
      </c>
      <c r="C74" s="111" t="s">
        <v>123</v>
      </c>
      <c r="D74" s="111" t="s">
        <v>130</v>
      </c>
    </row>
    <row r="75" spans="1:4" x14ac:dyDescent="0.4">
      <c r="A75" s="95"/>
      <c r="B75" s="95" t="s">
        <v>70</v>
      </c>
      <c r="C75" s="111" t="s">
        <v>122</v>
      </c>
      <c r="D75" s="111" t="s">
        <v>131</v>
      </c>
    </row>
    <row r="76" spans="1:4" x14ac:dyDescent="0.4">
      <c r="A76" s="95"/>
      <c r="B76" s="95" t="s">
        <v>71</v>
      </c>
      <c r="C76" s="111"/>
      <c r="D76" s="111"/>
    </row>
    <row r="77" spans="1:4" x14ac:dyDescent="0.4">
      <c r="A77" s="95"/>
      <c r="B77" s="95" t="s">
        <v>72</v>
      </c>
      <c r="C77" s="111"/>
      <c r="D77" s="111"/>
    </row>
  </sheetData>
  <autoFilter ref="A4:A19"/>
  <sortState ref="A4:U19">
    <sortCondition ref="A4:A19"/>
  </sortState>
  <mergeCells count="13">
    <mergeCell ref="I22:J41"/>
    <mergeCell ref="C21:H21"/>
    <mergeCell ref="A29:A32"/>
    <mergeCell ref="A33:A36"/>
    <mergeCell ref="A25:A28"/>
    <mergeCell ref="A37:A40"/>
    <mergeCell ref="AC20:AI21"/>
    <mergeCell ref="Q2:S2"/>
    <mergeCell ref="T2:V2"/>
    <mergeCell ref="W2:Y2"/>
    <mergeCell ref="Z2:AB2"/>
    <mergeCell ref="AF2:AI2"/>
    <mergeCell ref="AC2:AE2"/>
  </mergeCells>
  <pageMargins left="0.25" right="0.25" top="0.75" bottom="0.75" header="0.3" footer="0.3"/>
  <pageSetup paperSize="9" orientation="landscape" r:id="rId1"/>
  <rowBreaks count="2" manualBreakCount="2">
    <brk id="20" max="16383" man="1"/>
    <brk id="41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7"/>
  <sheetViews>
    <sheetView view="pageBreakPreview" zoomScale="60" workbookViewId="0">
      <selection activeCell="G2" sqref="G2"/>
    </sheetView>
  </sheetViews>
  <sheetFormatPr baseColWidth="10" defaultColWidth="8.83203125" defaultRowHeight="15" x14ac:dyDescent="0.2"/>
  <cols>
    <col min="2" max="2" width="12.5" bestFit="1" customWidth="1"/>
    <col min="3" max="3" width="19.6640625" bestFit="1" customWidth="1"/>
    <col min="4" max="4" width="9.5" bestFit="1" customWidth="1"/>
    <col min="5" max="5" width="15.33203125" bestFit="1" customWidth="1"/>
    <col min="7" max="12" width="10.6640625" bestFit="1" customWidth="1"/>
  </cols>
  <sheetData>
    <row r="1" spans="1:12" ht="24" x14ac:dyDescent="0.4">
      <c r="A1" s="15" t="s">
        <v>14</v>
      </c>
      <c r="B1" s="10" t="s">
        <v>15</v>
      </c>
      <c r="C1" s="10" t="s">
        <v>16</v>
      </c>
      <c r="D1" s="10" t="s">
        <v>30</v>
      </c>
      <c r="E1" s="10" t="s">
        <v>31</v>
      </c>
      <c r="F1" s="10" t="s">
        <v>17</v>
      </c>
      <c r="G1" s="27" t="s">
        <v>18</v>
      </c>
      <c r="H1" s="27" t="s">
        <v>19</v>
      </c>
      <c r="I1" s="27" t="s">
        <v>20</v>
      </c>
      <c r="J1" s="27" t="s">
        <v>21</v>
      </c>
      <c r="K1" s="27" t="s">
        <v>22</v>
      </c>
      <c r="L1" s="36" t="s">
        <v>23</v>
      </c>
    </row>
    <row r="2" spans="1:12" ht="24" x14ac:dyDescent="0.4">
      <c r="A2" s="28">
        <v>1</v>
      </c>
      <c r="B2" s="18" t="s">
        <v>58</v>
      </c>
      <c r="C2" s="28" t="s">
        <v>62</v>
      </c>
      <c r="D2" s="29">
        <v>10</v>
      </c>
      <c r="E2" s="30">
        <f t="shared" ref="E2:E17" si="0">D2/(1-0.02)</f>
        <v>10.204081632653061</v>
      </c>
      <c r="F2" s="31">
        <v>42738</v>
      </c>
      <c r="G2" s="30">
        <f>E2*C23/(3600*3)</f>
        <v>0</v>
      </c>
      <c r="H2" s="30">
        <f t="shared" ref="H2:H8" si="1">E2*D23/(3600*2)</f>
        <v>0</v>
      </c>
      <c r="I2" s="30">
        <f t="shared" ref="I2:I13" si="2">E2*E23/(3600*2)</f>
        <v>0</v>
      </c>
      <c r="J2" s="30">
        <f>E2*F23/(3600*2)</f>
        <v>0</v>
      </c>
      <c r="K2" s="30">
        <f t="shared" ref="K2:K13" si="3">E2*G23/(3600*2)</f>
        <v>0</v>
      </c>
      <c r="L2" s="37">
        <f t="shared" ref="L2:L5" si="4">E2*H23/(3600*2)</f>
        <v>0</v>
      </c>
    </row>
    <row r="3" spans="1:12" ht="24" x14ac:dyDescent="0.4">
      <c r="A3" s="28">
        <v>2</v>
      </c>
      <c r="B3" s="33"/>
      <c r="C3" s="28" t="s">
        <v>63</v>
      </c>
      <c r="D3" s="29">
        <v>8</v>
      </c>
      <c r="E3" s="30">
        <f t="shared" si="0"/>
        <v>8.1632653061224492</v>
      </c>
      <c r="F3" s="31">
        <v>42738</v>
      </c>
      <c r="G3" s="30">
        <f>E3*C24/(3600*3)</f>
        <v>0</v>
      </c>
      <c r="H3" s="30">
        <f t="shared" si="1"/>
        <v>0</v>
      </c>
      <c r="I3" s="30">
        <f t="shared" si="2"/>
        <v>0</v>
      </c>
      <c r="J3" s="30">
        <f t="shared" ref="J3:J17" si="5">E3*F24/(3600*2)</f>
        <v>0</v>
      </c>
      <c r="K3" s="30">
        <f t="shared" si="3"/>
        <v>0</v>
      </c>
      <c r="L3" s="37">
        <f t="shared" si="4"/>
        <v>0</v>
      </c>
    </row>
    <row r="4" spans="1:12" ht="24" x14ac:dyDescent="0.4">
      <c r="A4" s="28">
        <v>3</v>
      </c>
      <c r="B4" s="33"/>
      <c r="C4" s="28" t="s">
        <v>64</v>
      </c>
      <c r="D4" s="29">
        <v>12</v>
      </c>
      <c r="E4" s="30">
        <f t="shared" si="0"/>
        <v>12.244897959183673</v>
      </c>
      <c r="F4" s="31">
        <v>42740</v>
      </c>
      <c r="G4" s="30">
        <f>E4*C25/(3600*3)</f>
        <v>0</v>
      </c>
      <c r="H4" s="30">
        <f t="shared" si="1"/>
        <v>0</v>
      </c>
      <c r="I4" s="30">
        <f t="shared" si="2"/>
        <v>0</v>
      </c>
      <c r="J4" s="30">
        <f t="shared" si="5"/>
        <v>0</v>
      </c>
      <c r="K4" s="30">
        <f t="shared" si="3"/>
        <v>0</v>
      </c>
      <c r="L4" s="37">
        <f t="shared" si="4"/>
        <v>0</v>
      </c>
    </row>
    <row r="5" spans="1:12" ht="24" x14ac:dyDescent="0.4">
      <c r="A5" s="28">
        <v>4</v>
      </c>
      <c r="B5" s="33"/>
      <c r="C5" s="28" t="s">
        <v>65</v>
      </c>
      <c r="D5" s="29">
        <v>5</v>
      </c>
      <c r="E5" s="30">
        <f t="shared" si="0"/>
        <v>5.1020408163265305</v>
      </c>
      <c r="F5" s="31">
        <v>42738</v>
      </c>
      <c r="G5" s="30">
        <f>E5*C26/(3600*3)</f>
        <v>0</v>
      </c>
      <c r="H5" s="30">
        <f t="shared" si="1"/>
        <v>0</v>
      </c>
      <c r="I5" s="30">
        <f t="shared" si="2"/>
        <v>0</v>
      </c>
      <c r="J5" s="30">
        <f t="shared" si="5"/>
        <v>0</v>
      </c>
      <c r="K5" s="30">
        <f t="shared" si="3"/>
        <v>0</v>
      </c>
      <c r="L5" s="37">
        <f t="shared" si="4"/>
        <v>0</v>
      </c>
    </row>
    <row r="6" spans="1:12" ht="24" x14ac:dyDescent="0.4">
      <c r="A6" s="28">
        <v>5</v>
      </c>
      <c r="B6" s="18" t="s">
        <v>59</v>
      </c>
      <c r="C6" s="34" t="s">
        <v>66</v>
      </c>
      <c r="D6" s="29">
        <v>20</v>
      </c>
      <c r="E6" s="30">
        <f t="shared" si="0"/>
        <v>20.408163265306122</v>
      </c>
      <c r="F6" s="31">
        <v>42739</v>
      </c>
      <c r="G6" s="30">
        <f t="shared" ref="G6:G17" si="6">E6*C27/(3600*3)</f>
        <v>0</v>
      </c>
      <c r="H6" s="30">
        <f t="shared" si="1"/>
        <v>0</v>
      </c>
      <c r="I6" s="30">
        <f t="shared" si="2"/>
        <v>0</v>
      </c>
      <c r="J6" s="30">
        <f t="shared" si="5"/>
        <v>0</v>
      </c>
      <c r="K6" s="30">
        <f t="shared" si="3"/>
        <v>0</v>
      </c>
      <c r="L6" s="37">
        <f>E6*H27/(3600*2)</f>
        <v>0</v>
      </c>
    </row>
    <row r="7" spans="1:12" ht="24" x14ac:dyDescent="0.4">
      <c r="A7" s="28">
        <v>6</v>
      </c>
      <c r="B7" s="33"/>
      <c r="C7" s="34" t="s">
        <v>67</v>
      </c>
      <c r="D7" s="29">
        <v>5</v>
      </c>
      <c r="E7" s="30">
        <f t="shared" si="0"/>
        <v>5.1020408163265305</v>
      </c>
      <c r="F7" s="31">
        <v>42736</v>
      </c>
      <c r="G7" s="30">
        <f t="shared" si="6"/>
        <v>0</v>
      </c>
      <c r="H7" s="30">
        <f t="shared" si="1"/>
        <v>0</v>
      </c>
      <c r="I7" s="30">
        <f t="shared" si="2"/>
        <v>0</v>
      </c>
      <c r="J7" s="30">
        <f t="shared" si="5"/>
        <v>0</v>
      </c>
      <c r="K7" s="30">
        <f t="shared" si="3"/>
        <v>0</v>
      </c>
      <c r="L7" s="37">
        <f t="shared" ref="L7:L17" si="7">E7*H28/(3600*2)</f>
        <v>0</v>
      </c>
    </row>
    <row r="8" spans="1:12" ht="24" x14ac:dyDescent="0.4">
      <c r="A8" s="28">
        <v>7</v>
      </c>
      <c r="B8" s="33"/>
      <c r="C8" s="34" t="s">
        <v>68</v>
      </c>
      <c r="D8" s="29">
        <v>23</v>
      </c>
      <c r="E8" s="30">
        <f t="shared" si="0"/>
        <v>23.469387755102041</v>
      </c>
      <c r="F8" s="31">
        <v>42741</v>
      </c>
      <c r="G8" s="30">
        <f t="shared" si="6"/>
        <v>0</v>
      </c>
      <c r="H8" s="30">
        <f t="shared" si="1"/>
        <v>0</v>
      </c>
      <c r="I8" s="30">
        <f t="shared" si="2"/>
        <v>0</v>
      </c>
      <c r="J8" s="30">
        <f t="shared" si="5"/>
        <v>0</v>
      </c>
      <c r="K8" s="30">
        <f t="shared" si="3"/>
        <v>0</v>
      </c>
      <c r="L8" s="37">
        <f t="shared" si="7"/>
        <v>0</v>
      </c>
    </row>
    <row r="9" spans="1:12" ht="24" x14ac:dyDescent="0.4">
      <c r="A9" s="28">
        <v>8</v>
      </c>
      <c r="B9" s="33"/>
      <c r="C9" s="28" t="s">
        <v>69</v>
      </c>
      <c r="D9" s="29">
        <v>9</v>
      </c>
      <c r="E9" s="30">
        <f t="shared" si="0"/>
        <v>9.183673469387756</v>
      </c>
      <c r="F9" s="31">
        <v>42738</v>
      </c>
      <c r="G9" s="30">
        <f>E9*C30/(3600*3)</f>
        <v>0</v>
      </c>
      <c r="H9" s="30">
        <f>E9*D30/(3600*2)</f>
        <v>0</v>
      </c>
      <c r="I9" s="30">
        <f t="shared" si="2"/>
        <v>0</v>
      </c>
      <c r="J9" s="30">
        <f t="shared" si="5"/>
        <v>0</v>
      </c>
      <c r="K9" s="30">
        <f t="shared" si="3"/>
        <v>0</v>
      </c>
      <c r="L9" s="37">
        <f t="shared" si="7"/>
        <v>0</v>
      </c>
    </row>
    <row r="10" spans="1:12" ht="24" x14ac:dyDescent="0.4">
      <c r="A10" s="28">
        <v>9</v>
      </c>
      <c r="B10" s="18" t="s">
        <v>60</v>
      </c>
      <c r="C10" s="35" t="s">
        <v>74</v>
      </c>
      <c r="D10" s="29">
        <v>6</v>
      </c>
      <c r="E10" s="30">
        <f t="shared" si="0"/>
        <v>6.1224489795918364</v>
      </c>
      <c r="F10" s="31">
        <v>42737</v>
      </c>
      <c r="G10" s="30">
        <f t="shared" si="6"/>
        <v>0</v>
      </c>
      <c r="H10" s="30">
        <f>E10*D31/(3600*2)</f>
        <v>0</v>
      </c>
      <c r="I10" s="30">
        <f t="shared" si="2"/>
        <v>0</v>
      </c>
      <c r="J10" s="30">
        <f t="shared" si="5"/>
        <v>0</v>
      </c>
      <c r="K10" s="30">
        <f t="shared" si="3"/>
        <v>0</v>
      </c>
      <c r="L10" s="37">
        <f t="shared" si="7"/>
        <v>0</v>
      </c>
    </row>
    <row r="11" spans="1:12" ht="24" x14ac:dyDescent="0.4">
      <c r="A11" s="28">
        <v>10</v>
      </c>
      <c r="B11" s="33"/>
      <c r="C11" s="35" t="s">
        <v>75</v>
      </c>
      <c r="D11" s="29">
        <v>12</v>
      </c>
      <c r="E11" s="30">
        <f t="shared" si="0"/>
        <v>12.244897959183673</v>
      </c>
      <c r="F11" s="31">
        <v>42739</v>
      </c>
      <c r="G11" s="30">
        <f t="shared" si="6"/>
        <v>0</v>
      </c>
      <c r="H11" s="30">
        <f t="shared" ref="H11:H17" si="8">E11*D32/(3600*2)</f>
        <v>0</v>
      </c>
      <c r="I11" s="30">
        <f t="shared" si="2"/>
        <v>0</v>
      </c>
      <c r="J11" s="30">
        <f t="shared" si="5"/>
        <v>0</v>
      </c>
      <c r="K11" s="30">
        <f t="shared" si="3"/>
        <v>0</v>
      </c>
      <c r="L11" s="37">
        <f t="shared" si="7"/>
        <v>0</v>
      </c>
    </row>
    <row r="12" spans="1:12" ht="24" x14ac:dyDescent="0.4">
      <c r="A12" s="28">
        <v>11</v>
      </c>
      <c r="B12" s="33"/>
      <c r="C12" s="35" t="s">
        <v>76</v>
      </c>
      <c r="D12" s="29">
        <v>13</v>
      </c>
      <c r="E12" s="30">
        <f t="shared" si="0"/>
        <v>13.26530612244898</v>
      </c>
      <c r="F12" s="31">
        <v>42739</v>
      </c>
      <c r="G12" s="30">
        <f t="shared" si="6"/>
        <v>0</v>
      </c>
      <c r="H12" s="30">
        <f t="shared" si="8"/>
        <v>0</v>
      </c>
      <c r="I12" s="30">
        <f t="shared" si="2"/>
        <v>0</v>
      </c>
      <c r="J12" s="30">
        <f t="shared" si="5"/>
        <v>0</v>
      </c>
      <c r="K12" s="30">
        <f t="shared" si="3"/>
        <v>0</v>
      </c>
      <c r="L12" s="37">
        <f t="shared" si="7"/>
        <v>0</v>
      </c>
    </row>
    <row r="13" spans="1:12" ht="24" x14ac:dyDescent="0.4">
      <c r="A13" s="28">
        <v>12</v>
      </c>
      <c r="B13" s="33"/>
      <c r="C13" s="35" t="s">
        <v>77</v>
      </c>
      <c r="D13" s="29">
        <v>5</v>
      </c>
      <c r="E13" s="30">
        <f t="shared" si="0"/>
        <v>5.1020408163265305</v>
      </c>
      <c r="F13" s="31">
        <v>42736</v>
      </c>
      <c r="G13" s="30">
        <f t="shared" si="6"/>
        <v>0</v>
      </c>
      <c r="H13" s="30">
        <f t="shared" si="8"/>
        <v>0</v>
      </c>
      <c r="I13" s="30">
        <f t="shared" si="2"/>
        <v>0</v>
      </c>
      <c r="J13" s="30">
        <f t="shared" si="5"/>
        <v>0</v>
      </c>
      <c r="K13" s="30">
        <f t="shared" si="3"/>
        <v>0</v>
      </c>
      <c r="L13" s="37">
        <f t="shared" si="7"/>
        <v>0</v>
      </c>
    </row>
    <row r="14" spans="1:12" ht="24" x14ac:dyDescent="0.4">
      <c r="A14" s="28">
        <v>13</v>
      </c>
      <c r="B14" s="18" t="s">
        <v>61</v>
      </c>
      <c r="C14" s="28" t="s">
        <v>73</v>
      </c>
      <c r="D14" s="29">
        <v>2</v>
      </c>
      <c r="E14" s="30">
        <f t="shared" si="0"/>
        <v>2.0408163265306123</v>
      </c>
      <c r="F14" s="31">
        <v>42739</v>
      </c>
      <c r="G14" s="30">
        <f t="shared" si="6"/>
        <v>0</v>
      </c>
      <c r="H14" s="30">
        <f t="shared" si="8"/>
        <v>0</v>
      </c>
      <c r="I14" s="30">
        <f>E14*E35/(3600*2)</f>
        <v>0</v>
      </c>
      <c r="J14" s="30">
        <f t="shared" si="5"/>
        <v>0</v>
      </c>
      <c r="K14" s="30">
        <f>E14*G35/(3600*2)</f>
        <v>0</v>
      </c>
      <c r="L14" s="37">
        <f t="shared" si="7"/>
        <v>0</v>
      </c>
    </row>
    <row r="15" spans="1:12" ht="24" x14ac:dyDescent="0.4">
      <c r="A15" s="28">
        <v>14</v>
      </c>
      <c r="B15" s="28"/>
      <c r="C15" s="28" t="s">
        <v>70</v>
      </c>
      <c r="D15" s="29">
        <v>7</v>
      </c>
      <c r="E15" s="30">
        <f t="shared" si="0"/>
        <v>7.1428571428571432</v>
      </c>
      <c r="F15" s="31">
        <v>42739</v>
      </c>
      <c r="G15" s="30">
        <f t="shared" si="6"/>
        <v>0</v>
      </c>
      <c r="H15" s="30">
        <f t="shared" si="8"/>
        <v>0</v>
      </c>
      <c r="I15" s="30">
        <f t="shared" ref="I15:I17" si="9">E15*E36/(3600*2)</f>
        <v>0</v>
      </c>
      <c r="J15" s="30">
        <f t="shared" si="5"/>
        <v>0</v>
      </c>
      <c r="K15" s="30">
        <f t="shared" ref="K15:K17" si="10">E15*G36/(3600*2)</f>
        <v>0</v>
      </c>
      <c r="L15" s="37">
        <f t="shared" si="7"/>
        <v>0</v>
      </c>
    </row>
    <row r="16" spans="1:12" ht="24" x14ac:dyDescent="0.4">
      <c r="A16" s="28">
        <v>15</v>
      </c>
      <c r="B16" s="28"/>
      <c r="C16" s="28" t="s">
        <v>71</v>
      </c>
      <c r="D16" s="29">
        <v>4</v>
      </c>
      <c r="E16" s="30">
        <f t="shared" si="0"/>
        <v>4.0816326530612246</v>
      </c>
      <c r="F16" s="31">
        <v>42738</v>
      </c>
      <c r="G16" s="30">
        <f t="shared" si="6"/>
        <v>0</v>
      </c>
      <c r="H16" s="30">
        <f t="shared" si="8"/>
        <v>0</v>
      </c>
      <c r="I16" s="30">
        <f t="shared" si="9"/>
        <v>0</v>
      </c>
      <c r="J16" s="30">
        <f t="shared" si="5"/>
        <v>0</v>
      </c>
      <c r="K16" s="30">
        <f t="shared" si="10"/>
        <v>0</v>
      </c>
      <c r="L16" s="37">
        <f t="shared" si="7"/>
        <v>0</v>
      </c>
    </row>
    <row r="17" spans="1:12" ht="24" x14ac:dyDescent="0.4">
      <c r="A17" s="28">
        <v>16</v>
      </c>
      <c r="B17" s="28"/>
      <c r="C17" s="28" t="s">
        <v>72</v>
      </c>
      <c r="D17" s="29">
        <v>5</v>
      </c>
      <c r="E17" s="30">
        <f t="shared" si="0"/>
        <v>5.1020408163265305</v>
      </c>
      <c r="F17" s="31">
        <v>42739</v>
      </c>
      <c r="G17" s="30">
        <f t="shared" si="6"/>
        <v>0</v>
      </c>
      <c r="H17" s="30">
        <f t="shared" si="8"/>
        <v>0</v>
      </c>
      <c r="I17" s="30">
        <f t="shared" si="9"/>
        <v>0</v>
      </c>
      <c r="J17" s="30">
        <f t="shared" si="5"/>
        <v>0</v>
      </c>
      <c r="K17" s="30">
        <f t="shared" si="10"/>
        <v>0</v>
      </c>
      <c r="L17" s="37">
        <f t="shared" si="7"/>
        <v>0</v>
      </c>
    </row>
  </sheetData>
  <pageMargins left="0.25" right="0.25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แผนงานช่วย</vt:lpstr>
      <vt:lpstr>ordeลูกค้า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Chukkrit Visitsaktavorn</cp:lastModifiedBy>
  <cp:lastPrinted>2017-01-25T12:48:18Z</cp:lastPrinted>
  <dcterms:created xsi:type="dcterms:W3CDTF">2017-01-09T19:51:44Z</dcterms:created>
  <dcterms:modified xsi:type="dcterms:W3CDTF">2017-01-25T13:20:19Z</dcterms:modified>
</cp:coreProperties>
</file>