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juk/OneDrive/Downloads/"/>
    </mc:Choice>
  </mc:AlternateContent>
  <bookViews>
    <workbookView xWindow="880" yWindow="460" windowWidth="32720" windowHeight="20540" firstSheet="1" activeTab="4"/>
  </bookViews>
  <sheets>
    <sheet name="แผนงานช่วย" sheetId="1" r:id="rId1"/>
    <sheet name="ordeลูกค้า" sheetId="2" r:id="rId2"/>
    <sheet name="ลำดับการผลิต" sheetId="5" r:id="rId3"/>
    <sheet name="Utilization" sheetId="6" r:id="rId4"/>
    <sheet name="Avialiability (2)" sheetId="11" r:id="rId5"/>
    <sheet name="ตารางการจัดลำดับการผลิตแต่ละแบบ" sheetId="9" r:id="rId6"/>
    <sheet name="อันใหม่" sheetId="4" r:id="rId7"/>
    <sheet name="%OEE" sheetId="10" r:id="rId8"/>
    <sheet name="ตารางการจัดลำดับการผลิตแต่ะแบบ" sheetId="8" state="hidden" r:id="rId9"/>
  </sheets>
  <definedNames>
    <definedName name="_xlnm._FilterDatabase" localSheetId="1" hidden="1">ordeลูกค้า!$A$4:$A$19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6" l="1"/>
  <c r="H70" i="6"/>
  <c r="H69" i="6"/>
  <c r="H68" i="6"/>
  <c r="H67" i="6"/>
  <c r="H66" i="6"/>
  <c r="M12" i="11"/>
  <c r="N12" i="11"/>
  <c r="O12" i="11"/>
  <c r="N13" i="11"/>
  <c r="O13" i="11"/>
  <c r="M14" i="11"/>
  <c r="N14" i="11"/>
  <c r="O14" i="11"/>
  <c r="M15" i="11"/>
  <c r="N15" i="11"/>
  <c r="O15" i="11"/>
  <c r="O16" i="11"/>
  <c r="O17" i="11"/>
  <c r="O18" i="11"/>
  <c r="O19" i="11"/>
  <c r="M20" i="11"/>
  <c r="N20" i="11"/>
  <c r="O20" i="11"/>
  <c r="O21" i="11"/>
  <c r="O22" i="11"/>
  <c r="O23" i="11"/>
  <c r="N24" i="11"/>
  <c r="O24" i="11"/>
  <c r="O41" i="10"/>
  <c r="O40" i="10"/>
  <c r="M38" i="10"/>
  <c r="J39" i="10"/>
  <c r="J38" i="10"/>
  <c r="J37" i="10"/>
  <c r="J36" i="10"/>
  <c r="D15" i="10"/>
  <c r="H15" i="10"/>
  <c r="D17" i="10"/>
  <c r="H17" i="10"/>
  <c r="D18" i="10"/>
  <c r="H18" i="10"/>
  <c r="D19" i="10"/>
  <c r="H19" i="10"/>
  <c r="D14" i="10"/>
  <c r="H14" i="10"/>
  <c r="D13" i="10"/>
  <c r="D16" i="10"/>
  <c r="C16" i="4"/>
  <c r="Q14" i="4"/>
  <c r="A3" i="10"/>
  <c r="A14" i="10"/>
  <c r="K3" i="10"/>
  <c r="A4" i="10"/>
  <c r="A15" i="10"/>
  <c r="K4" i="10"/>
  <c r="A5" i="10"/>
  <c r="A16" i="10"/>
  <c r="K5" i="10"/>
  <c r="A6" i="10"/>
  <c r="A17" i="10"/>
  <c r="K6" i="10"/>
  <c r="A7" i="10"/>
  <c r="A18" i="10"/>
  <c r="K7" i="10"/>
  <c r="A8" i="10"/>
  <c r="A19" i="10"/>
  <c r="K8" i="10"/>
  <c r="B15" i="10"/>
  <c r="B16" i="10"/>
  <c r="B17" i="10"/>
  <c r="B18" i="10"/>
  <c r="B19" i="10"/>
  <c r="A9" i="10"/>
  <c r="C28" i="4"/>
  <c r="B9" i="10"/>
  <c r="D28" i="4"/>
  <c r="C9" i="10"/>
  <c r="E28" i="4"/>
  <c r="D9" i="10"/>
  <c r="F28" i="4"/>
  <c r="E9" i="10"/>
  <c r="G28" i="4"/>
  <c r="F9" i="10"/>
  <c r="H28" i="4"/>
  <c r="G9" i="10"/>
  <c r="A10" i="10"/>
  <c r="C29" i="4"/>
  <c r="B10" i="10"/>
  <c r="D29" i="4"/>
  <c r="C10" i="10"/>
  <c r="E29" i="4"/>
  <c r="D10" i="10"/>
  <c r="F29" i="4"/>
  <c r="E10" i="10"/>
  <c r="G29" i="4"/>
  <c r="F10" i="10"/>
  <c r="H29" i="4"/>
  <c r="G10" i="10"/>
  <c r="C20" i="4"/>
  <c r="B5" i="10"/>
  <c r="C5" i="10"/>
  <c r="D5" i="10"/>
  <c r="F20" i="4"/>
  <c r="E5" i="10"/>
  <c r="F5" i="10"/>
  <c r="H20" i="4"/>
  <c r="G5" i="10"/>
  <c r="C21" i="4"/>
  <c r="B6" i="10"/>
  <c r="C6" i="10"/>
  <c r="D6" i="10"/>
  <c r="F21" i="4"/>
  <c r="E6" i="10"/>
  <c r="F6" i="10"/>
  <c r="H21" i="4"/>
  <c r="G6" i="10"/>
  <c r="C24" i="4"/>
  <c r="B7" i="10"/>
  <c r="D24" i="4"/>
  <c r="C7" i="10"/>
  <c r="E24" i="4"/>
  <c r="D7" i="10"/>
  <c r="E7" i="10"/>
  <c r="G24" i="4"/>
  <c r="F7" i="10"/>
  <c r="H24" i="4"/>
  <c r="G7" i="10"/>
  <c r="C25" i="4"/>
  <c r="B8" i="10"/>
  <c r="D25" i="4"/>
  <c r="C8" i="10"/>
  <c r="E25" i="4"/>
  <c r="D8" i="10"/>
  <c r="E8" i="10"/>
  <c r="G25" i="4"/>
  <c r="F8" i="10"/>
  <c r="H25" i="4"/>
  <c r="G8" i="10"/>
  <c r="C3" i="10"/>
  <c r="E16" i="4"/>
  <c r="D3" i="10"/>
  <c r="F16" i="4"/>
  <c r="E3" i="10"/>
  <c r="F3" i="10"/>
  <c r="H16" i="4"/>
  <c r="G3" i="10"/>
  <c r="C17" i="4"/>
  <c r="B4" i="10"/>
  <c r="C4" i="10"/>
  <c r="E17" i="4"/>
  <c r="D4" i="10"/>
  <c r="F17" i="4"/>
  <c r="E4" i="10"/>
  <c r="F4" i="10"/>
  <c r="H17" i="4"/>
  <c r="G4" i="10"/>
  <c r="E60" i="6"/>
  <c r="C25" i="6"/>
  <c r="F60" i="6"/>
  <c r="E59" i="6"/>
  <c r="G24" i="6"/>
  <c r="J59" i="6"/>
  <c r="E58" i="6"/>
  <c r="E57" i="6"/>
  <c r="E56" i="6"/>
  <c r="E55" i="6"/>
  <c r="F16" i="6"/>
  <c r="I55" i="6"/>
  <c r="H27" i="6"/>
  <c r="G27" i="6"/>
  <c r="E27" i="6"/>
  <c r="D27" i="6"/>
  <c r="C27" i="6"/>
  <c r="H26" i="6"/>
  <c r="G26" i="6"/>
  <c r="E26" i="6"/>
  <c r="D26" i="6"/>
  <c r="C26" i="6"/>
  <c r="H25" i="6"/>
  <c r="G25" i="6"/>
  <c r="J60" i="6"/>
  <c r="E25" i="6"/>
  <c r="D25" i="6"/>
  <c r="H24" i="6"/>
  <c r="E24" i="6"/>
  <c r="D24" i="6"/>
  <c r="C24" i="6"/>
  <c r="H23" i="6"/>
  <c r="F23" i="6"/>
  <c r="C23" i="6"/>
  <c r="H22" i="6"/>
  <c r="F22" i="6"/>
  <c r="C22" i="6"/>
  <c r="H21" i="6"/>
  <c r="F21" i="6"/>
  <c r="C21" i="6"/>
  <c r="H20" i="6"/>
  <c r="F20" i="6"/>
  <c r="C20" i="6"/>
  <c r="H19" i="6"/>
  <c r="F19" i="6"/>
  <c r="E19" i="6"/>
  <c r="C19" i="6"/>
  <c r="H18" i="6"/>
  <c r="F18" i="6"/>
  <c r="E18" i="6"/>
  <c r="C18" i="6"/>
  <c r="H17" i="6"/>
  <c r="F17" i="6"/>
  <c r="E17" i="6"/>
  <c r="C17" i="6"/>
  <c r="F56" i="6"/>
  <c r="H16" i="6"/>
  <c r="E16" i="6"/>
  <c r="C16" i="6"/>
  <c r="E8" i="6"/>
  <c r="E7" i="6"/>
  <c r="E6" i="6"/>
  <c r="E5" i="6"/>
  <c r="E4" i="6"/>
  <c r="E3" i="6"/>
  <c r="H56" i="6"/>
  <c r="I56" i="6"/>
  <c r="H59" i="6"/>
  <c r="H60" i="6"/>
  <c r="I58" i="6"/>
  <c r="G60" i="6"/>
  <c r="F55" i="6"/>
  <c r="K60" i="6"/>
  <c r="I57" i="6"/>
  <c r="K57" i="6"/>
  <c r="F57" i="6"/>
  <c r="K56" i="6"/>
  <c r="K59" i="6"/>
  <c r="K58" i="6"/>
  <c r="F59" i="6"/>
  <c r="F58" i="6"/>
  <c r="H55" i="6"/>
  <c r="G59" i="6"/>
  <c r="K55" i="6"/>
  <c r="AA61" i="4"/>
  <c r="AA60" i="4"/>
  <c r="AA59" i="4"/>
  <c r="AA58" i="4"/>
  <c r="AA57" i="4"/>
  <c r="AA56" i="4"/>
  <c r="W61" i="4"/>
  <c r="W60" i="4"/>
  <c r="S59" i="4"/>
  <c r="S58" i="4"/>
  <c r="S57" i="4"/>
  <c r="S56" i="4"/>
  <c r="O61" i="4"/>
  <c r="O60" i="4"/>
  <c r="O57" i="4"/>
  <c r="O56" i="4"/>
  <c r="K61" i="4"/>
  <c r="K60" i="4"/>
  <c r="G61" i="4"/>
  <c r="G60" i="4"/>
  <c r="G59" i="4"/>
  <c r="G58" i="4"/>
  <c r="G57" i="4"/>
  <c r="G56" i="4"/>
  <c r="J40" i="4"/>
  <c r="U61" i="4"/>
  <c r="V61" i="4"/>
  <c r="J39" i="4"/>
  <c r="U60" i="4"/>
  <c r="V60" i="4"/>
  <c r="K38" i="4"/>
  <c r="Y59" i="4"/>
  <c r="Z59" i="4"/>
  <c r="I38" i="4"/>
  <c r="Q59" i="4"/>
  <c r="R59" i="4"/>
  <c r="K37" i="4"/>
  <c r="Y58" i="4"/>
  <c r="Z58" i="4"/>
  <c r="I37" i="4"/>
  <c r="Q58" i="4"/>
  <c r="R58" i="4"/>
  <c r="K36" i="4"/>
  <c r="Y57" i="4"/>
  <c r="Z57" i="4"/>
  <c r="K35" i="4"/>
  <c r="Y56" i="4"/>
  <c r="Z56" i="4"/>
  <c r="H35" i="4"/>
  <c r="M56" i="4"/>
  <c r="N56" i="4"/>
  <c r="H36" i="4"/>
  <c r="M57" i="4"/>
  <c r="N57" i="4"/>
  <c r="H37" i="4"/>
  <c r="M58" i="4"/>
  <c r="N58" i="4"/>
  <c r="H38" i="4"/>
  <c r="M59" i="4"/>
  <c r="N59" i="4"/>
  <c r="H6" i="4"/>
  <c r="H5" i="4"/>
  <c r="H4" i="4"/>
  <c r="H3" i="4"/>
  <c r="I6" i="4"/>
  <c r="I5" i="4"/>
  <c r="K6" i="4"/>
  <c r="K5" i="4"/>
  <c r="K4" i="4"/>
  <c r="K3" i="4"/>
  <c r="J8" i="4"/>
  <c r="J7" i="4"/>
  <c r="H31" i="4"/>
  <c r="G31" i="4"/>
  <c r="F31" i="4"/>
  <c r="E31" i="4"/>
  <c r="D31" i="4"/>
  <c r="C31" i="4"/>
  <c r="H30" i="4"/>
  <c r="G30" i="4"/>
  <c r="F30" i="4"/>
  <c r="E30" i="4"/>
  <c r="D30" i="4"/>
  <c r="C30" i="4"/>
  <c r="L8" i="4"/>
  <c r="E61" i="4"/>
  <c r="L7" i="4"/>
  <c r="E60" i="4"/>
  <c r="H27" i="4"/>
  <c r="G27" i="4"/>
  <c r="E27" i="4"/>
  <c r="E59" i="4"/>
  <c r="D27" i="4"/>
  <c r="C27" i="4"/>
  <c r="H26" i="4"/>
  <c r="G26" i="4"/>
  <c r="E26" i="4"/>
  <c r="E58" i="4"/>
  <c r="D26" i="4"/>
  <c r="C26" i="4"/>
  <c r="L40" i="4"/>
  <c r="AC61" i="4"/>
  <c r="AD61" i="4"/>
  <c r="K40" i="4"/>
  <c r="Y61" i="4"/>
  <c r="Z61" i="4"/>
  <c r="G40" i="4"/>
  <c r="I61" i="4"/>
  <c r="J61" i="4"/>
  <c r="L39" i="4"/>
  <c r="AC60" i="4"/>
  <c r="AD60" i="4"/>
  <c r="K39" i="4"/>
  <c r="Y60" i="4"/>
  <c r="Z60" i="4"/>
  <c r="G39" i="4"/>
  <c r="J60" i="4"/>
  <c r="H23" i="4"/>
  <c r="F23" i="4"/>
  <c r="C23" i="4"/>
  <c r="H22" i="4"/>
  <c r="F22" i="4"/>
  <c r="C22" i="4"/>
  <c r="L38" i="4"/>
  <c r="AC59" i="4"/>
  <c r="AD59" i="4"/>
  <c r="J38" i="4"/>
  <c r="U59" i="4"/>
  <c r="V59" i="4"/>
  <c r="L37" i="4"/>
  <c r="AC58" i="4"/>
  <c r="AD58" i="4"/>
  <c r="J37" i="4"/>
  <c r="U58" i="4"/>
  <c r="V58" i="4"/>
  <c r="G37" i="4"/>
  <c r="H19" i="4"/>
  <c r="F19" i="4"/>
  <c r="E19" i="4"/>
  <c r="C19" i="4"/>
  <c r="H18" i="4"/>
  <c r="F18" i="4"/>
  <c r="E18" i="4"/>
  <c r="C18" i="4"/>
  <c r="L36" i="4"/>
  <c r="AC57" i="4"/>
  <c r="AD57" i="4"/>
  <c r="J36" i="4"/>
  <c r="U57" i="4"/>
  <c r="V57" i="4"/>
  <c r="I36" i="4"/>
  <c r="Q57" i="4"/>
  <c r="R57" i="4"/>
  <c r="L35" i="4"/>
  <c r="AC56" i="4"/>
  <c r="AD56" i="4"/>
  <c r="J35" i="4"/>
  <c r="U56" i="4"/>
  <c r="V56" i="4"/>
  <c r="I35" i="4"/>
  <c r="Q56" i="4"/>
  <c r="R56" i="4"/>
  <c r="E8" i="4"/>
  <c r="E40" i="4"/>
  <c r="E7" i="4"/>
  <c r="E39" i="4"/>
  <c r="E6" i="4"/>
  <c r="E38" i="4"/>
  <c r="E5" i="4"/>
  <c r="E37" i="4"/>
  <c r="E4" i="4"/>
  <c r="E36" i="4"/>
  <c r="E3" i="4"/>
  <c r="E35" i="4"/>
  <c r="C31" i="2"/>
  <c r="H29" i="2"/>
  <c r="H30" i="2"/>
  <c r="H31" i="2"/>
  <c r="H32" i="2"/>
  <c r="H33" i="2"/>
  <c r="H34" i="2"/>
  <c r="H35" i="2"/>
  <c r="H36" i="2"/>
  <c r="H37" i="2"/>
  <c r="H38" i="2"/>
  <c r="H39" i="2"/>
  <c r="H40" i="2"/>
  <c r="H26" i="2"/>
  <c r="H27" i="2"/>
  <c r="H28" i="2"/>
  <c r="H25" i="2"/>
  <c r="G40" i="2"/>
  <c r="G39" i="2"/>
  <c r="G38" i="2"/>
  <c r="G37" i="2"/>
  <c r="G36" i="2"/>
  <c r="G35" i="2"/>
  <c r="G34" i="2"/>
  <c r="G33" i="2"/>
  <c r="F40" i="2"/>
  <c r="F39" i="2"/>
  <c r="F38" i="2"/>
  <c r="F37" i="2"/>
  <c r="F32" i="2"/>
  <c r="F31" i="2"/>
  <c r="F30" i="2"/>
  <c r="F29" i="2"/>
  <c r="F28" i="2"/>
  <c r="F27" i="2"/>
  <c r="F26" i="2"/>
  <c r="F25" i="2"/>
  <c r="E40" i="2"/>
  <c r="E39" i="2"/>
  <c r="E38" i="2"/>
  <c r="E37" i="2"/>
  <c r="E36" i="2"/>
  <c r="E35" i="2"/>
  <c r="E34" i="2"/>
  <c r="E33" i="2"/>
  <c r="E28" i="2"/>
  <c r="E27" i="2"/>
  <c r="E26" i="2"/>
  <c r="E25" i="2"/>
  <c r="D40" i="2"/>
  <c r="D39" i="2"/>
  <c r="D38" i="2"/>
  <c r="D37" i="2"/>
  <c r="D36" i="2"/>
  <c r="D35" i="2"/>
  <c r="D34" i="2"/>
  <c r="D33" i="2"/>
  <c r="C40" i="2"/>
  <c r="C39" i="2"/>
  <c r="C38" i="2"/>
  <c r="C37" i="2"/>
  <c r="C36" i="2"/>
  <c r="C35" i="2"/>
  <c r="C34" i="2"/>
  <c r="C33" i="2"/>
  <c r="C32" i="2"/>
  <c r="C30" i="2"/>
  <c r="C29" i="2"/>
  <c r="C28" i="2"/>
  <c r="C27" i="2"/>
  <c r="C26" i="2"/>
  <c r="C25" i="2"/>
  <c r="K25" i="2"/>
  <c r="M37" i="4"/>
  <c r="I58" i="4"/>
  <c r="J58" i="4"/>
  <c r="AE58" i="4"/>
  <c r="E56" i="4"/>
  <c r="I39" i="4"/>
  <c r="Q60" i="4"/>
  <c r="R60" i="4"/>
  <c r="I40" i="4"/>
  <c r="Q61" i="4"/>
  <c r="R61" i="4"/>
  <c r="E57" i="4"/>
  <c r="G4" i="4"/>
  <c r="G36" i="4"/>
  <c r="I3" i="4"/>
  <c r="I4" i="4"/>
  <c r="J5" i="4"/>
  <c r="L6" i="4"/>
  <c r="H39" i="4"/>
  <c r="M60" i="4"/>
  <c r="N60" i="4"/>
  <c r="AE60" i="4"/>
  <c r="H7" i="4"/>
  <c r="G3" i="4"/>
  <c r="G35" i="4"/>
  <c r="J3" i="4"/>
  <c r="J4" i="4"/>
  <c r="L5" i="4"/>
  <c r="I7" i="4"/>
  <c r="H40" i="4"/>
  <c r="M61" i="4"/>
  <c r="N61" i="4"/>
  <c r="AE61" i="4"/>
  <c r="H8" i="4"/>
  <c r="J6" i="4"/>
  <c r="K8" i="4"/>
  <c r="L3" i="4"/>
  <c r="L4" i="4"/>
  <c r="G6" i="4"/>
  <c r="G38" i="4"/>
  <c r="K7" i="4"/>
  <c r="I8" i="4"/>
  <c r="G5" i="4"/>
  <c r="G7" i="4"/>
  <c r="G8" i="4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M38" i="4"/>
  <c r="I59" i="4"/>
  <c r="J59" i="4"/>
  <c r="AE59" i="4"/>
  <c r="M35" i="4"/>
  <c r="I56" i="4"/>
  <c r="J56" i="4"/>
  <c r="AE56" i="4"/>
  <c r="M36" i="4"/>
  <c r="I57" i="4"/>
  <c r="J57" i="4"/>
  <c r="AE57" i="4"/>
  <c r="M39" i="4"/>
  <c r="M40" i="4"/>
  <c r="W20" i="2"/>
  <c r="S25" i="2"/>
  <c r="Z20" i="2"/>
  <c r="T25" i="2"/>
  <c r="T20" i="2"/>
  <c r="R25" i="2"/>
  <c r="AC17" i="2"/>
  <c r="U17" i="2"/>
  <c r="R17" i="2"/>
  <c r="AC19" i="2"/>
  <c r="X19" i="2"/>
  <c r="AC18" i="2"/>
  <c r="X18" i="2"/>
  <c r="X17" i="2"/>
  <c r="AC16" i="2"/>
  <c r="X16" i="2"/>
  <c r="AC15" i="2"/>
  <c r="X15" i="2"/>
  <c r="AC14" i="2"/>
  <c r="X14" i="2"/>
  <c r="AC13" i="2"/>
  <c r="X13" i="2"/>
  <c r="AC12" i="2"/>
  <c r="X12" i="2"/>
  <c r="AC11" i="2"/>
  <c r="X11" i="2"/>
  <c r="AC10" i="2"/>
  <c r="X10" i="2"/>
  <c r="AC9" i="2"/>
  <c r="X9" i="2"/>
  <c r="AC8" i="2"/>
  <c r="X8" i="2"/>
  <c r="AC7" i="2"/>
  <c r="X7" i="2"/>
  <c r="AC6" i="2"/>
  <c r="X6" i="2"/>
  <c r="AC5" i="2"/>
  <c r="X5" i="2"/>
  <c r="X20" i="2"/>
  <c r="AC4" i="2"/>
  <c r="X4" i="2"/>
  <c r="Q20" i="2"/>
  <c r="Q25" i="2"/>
  <c r="R9" i="2"/>
  <c r="U9" i="2"/>
  <c r="U4" i="2"/>
  <c r="R5" i="2"/>
  <c r="U5" i="2"/>
  <c r="AA17" i="2"/>
  <c r="AA13" i="2"/>
  <c r="R13" i="2"/>
  <c r="U13" i="2"/>
  <c r="AA9" i="2"/>
  <c r="AA5" i="2"/>
  <c r="R16" i="2"/>
  <c r="R12" i="2"/>
  <c r="R8" i="2"/>
  <c r="R4" i="2"/>
  <c r="U16" i="2"/>
  <c r="U12" i="2"/>
  <c r="U8" i="2"/>
  <c r="AA4" i="2"/>
  <c r="AA16" i="2"/>
  <c r="AA12" i="2"/>
  <c r="AA8" i="2"/>
  <c r="R19" i="2"/>
  <c r="R15" i="2"/>
  <c r="R11" i="2"/>
  <c r="R7" i="2"/>
  <c r="U19" i="2"/>
  <c r="U15" i="2"/>
  <c r="U11" i="2"/>
  <c r="U7" i="2"/>
  <c r="AA19" i="2"/>
  <c r="AA15" i="2"/>
  <c r="AA11" i="2"/>
  <c r="AA7" i="2"/>
  <c r="S31" i="2"/>
  <c r="X21" i="2"/>
  <c r="R18" i="2"/>
  <c r="R14" i="2"/>
  <c r="R10" i="2"/>
  <c r="R20" i="2"/>
  <c r="Q31" i="2"/>
  <c r="R6" i="2"/>
  <c r="U18" i="2"/>
  <c r="U14" i="2"/>
  <c r="U10" i="2"/>
  <c r="U6" i="2"/>
  <c r="U20" i="2"/>
  <c r="AA18" i="2"/>
  <c r="AA14" i="2"/>
  <c r="AA10" i="2"/>
  <c r="AA6" i="2"/>
  <c r="E4" i="2"/>
  <c r="E5" i="2"/>
  <c r="J5" i="2"/>
  <c r="S45" i="2"/>
  <c r="E6" i="2"/>
  <c r="J6" i="2"/>
  <c r="S46" i="2"/>
  <c r="E7" i="2"/>
  <c r="J7" i="2"/>
  <c r="S47" i="2"/>
  <c r="E8" i="2"/>
  <c r="K8" i="2"/>
  <c r="E9" i="2"/>
  <c r="L9" i="2"/>
  <c r="U49" i="2"/>
  <c r="E10" i="2"/>
  <c r="L10" i="2"/>
  <c r="U50" i="2"/>
  <c r="E11" i="2"/>
  <c r="G11" i="2"/>
  <c r="P51" i="2"/>
  <c r="E12" i="2"/>
  <c r="K12" i="2"/>
  <c r="T52" i="2"/>
  <c r="E13" i="2"/>
  <c r="L13" i="2"/>
  <c r="U53" i="2"/>
  <c r="E14" i="2"/>
  <c r="G14" i="2"/>
  <c r="P54" i="2"/>
  <c r="E15" i="2"/>
  <c r="E16" i="2"/>
  <c r="J16" i="2"/>
  <c r="S56" i="2"/>
  <c r="E17" i="2"/>
  <c r="L17" i="2"/>
  <c r="U57" i="2"/>
  <c r="E18" i="2"/>
  <c r="I18" i="2"/>
  <c r="R58" i="2"/>
  <c r="E19" i="2"/>
  <c r="I19" i="2"/>
  <c r="R59" i="2"/>
  <c r="I4" i="2"/>
  <c r="R44" i="2"/>
  <c r="G4" i="2"/>
  <c r="P44" i="2"/>
  <c r="U21" i="2"/>
  <c r="R31" i="2"/>
  <c r="AA20" i="2"/>
  <c r="G15" i="2"/>
  <c r="P55" i="2"/>
  <c r="I15" i="2"/>
  <c r="R55" i="2"/>
  <c r="R21" i="2"/>
  <c r="G6" i="2"/>
  <c r="P46" i="2"/>
  <c r="G17" i="2"/>
  <c r="P57" i="2"/>
  <c r="G13" i="2"/>
  <c r="P53" i="2"/>
  <c r="G8" i="2"/>
  <c r="P48" i="2"/>
  <c r="H16" i="2"/>
  <c r="Q56" i="2"/>
  <c r="H11" i="2"/>
  <c r="H7" i="2"/>
  <c r="I16" i="2"/>
  <c r="R56" i="2"/>
  <c r="I17" i="2"/>
  <c r="R57" i="2"/>
  <c r="I12" i="2"/>
  <c r="R52" i="2"/>
  <c r="I8" i="2"/>
  <c r="J4" i="2"/>
  <c r="S44" i="2"/>
  <c r="J8" i="2"/>
  <c r="S48" i="2"/>
  <c r="J19" i="2"/>
  <c r="S59" i="2"/>
  <c r="J15" i="2"/>
  <c r="K16" i="2"/>
  <c r="T56" i="2"/>
  <c r="K15" i="2"/>
  <c r="T55" i="2"/>
  <c r="K11" i="2"/>
  <c r="K7" i="2"/>
  <c r="L8" i="2"/>
  <c r="U48" i="2"/>
  <c r="L16" i="2"/>
  <c r="U56" i="2"/>
  <c r="L12" i="2"/>
  <c r="U52" i="2"/>
  <c r="L7" i="2"/>
  <c r="U47" i="2"/>
  <c r="G7" i="2"/>
  <c r="P47" i="2"/>
  <c r="G16" i="2"/>
  <c r="P56" i="2"/>
  <c r="G12" i="2"/>
  <c r="P52" i="2"/>
  <c r="H19" i="2"/>
  <c r="Q59" i="2"/>
  <c r="H15" i="2"/>
  <c r="Q55" i="2"/>
  <c r="H10" i="2"/>
  <c r="H6" i="2"/>
  <c r="H12" i="2"/>
  <c r="Q52" i="2"/>
  <c r="I11" i="2"/>
  <c r="I7" i="2"/>
  <c r="R47" i="2"/>
  <c r="J11" i="2"/>
  <c r="S51" i="2"/>
  <c r="J18" i="2"/>
  <c r="S58" i="2"/>
  <c r="J14" i="2"/>
  <c r="K19" i="2"/>
  <c r="T59" i="2"/>
  <c r="K14" i="2"/>
  <c r="T54" i="2"/>
  <c r="K10" i="2"/>
  <c r="K6" i="2"/>
  <c r="L19" i="2"/>
  <c r="U59" i="2"/>
  <c r="L15" i="2"/>
  <c r="U55" i="2"/>
  <c r="L11" i="2"/>
  <c r="U51" i="2"/>
  <c r="L6" i="2"/>
  <c r="U46" i="2"/>
  <c r="G19" i="2"/>
  <c r="P59" i="2"/>
  <c r="G10" i="2"/>
  <c r="P50" i="2"/>
  <c r="H18" i="2"/>
  <c r="Q58" i="2"/>
  <c r="H14" i="2"/>
  <c r="Q54" i="2"/>
  <c r="H9" i="2"/>
  <c r="H5" i="2"/>
  <c r="I14" i="2"/>
  <c r="R54" i="2"/>
  <c r="I10" i="2"/>
  <c r="I6" i="2"/>
  <c r="R46" i="2"/>
  <c r="J10" i="2"/>
  <c r="S50" i="2"/>
  <c r="J17" i="2"/>
  <c r="S57" i="2"/>
  <c r="J13" i="2"/>
  <c r="K18" i="2"/>
  <c r="T58" i="2"/>
  <c r="K13" i="2"/>
  <c r="T53" i="2"/>
  <c r="K9" i="2"/>
  <c r="K5" i="2"/>
  <c r="L18" i="2"/>
  <c r="U58" i="2"/>
  <c r="L14" i="2"/>
  <c r="U54" i="2"/>
  <c r="L5" i="2"/>
  <c r="U45" i="2"/>
  <c r="G5" i="2"/>
  <c r="P45" i="2"/>
  <c r="G18" i="2"/>
  <c r="P58" i="2"/>
  <c r="G9" i="2"/>
  <c r="P49" i="2"/>
  <c r="H17" i="2"/>
  <c r="Q57" i="2"/>
  <c r="H13" i="2"/>
  <c r="Q53" i="2"/>
  <c r="H8" i="2"/>
  <c r="H4" i="2"/>
  <c r="I13" i="2"/>
  <c r="R53" i="2"/>
  <c r="I9" i="2"/>
  <c r="I5" i="2"/>
  <c r="R45" i="2"/>
  <c r="J9" i="2"/>
  <c r="S49" i="2"/>
  <c r="J12" i="2"/>
  <c r="K17" i="2"/>
  <c r="T57" i="2"/>
  <c r="K4" i="2"/>
  <c r="L4" i="2"/>
  <c r="U44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T31" i="2"/>
  <c r="AA21" i="2"/>
  <c r="O16" i="2"/>
  <c r="O11" i="2"/>
  <c r="O15" i="2"/>
  <c r="O5" i="2"/>
  <c r="O19" i="2"/>
  <c r="O14" i="2"/>
  <c r="O12" i="2"/>
  <c r="O17" i="2"/>
  <c r="O6" i="2"/>
  <c r="O9" i="2"/>
  <c r="O7" i="2"/>
  <c r="O8" i="2"/>
  <c r="O18" i="2"/>
  <c r="O10" i="2"/>
  <c r="O13" i="2"/>
  <c r="B13" i="1"/>
  <c r="B14" i="1"/>
  <c r="B15" i="1"/>
  <c r="B16" i="1"/>
  <c r="B17" i="1"/>
  <c r="B18" i="1"/>
  <c r="B19" i="1"/>
  <c r="B20" i="1"/>
  <c r="D17" i="1"/>
  <c r="D18" i="1"/>
  <c r="D19" i="1"/>
  <c r="D20" i="1"/>
  <c r="B38" i="1"/>
  <c r="K38" i="1"/>
  <c r="C20" i="1"/>
  <c r="B37" i="1"/>
  <c r="K37" i="1"/>
  <c r="C19" i="1"/>
  <c r="B36" i="1"/>
  <c r="B35" i="1"/>
  <c r="B34" i="1"/>
  <c r="K34" i="1"/>
  <c r="C16" i="1"/>
  <c r="B33" i="1"/>
  <c r="K33" i="1"/>
  <c r="C15" i="1"/>
  <c r="B32" i="1"/>
  <c r="E32" i="1"/>
  <c r="J14" i="1"/>
  <c r="B31" i="1"/>
  <c r="K31" i="1"/>
  <c r="C13" i="1"/>
  <c r="B30" i="1"/>
  <c r="B29" i="1"/>
  <c r="I29" i="1"/>
  <c r="D29" i="1"/>
  <c r="B11" i="1"/>
  <c r="J29" i="1"/>
  <c r="B28" i="1"/>
  <c r="B27" i="1"/>
  <c r="J27" i="1"/>
  <c r="B26" i="1"/>
  <c r="D26" i="1"/>
  <c r="B8" i="1"/>
  <c r="B25" i="1"/>
  <c r="D25" i="1"/>
  <c r="B24" i="1"/>
  <c r="D24" i="1"/>
  <c r="B23" i="1"/>
  <c r="G25" i="1"/>
  <c r="G27" i="1"/>
  <c r="G24" i="1"/>
  <c r="G26" i="1"/>
  <c r="B7" i="1"/>
  <c r="H7" i="1"/>
  <c r="D7" i="1"/>
  <c r="P6" i="2"/>
  <c r="AE6" i="2"/>
  <c r="P19" i="2"/>
  <c r="AE19" i="2"/>
  <c r="K24" i="1"/>
  <c r="K25" i="1"/>
  <c r="K26" i="1"/>
  <c r="I27" i="1"/>
  <c r="G29" i="1"/>
  <c r="E31" i="1"/>
  <c r="I32" i="1"/>
  <c r="P8" i="2"/>
  <c r="AE8" i="2"/>
  <c r="P17" i="2"/>
  <c r="AE17" i="2"/>
  <c r="P5" i="2"/>
  <c r="AE5" i="2"/>
  <c r="P16" i="2"/>
  <c r="AE16" i="2"/>
  <c r="O6" i="1"/>
  <c r="M7" i="1"/>
  <c r="D14" i="1"/>
  <c r="F14" i="1"/>
  <c r="H14" i="1"/>
  <c r="P13" i="2"/>
  <c r="AE13" i="2"/>
  <c r="P7" i="2"/>
  <c r="AE7" i="2"/>
  <c r="P12" i="2"/>
  <c r="AE12" i="2"/>
  <c r="P15" i="2"/>
  <c r="AE15" i="2"/>
  <c r="O8" i="1"/>
  <c r="P18" i="2"/>
  <c r="AE18" i="2"/>
  <c r="I31" i="1"/>
  <c r="J31" i="1"/>
  <c r="M13" i="1"/>
  <c r="D27" i="1"/>
  <c r="L9" i="1"/>
  <c r="E13" i="1"/>
  <c r="F37" i="1"/>
  <c r="H19" i="1"/>
  <c r="P10" i="2"/>
  <c r="AE10" i="2"/>
  <c r="P9" i="2"/>
  <c r="AE9" i="2"/>
  <c r="P14" i="2"/>
  <c r="AE14" i="2"/>
  <c r="P11" i="2"/>
  <c r="AE11" i="2"/>
  <c r="K35" i="1"/>
  <c r="C17" i="1"/>
  <c r="J35" i="1"/>
  <c r="H35" i="1"/>
  <c r="F35" i="1"/>
  <c r="D23" i="1"/>
  <c r="K23" i="1"/>
  <c r="G23" i="1"/>
  <c r="L14" i="1"/>
  <c r="F11" i="1"/>
  <c r="L11" i="1"/>
  <c r="J28" i="1"/>
  <c r="D28" i="1"/>
  <c r="K28" i="1"/>
  <c r="C10" i="1"/>
  <c r="F19" i="1"/>
  <c r="F7" i="1"/>
  <c r="J7" i="1"/>
  <c r="L7" i="1"/>
  <c r="N13" i="1"/>
  <c r="F13" i="1"/>
  <c r="K36" i="1"/>
  <c r="C18" i="1"/>
  <c r="H36" i="1"/>
  <c r="F36" i="1"/>
  <c r="J11" i="1"/>
  <c r="N6" i="1"/>
  <c r="F6" i="1"/>
  <c r="B6" i="1"/>
  <c r="L6" i="1"/>
  <c r="J6" i="1"/>
  <c r="H6" i="1"/>
  <c r="D6" i="1"/>
  <c r="N8" i="1"/>
  <c r="L8" i="1"/>
  <c r="J8" i="1"/>
  <c r="H8" i="1"/>
  <c r="F8" i="1"/>
  <c r="D8" i="1"/>
  <c r="F9" i="1"/>
  <c r="J30" i="1"/>
  <c r="D30" i="1"/>
  <c r="K30" i="1"/>
  <c r="C12" i="1"/>
  <c r="D11" i="1"/>
  <c r="H11" i="1"/>
  <c r="K6" i="1"/>
  <c r="M6" i="1"/>
  <c r="E33" i="1"/>
  <c r="G13" i="1"/>
  <c r="I13" i="1"/>
  <c r="K13" i="1"/>
  <c r="K27" i="1"/>
  <c r="C9" i="1"/>
  <c r="K29" i="1"/>
  <c r="E8" i="1"/>
  <c r="G8" i="1"/>
  <c r="K8" i="1"/>
  <c r="M8" i="1"/>
  <c r="G28" i="1"/>
  <c r="G30" i="1"/>
  <c r="J32" i="1"/>
  <c r="I33" i="1"/>
  <c r="E34" i="1"/>
  <c r="J36" i="1"/>
  <c r="H37" i="1"/>
  <c r="L19" i="1"/>
  <c r="F38" i="1"/>
  <c r="I28" i="1"/>
  <c r="I30" i="1"/>
  <c r="K32" i="1"/>
  <c r="C14" i="1"/>
  <c r="J33" i="1"/>
  <c r="E15" i="1"/>
  <c r="I34" i="1"/>
  <c r="J37" i="1"/>
  <c r="H38" i="1"/>
  <c r="J34" i="1"/>
  <c r="E16" i="1"/>
  <c r="J38" i="1"/>
  <c r="N9" i="1"/>
  <c r="M19" i="1"/>
  <c r="K14" i="1"/>
  <c r="N14" i="1"/>
  <c r="L13" i="1"/>
  <c r="G7" i="1"/>
  <c r="E7" i="1"/>
  <c r="C7" i="1"/>
  <c r="I7" i="1"/>
  <c r="H9" i="1"/>
  <c r="B9" i="1"/>
  <c r="H13" i="1"/>
  <c r="O13" i="1"/>
  <c r="I14" i="1"/>
  <c r="O14" i="1"/>
  <c r="C6" i="1"/>
  <c r="I6" i="1"/>
  <c r="E6" i="1"/>
  <c r="G6" i="1"/>
  <c r="J9" i="1"/>
  <c r="J13" i="1"/>
  <c r="N7" i="1"/>
  <c r="E9" i="1"/>
  <c r="O7" i="1"/>
  <c r="D9" i="1"/>
  <c r="D13" i="1"/>
  <c r="I8" i="1"/>
  <c r="C8" i="1"/>
  <c r="K7" i="1"/>
  <c r="G20" i="1"/>
  <c r="E20" i="1"/>
  <c r="M16" i="1"/>
  <c r="K16" i="1"/>
  <c r="I16" i="1"/>
  <c r="G16" i="1"/>
  <c r="O16" i="1"/>
  <c r="N16" i="1"/>
  <c r="L16" i="1"/>
  <c r="J16" i="1"/>
  <c r="H16" i="1"/>
  <c r="F16" i="1"/>
  <c r="D16" i="1"/>
  <c r="J15" i="1"/>
  <c r="F15" i="1"/>
  <c r="D15" i="1"/>
  <c r="H15" i="1"/>
  <c r="O15" i="1"/>
  <c r="N15" i="1"/>
  <c r="L15" i="1"/>
  <c r="G17" i="1"/>
  <c r="E17" i="1"/>
  <c r="I15" i="1"/>
  <c r="M15" i="1"/>
  <c r="K15" i="1"/>
  <c r="G15" i="1"/>
  <c r="N12" i="1"/>
  <c r="L12" i="1"/>
  <c r="J12" i="1"/>
  <c r="H12" i="1"/>
  <c r="F12" i="1"/>
  <c r="D12" i="1"/>
  <c r="B12" i="1"/>
  <c r="N18" i="1"/>
  <c r="M18" i="1"/>
  <c r="L18" i="1"/>
  <c r="J18" i="1"/>
  <c r="H18" i="1"/>
  <c r="O18" i="1"/>
  <c r="F18" i="1"/>
  <c r="K20" i="1"/>
  <c r="I20" i="1"/>
  <c r="K19" i="1"/>
  <c r="I19" i="1"/>
  <c r="E14" i="1"/>
  <c r="M9" i="1"/>
  <c r="G9" i="1"/>
  <c r="E12" i="1"/>
  <c r="K18" i="1"/>
  <c r="I18" i="1"/>
  <c r="J19" i="1"/>
  <c r="N10" i="1"/>
  <c r="L10" i="1"/>
  <c r="J10" i="1"/>
  <c r="H10" i="1"/>
  <c r="D10" i="1"/>
  <c r="B10" i="1"/>
  <c r="F10" i="1"/>
  <c r="I9" i="1"/>
  <c r="O17" i="1"/>
  <c r="N17" i="1"/>
  <c r="M17" i="1"/>
  <c r="L17" i="1"/>
  <c r="J17" i="1"/>
  <c r="H17" i="1"/>
  <c r="F17" i="1"/>
  <c r="O9" i="1"/>
  <c r="I10" i="1"/>
  <c r="G10" i="1"/>
  <c r="M10" i="1"/>
  <c r="K10" i="1"/>
  <c r="O10" i="1"/>
  <c r="C11" i="1"/>
  <c r="I11" i="1"/>
  <c r="E11" i="1"/>
  <c r="M11" i="1"/>
  <c r="G11" i="1"/>
  <c r="O11" i="1"/>
  <c r="K11" i="1"/>
  <c r="C5" i="1"/>
  <c r="I5" i="1"/>
  <c r="G5" i="1"/>
  <c r="E5" i="1"/>
  <c r="O20" i="1"/>
  <c r="N20" i="1"/>
  <c r="M20" i="1"/>
  <c r="L20" i="1"/>
  <c r="J20" i="1"/>
  <c r="H20" i="1"/>
  <c r="F20" i="1"/>
  <c r="B5" i="1"/>
  <c r="N5" i="1"/>
  <c r="L5" i="1"/>
  <c r="J5" i="1"/>
  <c r="H5" i="1"/>
  <c r="F5" i="1"/>
  <c r="D5" i="1"/>
  <c r="G19" i="1"/>
  <c r="E19" i="1"/>
  <c r="I12" i="1"/>
  <c r="G12" i="1"/>
  <c r="E18" i="1"/>
  <c r="G18" i="1"/>
  <c r="O12" i="1"/>
  <c r="M12" i="1"/>
  <c r="K12" i="1"/>
  <c r="K9" i="1"/>
  <c r="N19" i="1"/>
  <c r="N11" i="1"/>
  <c r="E10" i="1"/>
  <c r="G14" i="1"/>
  <c r="M14" i="1"/>
  <c r="O5" i="1"/>
  <c r="M5" i="1"/>
  <c r="K5" i="1"/>
  <c r="K17" i="1"/>
  <c r="I17" i="1"/>
  <c r="O19" i="1"/>
  <c r="O4" i="2"/>
  <c r="O20" i="2"/>
  <c r="S29" i="2"/>
  <c r="T29" i="2"/>
  <c r="Q27" i="2"/>
  <c r="R29" i="2"/>
  <c r="T27" i="2"/>
  <c r="R27" i="2"/>
  <c r="P20" i="2"/>
  <c r="Q29" i="2"/>
  <c r="S27" i="2"/>
  <c r="P4" i="2"/>
  <c r="AE4" i="2"/>
</calcChain>
</file>

<file path=xl/comments1.xml><?xml version="1.0" encoding="utf-8"?>
<comments xmlns="http://schemas.openxmlformats.org/spreadsheetml/2006/main">
  <authors>
    <author>Ja-eh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Ja-eh:</t>
        </r>
        <r>
          <rPr>
            <sz val="9"/>
            <color indexed="81"/>
            <rFont val="Tahoma"/>
            <family val="2"/>
          </rPr>
          <t xml:space="preserve">
ทำการปัดขึ้นั้งหมดเพราะนับเป็นฃิ้น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Ja-eh: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Ja-eh:</t>
        </r>
        <r>
          <rPr>
            <sz val="9"/>
            <color indexed="81"/>
            <rFont val="Tahoma"/>
            <family val="2"/>
          </rPr>
          <t xml:space="preserve">
ทำการปัดขึ้นั้งหมดเพราะนับเป็นฃิ้น</t>
        </r>
      </text>
    </comment>
  </commentList>
</comments>
</file>

<file path=xl/sharedStrings.xml><?xml version="1.0" encoding="utf-8"?>
<sst xmlns="http://schemas.openxmlformats.org/spreadsheetml/2006/main" count="832" uniqueCount="304">
  <si>
    <t>ตารางเวลาการทำงานแต่ละหน่วยการผลิต</t>
  </si>
  <si>
    <t>งาน i</t>
  </si>
  <si>
    <t>แผนงานช่วยที่ 1 (k=1)</t>
  </si>
  <si>
    <t>t*i,1</t>
  </si>
  <si>
    <t>t*i,2</t>
  </si>
  <si>
    <t>แผนงานช่วยที่ 2 (k=2)</t>
  </si>
  <si>
    <t>แผนงานช่วยที่ 3 (k=3)</t>
  </si>
  <si>
    <t>แผนงานช่วยที่ 4 (k=4)</t>
  </si>
  <si>
    <t>แผนงานช่วยที่ 5 (k=5)</t>
  </si>
  <si>
    <t>แผนงานช่วยที่ 6 (k=6)</t>
  </si>
  <si>
    <t>แผนงานช่วยที่ 7 (k=7)</t>
  </si>
  <si>
    <t>ค่า m= 8</t>
  </si>
  <si>
    <t>แผนงานช่วย = m-1 =8-1 = 7 แผนงานช่วย</t>
  </si>
  <si>
    <t>รายการที่ลูกค้าสั่งผลิต</t>
  </si>
  <si>
    <t>No.</t>
  </si>
  <si>
    <t>ชนิด</t>
  </si>
  <si>
    <t>ขนาด</t>
  </si>
  <si>
    <t>กำหนดส่ง</t>
  </si>
  <si>
    <t>หน่วยผลิตที่1</t>
  </si>
  <si>
    <t>หน่วยผลิตที่2</t>
  </si>
  <si>
    <t>หน่วยผลิตที่3</t>
  </si>
  <si>
    <t>หน่วยผลิตที่4</t>
  </si>
  <si>
    <t>หน่วยผลิตที่5</t>
  </si>
  <si>
    <t>หน่วยผลิตที่6</t>
  </si>
  <si>
    <t>หน่วยผลิตที่7</t>
  </si>
  <si>
    <t>หน่วยผลิตที่8</t>
  </si>
  <si>
    <t>15/01/2017</t>
  </si>
  <si>
    <t>20/01/2017</t>
  </si>
  <si>
    <t>28/01/2017</t>
  </si>
  <si>
    <t>18/01/2017</t>
  </si>
  <si>
    <t xml:space="preserve">ปริมาณ (Q) </t>
  </si>
  <si>
    <t>ปริมาณเผื่อเสีย (Qo)</t>
  </si>
  <si>
    <t>แผนงานช่วยที่1</t>
  </si>
  <si>
    <t>แผนงานช่วยที่7</t>
  </si>
  <si>
    <t>แผนงานช่วยที่6</t>
  </si>
  <si>
    <t>แผนงานช่วยที่5</t>
  </si>
  <si>
    <t>แผนงานช่วยที่4</t>
  </si>
  <si>
    <t>แผนงานช่วยที่3</t>
  </si>
  <si>
    <t>แผนงานช่วยที่2</t>
  </si>
  <si>
    <t>Total time</t>
  </si>
  <si>
    <t>Hour</t>
  </si>
  <si>
    <t>Date</t>
  </si>
  <si>
    <t>FCFS</t>
  </si>
  <si>
    <t>EDD</t>
  </si>
  <si>
    <t>SPT</t>
  </si>
  <si>
    <t>LPT</t>
  </si>
  <si>
    <t>ชนิดสินค้า</t>
  </si>
  <si>
    <t>หน่วยการผลิต</t>
  </si>
  <si>
    <t>หน่วยการผลิตที่1</t>
  </si>
  <si>
    <t>หน่วยการผลิตที่2</t>
  </si>
  <si>
    <t>หน่วยการผลิตที่3</t>
  </si>
  <si>
    <t>หน่วยการผลิตที่4</t>
  </si>
  <si>
    <t>หน่วยการผลิตที่5</t>
  </si>
  <si>
    <t>หน่วยการผลิตที่6</t>
  </si>
  <si>
    <t>หน่วยการผลิตที่8</t>
  </si>
  <si>
    <t>เวลา sec/pc</t>
  </si>
  <si>
    <t>โต๊ะเหล็ก</t>
  </si>
  <si>
    <t>ชั้นวางของ</t>
  </si>
  <si>
    <t>10 ชั้น</t>
  </si>
  <si>
    <t>15 ชั้น</t>
  </si>
  <si>
    <t>20 ชั้น</t>
  </si>
  <si>
    <t>5 ชั้น</t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</si>
  <si>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50 </t>
    </r>
    <r>
      <rPr>
        <sz val="16"/>
        <color theme="1"/>
        <rFont val="Angsana New"/>
        <family val="1"/>
      </rPr>
      <t>x 50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</si>
  <si>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50 </t>
    </r>
    <r>
      <rPr>
        <sz val="16"/>
        <color theme="1"/>
        <rFont val="Angsana New"/>
        <family val="1"/>
      </rPr>
      <t>x 100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</si>
  <si>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</t>
    </r>
    <r>
      <rPr>
        <sz val="16"/>
        <color theme="1"/>
        <rFont val="Angsana New"/>
        <family val="1"/>
      </rPr>
      <t>80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x 100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</si>
  <si>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100 </t>
    </r>
    <r>
      <rPr>
        <sz val="16"/>
        <color theme="1"/>
        <rFont val="Angsana New"/>
        <family val="1"/>
      </rPr>
      <t>x 120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</si>
  <si>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t>คิดเผื่อผลิต 40% เวลา hr/order</t>
  </si>
  <si>
    <t>ที่ได้จากจัด FCFS</t>
  </si>
  <si>
    <t>Lateness</t>
  </si>
  <si>
    <t>Due date</t>
  </si>
  <si>
    <t>Due date (hr)</t>
  </si>
  <si>
    <t>Process time</t>
  </si>
  <si>
    <t>Average Completion Time</t>
  </si>
  <si>
    <t>(Sum of Total Flow Time / No. of Jobs)</t>
  </si>
  <si>
    <t>Utilization</t>
  </si>
  <si>
    <t>(Total Processing Time / Sum of Total Flow Time)</t>
  </si>
  <si>
    <t>Average No. of Jobs in System</t>
  </si>
  <si>
    <t>(Sum of Total Flow Time / Total Processing Time)</t>
  </si>
  <si>
    <t>(Total Late Days / No of Jobs)</t>
  </si>
  <si>
    <t>Flow Time</t>
  </si>
  <si>
    <t>ที่ได้จากEDD</t>
  </si>
  <si>
    <t>ที่ได้จาก SPT</t>
  </si>
  <si>
    <t>ที่ได้จาก LPT</t>
  </si>
  <si>
    <t>Average Job Lateness (hr)</t>
  </si>
  <si>
    <t>ช่วงกว้างของเวลา (hr)</t>
  </si>
  <si>
    <t>หน่วย ชั่วโมง</t>
  </si>
  <si>
    <t>Raw Material</t>
  </si>
  <si>
    <t>เกียร</t>
  </si>
  <si>
    <t xml:space="preserve">Diameter 20 cm </t>
  </si>
  <si>
    <t xml:space="preserve">Diameter 30 cm </t>
  </si>
  <si>
    <t xml:space="preserve">Diameter 50 cm </t>
  </si>
  <si>
    <t xml:space="preserve">Diameter  80 cm </t>
  </si>
  <si>
    <t>เหล็ก</t>
  </si>
  <si>
    <t>C-clamp</t>
  </si>
  <si>
    <t>ความยาว 50 cm</t>
  </si>
  <si>
    <t>ความยาว  80 cm</t>
  </si>
  <si>
    <t>ความยาว  100 cm</t>
  </si>
  <si>
    <t>ความยาว  150 cm</t>
  </si>
  <si>
    <t>เหล็กกล้าคาร์บอน</t>
  </si>
  <si>
    <t>เหล็กแท่ง, เหล็ก,น็อต,สกรู</t>
  </si>
  <si>
    <t>น็อต,สกรู</t>
  </si>
  <si>
    <t>เหล็กแท่ง, เหล็กบาง,</t>
  </si>
  <si>
    <t>ปริมาณ</t>
  </si>
  <si>
    <t>เหล็ก Diameter 23cm</t>
  </si>
  <si>
    <t>หนา 22 cm</t>
  </si>
  <si>
    <t>เหล็กแผ่นหนา 17 cm</t>
  </si>
  <si>
    <t>เหล็กแผ่นหนา 0.5 cm</t>
  </si>
  <si>
    <t>เหล็กแท่งสูง 80 cm</t>
  </si>
  <si>
    <t>เหล็กแผ่นหนา  0.3 cm'</t>
  </si>
  <si>
    <t>เหล็กงแท่งสูงตามจำนวนชั้น</t>
  </si>
  <si>
    <t>%Utilization = Rp (Actual) / Rp (Database)</t>
  </si>
  <si>
    <t>Rp = 1/Tc (pc/hr)</t>
  </si>
  <si>
    <r>
      <t xml:space="preserve">กว้าง </t>
    </r>
    <r>
      <rPr>
        <sz val="18"/>
        <color theme="1"/>
        <rFont val="Angsana New"/>
        <family val="1"/>
      </rPr>
      <t xml:space="preserve">x </t>
    </r>
    <r>
      <rPr>
        <sz val="18"/>
        <color theme="1"/>
        <rFont val="Cordia New"/>
        <family val="2"/>
      </rPr>
      <t xml:space="preserve">ยาว 50 </t>
    </r>
    <r>
      <rPr>
        <sz val="18"/>
        <color theme="1"/>
        <rFont val="Angsana New"/>
        <family val="1"/>
      </rPr>
      <t>x 50</t>
    </r>
    <r>
      <rPr>
        <sz val="18"/>
        <color theme="1"/>
        <rFont val="Cordia New"/>
        <family val="2"/>
      </rPr>
      <t xml:space="preserve"> </t>
    </r>
    <r>
      <rPr>
        <sz val="18"/>
        <color theme="1"/>
        <rFont val="Angsana New"/>
        <family val="1"/>
      </rPr>
      <t>cm</t>
    </r>
  </si>
  <si>
    <r>
      <t xml:space="preserve">กว้าง </t>
    </r>
    <r>
      <rPr>
        <sz val="18"/>
        <color theme="1"/>
        <rFont val="Angsana New"/>
        <family val="1"/>
      </rPr>
      <t xml:space="preserve">x </t>
    </r>
    <r>
      <rPr>
        <sz val="18"/>
        <color theme="1"/>
        <rFont val="Cordia New"/>
        <family val="2"/>
      </rPr>
      <t xml:space="preserve">ยาว 50 </t>
    </r>
    <r>
      <rPr>
        <sz val="18"/>
        <color theme="1"/>
        <rFont val="Angsana New"/>
        <family val="1"/>
      </rPr>
      <t>x 100</t>
    </r>
    <r>
      <rPr>
        <sz val="18"/>
        <color theme="1"/>
        <rFont val="Cordia New"/>
        <family val="2"/>
      </rPr>
      <t xml:space="preserve"> </t>
    </r>
    <r>
      <rPr>
        <sz val="18"/>
        <color theme="1"/>
        <rFont val="Angsana New"/>
        <family val="1"/>
      </rPr>
      <t>cm</t>
    </r>
  </si>
  <si>
    <r>
      <t xml:space="preserve">กว้าง </t>
    </r>
    <r>
      <rPr>
        <sz val="18"/>
        <color theme="1"/>
        <rFont val="Angsana New"/>
        <family val="1"/>
      </rPr>
      <t xml:space="preserve">x </t>
    </r>
    <r>
      <rPr>
        <sz val="18"/>
        <color theme="1"/>
        <rFont val="Cordia New"/>
        <family val="2"/>
      </rPr>
      <t xml:space="preserve">ยาว </t>
    </r>
    <r>
      <rPr>
        <sz val="18"/>
        <color theme="1"/>
        <rFont val="Angsana New"/>
        <family val="1"/>
      </rPr>
      <t>80</t>
    </r>
    <r>
      <rPr>
        <sz val="18"/>
        <color theme="1"/>
        <rFont val="Cordia New"/>
        <family val="2"/>
      </rPr>
      <t xml:space="preserve"> </t>
    </r>
    <r>
      <rPr>
        <sz val="18"/>
        <color theme="1"/>
        <rFont val="Angsana New"/>
        <family val="1"/>
      </rPr>
      <t>x 100</t>
    </r>
    <r>
      <rPr>
        <sz val="18"/>
        <color theme="1"/>
        <rFont val="Cordia New"/>
        <family val="2"/>
      </rPr>
      <t xml:space="preserve"> </t>
    </r>
    <r>
      <rPr>
        <sz val="18"/>
        <color theme="1"/>
        <rFont val="Angsana New"/>
        <family val="1"/>
      </rPr>
      <t>cm</t>
    </r>
  </si>
  <si>
    <r>
      <t xml:space="preserve">กว้าง </t>
    </r>
    <r>
      <rPr>
        <sz val="18"/>
        <color theme="1"/>
        <rFont val="Angsana New"/>
        <family val="1"/>
      </rPr>
      <t xml:space="preserve">x </t>
    </r>
    <r>
      <rPr>
        <sz val="18"/>
        <color theme="1"/>
        <rFont val="Cordia New"/>
        <family val="2"/>
      </rPr>
      <t xml:space="preserve">ยาว 100 </t>
    </r>
    <r>
      <rPr>
        <sz val="18"/>
        <color theme="1"/>
        <rFont val="Angsana New"/>
        <family val="1"/>
      </rPr>
      <t>x 120</t>
    </r>
    <r>
      <rPr>
        <sz val="18"/>
        <color theme="1"/>
        <rFont val="Cordia New"/>
        <family val="2"/>
      </rPr>
      <t xml:space="preserve"> </t>
    </r>
    <r>
      <rPr>
        <sz val="18"/>
        <color theme="1"/>
        <rFont val="Angsana New"/>
        <family val="1"/>
      </rPr>
      <t>cm</t>
    </r>
  </si>
  <si>
    <t>รอบเวลาการผลิต Data base Tc(/Order/Station)</t>
  </si>
  <si>
    <t>รอบเวลาการผลิต Actual(/Order/Station)</t>
  </si>
  <si>
    <t>ลำดับ</t>
  </si>
  <si>
    <t>ผลิตภัณฑ์</t>
  </si>
  <si>
    <t>ประเภท</t>
  </si>
  <si>
    <t>A</t>
  </si>
  <si>
    <t>B</t>
  </si>
  <si>
    <t>C</t>
  </si>
  <si>
    <t>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</si>
  <si>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</si>
  <si>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</si>
  <si>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</si>
  <si>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</si>
  <si>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</si>
  <si>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</si>
  <si>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</si>
  <si>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</si>
  <si>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</si>
  <si>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</si>
  <si>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</si>
  <si>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</si>
  <si>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</si>
  <si>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</si>
  <si>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</si>
  <si>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</si>
  <si>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r>
      <t xml:space="preserve"> (ชั่วโมง</t>
    </r>
    <r>
      <rPr>
        <b/>
        <sz val="14"/>
        <color theme="1"/>
        <rFont val="Angsana New"/>
        <family val="1"/>
      </rPr>
      <t>/ชิ้น)</t>
    </r>
  </si>
  <si>
    <t xml:space="preserve"> (ชั่วโมง/ชิ้น)</t>
  </si>
  <si>
    <t xml:space="preserve">ปริมาณสั่งผลิต (Q) </t>
  </si>
  <si>
    <t>Q0=Q/(1-q)</t>
  </si>
  <si>
    <t>ตารางรายการสั่งผลิตจากลูกค้า</t>
  </si>
  <si>
    <t>ปริณาณที่ต้องผลิตจริง</t>
  </si>
  <si>
    <t>อัตราการเกิดของเสีย0.02</t>
  </si>
  <si>
    <t>ซึ่งค่านี้ได้จากการเก็บข้อมูลของโรงงานว่าเมื่อทำการผลิต 100 ชิ้น  จะมีปริมาณที่เป็นของเสีย 2 ชิ้น</t>
  </si>
  <si>
    <t>จำนวนเครื่องจักร</t>
  </si>
  <si>
    <t>ตารางคำนวณภาระงานของแต่ละผลิตภัณฑ์ที่ลูกค้าสั่งซื้อ หน่วย ชั่วโมง/ชิ้น</t>
  </si>
  <si>
    <t>การจัดลำดับการผลิต</t>
  </si>
  <si>
    <t>โดยจัดได้ 4 แบบ</t>
  </si>
  <si>
    <t>1.EDD</t>
  </si>
  <si>
    <t>2.FCFS</t>
  </si>
  <si>
    <t>3.SPT</t>
  </si>
  <si>
    <t>4.LPT</t>
  </si>
  <si>
    <t>ลำดับงาน</t>
  </si>
  <si>
    <t>วิธีการจัดลำดับ</t>
  </si>
  <si>
    <t>(ชั่วโมง)</t>
  </si>
  <si>
    <t>หน่วยผลิตที่1(ชั่วโมง)</t>
  </si>
  <si>
    <t>หน่วยผลิตที่2(ชั่วโมง)</t>
  </si>
  <si>
    <t>หน่วยผลิตที่3(ชั่วโมง)</t>
  </si>
  <si>
    <t>หน่วยผลิตที่4(ชั่วโมง)</t>
  </si>
  <si>
    <t>หน่วยผลิตที่5(ชั่วโมง)</t>
  </si>
  <si>
    <t>หน่วยผลิตที่6(ชั่วโมง)</t>
  </si>
  <si>
    <t>ภาระงานรวมทุกสถานีงาน(ชั่วโมง)</t>
  </si>
  <si>
    <t>Milling</t>
  </si>
  <si>
    <t>Dilling</t>
  </si>
  <si>
    <t>Triming</t>
  </si>
  <si>
    <t>Polishing</t>
  </si>
  <si>
    <t>Welding</t>
  </si>
  <si>
    <t>Packing</t>
  </si>
  <si>
    <t>ตารางแสดงข้อมูลรอบเวลาการผลิตของแต่ละผลิตภัณฑ์ของแต่ละสถานีงาน</t>
  </si>
  <si>
    <t>ตารางแสดงข้อมูลการเคลื่อนที่ของงานไปยังสถานีงานต่างๆ</t>
  </si>
  <si>
    <t>From</t>
  </si>
  <si>
    <t>To</t>
  </si>
  <si>
    <t>สถานีงาน</t>
  </si>
  <si>
    <t>-</t>
  </si>
  <si>
    <t>สถานีงาน(นาที/ชื้น)</t>
  </si>
  <si>
    <t>เวลาในการตั้งค่าเครื่องจักรก่อนใช้งาน</t>
  </si>
  <si>
    <t>สถานีงานที่ 1</t>
  </si>
  <si>
    <t>สถานีงานที่ 6</t>
  </si>
  <si>
    <t>สถานีงานที่ 5</t>
  </si>
  <si>
    <t>สถานีงานที่ 4</t>
  </si>
  <si>
    <t>สถานีงานที่ 2</t>
  </si>
  <si>
    <t>สถานีงานที่ 3</t>
  </si>
  <si>
    <t>เวลาตั้งเครื่อง</t>
  </si>
  <si>
    <t>เวลาผลิตงาน</t>
  </si>
  <si>
    <t>ภาระงานรวม</t>
  </si>
  <si>
    <t>%Utilization = Rp(Actual)/Rp(Data base)</t>
  </si>
  <si>
    <t>ตารางแสดงข้อมูลรอบเวลาการผลิตที่ได้จริงของแต่ละผลิตภัณฑ์ของแต่ละสถานีงาน</t>
  </si>
  <si>
    <t>Rp=1/Tc</t>
  </si>
  <si>
    <t>Tc=(Tset/Qo)+Tm</t>
  </si>
  <si>
    <t>So %Utilization = (1/(Tset/Qo)+Tc(Actual))/(1/(Tset/Qo)+Tm))</t>
  </si>
  <si>
    <t>Production Rate (Data base) pc/hr</t>
  </si>
  <si>
    <t>Production Rate (Actual) pc/hr</t>
  </si>
  <si>
    <t>%UTILIZATION</t>
  </si>
  <si>
    <t>2 เครื่อง</t>
  </si>
  <si>
    <t xml:space="preserve">2 เครื่อง </t>
  </si>
  <si>
    <t>3 เครื่อง</t>
  </si>
  <si>
    <t xml:space="preserve">2 เครื่อง  </t>
  </si>
  <si>
    <t>1.  Trimming Machine</t>
  </si>
  <si>
    <t>2.  Drilling Machine</t>
  </si>
  <si>
    <t>3.  Milling Machine</t>
  </si>
  <si>
    <t>4.  Polishing Machine</t>
  </si>
  <si>
    <t>5.  Welding Machine</t>
  </si>
  <si>
    <t>Station1</t>
  </si>
  <si>
    <t>Station2</t>
  </si>
  <si>
    <t>Station3</t>
  </si>
  <si>
    <t>Station4</t>
  </si>
  <si>
    <t>Station5</t>
  </si>
  <si>
    <t>6.  Packing</t>
  </si>
  <si>
    <t>Station6</t>
  </si>
  <si>
    <t>%Availability</t>
  </si>
  <si>
    <t>%Availability = MTBF-MTTR/MTBF</t>
  </si>
  <si>
    <t>Request Date</t>
  </si>
  <si>
    <t>Start Date</t>
  </si>
  <si>
    <t>Finish Date</t>
  </si>
  <si>
    <t>Type of M/C</t>
  </si>
  <si>
    <t>M/C No.</t>
  </si>
  <si>
    <t>Report Status diary report</t>
  </si>
  <si>
    <t>problem</t>
  </si>
  <si>
    <t>ข้อมูลการใช้เครื่องจักร</t>
  </si>
  <si>
    <t>MTBF (days)</t>
  </si>
  <si>
    <t>MTTR (days)</t>
  </si>
  <si>
    <t>Milling Machine</t>
  </si>
  <si>
    <t>M01</t>
  </si>
  <si>
    <t>M02</t>
  </si>
  <si>
    <t>M03</t>
  </si>
  <si>
    <t xml:space="preserve"> Drilling Machine</t>
  </si>
  <si>
    <t>D01</t>
  </si>
  <si>
    <t>D02</t>
  </si>
  <si>
    <t>Trimming Machine</t>
  </si>
  <si>
    <t>T01</t>
  </si>
  <si>
    <t>T02</t>
  </si>
  <si>
    <t>P01</t>
  </si>
  <si>
    <t>P02</t>
  </si>
  <si>
    <t>Polishing Machine</t>
  </si>
  <si>
    <t>Welding Machine</t>
  </si>
  <si>
    <t>W02</t>
  </si>
  <si>
    <t>Pa01</t>
  </si>
  <si>
    <t>Pa02</t>
  </si>
  <si>
    <t>Station</t>
  </si>
  <si>
    <t>การจัดตารางการผลิตแบบ FCFS</t>
  </si>
  <si>
    <t>การจัดตารางการผลิตแบบ EDD</t>
  </si>
  <si>
    <t>การจัดลำดับการผลิตแบบ SPT</t>
  </si>
  <si>
    <t>การจัดลำดับการผลิตแบบ  LPT</t>
  </si>
  <si>
    <t>เวลามาตราฐาน</t>
  </si>
  <si>
    <t>รวม</t>
  </si>
  <si>
    <t>จำนวนชิ้นงานที่ผลิต</t>
  </si>
  <si>
    <t>เวลาเดินเครื่อง</t>
  </si>
  <si>
    <t xml:space="preserve">                                                        </t>
  </si>
  <si>
    <t>ปริมาณของเสีย</t>
  </si>
  <si>
    <t>%Quality</t>
  </si>
  <si>
    <t>ปริมาณของเสียแต่ละหน่วยการผลิต</t>
  </si>
  <si>
    <t>%Q</t>
  </si>
  <si>
    <t>%A ฉลี่ย</t>
  </si>
  <si>
    <t>%OEE</t>
  </si>
  <si>
    <t>28</t>
  </si>
  <si>
    <t>เครื่องเปิดไม่ติด</t>
  </si>
  <si>
    <t>25/2/2560</t>
  </si>
  <si>
    <t>19/2/2560</t>
  </si>
  <si>
    <t>6/2/2560</t>
  </si>
  <si>
    <t>ระบบไฟฟ้าไม่ทำงาน</t>
  </si>
  <si>
    <t>21/1/2560</t>
  </si>
  <si>
    <t>19/1/2560</t>
  </si>
  <si>
    <t>4/1/2560</t>
  </si>
  <si>
    <t>ถุงพลาสติกติดค้าง</t>
  </si>
  <si>
    <t>17/2/2560</t>
  </si>
  <si>
    <t>16/2/2560</t>
  </si>
  <si>
    <t>13/2/2560</t>
  </si>
  <si>
    <t>ระบบแก๊สมีปัญหา</t>
  </si>
  <si>
    <t>23/2/2560</t>
  </si>
  <si>
    <t>20/2/2560</t>
  </si>
  <si>
    <t>9/2/2560</t>
  </si>
  <si>
    <t>หัวเชื่อมชำรุด</t>
  </si>
  <si>
    <t>ไฟหลีดสวิตขาด</t>
  </si>
  <si>
    <t>ระบบไฟไม่ทำงาน</t>
  </si>
  <si>
    <t>16/1/2560</t>
  </si>
  <si>
    <t>เปิดเครื่องไม่ติด</t>
  </si>
  <si>
    <t>เครื่องสั่น มีเสียงดังมาก</t>
  </si>
  <si>
    <t>10/2/2560</t>
  </si>
  <si>
    <t>4/2/2560</t>
  </si>
  <si>
    <t>ระบบเบรคมีปัญหา</t>
  </si>
  <si>
    <t>ระบบไฟมีปัญหา</t>
  </si>
  <si>
    <t>หัวเจาะชำรุด</t>
  </si>
  <si>
    <t>ระยะ loader ไม่คงที่</t>
  </si>
  <si>
    <t>3/2/2560</t>
  </si>
  <si>
    <t>Start motor ไม่ได้</t>
  </si>
  <si>
    <t>18/1/2560</t>
  </si>
  <si>
    <t>8/1/2560</t>
  </si>
  <si>
    <t>motor เสียงดัง</t>
  </si>
  <si>
    <t>25/1/2560</t>
  </si>
  <si>
    <t>15/1/2560</t>
  </si>
  <si>
    <t>Febraury</t>
  </si>
  <si>
    <t>January</t>
  </si>
  <si>
    <t>Start date: 1/01/60</t>
  </si>
  <si>
    <t xml:space="preserve"> </t>
  </si>
  <si>
    <t>Machine</t>
  </si>
  <si>
    <t>No.of M/C</t>
  </si>
  <si>
    <t>3 M/C</t>
  </si>
  <si>
    <t>2 M/C</t>
  </si>
  <si>
    <t>Drilling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</si>
</sst>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0.0"/>
    <numFmt numFmtId="167" formatCode="0.0%"/>
  </numFmts>
  <fonts count="27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name val="Angsana New"/>
      <family val="1"/>
    </font>
    <font>
      <sz val="14"/>
      <color theme="1"/>
      <name val="Angsana New"/>
      <family val="1"/>
    </font>
    <font>
      <b/>
      <sz val="14"/>
      <color theme="1"/>
      <name val="Angsana New"/>
      <family val="1"/>
    </font>
    <font>
      <sz val="16"/>
      <color theme="1"/>
      <name val="Cordia New"/>
      <family val="2"/>
    </font>
    <font>
      <sz val="11"/>
      <color theme="1"/>
      <name val="Calibri"/>
      <family val="2"/>
      <scheme val="minor"/>
    </font>
    <font>
      <sz val="16"/>
      <color theme="7" tint="0.39997558519241921"/>
      <name val="Angsana New"/>
      <family val="1"/>
    </font>
    <font>
      <sz val="16"/>
      <color rgb="FFFFC000"/>
      <name val="Angsana New"/>
      <family val="1"/>
    </font>
    <font>
      <b/>
      <sz val="16"/>
      <color rgb="FFFFC000"/>
      <name val="Angsana New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ordia New"/>
      <family val="2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sz val="18"/>
      <color theme="1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ngsana New"/>
      <family val="1"/>
    </font>
    <font>
      <sz val="11"/>
      <name val="Calibri"/>
      <family val="2"/>
      <scheme val="minor"/>
    </font>
    <font>
      <b/>
      <shadow/>
      <sz val="24"/>
      <color rgb="FF191919"/>
      <name val="Angsana New"/>
      <family val="1"/>
    </font>
    <font>
      <sz val="12"/>
      <color indexed="10"/>
      <name val="Arial Narrow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Browallia New"/>
      <family val="2"/>
    </font>
    <font>
      <sz val="16"/>
      <name val="Browallia New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5" tint="-0.499984740745262"/>
      </top>
      <bottom/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3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3" fillId="0" borderId="0" xfId="0" applyFont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2" fillId="0" borderId="0" xfId="0" applyFont="1" applyBorder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5" fillId="0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center" vertical="center" wrapText="1"/>
    </xf>
    <xf numFmtId="0" fontId="0" fillId="10" borderId="0" xfId="0" applyFill="1"/>
    <xf numFmtId="0" fontId="1" fillId="10" borderId="0" xfId="0" applyFont="1" applyFill="1"/>
    <xf numFmtId="0" fontId="2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3" fillId="0" borderId="15" xfId="0" applyNumberFormat="1" applyFont="1" applyFill="1" applyBorder="1" applyAlignment="1">
      <alignment horizontal="center"/>
    </xf>
    <xf numFmtId="0" fontId="3" fillId="6" borderId="0" xfId="0" applyFont="1" applyFill="1"/>
    <xf numFmtId="0" fontId="1" fillId="6" borderId="1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0" fillId="8" borderId="0" xfId="0" applyFont="1" applyFill="1"/>
    <xf numFmtId="0" fontId="1" fillId="8" borderId="0" xfId="0" applyFont="1" applyFill="1"/>
    <xf numFmtId="0" fontId="1" fillId="8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0" fillId="10" borderId="0" xfId="0" applyFont="1" applyFill="1"/>
    <xf numFmtId="0" fontId="1" fillId="10" borderId="1" xfId="0" applyFont="1" applyFill="1" applyBorder="1" applyAlignment="1">
      <alignment horizontal="center"/>
    </xf>
    <xf numFmtId="0" fontId="10" fillId="9" borderId="0" xfId="0" applyFont="1" applyFill="1"/>
    <xf numFmtId="0" fontId="1" fillId="9" borderId="0" xfId="0" applyFont="1" applyFill="1"/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3" xfId="0" applyBorder="1"/>
    <xf numFmtId="0" fontId="0" fillId="0" borderId="10" xfId="0" applyBorder="1"/>
    <xf numFmtId="0" fontId="0" fillId="0" borderId="1" xfId="0" applyBorder="1"/>
    <xf numFmtId="0" fontId="0" fillId="0" borderId="20" xfId="0" applyBorder="1"/>
    <xf numFmtId="9" fontId="0" fillId="0" borderId="16" xfId="1" applyFont="1" applyBorder="1"/>
    <xf numFmtId="0" fontId="1" fillId="8" borderId="1" xfId="0" applyFont="1" applyFill="1" applyBorder="1"/>
    <xf numFmtId="2" fontId="0" fillId="0" borderId="16" xfId="0" applyNumberFormat="1" applyBorder="1"/>
    <xf numFmtId="2" fontId="0" fillId="0" borderId="11" xfId="0" applyNumberFormat="1" applyBorder="1"/>
    <xf numFmtId="2" fontId="0" fillId="0" borderId="20" xfId="0" applyNumberFormat="1" applyBorder="1"/>
    <xf numFmtId="2" fontId="0" fillId="0" borderId="13" xfId="0" applyNumberFormat="1" applyBorder="1"/>
    <xf numFmtId="2" fontId="0" fillId="0" borderId="19" xfId="0" applyNumberFormat="1" applyBorder="1"/>
    <xf numFmtId="2" fontId="0" fillId="0" borderId="12" xfId="0" applyNumberFormat="1" applyBorder="1"/>
    <xf numFmtId="0" fontId="1" fillId="11" borderId="1" xfId="0" applyFont="1" applyFill="1" applyBorder="1"/>
    <xf numFmtId="0" fontId="1" fillId="9" borderId="1" xfId="0" applyFont="1" applyFill="1" applyBorder="1"/>
    <xf numFmtId="9" fontId="0" fillId="0" borderId="11" xfId="1" applyFont="1" applyBorder="1"/>
    <xf numFmtId="0" fontId="0" fillId="0" borderId="1" xfId="0" applyFill="1" applyBorder="1"/>
    <xf numFmtId="0" fontId="1" fillId="6" borderId="11" xfId="0" applyFont="1" applyFill="1" applyBorder="1" applyAlignment="1">
      <alignment horizontal="center"/>
    </xf>
    <xf numFmtId="2" fontId="1" fillId="0" borderId="12" xfId="0" applyNumberFormat="1" applyFont="1" applyFill="1" applyBorder="1" applyAlignment="1">
      <alignment horizontal="center"/>
    </xf>
    <xf numFmtId="2" fontId="1" fillId="0" borderId="13" xfId="0" applyNumberFormat="1" applyFont="1" applyFill="1" applyBorder="1" applyAlignment="1">
      <alignment horizontal="center"/>
    </xf>
    <xf numFmtId="0" fontId="1" fillId="6" borderId="21" xfId="0" applyFont="1" applyFill="1" applyBorder="1"/>
    <xf numFmtId="0" fontId="3" fillId="0" borderId="21" xfId="0" applyFont="1" applyFill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2" fontId="11" fillId="0" borderId="1" xfId="0" applyNumberFormat="1" applyFont="1" applyFill="1" applyBorder="1"/>
    <xf numFmtId="0" fontId="2" fillId="0" borderId="21" xfId="0" applyFont="1" applyFill="1" applyBorder="1"/>
    <xf numFmtId="165" fontId="2" fillId="3" borderId="9" xfId="2" applyFont="1" applyFill="1" applyBorder="1" applyAlignment="1">
      <alignment vertical="center" wrapText="1"/>
    </xf>
    <xf numFmtId="165" fontId="2" fillId="3" borderId="5" xfId="2" applyFont="1" applyFill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top" wrapText="1"/>
    </xf>
    <xf numFmtId="0" fontId="12" fillId="3" borderId="7" xfId="0" applyFont="1" applyFill="1" applyBorder="1" applyAlignment="1">
      <alignment vertical="top" wrapText="1"/>
    </xf>
    <xf numFmtId="0" fontId="12" fillId="3" borderId="4" xfId="0" applyFont="1" applyFill="1" applyBorder="1" applyAlignment="1">
      <alignment vertical="top" wrapText="1"/>
    </xf>
    <xf numFmtId="0" fontId="12" fillId="3" borderId="8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6" fillId="5" borderId="27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top" wrapText="1"/>
    </xf>
    <xf numFmtId="0" fontId="6" fillId="5" borderId="28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vertical="top" wrapText="1"/>
    </xf>
    <xf numFmtId="0" fontId="1" fillId="0" borderId="20" xfId="0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0" xfId="0" applyFont="1"/>
    <xf numFmtId="0" fontId="1" fillId="0" borderId="16" xfId="0" applyFont="1" applyBorder="1"/>
    <xf numFmtId="0" fontId="1" fillId="0" borderId="19" xfId="0" applyFont="1" applyBorder="1"/>
    <xf numFmtId="0" fontId="1" fillId="0" borderId="20" xfId="0" applyFont="1" applyBorder="1"/>
    <xf numFmtId="0" fontId="16" fillId="13" borderId="1" xfId="0" applyFont="1" applyFill="1" applyBorder="1" applyAlignment="1">
      <alignment horizontal="center"/>
    </xf>
    <xf numFmtId="0" fontId="16" fillId="13" borderId="0" xfId="0" applyFont="1" applyFill="1" applyAlignment="1">
      <alignment horizontal="center"/>
    </xf>
    <xf numFmtId="2" fontId="16" fillId="13" borderId="1" xfId="0" applyNumberFormat="1" applyFont="1" applyFill="1" applyBorder="1" applyAlignment="1">
      <alignment horizontal="center"/>
    </xf>
    <xf numFmtId="14" fontId="16" fillId="13" borderId="1" xfId="0" applyNumberFormat="1" applyFont="1" applyFill="1" applyBorder="1" applyAlignment="1">
      <alignment horizontal="center"/>
    </xf>
    <xf numFmtId="2" fontId="16" fillId="13" borderId="10" xfId="0" applyNumberFormat="1" applyFont="1" applyFill="1" applyBorder="1" applyAlignment="1">
      <alignment horizontal="center"/>
    </xf>
    <xf numFmtId="9" fontId="16" fillId="13" borderId="1" xfId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2" fontId="16" fillId="11" borderId="1" xfId="0" applyNumberFormat="1" applyFont="1" applyFill="1" applyBorder="1" applyAlignment="1">
      <alignment horizontal="center"/>
    </xf>
    <xf numFmtId="14" fontId="16" fillId="11" borderId="1" xfId="0" applyNumberFormat="1" applyFont="1" applyFill="1" applyBorder="1" applyAlignment="1">
      <alignment horizontal="center"/>
    </xf>
    <xf numFmtId="2" fontId="16" fillId="11" borderId="10" xfId="0" applyNumberFormat="1" applyFont="1" applyFill="1" applyBorder="1" applyAlignment="1">
      <alignment horizontal="center"/>
    </xf>
    <xf numFmtId="9" fontId="16" fillId="11" borderId="1" xfId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4" borderId="1" xfId="0" applyFont="1" applyFill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/>
    </xf>
    <xf numFmtId="14" fontId="16" fillId="14" borderId="1" xfId="0" applyNumberFormat="1" applyFont="1" applyFill="1" applyBorder="1" applyAlignment="1">
      <alignment horizontal="center"/>
    </xf>
    <xf numFmtId="2" fontId="16" fillId="14" borderId="10" xfId="0" applyNumberFormat="1" applyFont="1" applyFill="1" applyBorder="1" applyAlignment="1">
      <alignment horizontal="center"/>
    </xf>
    <xf numFmtId="9" fontId="16" fillId="14" borderId="1" xfId="1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2" fontId="16" fillId="6" borderId="1" xfId="0" applyNumberFormat="1" applyFont="1" applyFill="1" applyBorder="1" applyAlignment="1">
      <alignment horizontal="center"/>
    </xf>
    <xf numFmtId="14" fontId="16" fillId="6" borderId="1" xfId="0" applyNumberFormat="1" applyFont="1" applyFill="1" applyBorder="1" applyAlignment="1">
      <alignment horizontal="center"/>
    </xf>
    <xf numFmtId="2" fontId="16" fillId="6" borderId="10" xfId="0" applyNumberFormat="1" applyFont="1" applyFill="1" applyBorder="1" applyAlignment="1">
      <alignment horizontal="center"/>
    </xf>
    <xf numFmtId="9" fontId="16" fillId="6" borderId="1" xfId="1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9" fontId="1" fillId="0" borderId="0" xfId="1" applyFont="1"/>
    <xf numFmtId="9" fontId="1" fillId="0" borderId="0" xfId="1" applyFont="1" applyBorder="1"/>
    <xf numFmtId="9" fontId="16" fillId="13" borderId="0" xfId="1" applyFont="1" applyFill="1" applyBorder="1" applyAlignment="1">
      <alignment horizontal="center"/>
    </xf>
    <xf numFmtId="9" fontId="16" fillId="14" borderId="0" xfId="1" applyFont="1" applyFill="1" applyBorder="1" applyAlignment="1">
      <alignment horizontal="center"/>
    </xf>
    <xf numFmtId="9" fontId="16" fillId="11" borderId="0" xfId="1" applyFont="1" applyFill="1" applyBorder="1" applyAlignment="1">
      <alignment horizontal="center"/>
    </xf>
    <xf numFmtId="9" fontId="16" fillId="6" borderId="0" xfId="1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9" fontId="0" fillId="0" borderId="0" xfId="1" applyFont="1"/>
    <xf numFmtId="9" fontId="16" fillId="13" borderId="1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2" fontId="2" fillId="5" borderId="7" xfId="0" applyNumberFormat="1" applyFont="1" applyFill="1" applyBorder="1" applyAlignment="1">
      <alignment horizontal="center" vertical="center" wrapText="1"/>
    </xf>
    <xf numFmtId="2" fontId="13" fillId="5" borderId="7" xfId="0" applyNumberFormat="1" applyFont="1" applyFill="1" applyBorder="1" applyAlignment="1">
      <alignment horizontal="center" vertical="top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2" fillId="5" borderId="29" xfId="0" applyNumberFormat="1" applyFont="1" applyFill="1" applyBorder="1" applyAlignment="1">
      <alignment horizontal="center" vertical="center" wrapText="1"/>
    </xf>
    <xf numFmtId="2" fontId="2" fillId="5" borderId="30" xfId="0" applyNumberFormat="1" applyFont="1" applyFill="1" applyBorder="1" applyAlignment="1">
      <alignment horizontal="center" vertical="center" wrapText="1"/>
    </xf>
    <xf numFmtId="2" fontId="2" fillId="5" borderId="31" xfId="0" applyNumberFormat="1" applyFont="1" applyFill="1" applyBorder="1" applyAlignment="1">
      <alignment horizontal="center" vertical="center" wrapText="1"/>
    </xf>
    <xf numFmtId="2" fontId="2" fillId="5" borderId="32" xfId="0" applyNumberFormat="1" applyFont="1" applyFill="1" applyBorder="1" applyAlignment="1">
      <alignment horizontal="center" vertical="center" wrapText="1"/>
    </xf>
    <xf numFmtId="2" fontId="2" fillId="5" borderId="3" xfId="0" applyNumberFormat="1" applyFont="1" applyFill="1" applyBorder="1" applyAlignment="1">
      <alignment horizontal="center" vertical="center" wrapText="1"/>
    </xf>
    <xf numFmtId="2" fontId="2" fillId="5" borderId="33" xfId="0" applyNumberFormat="1" applyFont="1" applyFill="1" applyBorder="1" applyAlignment="1">
      <alignment horizontal="center" vertical="center" wrapText="1"/>
    </xf>
    <xf numFmtId="2" fontId="2" fillId="5" borderId="34" xfId="0" applyNumberFormat="1" applyFont="1" applyFill="1" applyBorder="1" applyAlignment="1">
      <alignment horizontal="center" vertical="center" wrapText="1"/>
    </xf>
    <xf numFmtId="2" fontId="13" fillId="5" borderId="35" xfId="0" applyNumberFormat="1" applyFont="1" applyFill="1" applyBorder="1" applyAlignment="1">
      <alignment horizontal="center" vertical="top" wrapText="1"/>
    </xf>
    <xf numFmtId="2" fontId="2" fillId="5" borderId="35" xfId="0" applyNumberFormat="1" applyFont="1" applyFill="1" applyBorder="1" applyAlignment="1">
      <alignment horizontal="center" vertical="center" wrapText="1"/>
    </xf>
    <xf numFmtId="2" fontId="13" fillId="5" borderId="36" xfId="0" applyNumberFormat="1" applyFont="1" applyFill="1" applyBorder="1" applyAlignment="1">
      <alignment horizontal="center" vertical="top" wrapText="1"/>
    </xf>
    <xf numFmtId="2" fontId="2" fillId="5" borderId="8" xfId="0" applyNumberFormat="1" applyFont="1" applyFill="1" applyBorder="1" applyAlignment="1">
      <alignment horizontal="center" vertical="center" wrapText="1"/>
    </xf>
    <xf numFmtId="2" fontId="2" fillId="5" borderId="7" xfId="0" applyNumberFormat="1" applyFont="1" applyFill="1" applyBorder="1" applyAlignment="1">
      <alignment horizontal="center" vertical="top" wrapText="1"/>
    </xf>
    <xf numFmtId="2" fontId="2" fillId="5" borderId="8" xfId="0" applyNumberFormat="1" applyFont="1" applyFill="1" applyBorder="1" applyAlignment="1">
      <alignment horizontal="center" vertical="top" wrapText="1"/>
    </xf>
    <xf numFmtId="0" fontId="2" fillId="0" borderId="37" xfId="0" applyFont="1" applyFill="1" applyBorder="1" applyAlignment="1">
      <alignment horizontal="center" vertical="center" wrapText="1"/>
    </xf>
    <xf numFmtId="2" fontId="2" fillId="0" borderId="37" xfId="0" applyNumberFormat="1" applyFont="1" applyFill="1" applyBorder="1" applyAlignment="1">
      <alignment horizontal="center" vertical="center" wrapText="1"/>
    </xf>
    <xf numFmtId="2" fontId="13" fillId="0" borderId="37" xfId="0" applyNumberFormat="1" applyFont="1" applyFill="1" applyBorder="1" applyAlignment="1">
      <alignment horizontal="center" vertical="top" wrapText="1"/>
    </xf>
    <xf numFmtId="2" fontId="2" fillId="0" borderId="37" xfId="0" applyNumberFormat="1" applyFont="1" applyFill="1" applyBorder="1" applyAlignment="1">
      <alignment horizontal="center" vertical="top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2" fontId="1" fillId="0" borderId="37" xfId="0" applyNumberFormat="1" applyFont="1" applyBorder="1"/>
    <xf numFmtId="14" fontId="1" fillId="0" borderId="37" xfId="0" applyNumberFormat="1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 vertical="center" wrapText="1"/>
    </xf>
    <xf numFmtId="0" fontId="14" fillId="0" borderId="3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/>
    </xf>
    <xf numFmtId="1" fontId="1" fillId="0" borderId="37" xfId="0" applyNumberFormat="1" applyFont="1" applyBorder="1"/>
    <xf numFmtId="0" fontId="1" fillId="0" borderId="37" xfId="0" applyFont="1" applyBorder="1"/>
    <xf numFmtId="2" fontId="0" fillId="8" borderId="0" xfId="0" applyNumberFormat="1" applyFill="1"/>
    <xf numFmtId="0" fontId="0" fillId="0" borderId="37" xfId="0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vertical="center"/>
    </xf>
    <xf numFmtId="2" fontId="1" fillId="0" borderId="37" xfId="0" applyNumberFormat="1" applyFont="1" applyFill="1" applyBorder="1"/>
    <xf numFmtId="1" fontId="1" fillId="0" borderId="37" xfId="0" applyNumberFormat="1" applyFont="1" applyFill="1" applyBorder="1"/>
    <xf numFmtId="0" fontId="1" fillId="0" borderId="38" xfId="0" applyFont="1" applyFill="1" applyBorder="1" applyAlignment="1">
      <alignment horizontal="center"/>
    </xf>
    <xf numFmtId="0" fontId="1" fillId="0" borderId="37" xfId="0" applyFont="1" applyFill="1" applyBorder="1"/>
    <xf numFmtId="2" fontId="1" fillId="0" borderId="37" xfId="0" applyNumberFormat="1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/>
    </xf>
    <xf numFmtId="2" fontId="2" fillId="15" borderId="37" xfId="0" applyNumberFormat="1" applyFont="1" applyFill="1" applyBorder="1" applyAlignment="1">
      <alignment horizontal="center" vertical="center" wrapText="1"/>
    </xf>
    <xf numFmtId="2" fontId="13" fillId="15" borderId="37" xfId="0" applyNumberFormat="1" applyFont="1" applyFill="1" applyBorder="1" applyAlignment="1">
      <alignment horizontal="center" vertical="top" wrapText="1"/>
    </xf>
    <xf numFmtId="0" fontId="1" fillId="15" borderId="37" xfId="0" applyFont="1" applyFill="1" applyBorder="1" applyAlignment="1">
      <alignment vertical="center"/>
    </xf>
    <xf numFmtId="0" fontId="1" fillId="15" borderId="37" xfId="0" applyFont="1" applyFill="1" applyBorder="1"/>
    <xf numFmtId="0" fontId="1" fillId="15" borderId="38" xfId="0" applyFont="1" applyFill="1" applyBorder="1" applyAlignment="1">
      <alignment horizontal="center" vertical="center" wrapText="1"/>
    </xf>
    <xf numFmtId="0" fontId="14" fillId="15" borderId="38" xfId="0" applyFont="1" applyFill="1" applyBorder="1" applyAlignment="1">
      <alignment horizontal="center" vertical="center"/>
    </xf>
    <xf numFmtId="2" fontId="2" fillId="15" borderId="37" xfId="0" applyNumberFormat="1" applyFont="1" applyFill="1" applyBorder="1" applyAlignment="1">
      <alignment horizontal="center" vertical="top" wrapText="1"/>
    </xf>
    <xf numFmtId="0" fontId="2" fillId="15" borderId="38" xfId="0" applyFont="1" applyFill="1" applyBorder="1" applyAlignment="1">
      <alignment horizontal="center"/>
    </xf>
    <xf numFmtId="0" fontId="1" fillId="15" borderId="37" xfId="0" applyFont="1" applyFill="1" applyBorder="1" applyAlignment="1">
      <alignment horizontal="center" vertical="center"/>
    </xf>
    <xf numFmtId="0" fontId="1" fillId="15" borderId="37" xfId="0" applyFont="1" applyFill="1" applyBorder="1" applyAlignment="1">
      <alignment horizontal="center"/>
    </xf>
    <xf numFmtId="0" fontId="12" fillId="0" borderId="0" xfId="0" applyFont="1"/>
    <xf numFmtId="2" fontId="1" fillId="0" borderId="38" xfId="0" applyNumberFormat="1" applyFont="1" applyBorder="1"/>
    <xf numFmtId="0" fontId="2" fillId="0" borderId="38" xfId="0" applyFont="1" applyFill="1" applyBorder="1" applyAlignment="1">
      <alignment horizontal="center" vertical="center" wrapText="1"/>
    </xf>
    <xf numFmtId="0" fontId="0" fillId="0" borderId="41" xfId="0" applyBorder="1"/>
    <xf numFmtId="0" fontId="2" fillId="0" borderId="37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" fillId="0" borderId="37" xfId="0" applyFont="1" applyBorder="1" applyAlignment="1">
      <alignment vertical="center"/>
    </xf>
    <xf numFmtId="0" fontId="2" fillId="0" borderId="37" xfId="0" applyFont="1" applyBorder="1"/>
    <xf numFmtId="0" fontId="2" fillId="15" borderId="37" xfId="0" applyFont="1" applyFill="1" applyBorder="1" applyAlignment="1">
      <alignment vertical="center"/>
    </xf>
    <xf numFmtId="0" fontId="2" fillId="15" borderId="37" xfId="0" applyFont="1" applyFill="1" applyBorder="1"/>
    <xf numFmtId="0" fontId="2" fillId="15" borderId="38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2" fontId="21" fillId="13" borderId="1" xfId="1" applyNumberFormat="1" applyFont="1" applyFill="1" applyBorder="1"/>
    <xf numFmtId="0" fontId="2" fillId="16" borderId="2" xfId="0" applyFont="1" applyFill="1" applyBorder="1" applyAlignment="1">
      <alignment horizontal="center" vertical="center" wrapText="1"/>
    </xf>
    <xf numFmtId="9" fontId="0" fillId="16" borderId="1" xfId="1" applyFont="1" applyFill="1" applyBorder="1"/>
    <xf numFmtId="0" fontId="2" fillId="9" borderId="2" xfId="0" applyFont="1" applyFill="1" applyBorder="1" applyAlignment="1">
      <alignment horizontal="center" vertical="center" wrapText="1"/>
    </xf>
    <xf numFmtId="2" fontId="0" fillId="9" borderId="1" xfId="0" applyNumberForma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2" fillId="0" borderId="0" xfId="0" applyFont="1" applyAlignment="1">
      <alignment horizontal="left" vertical="center" readingOrder="1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0" borderId="39" xfId="0" applyBorder="1"/>
    <xf numFmtId="0" fontId="0" fillId="0" borderId="26" xfId="0" applyBorder="1"/>
    <xf numFmtId="0" fontId="0" fillId="0" borderId="3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24" fillId="0" borderId="0" xfId="3"/>
    <xf numFmtId="9" fontId="24" fillId="0" borderId="0" xfId="4" applyFont="1"/>
    <xf numFmtId="0" fontId="1" fillId="0" borderId="37" xfId="0" applyFont="1" applyBorder="1" applyAlignment="1">
      <alignment horizontal="center"/>
    </xf>
    <xf numFmtId="0" fontId="0" fillId="0" borderId="0" xfId="0" applyFont="1"/>
    <xf numFmtId="9" fontId="0" fillId="0" borderId="20" xfId="1" applyFont="1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36" xfId="5" applyNumberFormat="1" applyFont="1" applyBorder="1" applyAlignment="1">
      <alignment horizontal="center"/>
    </xf>
    <xf numFmtId="49" fontId="0" fillId="0" borderId="20" xfId="5" applyNumberFormat="1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9" fontId="0" fillId="0" borderId="16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49" fontId="0" fillId="0" borderId="40" xfId="5" applyNumberFormat="1" applyFont="1" applyBorder="1" applyAlignment="1">
      <alignment horizontal="center"/>
    </xf>
    <xf numFmtId="49" fontId="0" fillId="0" borderId="16" xfId="5" applyNumberFormat="1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49" fontId="0" fillId="0" borderId="36" xfId="0" applyNumberFormat="1" applyBorder="1"/>
    <xf numFmtId="49" fontId="0" fillId="0" borderId="20" xfId="0" applyNumberFormat="1" applyBorder="1"/>
    <xf numFmtId="14" fontId="0" fillId="0" borderId="40" xfId="0" applyNumberFormat="1" applyBorder="1"/>
    <xf numFmtId="14" fontId="0" fillId="0" borderId="16" xfId="0" applyNumberFormat="1" applyBorder="1"/>
    <xf numFmtId="0" fontId="25" fillId="0" borderId="19" xfId="0" applyFont="1" applyBorder="1" applyAlignment="1">
      <alignment horizontal="left"/>
    </xf>
    <xf numFmtId="14" fontId="0" fillId="0" borderId="36" xfId="0" applyNumberFormat="1" applyBorder="1"/>
    <xf numFmtId="14" fontId="0" fillId="0" borderId="20" xfId="0" applyNumberFormat="1" applyBorder="1"/>
    <xf numFmtId="49" fontId="0" fillId="0" borderId="16" xfId="0" applyNumberFormat="1" applyBorder="1"/>
    <xf numFmtId="49" fontId="26" fillId="0" borderId="19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49" fontId="26" fillId="0" borderId="20" xfId="0" applyNumberFormat="1" applyFont="1" applyBorder="1" applyAlignment="1">
      <alignment horizontal="left" vertical="center"/>
    </xf>
    <xf numFmtId="14" fontId="0" fillId="0" borderId="13" xfId="0" applyNumberFormat="1" applyBorder="1"/>
    <xf numFmtId="49" fontId="0" fillId="0" borderId="18" xfId="0" applyNumberFormat="1" applyBorder="1"/>
    <xf numFmtId="9" fontId="0" fillId="0" borderId="19" xfId="1" applyFon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14" fontId="0" fillId="0" borderId="0" xfId="0" applyNumberFormat="1" applyBorder="1"/>
    <xf numFmtId="14" fontId="0" fillId="0" borderId="19" xfId="0" applyNumberFormat="1" applyBorder="1"/>
    <xf numFmtId="49" fontId="0" fillId="0" borderId="19" xfId="5" applyNumberFormat="1" applyFont="1" applyBorder="1" applyAlignment="1">
      <alignment horizontal="center"/>
    </xf>
    <xf numFmtId="49" fontId="0" fillId="0" borderId="0" xfId="0" applyNumberFormat="1" applyBorder="1"/>
    <xf numFmtId="49" fontId="26" fillId="0" borderId="16" xfId="0" applyNumberFormat="1" applyFont="1" applyBorder="1" applyAlignment="1">
      <alignment horizontal="left" vertical="center"/>
    </xf>
    <xf numFmtId="0" fontId="20" fillId="17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3" fillId="0" borderId="0" xfId="0" applyFont="1" applyBorder="1" applyAlignment="1">
      <alignment horizontal="center" vertical="center" wrapText="1"/>
    </xf>
    <xf numFmtId="2" fontId="1" fillId="0" borderId="38" xfId="0" applyNumberFormat="1" applyFont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2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2" fillId="3" borderId="10" xfId="2" applyFont="1" applyFill="1" applyBorder="1" applyAlignment="1">
      <alignment horizontal="center" vertical="center" wrapText="1"/>
    </xf>
    <xf numFmtId="165" fontId="2" fillId="3" borderId="25" xfId="2" applyFont="1" applyFill="1" applyBorder="1" applyAlignment="1">
      <alignment horizontal="center" vertical="center" wrapText="1"/>
    </xf>
    <xf numFmtId="165" fontId="2" fillId="3" borderId="21" xfId="2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top"/>
    </xf>
    <xf numFmtId="0" fontId="0" fillId="0" borderId="37" xfId="0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top"/>
    </xf>
    <xf numFmtId="0" fontId="2" fillId="0" borderId="37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8" borderId="38" xfId="0" applyFont="1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2" fillId="19" borderId="38" xfId="0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 wrapText="1"/>
    </xf>
    <xf numFmtId="0" fontId="2" fillId="19" borderId="5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top"/>
    </xf>
    <xf numFmtId="0" fontId="2" fillId="8" borderId="3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0" fillId="17" borderId="16" xfId="0" applyFont="1" applyFill="1" applyBorder="1" applyAlignment="1">
      <alignment horizontal="center" vertical="center"/>
    </xf>
    <xf numFmtId="0" fontId="20" fillId="17" borderId="19" xfId="0" applyFont="1" applyFill="1" applyBorder="1" applyAlignment="1">
      <alignment horizontal="center" vertical="center"/>
    </xf>
    <xf numFmtId="0" fontId="20" fillId="17" borderId="20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0" fillId="17" borderId="10" xfId="0" applyFont="1" applyFill="1" applyBorder="1" applyAlignment="1">
      <alignment horizontal="center" vertical="center"/>
    </xf>
    <xf numFmtId="0" fontId="20" fillId="17" borderId="25" xfId="0" applyFont="1" applyFill="1" applyBorder="1" applyAlignment="1">
      <alignment horizontal="center" vertical="center"/>
    </xf>
    <xf numFmtId="0" fontId="20" fillId="17" borderId="21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6">
    <cellStyle name="Comma" xfId="2" builtinId="3"/>
    <cellStyle name="Currency" xfId="5" builtinId="4"/>
    <cellStyle name="Normal" xfId="0" builtinId="0"/>
    <cellStyle name="Normal 2" xfId="3"/>
    <cellStyle name="Percent" xfId="1" builtinId="5"/>
    <cellStyle name="Percent 2" xfId="4"/>
  </cellStyles>
  <dxfs count="4"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78</xdr:row>
          <xdr:rowOff>238125</xdr:rowOff>
        </xdr:from>
        <xdr:to>
          <xdr:col>11</xdr:col>
          <xdr:colOff>751115</xdr:colOff>
          <xdr:row>85</xdr:row>
          <xdr:rowOff>183696</xdr:rowOff>
        </xdr:to>
        <xdr:pic>
          <xdr:nvPicPr>
            <xdr:cNvPr id="4" name="รูปภาพ 3"/>
            <xdr:cNvPicPr>
              <a:picLocks noChangeAspect="1" noChangeArrowheads="1"/>
              <a:extLst>
                <a:ext uri="{84589F7E-364E-4C9E-8A38-B11213B215E9}">
                  <a14:cameraTool cellRange="$F$73:$L$78" spid="_x0000_s12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520543" y="25275268"/>
              <a:ext cx="8177893" cy="204107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76</xdr:row>
          <xdr:rowOff>133350</xdr:rowOff>
        </xdr:from>
        <xdr:to>
          <xdr:col>16</xdr:col>
          <xdr:colOff>209550</xdr:colOff>
          <xdr:row>91</xdr:row>
          <xdr:rowOff>66675</xdr:rowOff>
        </xdr:to>
        <xdr:pic>
          <xdr:nvPicPr>
            <xdr:cNvPr id="7" name="รูปภาพ 6"/>
            <xdr:cNvPicPr>
              <a:picLocks noChangeAspect="1" noChangeArrowheads="1"/>
              <a:extLst>
                <a:ext uri="{84589F7E-364E-4C9E-8A38-B11213B215E9}">
                  <a14:cameraTool cellRange="$D$64:$N$71" spid="_x0000_s72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29025" y="22345650"/>
              <a:ext cx="9229725" cy="26479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27</xdr:row>
          <xdr:rowOff>9525</xdr:rowOff>
        </xdr:from>
        <xdr:to>
          <xdr:col>25</xdr:col>
          <xdr:colOff>57899</xdr:colOff>
          <xdr:row>49</xdr:row>
          <xdr:rowOff>30929</xdr:rowOff>
        </xdr:to>
        <xdr:pic>
          <xdr:nvPicPr>
            <xdr:cNvPr id="4" name="รูปภาพ 3"/>
            <xdr:cNvPicPr>
              <a:picLocks noChangeAspect="1" noChangeArrowheads="1"/>
              <a:extLst>
                <a:ext uri="{84589F7E-364E-4C9E-8A38-B11213B215E9}">
                  <a14:cameraTool cellRange="$A$9:$O$24" spid="_x0000_s82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07337" y="7950592"/>
              <a:ext cx="13880815" cy="50728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344365</xdr:colOff>
      <xdr:row>6</xdr:row>
      <xdr:rowOff>7327</xdr:rowOff>
    </xdr:from>
    <xdr:to>
      <xdr:col>10</xdr:col>
      <xdr:colOff>42519</xdr:colOff>
      <xdr:row>7</xdr:row>
      <xdr:rowOff>0</xdr:rowOff>
    </xdr:to>
    <xdr:sp macro="" textlink="">
      <xdr:nvSpPr>
        <xdr:cNvPr id="12" name="สี่เหลี่ยมผืนผ้า 11"/>
        <xdr:cNvSpPr/>
      </xdr:nvSpPr>
      <xdr:spPr>
        <a:xfrm>
          <a:off x="1399442" y="2161442"/>
          <a:ext cx="2160000" cy="3516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10</xdr:col>
      <xdr:colOff>43960</xdr:colOff>
      <xdr:row>4</xdr:row>
      <xdr:rowOff>5443</xdr:rowOff>
    </xdr:from>
    <xdr:to>
      <xdr:col>12</xdr:col>
      <xdr:colOff>17375</xdr:colOff>
      <xdr:row>4</xdr:row>
      <xdr:rowOff>362789</xdr:rowOff>
    </xdr:to>
    <xdr:sp macro="" textlink="">
      <xdr:nvSpPr>
        <xdr:cNvPr id="14" name="สี่เหลี่ยมผืนผ้า 13"/>
        <xdr:cNvSpPr/>
      </xdr:nvSpPr>
      <xdr:spPr>
        <a:xfrm>
          <a:off x="3581817" y="1464129"/>
          <a:ext cx="680987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19</xdr:col>
      <xdr:colOff>24283</xdr:colOff>
      <xdr:row>1</xdr:row>
      <xdr:rowOff>4817</xdr:rowOff>
    </xdr:from>
    <xdr:to>
      <xdr:col>20</xdr:col>
      <xdr:colOff>73698</xdr:colOff>
      <xdr:row>1</xdr:row>
      <xdr:rowOff>362162</xdr:rowOff>
    </xdr:to>
    <xdr:sp macro="" textlink="">
      <xdr:nvSpPr>
        <xdr:cNvPr id="15" name="สี่เหลี่ยมผืนผ้า 14"/>
        <xdr:cNvSpPr/>
      </xdr:nvSpPr>
      <xdr:spPr>
        <a:xfrm>
          <a:off x="6746212" y="369488"/>
          <a:ext cx="403200" cy="357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900">
              <a:solidFill>
                <a:sysClr val="windowText" lastClr="000000"/>
              </a:solidFill>
            </a:rPr>
            <a:t>1.12</a:t>
          </a:r>
        </a:p>
      </xdr:txBody>
    </xdr:sp>
    <xdr:clientData/>
  </xdr:twoCellAnchor>
  <xdr:twoCellAnchor>
    <xdr:from>
      <xdr:col>12</xdr:col>
      <xdr:colOff>21351</xdr:colOff>
      <xdr:row>3</xdr:row>
      <xdr:rowOff>2510</xdr:rowOff>
    </xdr:from>
    <xdr:to>
      <xdr:col>19</xdr:col>
      <xdr:colOff>10851</xdr:colOff>
      <xdr:row>3</xdr:row>
      <xdr:rowOff>359856</xdr:rowOff>
    </xdr:to>
    <xdr:sp macro="" textlink="">
      <xdr:nvSpPr>
        <xdr:cNvPr id="16" name="สี่เหลี่ยมผืนผ้า 15"/>
        <xdr:cNvSpPr/>
      </xdr:nvSpPr>
      <xdr:spPr>
        <a:xfrm>
          <a:off x="4266780" y="1096524"/>
          <a:ext cx="2466000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6.85</a:t>
          </a:r>
        </a:p>
      </xdr:txBody>
    </xdr:sp>
    <xdr:clientData/>
  </xdr:twoCellAnchor>
  <xdr:twoCellAnchor>
    <xdr:from>
      <xdr:col>10</xdr:col>
      <xdr:colOff>51498</xdr:colOff>
      <xdr:row>6</xdr:row>
      <xdr:rowOff>4814</xdr:rowOff>
    </xdr:from>
    <xdr:to>
      <xdr:col>16</xdr:col>
      <xdr:colOff>268784</xdr:colOff>
      <xdr:row>6</xdr:row>
      <xdr:rowOff>362159</xdr:rowOff>
    </xdr:to>
    <xdr:sp macro="" textlink="">
      <xdr:nvSpPr>
        <xdr:cNvPr id="17" name="สี่เหลี่ยมผืนผ้า 16"/>
        <xdr:cNvSpPr/>
      </xdr:nvSpPr>
      <xdr:spPr>
        <a:xfrm>
          <a:off x="3613020" y="2191423"/>
          <a:ext cx="2354199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6.5</a:t>
          </a:r>
        </a:p>
      </xdr:txBody>
    </xdr:sp>
    <xdr:clientData/>
  </xdr:twoCellAnchor>
  <xdr:twoCellAnchor>
    <xdr:from>
      <xdr:col>16</xdr:col>
      <xdr:colOff>274656</xdr:colOff>
      <xdr:row>4</xdr:row>
      <xdr:rowOff>7889</xdr:rowOff>
    </xdr:from>
    <xdr:to>
      <xdr:col>18</xdr:col>
      <xdr:colOff>197084</xdr:colOff>
      <xdr:row>5</xdr:row>
      <xdr:rowOff>562</xdr:rowOff>
    </xdr:to>
    <xdr:sp macro="" textlink="">
      <xdr:nvSpPr>
        <xdr:cNvPr id="18" name="สี่เหลี่ยมผืนผ้า 17"/>
        <xdr:cNvSpPr/>
      </xdr:nvSpPr>
      <xdr:spPr>
        <a:xfrm>
          <a:off x="5973091" y="1465628"/>
          <a:ext cx="634732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1.75</a:t>
          </a:r>
        </a:p>
      </xdr:txBody>
    </xdr:sp>
    <xdr:clientData/>
  </xdr:twoCellAnchor>
  <xdr:twoCellAnchor>
    <xdr:from>
      <xdr:col>25</xdr:col>
      <xdr:colOff>7957</xdr:colOff>
      <xdr:row>1</xdr:row>
      <xdr:rowOff>4815</xdr:rowOff>
    </xdr:from>
    <xdr:to>
      <xdr:col>25</xdr:col>
      <xdr:colOff>349957</xdr:colOff>
      <xdr:row>1</xdr:row>
      <xdr:rowOff>362160</xdr:rowOff>
    </xdr:to>
    <xdr:sp macro="" textlink="">
      <xdr:nvSpPr>
        <xdr:cNvPr id="19" name="สี่เหลี่ยมผืนผ้า 18"/>
        <xdr:cNvSpPr/>
      </xdr:nvSpPr>
      <xdr:spPr>
        <a:xfrm>
          <a:off x="8911761" y="369250"/>
          <a:ext cx="342000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600">
              <a:solidFill>
                <a:sysClr val="windowText" lastClr="000000"/>
              </a:solidFill>
            </a:rPr>
            <a:t>0.95</a:t>
          </a:r>
        </a:p>
      </xdr:txBody>
    </xdr:sp>
    <xdr:clientData/>
  </xdr:twoCellAnchor>
  <xdr:twoCellAnchor>
    <xdr:from>
      <xdr:col>19</xdr:col>
      <xdr:colOff>18841</xdr:colOff>
      <xdr:row>2</xdr:row>
      <xdr:rowOff>364043</xdr:rowOff>
    </xdr:from>
    <xdr:to>
      <xdr:col>25</xdr:col>
      <xdr:colOff>12927</xdr:colOff>
      <xdr:row>3</xdr:row>
      <xdr:rowOff>356717</xdr:rowOff>
    </xdr:to>
    <xdr:sp macro="" textlink="">
      <xdr:nvSpPr>
        <xdr:cNvPr id="20" name="สี่เหลี่ยมผืนผ้า 19"/>
        <xdr:cNvSpPr/>
      </xdr:nvSpPr>
      <xdr:spPr>
        <a:xfrm>
          <a:off x="6785732" y="1092913"/>
          <a:ext cx="2130999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5.88</a:t>
          </a:r>
        </a:p>
      </xdr:txBody>
    </xdr:sp>
    <xdr:clientData/>
  </xdr:twoCellAnchor>
  <xdr:twoCellAnchor>
    <xdr:from>
      <xdr:col>16</xdr:col>
      <xdr:colOff>274655</xdr:colOff>
      <xdr:row>6</xdr:row>
      <xdr:rowOff>4811</xdr:rowOff>
    </xdr:from>
    <xdr:to>
      <xdr:col>27</xdr:col>
      <xdr:colOff>184612</xdr:colOff>
      <xdr:row>6</xdr:row>
      <xdr:rowOff>362156</xdr:rowOff>
    </xdr:to>
    <xdr:sp macro="" textlink="">
      <xdr:nvSpPr>
        <xdr:cNvPr id="22" name="สี่เหลี่ยมผืนผ้า 21"/>
        <xdr:cNvSpPr/>
      </xdr:nvSpPr>
      <xdr:spPr>
        <a:xfrm>
          <a:off x="5935226" y="2192840"/>
          <a:ext cx="3801600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10.56</a:t>
          </a:r>
        </a:p>
      </xdr:txBody>
    </xdr:sp>
    <xdr:clientData/>
  </xdr:twoCellAnchor>
  <xdr:twoCellAnchor>
    <xdr:from>
      <xdr:col>32</xdr:col>
      <xdr:colOff>312755</xdr:colOff>
      <xdr:row>1</xdr:row>
      <xdr:rowOff>4809</xdr:rowOff>
    </xdr:from>
    <xdr:to>
      <xdr:col>34</xdr:col>
      <xdr:colOff>307184</xdr:colOff>
      <xdr:row>1</xdr:row>
      <xdr:rowOff>362154</xdr:rowOff>
    </xdr:to>
    <xdr:sp macro="" textlink="">
      <xdr:nvSpPr>
        <xdr:cNvPr id="24" name="สี่เหลี่ยมผืนผ้า 23"/>
        <xdr:cNvSpPr/>
      </xdr:nvSpPr>
      <xdr:spPr>
        <a:xfrm>
          <a:off x="11633898" y="369480"/>
          <a:ext cx="702000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1.95</a:t>
          </a:r>
        </a:p>
      </xdr:txBody>
    </xdr:sp>
    <xdr:clientData/>
  </xdr:twoCellAnchor>
  <xdr:twoCellAnchor>
    <xdr:from>
      <xdr:col>27</xdr:col>
      <xdr:colOff>187569</xdr:colOff>
      <xdr:row>3</xdr:row>
      <xdr:rowOff>4807</xdr:rowOff>
    </xdr:from>
    <xdr:to>
      <xdr:col>32</xdr:col>
      <xdr:colOff>308640</xdr:colOff>
      <xdr:row>3</xdr:row>
      <xdr:rowOff>362152</xdr:rowOff>
    </xdr:to>
    <xdr:sp macro="" textlink="">
      <xdr:nvSpPr>
        <xdr:cNvPr id="25" name="สี่เหลี่ยมผืนผ้า 24"/>
        <xdr:cNvSpPr/>
      </xdr:nvSpPr>
      <xdr:spPr>
        <a:xfrm>
          <a:off x="9739783" y="1098821"/>
          <a:ext cx="1890000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5.25</a:t>
          </a:r>
        </a:p>
      </xdr:txBody>
    </xdr:sp>
    <xdr:clientData/>
  </xdr:twoCellAnchor>
  <xdr:twoCellAnchor>
    <xdr:from>
      <xdr:col>27</xdr:col>
      <xdr:colOff>187570</xdr:colOff>
      <xdr:row>6</xdr:row>
      <xdr:rowOff>4812</xdr:rowOff>
    </xdr:from>
    <xdr:to>
      <xdr:col>31</xdr:col>
      <xdr:colOff>133227</xdr:colOff>
      <xdr:row>6</xdr:row>
      <xdr:rowOff>362157</xdr:rowOff>
    </xdr:to>
    <xdr:sp macro="" textlink="">
      <xdr:nvSpPr>
        <xdr:cNvPr id="30" name="สี่เหลี่ยมผืนผ้า 29"/>
        <xdr:cNvSpPr/>
      </xdr:nvSpPr>
      <xdr:spPr>
        <a:xfrm>
          <a:off x="9739784" y="2192841"/>
          <a:ext cx="1360800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3.78</a:t>
          </a:r>
        </a:p>
      </xdr:txBody>
    </xdr:sp>
    <xdr:clientData/>
  </xdr:twoCellAnchor>
  <xdr:twoCellAnchor>
    <xdr:from>
      <xdr:col>32</xdr:col>
      <xdr:colOff>318198</xdr:colOff>
      <xdr:row>2</xdr:row>
      <xdr:rowOff>364041</xdr:rowOff>
    </xdr:from>
    <xdr:to>
      <xdr:col>34</xdr:col>
      <xdr:colOff>211827</xdr:colOff>
      <xdr:row>3</xdr:row>
      <xdr:rowOff>356715</xdr:rowOff>
    </xdr:to>
    <xdr:sp macro="" textlink="">
      <xdr:nvSpPr>
        <xdr:cNvPr id="31" name="สี่เหลี่ยมผืนผ้า 30"/>
        <xdr:cNvSpPr/>
      </xdr:nvSpPr>
      <xdr:spPr>
        <a:xfrm>
          <a:off x="11639341" y="1093384"/>
          <a:ext cx="601200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1.67</a:t>
          </a:r>
        </a:p>
      </xdr:txBody>
    </xdr:sp>
    <xdr:clientData/>
  </xdr:twoCellAnchor>
  <xdr:twoCellAnchor>
    <xdr:from>
      <xdr:col>34</xdr:col>
      <xdr:colOff>307312</xdr:colOff>
      <xdr:row>1</xdr:row>
      <xdr:rowOff>4812</xdr:rowOff>
    </xdr:from>
    <xdr:to>
      <xdr:col>35</xdr:col>
      <xdr:colOff>205526</xdr:colOff>
      <xdr:row>1</xdr:row>
      <xdr:rowOff>362157</xdr:rowOff>
    </xdr:to>
    <xdr:sp macro="" textlink="">
      <xdr:nvSpPr>
        <xdr:cNvPr id="32" name="สี่เหลี่ยมผืนผ้า 31"/>
        <xdr:cNvSpPr/>
      </xdr:nvSpPr>
      <xdr:spPr>
        <a:xfrm>
          <a:off x="12336026" y="369483"/>
          <a:ext cx="252000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</a:t>
          </a:r>
        </a:p>
      </xdr:txBody>
    </xdr:sp>
    <xdr:clientData/>
  </xdr:twoCellAnchor>
  <xdr:twoCellAnchor>
    <xdr:from>
      <xdr:col>31</xdr:col>
      <xdr:colOff>130301</xdr:colOff>
      <xdr:row>6</xdr:row>
      <xdr:rowOff>6705</xdr:rowOff>
    </xdr:from>
    <xdr:to>
      <xdr:col>31</xdr:col>
      <xdr:colOff>346301</xdr:colOff>
      <xdr:row>6</xdr:row>
      <xdr:rowOff>363814</xdr:rowOff>
    </xdr:to>
    <xdr:sp macro="" textlink="">
      <xdr:nvSpPr>
        <xdr:cNvPr id="33" name="สี่เหลี่ยมผืนผ้า 32"/>
        <xdr:cNvSpPr/>
      </xdr:nvSpPr>
      <xdr:spPr>
        <a:xfrm>
          <a:off x="11171018" y="2193314"/>
          <a:ext cx="216000" cy="357109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0.6</a:t>
          </a:r>
        </a:p>
      </xdr:txBody>
    </xdr:sp>
    <xdr:clientData/>
  </xdr:twoCellAnchor>
  <xdr:twoCellAnchor>
    <xdr:from>
      <xdr:col>31</xdr:col>
      <xdr:colOff>340443</xdr:colOff>
      <xdr:row>5</xdr:row>
      <xdr:rowOff>1027</xdr:rowOff>
    </xdr:from>
    <xdr:to>
      <xdr:col>33</xdr:col>
      <xdr:colOff>34938</xdr:colOff>
      <xdr:row>5</xdr:row>
      <xdr:rowOff>358135</xdr:rowOff>
    </xdr:to>
    <xdr:sp macro="" textlink="">
      <xdr:nvSpPr>
        <xdr:cNvPr id="34" name="สี่เหลี่ยมผืนผ้า 33"/>
        <xdr:cNvSpPr/>
      </xdr:nvSpPr>
      <xdr:spPr>
        <a:xfrm>
          <a:off x="11381160" y="1823201"/>
          <a:ext cx="406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1.13</a:t>
          </a:r>
        </a:p>
      </xdr:txBody>
    </xdr:sp>
    <xdr:clientData/>
  </xdr:twoCellAnchor>
  <xdr:twoCellAnchor>
    <xdr:from>
      <xdr:col>33</xdr:col>
      <xdr:colOff>29017</xdr:colOff>
      <xdr:row>4</xdr:row>
      <xdr:rowOff>6707</xdr:rowOff>
    </xdr:from>
    <xdr:to>
      <xdr:col>34</xdr:col>
      <xdr:colOff>115665</xdr:colOff>
      <xdr:row>4</xdr:row>
      <xdr:rowOff>363815</xdr:rowOff>
    </xdr:to>
    <xdr:sp macro="" textlink="">
      <xdr:nvSpPr>
        <xdr:cNvPr id="35" name="สี่เหลี่ยมผืนผ้า 34"/>
        <xdr:cNvSpPr/>
      </xdr:nvSpPr>
      <xdr:spPr>
        <a:xfrm>
          <a:off x="11782039" y="1464446"/>
          <a:ext cx="442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1.23</a:t>
          </a:r>
        </a:p>
      </xdr:txBody>
    </xdr:sp>
    <xdr:clientData/>
  </xdr:twoCellAnchor>
  <xdr:twoCellAnchor>
    <xdr:from>
      <xdr:col>34</xdr:col>
      <xdr:colOff>135745</xdr:colOff>
      <xdr:row>1</xdr:row>
      <xdr:rowOff>362863</xdr:rowOff>
    </xdr:from>
    <xdr:to>
      <xdr:col>38</xdr:col>
      <xdr:colOff>205136</xdr:colOff>
      <xdr:row>2</xdr:row>
      <xdr:rowOff>355536</xdr:rowOff>
    </xdr:to>
    <xdr:sp macro="" textlink="">
      <xdr:nvSpPr>
        <xdr:cNvPr id="36" name="สี่เหลี่ยมผืนผ้า 35"/>
        <xdr:cNvSpPr/>
      </xdr:nvSpPr>
      <xdr:spPr>
        <a:xfrm>
          <a:off x="12244919" y="727298"/>
          <a:ext cx="14940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4.15</a:t>
          </a:r>
        </a:p>
      </xdr:txBody>
    </xdr:sp>
    <xdr:clientData/>
  </xdr:twoCellAnchor>
  <xdr:twoCellAnchor>
    <xdr:from>
      <xdr:col>38</xdr:col>
      <xdr:colOff>201768</xdr:colOff>
      <xdr:row>1</xdr:row>
      <xdr:rowOff>1501</xdr:rowOff>
    </xdr:from>
    <xdr:to>
      <xdr:col>39</xdr:col>
      <xdr:colOff>126416</xdr:colOff>
      <xdr:row>1</xdr:row>
      <xdr:rowOff>358609</xdr:rowOff>
    </xdr:to>
    <xdr:sp macro="" textlink="">
      <xdr:nvSpPr>
        <xdr:cNvPr id="37" name="สี่เหลี่ยมผืนผ้า 36"/>
        <xdr:cNvSpPr/>
      </xdr:nvSpPr>
      <xdr:spPr>
        <a:xfrm>
          <a:off x="13735551" y="365936"/>
          <a:ext cx="280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0.78</a:t>
          </a:r>
        </a:p>
      </xdr:txBody>
    </xdr:sp>
    <xdr:clientData/>
  </xdr:twoCellAnchor>
  <xdr:twoCellAnchor>
    <xdr:from>
      <xdr:col>32</xdr:col>
      <xdr:colOff>17895</xdr:colOff>
      <xdr:row>6</xdr:row>
      <xdr:rowOff>7888</xdr:rowOff>
    </xdr:from>
    <xdr:to>
      <xdr:col>37</xdr:col>
      <xdr:colOff>184735</xdr:colOff>
      <xdr:row>7</xdr:row>
      <xdr:rowOff>562</xdr:rowOff>
    </xdr:to>
    <xdr:sp macro="" textlink="">
      <xdr:nvSpPr>
        <xdr:cNvPr id="38" name="สี่เหลี่ยมผืนผ้า 37"/>
        <xdr:cNvSpPr/>
      </xdr:nvSpPr>
      <xdr:spPr>
        <a:xfrm>
          <a:off x="11414765" y="2194497"/>
          <a:ext cx="19476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5.41</a:t>
          </a:r>
        </a:p>
      </xdr:txBody>
    </xdr:sp>
    <xdr:clientData/>
  </xdr:twoCellAnchor>
  <xdr:twoCellAnchor>
    <xdr:from>
      <xdr:col>37</xdr:col>
      <xdr:colOff>191832</xdr:colOff>
      <xdr:row>4</xdr:row>
      <xdr:rowOff>364041</xdr:rowOff>
    </xdr:from>
    <xdr:to>
      <xdr:col>39</xdr:col>
      <xdr:colOff>156327</xdr:colOff>
      <xdr:row>5</xdr:row>
      <xdr:rowOff>356714</xdr:rowOff>
    </xdr:to>
    <xdr:sp macro="" textlink="">
      <xdr:nvSpPr>
        <xdr:cNvPr id="39" name="สี่เหลี่ยมผืนผ้า 38"/>
        <xdr:cNvSpPr/>
      </xdr:nvSpPr>
      <xdr:spPr>
        <a:xfrm>
          <a:off x="13369462" y="1821780"/>
          <a:ext cx="676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39</xdr:col>
      <xdr:colOff>175265</xdr:colOff>
      <xdr:row>4</xdr:row>
      <xdr:rowOff>7888</xdr:rowOff>
    </xdr:from>
    <xdr:to>
      <xdr:col>42</xdr:col>
      <xdr:colOff>14009</xdr:colOff>
      <xdr:row>5</xdr:row>
      <xdr:rowOff>561</xdr:rowOff>
    </xdr:to>
    <xdr:sp macro="" textlink="">
      <xdr:nvSpPr>
        <xdr:cNvPr id="40" name="สี่เหลี่ยมผืนผ้า 39"/>
        <xdr:cNvSpPr/>
      </xdr:nvSpPr>
      <xdr:spPr>
        <a:xfrm>
          <a:off x="14065200" y="1465627"/>
          <a:ext cx="9072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2.52</a:t>
          </a:r>
        </a:p>
      </xdr:txBody>
    </xdr:sp>
    <xdr:clientData/>
  </xdr:twoCellAnchor>
  <xdr:twoCellAnchor>
    <xdr:from>
      <xdr:col>42</xdr:col>
      <xdr:colOff>34461</xdr:colOff>
      <xdr:row>2</xdr:row>
      <xdr:rowOff>7874</xdr:rowOff>
    </xdr:from>
    <xdr:to>
      <xdr:col>50</xdr:col>
      <xdr:colOff>148043</xdr:colOff>
      <xdr:row>3</xdr:row>
      <xdr:rowOff>548</xdr:rowOff>
    </xdr:to>
    <xdr:sp macro="" textlink="">
      <xdr:nvSpPr>
        <xdr:cNvPr id="41" name="สี่เหลี่ยมผืนผ้า 40"/>
        <xdr:cNvSpPr/>
      </xdr:nvSpPr>
      <xdr:spPr>
        <a:xfrm>
          <a:off x="14992852" y="736744"/>
          <a:ext cx="2962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8.23</a:t>
          </a:r>
        </a:p>
      </xdr:txBody>
    </xdr:sp>
    <xdr:clientData/>
  </xdr:twoCellAnchor>
  <xdr:twoCellAnchor>
    <xdr:from>
      <xdr:col>50</xdr:col>
      <xdr:colOff>166982</xdr:colOff>
      <xdr:row>1</xdr:row>
      <xdr:rowOff>7888</xdr:rowOff>
    </xdr:from>
    <xdr:to>
      <xdr:col>51</xdr:col>
      <xdr:colOff>271630</xdr:colOff>
      <xdr:row>2</xdr:row>
      <xdr:rowOff>561</xdr:rowOff>
    </xdr:to>
    <xdr:sp macro="" textlink="">
      <xdr:nvSpPr>
        <xdr:cNvPr id="42" name="สี่เหลี่ยมผืนผ้า 41"/>
        <xdr:cNvSpPr/>
      </xdr:nvSpPr>
      <xdr:spPr>
        <a:xfrm>
          <a:off x="17974591" y="372323"/>
          <a:ext cx="460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1.28</a:t>
          </a:r>
        </a:p>
      </xdr:txBody>
    </xdr:sp>
    <xdr:clientData/>
  </xdr:twoCellAnchor>
  <xdr:twoCellAnchor>
    <xdr:from>
      <xdr:col>7</xdr:col>
      <xdr:colOff>312518</xdr:colOff>
      <xdr:row>15</xdr:row>
      <xdr:rowOff>6704</xdr:rowOff>
    </xdr:from>
    <xdr:to>
      <xdr:col>8</xdr:col>
      <xdr:colOff>172366</xdr:colOff>
      <xdr:row>15</xdr:row>
      <xdr:rowOff>363813</xdr:rowOff>
    </xdr:to>
    <xdr:sp macro="" textlink="">
      <xdr:nvSpPr>
        <xdr:cNvPr id="43" name="สี่เหลี่ยมผืนผ้า 42"/>
        <xdr:cNvSpPr/>
      </xdr:nvSpPr>
      <xdr:spPr>
        <a:xfrm>
          <a:off x="2805583" y="5473226"/>
          <a:ext cx="216000" cy="357109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0.6</a:t>
          </a:r>
        </a:p>
      </xdr:txBody>
    </xdr:sp>
    <xdr:clientData/>
  </xdr:twoCellAnchor>
  <xdr:twoCellAnchor>
    <xdr:from>
      <xdr:col>8</xdr:col>
      <xdr:colOff>191356</xdr:colOff>
      <xdr:row>14</xdr:row>
      <xdr:rowOff>17592</xdr:rowOff>
    </xdr:from>
    <xdr:to>
      <xdr:col>9</xdr:col>
      <xdr:colOff>242003</xdr:colOff>
      <xdr:row>15</xdr:row>
      <xdr:rowOff>10265</xdr:rowOff>
    </xdr:to>
    <xdr:sp macro="" textlink="">
      <xdr:nvSpPr>
        <xdr:cNvPr id="44" name="สี่เหลี่ยมผืนผ้า 43"/>
        <xdr:cNvSpPr/>
      </xdr:nvSpPr>
      <xdr:spPr>
        <a:xfrm>
          <a:off x="3040573" y="5119679"/>
          <a:ext cx="406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1.13</a:t>
          </a:r>
        </a:p>
      </xdr:txBody>
    </xdr:sp>
    <xdr:clientData/>
  </xdr:twoCellAnchor>
  <xdr:twoCellAnchor>
    <xdr:from>
      <xdr:col>9</xdr:col>
      <xdr:colOff>236082</xdr:colOff>
      <xdr:row>13</xdr:row>
      <xdr:rowOff>6707</xdr:rowOff>
    </xdr:from>
    <xdr:to>
      <xdr:col>10</xdr:col>
      <xdr:colOff>322730</xdr:colOff>
      <xdr:row>13</xdr:row>
      <xdr:rowOff>363815</xdr:rowOff>
    </xdr:to>
    <xdr:sp macro="" textlink="">
      <xdr:nvSpPr>
        <xdr:cNvPr id="45" name="สี่เหลี่ยมผืนผ้า 44"/>
        <xdr:cNvSpPr/>
      </xdr:nvSpPr>
      <xdr:spPr>
        <a:xfrm>
          <a:off x="3441452" y="4744359"/>
          <a:ext cx="442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1.23</a:t>
          </a:r>
        </a:p>
      </xdr:txBody>
    </xdr:sp>
    <xdr:clientData/>
  </xdr:twoCellAnchor>
  <xdr:twoCellAnchor>
    <xdr:from>
      <xdr:col>10</xdr:col>
      <xdr:colOff>326245</xdr:colOff>
      <xdr:row>11</xdr:row>
      <xdr:rowOff>6710</xdr:rowOff>
    </xdr:from>
    <xdr:to>
      <xdr:col>15</xdr:col>
      <xdr:colOff>39484</xdr:colOff>
      <xdr:row>11</xdr:row>
      <xdr:rowOff>363818</xdr:rowOff>
    </xdr:to>
    <xdr:sp macro="" textlink="">
      <xdr:nvSpPr>
        <xdr:cNvPr id="46" name="สี่เหลี่ยมผืนผ้า 45"/>
        <xdr:cNvSpPr/>
      </xdr:nvSpPr>
      <xdr:spPr>
        <a:xfrm>
          <a:off x="3887767" y="4015493"/>
          <a:ext cx="14940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4.15</a:t>
          </a:r>
        </a:p>
      </xdr:txBody>
    </xdr:sp>
    <xdr:clientData/>
  </xdr:twoCellAnchor>
  <xdr:twoCellAnchor>
    <xdr:from>
      <xdr:col>15</xdr:col>
      <xdr:colOff>52680</xdr:colOff>
      <xdr:row>10</xdr:row>
      <xdr:rowOff>9783</xdr:rowOff>
    </xdr:from>
    <xdr:to>
      <xdr:col>15</xdr:col>
      <xdr:colOff>333480</xdr:colOff>
      <xdr:row>11</xdr:row>
      <xdr:rowOff>2456</xdr:rowOff>
    </xdr:to>
    <xdr:sp macro="" textlink="">
      <xdr:nvSpPr>
        <xdr:cNvPr id="47" name="สี่เหลี่ยมผืนผ้า 46"/>
        <xdr:cNvSpPr/>
      </xdr:nvSpPr>
      <xdr:spPr>
        <a:xfrm>
          <a:off x="5394963" y="3654131"/>
          <a:ext cx="280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0.78</a:t>
          </a:r>
        </a:p>
      </xdr:txBody>
    </xdr:sp>
    <xdr:clientData/>
  </xdr:twoCellAnchor>
  <xdr:twoCellAnchor>
    <xdr:from>
      <xdr:col>4</xdr:col>
      <xdr:colOff>5353</xdr:colOff>
      <xdr:row>15</xdr:row>
      <xdr:rowOff>4812</xdr:rowOff>
    </xdr:from>
    <xdr:to>
      <xdr:col>7</xdr:col>
      <xdr:colOff>307162</xdr:colOff>
      <xdr:row>15</xdr:row>
      <xdr:rowOff>362157</xdr:rowOff>
    </xdr:to>
    <xdr:sp macro="" textlink="">
      <xdr:nvSpPr>
        <xdr:cNvPr id="51" name="สี่เหลี่ยมผืนผ้า 50"/>
        <xdr:cNvSpPr/>
      </xdr:nvSpPr>
      <xdr:spPr>
        <a:xfrm>
          <a:off x="1429962" y="5471334"/>
          <a:ext cx="1370265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3.78</a:t>
          </a:r>
        </a:p>
      </xdr:txBody>
    </xdr:sp>
    <xdr:clientData/>
  </xdr:twoCellAnchor>
  <xdr:twoCellAnchor>
    <xdr:from>
      <xdr:col>8</xdr:col>
      <xdr:colOff>12252</xdr:colOff>
      <xdr:row>11</xdr:row>
      <xdr:rowOff>364041</xdr:rowOff>
    </xdr:from>
    <xdr:to>
      <xdr:col>9</xdr:col>
      <xdr:colOff>233002</xdr:colOff>
      <xdr:row>12</xdr:row>
      <xdr:rowOff>356715</xdr:rowOff>
    </xdr:to>
    <xdr:sp macro="" textlink="">
      <xdr:nvSpPr>
        <xdr:cNvPr id="52" name="สี่เหลี่ยมผืนผ้า 51"/>
        <xdr:cNvSpPr/>
      </xdr:nvSpPr>
      <xdr:spPr>
        <a:xfrm>
          <a:off x="2629222" y="4385708"/>
          <a:ext cx="547871" cy="358280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1.67</a:t>
          </a:r>
        </a:p>
      </xdr:txBody>
    </xdr:sp>
    <xdr:clientData/>
  </xdr:twoCellAnchor>
  <xdr:twoCellAnchor>
    <xdr:from>
      <xdr:col>9</xdr:col>
      <xdr:colOff>261133</xdr:colOff>
      <xdr:row>10</xdr:row>
      <xdr:rowOff>4812</xdr:rowOff>
    </xdr:from>
    <xdr:to>
      <xdr:col>10</xdr:col>
      <xdr:colOff>159348</xdr:colOff>
      <xdr:row>10</xdr:row>
      <xdr:rowOff>362157</xdr:rowOff>
    </xdr:to>
    <xdr:sp macro="" textlink="">
      <xdr:nvSpPr>
        <xdr:cNvPr id="53" name="สี่เหลี่ยมผืนผ้า 52"/>
        <xdr:cNvSpPr/>
      </xdr:nvSpPr>
      <xdr:spPr>
        <a:xfrm>
          <a:off x="3205224" y="3660873"/>
          <a:ext cx="225336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</a:t>
          </a:r>
        </a:p>
      </xdr:txBody>
    </xdr:sp>
    <xdr:clientData/>
  </xdr:twoCellAnchor>
  <xdr:twoCellAnchor>
    <xdr:from>
      <xdr:col>8</xdr:col>
      <xdr:colOff>186995</xdr:colOff>
      <xdr:row>15</xdr:row>
      <xdr:rowOff>7328</xdr:rowOff>
    </xdr:from>
    <xdr:to>
      <xdr:col>14</xdr:col>
      <xdr:colOff>241301</xdr:colOff>
      <xdr:row>16</xdr:row>
      <xdr:rowOff>0</xdr:rowOff>
    </xdr:to>
    <xdr:sp macro="" textlink="">
      <xdr:nvSpPr>
        <xdr:cNvPr id="57" name="สี่เหลี่ยมผืนผ้า 56"/>
        <xdr:cNvSpPr/>
      </xdr:nvSpPr>
      <xdr:spPr>
        <a:xfrm>
          <a:off x="3036212" y="5473850"/>
          <a:ext cx="2191219" cy="357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14</xdr:col>
      <xdr:colOff>242742</xdr:colOff>
      <xdr:row>13</xdr:row>
      <xdr:rowOff>5444</xdr:rowOff>
    </xdr:from>
    <xdr:to>
      <xdr:col>16</xdr:col>
      <xdr:colOff>216156</xdr:colOff>
      <xdr:row>13</xdr:row>
      <xdr:rowOff>362790</xdr:rowOff>
    </xdr:to>
    <xdr:sp macro="" textlink="">
      <xdr:nvSpPr>
        <xdr:cNvPr id="58" name="สี่เหลี่ยมผืนผ้า 57"/>
        <xdr:cNvSpPr/>
      </xdr:nvSpPr>
      <xdr:spPr>
        <a:xfrm>
          <a:off x="5228872" y="4743096"/>
          <a:ext cx="685719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23</xdr:col>
      <xdr:colOff>223064</xdr:colOff>
      <xdr:row>10</xdr:row>
      <xdr:rowOff>4819</xdr:rowOff>
    </xdr:from>
    <xdr:to>
      <xdr:col>25</xdr:col>
      <xdr:colOff>9622</xdr:colOff>
      <xdr:row>10</xdr:row>
      <xdr:rowOff>327121</xdr:rowOff>
    </xdr:to>
    <xdr:sp macro="" textlink="">
      <xdr:nvSpPr>
        <xdr:cNvPr id="59" name="สี่เหลี่ยมผืนผ้า 58"/>
        <xdr:cNvSpPr/>
      </xdr:nvSpPr>
      <xdr:spPr>
        <a:xfrm>
          <a:off x="7746852" y="3660880"/>
          <a:ext cx="440800" cy="3223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900">
              <a:solidFill>
                <a:sysClr val="windowText" lastClr="000000"/>
              </a:solidFill>
            </a:rPr>
            <a:t>1.12</a:t>
          </a:r>
        </a:p>
      </xdr:txBody>
    </xdr:sp>
    <xdr:clientData/>
  </xdr:twoCellAnchor>
  <xdr:twoCellAnchor>
    <xdr:from>
      <xdr:col>16</xdr:col>
      <xdr:colOff>220132</xdr:colOff>
      <xdr:row>12</xdr:row>
      <xdr:rowOff>2511</xdr:rowOff>
    </xdr:from>
    <xdr:to>
      <xdr:col>23</xdr:col>
      <xdr:colOff>209632</xdr:colOff>
      <xdr:row>12</xdr:row>
      <xdr:rowOff>359857</xdr:rowOff>
    </xdr:to>
    <xdr:sp macro="" textlink="">
      <xdr:nvSpPr>
        <xdr:cNvPr id="60" name="สี่เหลี่ยมผืนผ้า 59"/>
        <xdr:cNvSpPr/>
      </xdr:nvSpPr>
      <xdr:spPr>
        <a:xfrm>
          <a:off x="5918567" y="4375728"/>
          <a:ext cx="2482565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6.85</a:t>
          </a:r>
        </a:p>
      </xdr:txBody>
    </xdr:sp>
    <xdr:clientData/>
  </xdr:twoCellAnchor>
  <xdr:twoCellAnchor>
    <xdr:from>
      <xdr:col>14</xdr:col>
      <xdr:colOff>258564</xdr:colOff>
      <xdr:row>15</xdr:row>
      <xdr:rowOff>4814</xdr:rowOff>
    </xdr:from>
    <xdr:to>
      <xdr:col>21</xdr:col>
      <xdr:colOff>119697</xdr:colOff>
      <xdr:row>15</xdr:row>
      <xdr:rowOff>362159</xdr:rowOff>
    </xdr:to>
    <xdr:sp macro="" textlink="">
      <xdr:nvSpPr>
        <xdr:cNvPr id="65" name="สี่เหลี่ยมผืนผ้า 64"/>
        <xdr:cNvSpPr/>
      </xdr:nvSpPr>
      <xdr:spPr>
        <a:xfrm>
          <a:off x="5244694" y="5471336"/>
          <a:ext cx="2354199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6.5</a:t>
          </a:r>
        </a:p>
      </xdr:txBody>
    </xdr:sp>
    <xdr:clientData/>
  </xdr:twoCellAnchor>
  <xdr:twoCellAnchor>
    <xdr:from>
      <xdr:col>21</xdr:col>
      <xdr:colOff>125569</xdr:colOff>
      <xdr:row>13</xdr:row>
      <xdr:rowOff>7889</xdr:rowOff>
    </xdr:from>
    <xdr:to>
      <xdr:col>23</xdr:col>
      <xdr:colOff>47997</xdr:colOff>
      <xdr:row>14</xdr:row>
      <xdr:rowOff>562</xdr:rowOff>
    </xdr:to>
    <xdr:sp macro="" textlink="">
      <xdr:nvSpPr>
        <xdr:cNvPr id="66" name="สี่เหลี่ยมผืนผ้า 65"/>
        <xdr:cNvSpPr/>
      </xdr:nvSpPr>
      <xdr:spPr>
        <a:xfrm>
          <a:off x="7604765" y="4745541"/>
          <a:ext cx="634732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1.75</a:t>
          </a:r>
          <a:r>
            <a:rPr lang="en-US" sz="1100">
              <a:solidFill>
                <a:sysClr val="windowText" lastClr="000000"/>
              </a:solidFill>
            </a:rPr>
            <a:t>  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215022</xdr:colOff>
      <xdr:row>10</xdr:row>
      <xdr:rowOff>4815</xdr:rowOff>
    </xdr:from>
    <xdr:to>
      <xdr:col>30</xdr:col>
      <xdr:colOff>200870</xdr:colOff>
      <xdr:row>10</xdr:row>
      <xdr:rowOff>362160</xdr:rowOff>
    </xdr:to>
    <xdr:sp macro="" textlink="">
      <xdr:nvSpPr>
        <xdr:cNvPr id="67" name="สี่เหลี่ยมผืนผ้า 66"/>
        <xdr:cNvSpPr/>
      </xdr:nvSpPr>
      <xdr:spPr>
        <a:xfrm>
          <a:off x="10543435" y="3649163"/>
          <a:ext cx="342000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600">
              <a:solidFill>
                <a:sysClr val="windowText" lastClr="000000"/>
              </a:solidFill>
            </a:rPr>
            <a:t>0.95</a:t>
          </a:r>
        </a:p>
      </xdr:txBody>
    </xdr:sp>
    <xdr:clientData/>
  </xdr:twoCellAnchor>
  <xdr:twoCellAnchor>
    <xdr:from>
      <xdr:col>23</xdr:col>
      <xdr:colOff>225906</xdr:colOff>
      <xdr:row>11</xdr:row>
      <xdr:rowOff>364043</xdr:rowOff>
    </xdr:from>
    <xdr:to>
      <xdr:col>29</xdr:col>
      <xdr:colOff>219992</xdr:colOff>
      <xdr:row>12</xdr:row>
      <xdr:rowOff>356717</xdr:rowOff>
    </xdr:to>
    <xdr:sp macro="" textlink="">
      <xdr:nvSpPr>
        <xdr:cNvPr id="68" name="สี่เหลี่ยมผืนผ้า 67"/>
        <xdr:cNvSpPr/>
      </xdr:nvSpPr>
      <xdr:spPr>
        <a:xfrm>
          <a:off x="8417406" y="4372826"/>
          <a:ext cx="2130999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5.88</a:t>
          </a:r>
        </a:p>
      </xdr:txBody>
    </xdr:sp>
    <xdr:clientData/>
  </xdr:twoCellAnchor>
  <xdr:twoCellAnchor>
    <xdr:from>
      <xdr:col>21</xdr:col>
      <xdr:colOff>133850</xdr:colOff>
      <xdr:row>15</xdr:row>
      <xdr:rowOff>4811</xdr:rowOff>
    </xdr:from>
    <xdr:to>
      <xdr:col>32</xdr:col>
      <xdr:colOff>43807</xdr:colOff>
      <xdr:row>15</xdr:row>
      <xdr:rowOff>362156</xdr:rowOff>
    </xdr:to>
    <xdr:sp macro="" textlink="">
      <xdr:nvSpPr>
        <xdr:cNvPr id="69" name="สี่เหลี่ยมผืนผ้า 68"/>
        <xdr:cNvSpPr/>
      </xdr:nvSpPr>
      <xdr:spPr>
        <a:xfrm>
          <a:off x="7613046" y="5471333"/>
          <a:ext cx="3827631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10.56</a:t>
          </a:r>
        </a:p>
      </xdr:txBody>
    </xdr:sp>
    <xdr:clientData/>
  </xdr:twoCellAnchor>
  <xdr:twoCellAnchor>
    <xdr:from>
      <xdr:col>37</xdr:col>
      <xdr:colOff>171951</xdr:colOff>
      <xdr:row>10</xdr:row>
      <xdr:rowOff>4809</xdr:rowOff>
    </xdr:from>
    <xdr:to>
      <xdr:col>39</xdr:col>
      <xdr:colOff>166379</xdr:colOff>
      <xdr:row>10</xdr:row>
      <xdr:rowOff>362154</xdr:rowOff>
    </xdr:to>
    <xdr:sp macro="" textlink="">
      <xdr:nvSpPr>
        <xdr:cNvPr id="70" name="สี่เหลี่ยมผืนผ้า 69"/>
        <xdr:cNvSpPr/>
      </xdr:nvSpPr>
      <xdr:spPr>
        <a:xfrm>
          <a:off x="13349581" y="3649157"/>
          <a:ext cx="706733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1.95</a:t>
          </a:r>
        </a:p>
      </xdr:txBody>
    </xdr:sp>
    <xdr:clientData/>
  </xdr:twoCellAnchor>
  <xdr:twoCellAnchor>
    <xdr:from>
      <xdr:col>32</xdr:col>
      <xdr:colOff>46764</xdr:colOff>
      <xdr:row>12</xdr:row>
      <xdr:rowOff>4807</xdr:rowOff>
    </xdr:from>
    <xdr:to>
      <xdr:col>37</xdr:col>
      <xdr:colOff>167836</xdr:colOff>
      <xdr:row>12</xdr:row>
      <xdr:rowOff>362152</xdr:rowOff>
    </xdr:to>
    <xdr:sp macro="" textlink="">
      <xdr:nvSpPr>
        <xdr:cNvPr id="71" name="สี่เหลี่ยมผืนผ้า 70"/>
        <xdr:cNvSpPr/>
      </xdr:nvSpPr>
      <xdr:spPr>
        <a:xfrm>
          <a:off x="11443634" y="4378024"/>
          <a:ext cx="1901832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5.25</a:t>
          </a:r>
        </a:p>
      </xdr:txBody>
    </xdr:sp>
    <xdr:clientData/>
  </xdr:twoCellAnchor>
  <xdr:twoCellAnchor>
    <xdr:from>
      <xdr:col>32</xdr:col>
      <xdr:colOff>59307</xdr:colOff>
      <xdr:row>15</xdr:row>
      <xdr:rowOff>7888</xdr:rowOff>
    </xdr:from>
    <xdr:to>
      <xdr:col>37</xdr:col>
      <xdr:colOff>226147</xdr:colOff>
      <xdr:row>16</xdr:row>
      <xdr:rowOff>561</xdr:rowOff>
    </xdr:to>
    <xdr:sp macro="" textlink="">
      <xdr:nvSpPr>
        <xdr:cNvPr id="72" name="สี่เหลี่ยมผืนผ้า 71"/>
        <xdr:cNvSpPr/>
      </xdr:nvSpPr>
      <xdr:spPr>
        <a:xfrm>
          <a:off x="11456177" y="5474410"/>
          <a:ext cx="19476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5.41</a:t>
          </a:r>
        </a:p>
      </xdr:txBody>
    </xdr:sp>
    <xdr:clientData/>
  </xdr:twoCellAnchor>
  <xdr:twoCellAnchor>
    <xdr:from>
      <xdr:col>37</xdr:col>
      <xdr:colOff>233244</xdr:colOff>
      <xdr:row>13</xdr:row>
      <xdr:rowOff>364041</xdr:rowOff>
    </xdr:from>
    <xdr:to>
      <xdr:col>39</xdr:col>
      <xdr:colOff>197739</xdr:colOff>
      <xdr:row>14</xdr:row>
      <xdr:rowOff>356714</xdr:rowOff>
    </xdr:to>
    <xdr:sp macro="" textlink="">
      <xdr:nvSpPr>
        <xdr:cNvPr id="73" name="สี่เหลี่ยมผืนผ้า 72"/>
        <xdr:cNvSpPr/>
      </xdr:nvSpPr>
      <xdr:spPr>
        <a:xfrm>
          <a:off x="13410874" y="5101693"/>
          <a:ext cx="676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39</xdr:col>
      <xdr:colOff>216677</xdr:colOff>
      <xdr:row>13</xdr:row>
      <xdr:rowOff>7888</xdr:rowOff>
    </xdr:from>
    <xdr:to>
      <xdr:col>42</xdr:col>
      <xdr:colOff>55421</xdr:colOff>
      <xdr:row>14</xdr:row>
      <xdr:rowOff>561</xdr:rowOff>
    </xdr:to>
    <xdr:sp macro="" textlink="">
      <xdr:nvSpPr>
        <xdr:cNvPr id="74" name="สี่เหลี่ยมผืนผ้า 73"/>
        <xdr:cNvSpPr/>
      </xdr:nvSpPr>
      <xdr:spPr>
        <a:xfrm>
          <a:off x="14106612" y="4745540"/>
          <a:ext cx="9072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2.52</a:t>
          </a:r>
        </a:p>
      </xdr:txBody>
    </xdr:sp>
    <xdr:clientData/>
  </xdr:twoCellAnchor>
  <xdr:twoCellAnchor>
    <xdr:from>
      <xdr:col>42</xdr:col>
      <xdr:colOff>75873</xdr:colOff>
      <xdr:row>11</xdr:row>
      <xdr:rowOff>7874</xdr:rowOff>
    </xdr:from>
    <xdr:to>
      <xdr:col>50</xdr:col>
      <xdr:colOff>189455</xdr:colOff>
      <xdr:row>12</xdr:row>
      <xdr:rowOff>548</xdr:rowOff>
    </xdr:to>
    <xdr:sp macro="" textlink="">
      <xdr:nvSpPr>
        <xdr:cNvPr id="75" name="สี่เหลี่ยมผืนผ้า 74"/>
        <xdr:cNvSpPr/>
      </xdr:nvSpPr>
      <xdr:spPr>
        <a:xfrm>
          <a:off x="15034264" y="4016657"/>
          <a:ext cx="2962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8.23</a:t>
          </a:r>
        </a:p>
      </xdr:txBody>
    </xdr:sp>
    <xdr:clientData/>
  </xdr:twoCellAnchor>
  <xdr:twoCellAnchor>
    <xdr:from>
      <xdr:col>4</xdr:col>
      <xdr:colOff>5353</xdr:colOff>
      <xdr:row>24</xdr:row>
      <xdr:rowOff>4812</xdr:rowOff>
    </xdr:from>
    <xdr:to>
      <xdr:col>7</xdr:col>
      <xdr:colOff>307162</xdr:colOff>
      <xdr:row>24</xdr:row>
      <xdr:rowOff>362157</xdr:rowOff>
    </xdr:to>
    <xdr:sp macro="" textlink="">
      <xdr:nvSpPr>
        <xdr:cNvPr id="76" name="สี่เหลี่ยมผืนผ้า 75"/>
        <xdr:cNvSpPr/>
      </xdr:nvSpPr>
      <xdr:spPr>
        <a:xfrm>
          <a:off x="1429962" y="8751247"/>
          <a:ext cx="1370265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3.78</a:t>
          </a:r>
        </a:p>
      </xdr:txBody>
    </xdr:sp>
    <xdr:clientData/>
  </xdr:twoCellAnchor>
  <xdr:twoCellAnchor>
    <xdr:from>
      <xdr:col>9</xdr:col>
      <xdr:colOff>135981</xdr:colOff>
      <xdr:row>20</xdr:row>
      <xdr:rowOff>364041</xdr:rowOff>
    </xdr:from>
    <xdr:to>
      <xdr:col>11</xdr:col>
      <xdr:colOff>29610</xdr:colOff>
      <xdr:row>21</xdr:row>
      <xdr:rowOff>356715</xdr:rowOff>
    </xdr:to>
    <xdr:sp macro="" textlink="">
      <xdr:nvSpPr>
        <xdr:cNvPr id="77" name="สี่เหลี่ยมผืนผ้า 76"/>
        <xdr:cNvSpPr/>
      </xdr:nvSpPr>
      <xdr:spPr>
        <a:xfrm>
          <a:off x="3341351" y="7652737"/>
          <a:ext cx="605933" cy="357108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1.67</a:t>
          </a:r>
        </a:p>
      </xdr:txBody>
    </xdr:sp>
    <xdr:clientData/>
  </xdr:twoCellAnchor>
  <xdr:twoCellAnchor>
    <xdr:from>
      <xdr:col>11</xdr:col>
      <xdr:colOff>125095</xdr:colOff>
      <xdr:row>19</xdr:row>
      <xdr:rowOff>4812</xdr:rowOff>
    </xdr:from>
    <xdr:to>
      <xdr:col>12</xdr:col>
      <xdr:colOff>23309</xdr:colOff>
      <xdr:row>19</xdr:row>
      <xdr:rowOff>362157</xdr:rowOff>
    </xdr:to>
    <xdr:sp macro="" textlink="">
      <xdr:nvSpPr>
        <xdr:cNvPr id="78" name="สี่เหลี่ยมผืนผ้า 77"/>
        <xdr:cNvSpPr/>
      </xdr:nvSpPr>
      <xdr:spPr>
        <a:xfrm>
          <a:off x="4042769" y="6929073"/>
          <a:ext cx="254366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</a:t>
          </a:r>
        </a:p>
      </xdr:txBody>
    </xdr:sp>
    <xdr:clientData/>
  </xdr:twoCellAnchor>
  <xdr:twoCellAnchor>
    <xdr:from>
      <xdr:col>7</xdr:col>
      <xdr:colOff>312518</xdr:colOff>
      <xdr:row>24</xdr:row>
      <xdr:rowOff>6705</xdr:rowOff>
    </xdr:from>
    <xdr:to>
      <xdr:col>8</xdr:col>
      <xdr:colOff>172366</xdr:colOff>
      <xdr:row>24</xdr:row>
      <xdr:rowOff>363814</xdr:rowOff>
    </xdr:to>
    <xdr:sp macro="" textlink="">
      <xdr:nvSpPr>
        <xdr:cNvPr id="89" name="สี่เหลี่ยมผืนผ้า 88"/>
        <xdr:cNvSpPr/>
      </xdr:nvSpPr>
      <xdr:spPr>
        <a:xfrm>
          <a:off x="2805583" y="8753140"/>
          <a:ext cx="216000" cy="357109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0.6</a:t>
          </a:r>
        </a:p>
      </xdr:txBody>
    </xdr:sp>
    <xdr:clientData/>
  </xdr:twoCellAnchor>
  <xdr:twoCellAnchor>
    <xdr:from>
      <xdr:col>8</xdr:col>
      <xdr:colOff>166508</xdr:colOff>
      <xdr:row>23</xdr:row>
      <xdr:rowOff>1027</xdr:rowOff>
    </xdr:from>
    <xdr:to>
      <xdr:col>9</xdr:col>
      <xdr:colOff>217155</xdr:colOff>
      <xdr:row>23</xdr:row>
      <xdr:rowOff>358135</xdr:rowOff>
    </xdr:to>
    <xdr:sp macro="" textlink="">
      <xdr:nvSpPr>
        <xdr:cNvPr id="90" name="สี่เหลี่ยมผืนผ้า 89"/>
        <xdr:cNvSpPr/>
      </xdr:nvSpPr>
      <xdr:spPr>
        <a:xfrm>
          <a:off x="3015725" y="8383027"/>
          <a:ext cx="406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1.13</a:t>
          </a:r>
        </a:p>
      </xdr:txBody>
    </xdr:sp>
    <xdr:clientData/>
  </xdr:twoCellAnchor>
  <xdr:twoCellAnchor>
    <xdr:from>
      <xdr:col>9</xdr:col>
      <xdr:colOff>211234</xdr:colOff>
      <xdr:row>22</xdr:row>
      <xdr:rowOff>6707</xdr:rowOff>
    </xdr:from>
    <xdr:to>
      <xdr:col>10</xdr:col>
      <xdr:colOff>297882</xdr:colOff>
      <xdr:row>22</xdr:row>
      <xdr:rowOff>363815</xdr:rowOff>
    </xdr:to>
    <xdr:sp macro="" textlink="">
      <xdr:nvSpPr>
        <xdr:cNvPr id="91" name="สี่เหลี่ยมผืนผ้า 90"/>
        <xdr:cNvSpPr/>
      </xdr:nvSpPr>
      <xdr:spPr>
        <a:xfrm>
          <a:off x="3416604" y="8024272"/>
          <a:ext cx="442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1.23</a:t>
          </a:r>
        </a:p>
      </xdr:txBody>
    </xdr:sp>
    <xdr:clientData/>
  </xdr:twoCellAnchor>
  <xdr:twoCellAnchor>
    <xdr:from>
      <xdr:col>10</xdr:col>
      <xdr:colOff>317962</xdr:colOff>
      <xdr:row>19</xdr:row>
      <xdr:rowOff>362863</xdr:rowOff>
    </xdr:from>
    <xdr:to>
      <xdr:col>15</xdr:col>
      <xdr:colOff>31201</xdr:colOff>
      <xdr:row>20</xdr:row>
      <xdr:rowOff>355536</xdr:rowOff>
    </xdr:to>
    <xdr:sp macro="" textlink="">
      <xdr:nvSpPr>
        <xdr:cNvPr id="92" name="สี่เหลี่ยมผืนผ้า 91"/>
        <xdr:cNvSpPr/>
      </xdr:nvSpPr>
      <xdr:spPr>
        <a:xfrm>
          <a:off x="3879484" y="7287124"/>
          <a:ext cx="14940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4.15</a:t>
          </a:r>
        </a:p>
      </xdr:txBody>
    </xdr:sp>
    <xdr:clientData/>
  </xdr:twoCellAnchor>
  <xdr:twoCellAnchor>
    <xdr:from>
      <xdr:col>15</xdr:col>
      <xdr:colOff>27833</xdr:colOff>
      <xdr:row>19</xdr:row>
      <xdr:rowOff>1501</xdr:rowOff>
    </xdr:from>
    <xdr:to>
      <xdr:col>15</xdr:col>
      <xdr:colOff>308633</xdr:colOff>
      <xdr:row>19</xdr:row>
      <xdr:rowOff>358609</xdr:rowOff>
    </xdr:to>
    <xdr:sp macro="" textlink="">
      <xdr:nvSpPr>
        <xdr:cNvPr id="93" name="สี่เหลี่ยมผืนผ้า 92"/>
        <xdr:cNvSpPr/>
      </xdr:nvSpPr>
      <xdr:spPr>
        <a:xfrm>
          <a:off x="5370116" y="6925762"/>
          <a:ext cx="280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0.78</a:t>
          </a:r>
        </a:p>
      </xdr:txBody>
    </xdr:sp>
    <xdr:clientData/>
  </xdr:twoCellAnchor>
  <xdr:twoCellAnchor>
    <xdr:from>
      <xdr:col>8</xdr:col>
      <xdr:colOff>192303</xdr:colOff>
      <xdr:row>24</xdr:row>
      <xdr:rowOff>4814</xdr:rowOff>
    </xdr:from>
    <xdr:to>
      <xdr:col>15</xdr:col>
      <xdr:colOff>53436</xdr:colOff>
      <xdr:row>24</xdr:row>
      <xdr:rowOff>362159</xdr:rowOff>
    </xdr:to>
    <xdr:sp macro="" textlink="">
      <xdr:nvSpPr>
        <xdr:cNvPr id="94" name="สี่เหลี่ยมผืนผ้า 93"/>
        <xdr:cNvSpPr/>
      </xdr:nvSpPr>
      <xdr:spPr>
        <a:xfrm>
          <a:off x="3041520" y="8751249"/>
          <a:ext cx="2354199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6.5</a:t>
          </a:r>
        </a:p>
      </xdr:txBody>
    </xdr:sp>
    <xdr:clientData/>
  </xdr:twoCellAnchor>
  <xdr:twoCellAnchor>
    <xdr:from>
      <xdr:col>15</xdr:col>
      <xdr:colOff>59308</xdr:colOff>
      <xdr:row>21</xdr:row>
      <xdr:rowOff>364041</xdr:rowOff>
    </xdr:from>
    <xdr:to>
      <xdr:col>16</xdr:col>
      <xdr:colOff>337888</xdr:colOff>
      <xdr:row>22</xdr:row>
      <xdr:rowOff>356714</xdr:rowOff>
    </xdr:to>
    <xdr:sp macro="" textlink="">
      <xdr:nvSpPr>
        <xdr:cNvPr id="95" name="สี่เหลี่ยมผืนผ้า 94"/>
        <xdr:cNvSpPr/>
      </xdr:nvSpPr>
      <xdr:spPr>
        <a:xfrm>
          <a:off x="5401591" y="8017171"/>
          <a:ext cx="634732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1.75</a:t>
          </a:r>
        </a:p>
      </xdr:txBody>
    </xdr:sp>
    <xdr:clientData/>
  </xdr:twoCellAnchor>
  <xdr:twoCellAnchor>
    <xdr:from>
      <xdr:col>23</xdr:col>
      <xdr:colOff>148761</xdr:colOff>
      <xdr:row>19</xdr:row>
      <xdr:rowOff>4815</xdr:rowOff>
    </xdr:from>
    <xdr:to>
      <xdr:col>24</xdr:col>
      <xdr:colOff>134609</xdr:colOff>
      <xdr:row>19</xdr:row>
      <xdr:rowOff>362160</xdr:rowOff>
    </xdr:to>
    <xdr:sp macro="" textlink="">
      <xdr:nvSpPr>
        <xdr:cNvPr id="96" name="สี่เหลี่ยมผืนผ้า 95"/>
        <xdr:cNvSpPr/>
      </xdr:nvSpPr>
      <xdr:spPr>
        <a:xfrm>
          <a:off x="8340261" y="6929076"/>
          <a:ext cx="342000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600">
              <a:solidFill>
                <a:sysClr val="windowText" lastClr="000000"/>
              </a:solidFill>
            </a:rPr>
            <a:t>0.95</a:t>
          </a:r>
        </a:p>
      </xdr:txBody>
    </xdr:sp>
    <xdr:clientData/>
  </xdr:twoCellAnchor>
  <xdr:twoCellAnchor>
    <xdr:from>
      <xdr:col>17</xdr:col>
      <xdr:colOff>159645</xdr:colOff>
      <xdr:row>20</xdr:row>
      <xdr:rowOff>364043</xdr:rowOff>
    </xdr:from>
    <xdr:to>
      <xdr:col>23</xdr:col>
      <xdr:colOff>153731</xdr:colOff>
      <xdr:row>21</xdr:row>
      <xdr:rowOff>356717</xdr:rowOff>
    </xdr:to>
    <xdr:sp macro="" textlink="">
      <xdr:nvSpPr>
        <xdr:cNvPr id="97" name="สี่เหลี่ยมผืนผ้า 96"/>
        <xdr:cNvSpPr/>
      </xdr:nvSpPr>
      <xdr:spPr>
        <a:xfrm>
          <a:off x="6214232" y="7652739"/>
          <a:ext cx="2130999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5.88</a:t>
          </a:r>
        </a:p>
      </xdr:txBody>
    </xdr:sp>
    <xdr:clientData/>
  </xdr:twoCellAnchor>
  <xdr:twoCellAnchor>
    <xdr:from>
      <xdr:col>15</xdr:col>
      <xdr:colOff>62756</xdr:colOff>
      <xdr:row>24</xdr:row>
      <xdr:rowOff>7327</xdr:rowOff>
    </xdr:from>
    <xdr:to>
      <xdr:col>21</xdr:col>
      <xdr:colOff>117062</xdr:colOff>
      <xdr:row>24</xdr:row>
      <xdr:rowOff>364434</xdr:rowOff>
    </xdr:to>
    <xdr:sp macro="" textlink="">
      <xdr:nvSpPr>
        <xdr:cNvPr id="101" name="สี่เหลี่ยมผืนผ้า 100"/>
        <xdr:cNvSpPr/>
      </xdr:nvSpPr>
      <xdr:spPr>
        <a:xfrm>
          <a:off x="5405039" y="8753762"/>
          <a:ext cx="2191219" cy="357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21</xdr:col>
      <xdr:colOff>118503</xdr:colOff>
      <xdr:row>22</xdr:row>
      <xdr:rowOff>13726</xdr:rowOff>
    </xdr:from>
    <xdr:to>
      <xdr:col>23</xdr:col>
      <xdr:colOff>91918</xdr:colOff>
      <xdr:row>23</xdr:row>
      <xdr:rowOff>6637</xdr:rowOff>
    </xdr:to>
    <xdr:sp macro="" textlink="">
      <xdr:nvSpPr>
        <xdr:cNvPr id="102" name="สี่เหลี่ยมผืนผ้า 101"/>
        <xdr:cNvSpPr/>
      </xdr:nvSpPr>
      <xdr:spPr>
        <a:xfrm>
          <a:off x="7597699" y="8031291"/>
          <a:ext cx="685719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30</xdr:col>
      <xdr:colOff>156803</xdr:colOff>
      <xdr:row>19</xdr:row>
      <xdr:rowOff>4820</xdr:rowOff>
    </xdr:from>
    <xdr:to>
      <xdr:col>31</xdr:col>
      <xdr:colOff>206218</xdr:colOff>
      <xdr:row>19</xdr:row>
      <xdr:rowOff>362165</xdr:rowOff>
    </xdr:to>
    <xdr:sp macro="" textlink="">
      <xdr:nvSpPr>
        <xdr:cNvPr id="103" name="สี่เหลี่ยมผืนผ้า 102"/>
        <xdr:cNvSpPr/>
      </xdr:nvSpPr>
      <xdr:spPr>
        <a:xfrm>
          <a:off x="10841368" y="6929081"/>
          <a:ext cx="405567" cy="357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900">
              <a:solidFill>
                <a:sysClr val="windowText" lastClr="000000"/>
              </a:solidFill>
            </a:rPr>
            <a:t>1.12</a:t>
          </a:r>
        </a:p>
      </xdr:txBody>
    </xdr:sp>
    <xdr:clientData/>
  </xdr:twoCellAnchor>
  <xdr:twoCellAnchor>
    <xdr:from>
      <xdr:col>23</xdr:col>
      <xdr:colOff>170441</xdr:colOff>
      <xdr:row>21</xdr:row>
      <xdr:rowOff>2510</xdr:rowOff>
    </xdr:from>
    <xdr:to>
      <xdr:col>30</xdr:col>
      <xdr:colOff>159941</xdr:colOff>
      <xdr:row>21</xdr:row>
      <xdr:rowOff>359856</xdr:rowOff>
    </xdr:to>
    <xdr:sp macro="" textlink="">
      <xdr:nvSpPr>
        <xdr:cNvPr id="104" name="สี่เหลี่ยมผืนผ้า 103"/>
        <xdr:cNvSpPr/>
      </xdr:nvSpPr>
      <xdr:spPr>
        <a:xfrm>
          <a:off x="8361941" y="7655640"/>
          <a:ext cx="2482565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6.85</a:t>
          </a:r>
        </a:p>
      </xdr:txBody>
    </xdr:sp>
    <xdr:clientData/>
  </xdr:twoCellAnchor>
  <xdr:twoCellAnchor>
    <xdr:from>
      <xdr:col>21</xdr:col>
      <xdr:colOff>125567</xdr:colOff>
      <xdr:row>23</xdr:row>
      <xdr:rowOff>360963</xdr:rowOff>
    </xdr:from>
    <xdr:to>
      <xdr:col>32</xdr:col>
      <xdr:colOff>35524</xdr:colOff>
      <xdr:row>24</xdr:row>
      <xdr:rowOff>353873</xdr:rowOff>
    </xdr:to>
    <xdr:sp macro="" textlink="">
      <xdr:nvSpPr>
        <xdr:cNvPr id="105" name="สี่เหลี่ยมผืนผ้า 104"/>
        <xdr:cNvSpPr/>
      </xdr:nvSpPr>
      <xdr:spPr>
        <a:xfrm>
          <a:off x="7604763" y="8742963"/>
          <a:ext cx="3827631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10.56</a:t>
          </a:r>
        </a:p>
      </xdr:txBody>
    </xdr:sp>
    <xdr:clientData/>
  </xdr:twoCellAnchor>
  <xdr:twoCellAnchor>
    <xdr:from>
      <xdr:col>37</xdr:col>
      <xdr:colOff>163668</xdr:colOff>
      <xdr:row>18</xdr:row>
      <xdr:rowOff>360961</xdr:rowOff>
    </xdr:from>
    <xdr:to>
      <xdr:col>39</xdr:col>
      <xdr:colOff>158096</xdr:colOff>
      <xdr:row>19</xdr:row>
      <xdr:rowOff>353871</xdr:rowOff>
    </xdr:to>
    <xdr:sp macro="" textlink="">
      <xdr:nvSpPr>
        <xdr:cNvPr id="106" name="สี่เหลี่ยมผืนผ้า 105"/>
        <xdr:cNvSpPr/>
      </xdr:nvSpPr>
      <xdr:spPr>
        <a:xfrm>
          <a:off x="13341298" y="6920787"/>
          <a:ext cx="706733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1.95</a:t>
          </a:r>
        </a:p>
      </xdr:txBody>
    </xdr:sp>
    <xdr:clientData/>
  </xdr:twoCellAnchor>
  <xdr:twoCellAnchor>
    <xdr:from>
      <xdr:col>32</xdr:col>
      <xdr:colOff>38481</xdr:colOff>
      <xdr:row>20</xdr:row>
      <xdr:rowOff>360958</xdr:rowOff>
    </xdr:from>
    <xdr:to>
      <xdr:col>37</xdr:col>
      <xdr:colOff>159553</xdr:colOff>
      <xdr:row>21</xdr:row>
      <xdr:rowOff>353869</xdr:rowOff>
    </xdr:to>
    <xdr:sp macro="" textlink="">
      <xdr:nvSpPr>
        <xdr:cNvPr id="107" name="สี่เหลี่ยมผืนผ้า 106"/>
        <xdr:cNvSpPr/>
      </xdr:nvSpPr>
      <xdr:spPr>
        <a:xfrm>
          <a:off x="11435351" y="7649654"/>
          <a:ext cx="1901832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5.25</a:t>
          </a:r>
        </a:p>
      </xdr:txBody>
    </xdr:sp>
    <xdr:clientData/>
  </xdr:twoCellAnchor>
  <xdr:twoCellAnchor>
    <xdr:from>
      <xdr:col>32</xdr:col>
      <xdr:colOff>42740</xdr:colOff>
      <xdr:row>24</xdr:row>
      <xdr:rowOff>7887</xdr:rowOff>
    </xdr:from>
    <xdr:to>
      <xdr:col>37</xdr:col>
      <xdr:colOff>209580</xdr:colOff>
      <xdr:row>25</xdr:row>
      <xdr:rowOff>560</xdr:rowOff>
    </xdr:to>
    <xdr:sp macro="" textlink="">
      <xdr:nvSpPr>
        <xdr:cNvPr id="108" name="สี่เหลี่ยมผืนผ้า 107"/>
        <xdr:cNvSpPr/>
      </xdr:nvSpPr>
      <xdr:spPr>
        <a:xfrm>
          <a:off x="11439610" y="8754322"/>
          <a:ext cx="19476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5.41</a:t>
          </a:r>
        </a:p>
      </xdr:txBody>
    </xdr:sp>
    <xdr:clientData/>
  </xdr:twoCellAnchor>
  <xdr:twoCellAnchor>
    <xdr:from>
      <xdr:col>37</xdr:col>
      <xdr:colOff>216677</xdr:colOff>
      <xdr:row>23</xdr:row>
      <xdr:rowOff>7888</xdr:rowOff>
    </xdr:from>
    <xdr:to>
      <xdr:col>39</xdr:col>
      <xdr:colOff>181172</xdr:colOff>
      <xdr:row>24</xdr:row>
      <xdr:rowOff>561</xdr:rowOff>
    </xdr:to>
    <xdr:sp macro="" textlink="">
      <xdr:nvSpPr>
        <xdr:cNvPr id="109" name="สี่เหลี่ยมผืนผ้า 108"/>
        <xdr:cNvSpPr/>
      </xdr:nvSpPr>
      <xdr:spPr>
        <a:xfrm>
          <a:off x="13394307" y="8389888"/>
          <a:ext cx="676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39</xdr:col>
      <xdr:colOff>200110</xdr:colOff>
      <xdr:row>21</xdr:row>
      <xdr:rowOff>364039</xdr:rowOff>
    </xdr:from>
    <xdr:to>
      <xdr:col>42</xdr:col>
      <xdr:colOff>38854</xdr:colOff>
      <xdr:row>22</xdr:row>
      <xdr:rowOff>356712</xdr:rowOff>
    </xdr:to>
    <xdr:sp macro="" textlink="">
      <xdr:nvSpPr>
        <xdr:cNvPr id="110" name="สี่เหลี่ยมผืนผ้า 109"/>
        <xdr:cNvSpPr/>
      </xdr:nvSpPr>
      <xdr:spPr>
        <a:xfrm>
          <a:off x="14090045" y="8017169"/>
          <a:ext cx="9072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2.52</a:t>
          </a:r>
        </a:p>
      </xdr:txBody>
    </xdr:sp>
    <xdr:clientData/>
  </xdr:twoCellAnchor>
  <xdr:twoCellAnchor>
    <xdr:from>
      <xdr:col>42</xdr:col>
      <xdr:colOff>59306</xdr:colOff>
      <xdr:row>20</xdr:row>
      <xdr:rowOff>7873</xdr:rowOff>
    </xdr:from>
    <xdr:to>
      <xdr:col>50</xdr:col>
      <xdr:colOff>172888</xdr:colOff>
      <xdr:row>21</xdr:row>
      <xdr:rowOff>547</xdr:rowOff>
    </xdr:to>
    <xdr:sp macro="" textlink="">
      <xdr:nvSpPr>
        <xdr:cNvPr id="111" name="สี่เหลี่ยมผืนผ้า 110"/>
        <xdr:cNvSpPr/>
      </xdr:nvSpPr>
      <xdr:spPr>
        <a:xfrm>
          <a:off x="15017697" y="7296569"/>
          <a:ext cx="2962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8.23</a:t>
          </a:r>
        </a:p>
      </xdr:txBody>
    </xdr:sp>
    <xdr:clientData/>
  </xdr:twoCellAnchor>
  <xdr:twoCellAnchor>
    <xdr:from>
      <xdr:col>50</xdr:col>
      <xdr:colOff>191827</xdr:colOff>
      <xdr:row>19</xdr:row>
      <xdr:rowOff>7887</xdr:rowOff>
    </xdr:from>
    <xdr:to>
      <xdr:col>52</xdr:col>
      <xdr:colOff>57727</xdr:colOff>
      <xdr:row>19</xdr:row>
      <xdr:rowOff>346364</xdr:rowOff>
    </xdr:to>
    <xdr:sp macro="" textlink="">
      <xdr:nvSpPr>
        <xdr:cNvPr id="112" name="สี่เหลี่ยมผืนผ้า 111"/>
        <xdr:cNvSpPr/>
      </xdr:nvSpPr>
      <xdr:spPr>
        <a:xfrm>
          <a:off x="16547888" y="6954402"/>
          <a:ext cx="520142" cy="338477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1.28</a:t>
          </a:r>
        </a:p>
      </xdr:txBody>
    </xdr:sp>
    <xdr:clientData/>
  </xdr:twoCellAnchor>
  <xdr:twoCellAnchor>
    <xdr:from>
      <xdr:col>4</xdr:col>
      <xdr:colOff>17892</xdr:colOff>
      <xdr:row>32</xdr:row>
      <xdr:rowOff>364038</xdr:rowOff>
    </xdr:from>
    <xdr:to>
      <xdr:col>9</xdr:col>
      <xdr:colOff>184731</xdr:colOff>
      <xdr:row>33</xdr:row>
      <xdr:rowOff>356711</xdr:rowOff>
    </xdr:to>
    <xdr:sp macro="" textlink="">
      <xdr:nvSpPr>
        <xdr:cNvPr id="113" name="สี่เหลี่ยมผืนผ้า 112"/>
        <xdr:cNvSpPr/>
      </xdr:nvSpPr>
      <xdr:spPr>
        <a:xfrm>
          <a:off x="1442501" y="12025951"/>
          <a:ext cx="19476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5.41</a:t>
          </a:r>
        </a:p>
      </xdr:txBody>
    </xdr:sp>
    <xdr:clientData/>
  </xdr:twoCellAnchor>
  <xdr:twoCellAnchor>
    <xdr:from>
      <xdr:col>9</xdr:col>
      <xdr:colOff>191828</xdr:colOff>
      <xdr:row>31</xdr:row>
      <xdr:rowOff>364039</xdr:rowOff>
    </xdr:from>
    <xdr:to>
      <xdr:col>11</xdr:col>
      <xdr:colOff>156324</xdr:colOff>
      <xdr:row>32</xdr:row>
      <xdr:rowOff>356712</xdr:rowOff>
    </xdr:to>
    <xdr:sp macro="" textlink="">
      <xdr:nvSpPr>
        <xdr:cNvPr id="114" name="สี่เหลี่ยมผืนผ้า 113"/>
        <xdr:cNvSpPr/>
      </xdr:nvSpPr>
      <xdr:spPr>
        <a:xfrm>
          <a:off x="3397198" y="11661517"/>
          <a:ext cx="676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11</xdr:col>
      <xdr:colOff>175262</xdr:colOff>
      <xdr:row>30</xdr:row>
      <xdr:rowOff>355755</xdr:rowOff>
    </xdr:from>
    <xdr:to>
      <xdr:col>14</xdr:col>
      <xdr:colOff>14006</xdr:colOff>
      <xdr:row>31</xdr:row>
      <xdr:rowOff>348428</xdr:rowOff>
    </xdr:to>
    <xdr:sp macro="" textlink="">
      <xdr:nvSpPr>
        <xdr:cNvPr id="115" name="สี่เหลี่ยมผืนผ้า 114"/>
        <xdr:cNvSpPr/>
      </xdr:nvSpPr>
      <xdr:spPr>
        <a:xfrm>
          <a:off x="4092936" y="11288798"/>
          <a:ext cx="9072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2.52</a:t>
          </a:r>
        </a:p>
      </xdr:txBody>
    </xdr:sp>
    <xdr:clientData/>
  </xdr:twoCellAnchor>
  <xdr:twoCellAnchor>
    <xdr:from>
      <xdr:col>14</xdr:col>
      <xdr:colOff>34458</xdr:colOff>
      <xdr:row>28</xdr:row>
      <xdr:rowOff>364024</xdr:rowOff>
    </xdr:from>
    <xdr:to>
      <xdr:col>22</xdr:col>
      <xdr:colOff>148040</xdr:colOff>
      <xdr:row>29</xdr:row>
      <xdr:rowOff>356697</xdr:rowOff>
    </xdr:to>
    <xdr:sp macro="" textlink="">
      <xdr:nvSpPr>
        <xdr:cNvPr id="116" name="สี่เหลี่ยมผืนผ้า 115"/>
        <xdr:cNvSpPr/>
      </xdr:nvSpPr>
      <xdr:spPr>
        <a:xfrm>
          <a:off x="5020588" y="10568198"/>
          <a:ext cx="2962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8.23</a:t>
          </a:r>
        </a:p>
      </xdr:txBody>
    </xdr:sp>
    <xdr:clientData/>
  </xdr:twoCellAnchor>
  <xdr:twoCellAnchor>
    <xdr:from>
      <xdr:col>22</xdr:col>
      <xdr:colOff>166979</xdr:colOff>
      <xdr:row>27</xdr:row>
      <xdr:rowOff>364038</xdr:rowOff>
    </xdr:from>
    <xdr:to>
      <xdr:col>23</xdr:col>
      <xdr:colOff>271627</xdr:colOff>
      <xdr:row>28</xdr:row>
      <xdr:rowOff>356711</xdr:rowOff>
    </xdr:to>
    <xdr:sp macro="" textlink="">
      <xdr:nvSpPr>
        <xdr:cNvPr id="117" name="สี่เหลี่ยมผืนผ้า 116"/>
        <xdr:cNvSpPr/>
      </xdr:nvSpPr>
      <xdr:spPr>
        <a:xfrm>
          <a:off x="8002327" y="10203777"/>
          <a:ext cx="460800" cy="357108"/>
        </a:xfrm>
        <a:prstGeom prst="rect">
          <a:avLst/>
        </a:prstGeom>
        <a:solidFill>
          <a:srgbClr val="FF66FF"/>
        </a:solidFill>
        <a:ln>
          <a:solidFill>
            <a:srgbClr val="FF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1.28</a:t>
          </a:r>
        </a:p>
      </xdr:txBody>
    </xdr:sp>
    <xdr:clientData/>
  </xdr:twoCellAnchor>
  <xdr:twoCellAnchor>
    <xdr:from>
      <xdr:col>9</xdr:col>
      <xdr:colOff>200111</xdr:colOff>
      <xdr:row>33</xdr:row>
      <xdr:rowOff>4811</xdr:rowOff>
    </xdr:from>
    <xdr:to>
      <xdr:col>20</xdr:col>
      <xdr:colOff>110069</xdr:colOff>
      <xdr:row>33</xdr:row>
      <xdr:rowOff>362156</xdr:rowOff>
    </xdr:to>
    <xdr:sp macro="" textlink="">
      <xdr:nvSpPr>
        <xdr:cNvPr id="118" name="สี่เหลี่ยมผืนผ้า 117"/>
        <xdr:cNvSpPr/>
      </xdr:nvSpPr>
      <xdr:spPr>
        <a:xfrm>
          <a:off x="3405481" y="12031159"/>
          <a:ext cx="3827631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10.56</a:t>
          </a:r>
        </a:p>
      </xdr:txBody>
    </xdr:sp>
    <xdr:clientData/>
  </xdr:twoCellAnchor>
  <xdr:twoCellAnchor>
    <xdr:from>
      <xdr:col>25</xdr:col>
      <xdr:colOff>238212</xdr:colOff>
      <xdr:row>28</xdr:row>
      <xdr:rowOff>4809</xdr:rowOff>
    </xdr:from>
    <xdr:to>
      <xdr:col>27</xdr:col>
      <xdr:colOff>232640</xdr:colOff>
      <xdr:row>28</xdr:row>
      <xdr:rowOff>362154</xdr:rowOff>
    </xdr:to>
    <xdr:sp macro="" textlink="">
      <xdr:nvSpPr>
        <xdr:cNvPr id="119" name="สี่เหลี่ยมผืนผ้า 118"/>
        <xdr:cNvSpPr/>
      </xdr:nvSpPr>
      <xdr:spPr>
        <a:xfrm>
          <a:off x="9142016" y="10208983"/>
          <a:ext cx="706733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1.95</a:t>
          </a:r>
        </a:p>
      </xdr:txBody>
    </xdr:sp>
    <xdr:clientData/>
  </xdr:twoCellAnchor>
  <xdr:twoCellAnchor>
    <xdr:from>
      <xdr:col>20</xdr:col>
      <xdr:colOff>113026</xdr:colOff>
      <xdr:row>30</xdr:row>
      <xdr:rowOff>4807</xdr:rowOff>
    </xdr:from>
    <xdr:to>
      <xdr:col>25</xdr:col>
      <xdr:colOff>234097</xdr:colOff>
      <xdr:row>30</xdr:row>
      <xdr:rowOff>362152</xdr:rowOff>
    </xdr:to>
    <xdr:sp macro="" textlink="">
      <xdr:nvSpPr>
        <xdr:cNvPr id="120" name="สี่เหลี่ยมผืนผ้า 119"/>
        <xdr:cNvSpPr/>
      </xdr:nvSpPr>
      <xdr:spPr>
        <a:xfrm>
          <a:off x="7236069" y="10937850"/>
          <a:ext cx="1901832" cy="357345"/>
        </a:xfrm>
        <a:prstGeom prst="rect">
          <a:avLst/>
        </a:prstGeom>
        <a:solidFill>
          <a:srgbClr val="00FF00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5.25</a:t>
          </a:r>
        </a:p>
      </xdr:txBody>
    </xdr:sp>
    <xdr:clientData/>
  </xdr:twoCellAnchor>
  <xdr:twoCellAnchor>
    <xdr:from>
      <xdr:col>20</xdr:col>
      <xdr:colOff>104169</xdr:colOff>
      <xdr:row>33</xdr:row>
      <xdr:rowOff>7327</xdr:rowOff>
    </xdr:from>
    <xdr:to>
      <xdr:col>26</xdr:col>
      <xdr:colOff>158474</xdr:colOff>
      <xdr:row>33</xdr:row>
      <xdr:rowOff>364434</xdr:rowOff>
    </xdr:to>
    <xdr:sp macro="" textlink="">
      <xdr:nvSpPr>
        <xdr:cNvPr id="121" name="สี่เหลี่ยมผืนผ้า 120"/>
        <xdr:cNvSpPr/>
      </xdr:nvSpPr>
      <xdr:spPr>
        <a:xfrm>
          <a:off x="7227212" y="12033675"/>
          <a:ext cx="2191219" cy="357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26</xdr:col>
      <xdr:colOff>159915</xdr:colOff>
      <xdr:row>31</xdr:row>
      <xdr:rowOff>13726</xdr:rowOff>
    </xdr:from>
    <xdr:to>
      <xdr:col>28</xdr:col>
      <xdr:colOff>133330</xdr:colOff>
      <xdr:row>32</xdr:row>
      <xdr:rowOff>6637</xdr:rowOff>
    </xdr:to>
    <xdr:sp macro="" textlink="">
      <xdr:nvSpPr>
        <xdr:cNvPr id="122" name="สี่เหลี่ยมผืนผ้า 121"/>
        <xdr:cNvSpPr/>
      </xdr:nvSpPr>
      <xdr:spPr>
        <a:xfrm>
          <a:off x="9419872" y="11311204"/>
          <a:ext cx="685719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1.88</a:t>
          </a:r>
        </a:p>
      </xdr:txBody>
    </xdr:sp>
    <xdr:clientData/>
  </xdr:twoCellAnchor>
  <xdr:twoCellAnchor>
    <xdr:from>
      <xdr:col>35</xdr:col>
      <xdr:colOff>198215</xdr:colOff>
      <xdr:row>28</xdr:row>
      <xdr:rowOff>4820</xdr:rowOff>
    </xdr:from>
    <xdr:to>
      <xdr:col>36</xdr:col>
      <xdr:colOff>247630</xdr:colOff>
      <xdr:row>28</xdr:row>
      <xdr:rowOff>362165</xdr:rowOff>
    </xdr:to>
    <xdr:sp macro="" textlink="">
      <xdr:nvSpPr>
        <xdr:cNvPr id="123" name="สี่เหลี่ยมผืนผ้า 122"/>
        <xdr:cNvSpPr/>
      </xdr:nvSpPr>
      <xdr:spPr>
        <a:xfrm>
          <a:off x="12663541" y="10208994"/>
          <a:ext cx="405567" cy="357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900">
              <a:solidFill>
                <a:sysClr val="windowText" lastClr="000000"/>
              </a:solidFill>
            </a:rPr>
            <a:t>1.12</a:t>
          </a:r>
        </a:p>
      </xdr:txBody>
    </xdr:sp>
    <xdr:clientData/>
  </xdr:twoCellAnchor>
  <xdr:twoCellAnchor>
    <xdr:from>
      <xdr:col>28</xdr:col>
      <xdr:colOff>145589</xdr:colOff>
      <xdr:row>30</xdr:row>
      <xdr:rowOff>2510</xdr:rowOff>
    </xdr:from>
    <xdr:to>
      <xdr:col>35</xdr:col>
      <xdr:colOff>135089</xdr:colOff>
      <xdr:row>30</xdr:row>
      <xdr:rowOff>359856</xdr:rowOff>
    </xdr:to>
    <xdr:sp macro="" textlink="">
      <xdr:nvSpPr>
        <xdr:cNvPr id="124" name="สี่เหลี่ยมผืนผ้า 123"/>
        <xdr:cNvSpPr/>
      </xdr:nvSpPr>
      <xdr:spPr>
        <a:xfrm>
          <a:off x="10117850" y="10935553"/>
          <a:ext cx="2482565" cy="357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6.85</a:t>
          </a:r>
        </a:p>
      </xdr:txBody>
    </xdr:sp>
    <xdr:clientData/>
  </xdr:twoCellAnchor>
  <xdr:twoCellAnchor>
    <xdr:from>
      <xdr:col>26</xdr:col>
      <xdr:colOff>167452</xdr:colOff>
      <xdr:row>32</xdr:row>
      <xdr:rowOff>360966</xdr:rowOff>
    </xdr:from>
    <xdr:to>
      <xdr:col>33</xdr:col>
      <xdr:colOff>28586</xdr:colOff>
      <xdr:row>33</xdr:row>
      <xdr:rowOff>353876</xdr:rowOff>
    </xdr:to>
    <xdr:sp macro="" textlink="">
      <xdr:nvSpPr>
        <xdr:cNvPr id="125" name="สี่เหลี่ยมผืนผ้า 124"/>
        <xdr:cNvSpPr/>
      </xdr:nvSpPr>
      <xdr:spPr>
        <a:xfrm>
          <a:off x="9427409" y="12022879"/>
          <a:ext cx="2354199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6.5</a:t>
          </a:r>
        </a:p>
      </xdr:txBody>
    </xdr:sp>
    <xdr:clientData/>
  </xdr:twoCellAnchor>
  <xdr:twoCellAnchor>
    <xdr:from>
      <xdr:col>33</xdr:col>
      <xdr:colOff>34458</xdr:colOff>
      <xdr:row>30</xdr:row>
      <xdr:rowOff>364041</xdr:rowOff>
    </xdr:from>
    <xdr:to>
      <xdr:col>34</xdr:col>
      <xdr:colOff>313038</xdr:colOff>
      <xdr:row>31</xdr:row>
      <xdr:rowOff>356714</xdr:rowOff>
    </xdr:to>
    <xdr:sp macro="" textlink="">
      <xdr:nvSpPr>
        <xdr:cNvPr id="126" name="สี่เหลี่ยมผืนผ้า 125"/>
        <xdr:cNvSpPr/>
      </xdr:nvSpPr>
      <xdr:spPr>
        <a:xfrm>
          <a:off x="11787480" y="11297084"/>
          <a:ext cx="634732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1.75</a:t>
          </a:r>
        </a:p>
      </xdr:txBody>
    </xdr:sp>
    <xdr:clientData/>
  </xdr:twoCellAnchor>
  <xdr:twoCellAnchor>
    <xdr:from>
      <xdr:col>41</xdr:col>
      <xdr:colOff>165325</xdr:colOff>
      <xdr:row>28</xdr:row>
      <xdr:rowOff>4815</xdr:rowOff>
    </xdr:from>
    <xdr:to>
      <xdr:col>42</xdr:col>
      <xdr:colOff>151173</xdr:colOff>
      <xdr:row>28</xdr:row>
      <xdr:rowOff>362160</xdr:rowOff>
    </xdr:to>
    <xdr:sp macro="" textlink="">
      <xdr:nvSpPr>
        <xdr:cNvPr id="127" name="สี่เหลี่ยมผืนผ้า 126"/>
        <xdr:cNvSpPr/>
      </xdr:nvSpPr>
      <xdr:spPr>
        <a:xfrm>
          <a:off x="14767564" y="10208989"/>
          <a:ext cx="342000" cy="357345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600">
              <a:solidFill>
                <a:sysClr val="windowText" lastClr="000000"/>
              </a:solidFill>
            </a:rPr>
            <a:t>0.95</a:t>
          </a:r>
        </a:p>
      </xdr:txBody>
    </xdr:sp>
    <xdr:clientData/>
  </xdr:twoCellAnchor>
  <xdr:twoCellAnchor>
    <xdr:from>
      <xdr:col>35</xdr:col>
      <xdr:colOff>143077</xdr:colOff>
      <xdr:row>29</xdr:row>
      <xdr:rowOff>364043</xdr:rowOff>
    </xdr:from>
    <xdr:to>
      <xdr:col>41</xdr:col>
      <xdr:colOff>137163</xdr:colOff>
      <xdr:row>30</xdr:row>
      <xdr:rowOff>356717</xdr:rowOff>
    </xdr:to>
    <xdr:sp macro="" textlink="">
      <xdr:nvSpPr>
        <xdr:cNvPr id="128" name="สี่เหลี่ยมผืนผ้า 127"/>
        <xdr:cNvSpPr/>
      </xdr:nvSpPr>
      <xdr:spPr>
        <a:xfrm>
          <a:off x="12608403" y="10932652"/>
          <a:ext cx="2130999" cy="357108"/>
        </a:xfrm>
        <a:prstGeom prst="rect">
          <a:avLst/>
        </a:prstGeom>
        <a:solidFill>
          <a:srgbClr val="FFFF00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5.88</a:t>
          </a:r>
        </a:p>
      </xdr:txBody>
    </xdr:sp>
    <xdr:clientData/>
  </xdr:twoCellAnchor>
  <xdr:twoCellAnchor>
    <xdr:from>
      <xdr:col>33</xdr:col>
      <xdr:colOff>47473</xdr:colOff>
      <xdr:row>33</xdr:row>
      <xdr:rowOff>14988</xdr:rowOff>
    </xdr:from>
    <xdr:to>
      <xdr:col>33</xdr:col>
      <xdr:colOff>263473</xdr:colOff>
      <xdr:row>34</xdr:row>
      <xdr:rowOff>7662</xdr:rowOff>
    </xdr:to>
    <xdr:sp macro="" textlink="">
      <xdr:nvSpPr>
        <xdr:cNvPr id="139" name="สี่เหลี่ยมผืนผ้า 138"/>
        <xdr:cNvSpPr/>
      </xdr:nvSpPr>
      <xdr:spPr>
        <a:xfrm>
          <a:off x="11800495" y="12041336"/>
          <a:ext cx="216000" cy="357109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0.6</a:t>
          </a:r>
        </a:p>
      </xdr:txBody>
    </xdr:sp>
    <xdr:clientData/>
  </xdr:twoCellAnchor>
  <xdr:twoCellAnchor>
    <xdr:from>
      <xdr:col>33</xdr:col>
      <xdr:colOff>257615</xdr:colOff>
      <xdr:row>32</xdr:row>
      <xdr:rowOff>9310</xdr:rowOff>
    </xdr:from>
    <xdr:to>
      <xdr:col>34</xdr:col>
      <xdr:colOff>308263</xdr:colOff>
      <xdr:row>33</xdr:row>
      <xdr:rowOff>1983</xdr:rowOff>
    </xdr:to>
    <xdr:sp macro="" textlink="">
      <xdr:nvSpPr>
        <xdr:cNvPr id="140" name="สี่เหลี่ยมผืนผ้า 139"/>
        <xdr:cNvSpPr/>
      </xdr:nvSpPr>
      <xdr:spPr>
        <a:xfrm>
          <a:off x="12010637" y="11671223"/>
          <a:ext cx="406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1.13</a:t>
          </a:r>
        </a:p>
      </xdr:txBody>
    </xdr:sp>
    <xdr:clientData/>
  </xdr:twoCellAnchor>
  <xdr:twoCellAnchor>
    <xdr:from>
      <xdr:col>34</xdr:col>
      <xdr:colOff>318908</xdr:colOff>
      <xdr:row>30</xdr:row>
      <xdr:rowOff>362859</xdr:rowOff>
    </xdr:from>
    <xdr:to>
      <xdr:col>36</xdr:col>
      <xdr:colOff>49404</xdr:colOff>
      <xdr:row>31</xdr:row>
      <xdr:rowOff>355532</xdr:rowOff>
    </xdr:to>
    <xdr:sp macro="" textlink="">
      <xdr:nvSpPr>
        <xdr:cNvPr id="141" name="สี่เหลี่ยมผืนผ้า 140"/>
        <xdr:cNvSpPr/>
      </xdr:nvSpPr>
      <xdr:spPr>
        <a:xfrm>
          <a:off x="12428082" y="11295902"/>
          <a:ext cx="442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1.23</a:t>
          </a:r>
        </a:p>
      </xdr:txBody>
    </xdr:sp>
    <xdr:clientData/>
  </xdr:twoCellAnchor>
  <xdr:twoCellAnchor>
    <xdr:from>
      <xdr:col>36</xdr:col>
      <xdr:colOff>61199</xdr:colOff>
      <xdr:row>28</xdr:row>
      <xdr:rowOff>354580</xdr:rowOff>
    </xdr:from>
    <xdr:to>
      <xdr:col>40</xdr:col>
      <xdr:colOff>130590</xdr:colOff>
      <xdr:row>29</xdr:row>
      <xdr:rowOff>347253</xdr:rowOff>
    </xdr:to>
    <xdr:sp macro="" textlink="">
      <xdr:nvSpPr>
        <xdr:cNvPr id="142" name="สี่เหลี่ยมผืนผ้า 141"/>
        <xdr:cNvSpPr/>
      </xdr:nvSpPr>
      <xdr:spPr>
        <a:xfrm>
          <a:off x="12882677" y="10558754"/>
          <a:ext cx="14940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4.15</a:t>
          </a:r>
        </a:p>
      </xdr:txBody>
    </xdr:sp>
    <xdr:clientData/>
  </xdr:twoCellAnchor>
  <xdr:twoCellAnchor>
    <xdr:from>
      <xdr:col>40</xdr:col>
      <xdr:colOff>127222</xdr:colOff>
      <xdr:row>27</xdr:row>
      <xdr:rowOff>357653</xdr:rowOff>
    </xdr:from>
    <xdr:to>
      <xdr:col>41</xdr:col>
      <xdr:colOff>51870</xdr:colOff>
      <xdr:row>28</xdr:row>
      <xdr:rowOff>350326</xdr:rowOff>
    </xdr:to>
    <xdr:sp macro="" textlink="">
      <xdr:nvSpPr>
        <xdr:cNvPr id="143" name="สี่เหลี่ยมผืนผ้า 142"/>
        <xdr:cNvSpPr/>
      </xdr:nvSpPr>
      <xdr:spPr>
        <a:xfrm>
          <a:off x="14373309" y="10197392"/>
          <a:ext cx="280800" cy="357108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0.78</a:t>
          </a:r>
        </a:p>
      </xdr:txBody>
    </xdr:sp>
    <xdr:clientData/>
  </xdr:twoCellAnchor>
  <xdr:twoCellAnchor>
    <xdr:from>
      <xdr:col>33</xdr:col>
      <xdr:colOff>262111</xdr:colOff>
      <xdr:row>33</xdr:row>
      <xdr:rowOff>4811</xdr:rowOff>
    </xdr:from>
    <xdr:to>
      <xdr:col>37</xdr:col>
      <xdr:colOff>207768</xdr:colOff>
      <xdr:row>33</xdr:row>
      <xdr:rowOff>362156</xdr:rowOff>
    </xdr:to>
    <xdr:sp macro="" textlink="">
      <xdr:nvSpPr>
        <xdr:cNvPr id="144" name="สี่เหลี่ยมผืนผ้า 143"/>
        <xdr:cNvSpPr/>
      </xdr:nvSpPr>
      <xdr:spPr>
        <a:xfrm>
          <a:off x="12015133" y="12031159"/>
          <a:ext cx="1370265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3.78</a:t>
          </a:r>
        </a:p>
      </xdr:txBody>
    </xdr:sp>
    <xdr:clientData/>
  </xdr:twoCellAnchor>
  <xdr:twoCellAnchor>
    <xdr:from>
      <xdr:col>41</xdr:col>
      <xdr:colOff>160819</xdr:colOff>
      <xdr:row>29</xdr:row>
      <xdr:rowOff>364040</xdr:rowOff>
    </xdr:from>
    <xdr:to>
      <xdr:col>43</xdr:col>
      <xdr:colOff>54448</xdr:colOff>
      <xdr:row>30</xdr:row>
      <xdr:rowOff>356714</xdr:rowOff>
    </xdr:to>
    <xdr:sp macro="" textlink="">
      <xdr:nvSpPr>
        <xdr:cNvPr id="145" name="สี่เหลี่ยมผืนผ้า 144"/>
        <xdr:cNvSpPr/>
      </xdr:nvSpPr>
      <xdr:spPr>
        <a:xfrm>
          <a:off x="14763058" y="10932649"/>
          <a:ext cx="605933" cy="357108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1.67</a:t>
          </a:r>
        </a:p>
      </xdr:txBody>
    </xdr:sp>
    <xdr:clientData/>
  </xdr:twoCellAnchor>
  <xdr:twoCellAnchor>
    <xdr:from>
      <xdr:col>43</xdr:col>
      <xdr:colOff>83669</xdr:colOff>
      <xdr:row>28</xdr:row>
      <xdr:rowOff>4811</xdr:rowOff>
    </xdr:from>
    <xdr:to>
      <xdr:col>43</xdr:col>
      <xdr:colOff>338035</xdr:colOff>
      <xdr:row>28</xdr:row>
      <xdr:rowOff>362156</xdr:rowOff>
    </xdr:to>
    <xdr:sp macro="" textlink="">
      <xdr:nvSpPr>
        <xdr:cNvPr id="146" name="สี่เหลี่ยมผืนผ้า 145"/>
        <xdr:cNvSpPr/>
      </xdr:nvSpPr>
      <xdr:spPr>
        <a:xfrm>
          <a:off x="15398212" y="10208985"/>
          <a:ext cx="254366" cy="357345"/>
        </a:xfrm>
        <a:prstGeom prst="rect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500">
              <a:solidFill>
                <a:sysClr val="windowText" lastClr="000000"/>
              </a:solidFill>
            </a:rPr>
            <a:t>0.7</a:t>
          </a:r>
        </a:p>
      </xdr:txBody>
    </xdr:sp>
    <xdr:clientData/>
  </xdr:twoCellAnchor>
  <xdr:twoCellAnchor>
    <xdr:from>
      <xdr:col>52</xdr:col>
      <xdr:colOff>157369</xdr:colOff>
      <xdr:row>0</xdr:row>
      <xdr:rowOff>132522</xdr:rowOff>
    </xdr:from>
    <xdr:to>
      <xdr:col>54</xdr:col>
      <xdr:colOff>190499</xdr:colOff>
      <xdr:row>2</xdr:row>
      <xdr:rowOff>8282</xdr:rowOff>
    </xdr:to>
    <xdr:sp macro="" textlink="">
      <xdr:nvSpPr>
        <xdr:cNvPr id="147" name="คำบรรยายภาพแบบเส้น 1 146"/>
        <xdr:cNvSpPr/>
      </xdr:nvSpPr>
      <xdr:spPr>
        <a:xfrm>
          <a:off x="18677282" y="132522"/>
          <a:ext cx="745434" cy="604630"/>
        </a:xfrm>
        <a:prstGeom prst="borderCallout1">
          <a:avLst>
            <a:gd name="adj1" fmla="val 18750"/>
            <a:gd name="adj2" fmla="val -8333"/>
            <a:gd name="adj3" fmla="val 42637"/>
            <a:gd name="adj4" fmla="val -294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46.76</a:t>
          </a:r>
        </a:p>
      </xdr:txBody>
    </xdr:sp>
    <xdr:clientData/>
  </xdr:twoCellAnchor>
  <xdr:twoCellAnchor>
    <xdr:from>
      <xdr:col>51</xdr:col>
      <xdr:colOff>312145</xdr:colOff>
      <xdr:row>10</xdr:row>
      <xdr:rowOff>102321</xdr:rowOff>
    </xdr:from>
    <xdr:to>
      <xdr:col>54</xdr:col>
      <xdr:colOff>18154</xdr:colOff>
      <xdr:row>11</xdr:row>
      <xdr:rowOff>343688</xdr:rowOff>
    </xdr:to>
    <xdr:sp macro="" textlink="">
      <xdr:nvSpPr>
        <xdr:cNvPr id="149" name="คำบรรยายภาพแบบเส้น 1 148"/>
        <xdr:cNvSpPr/>
      </xdr:nvSpPr>
      <xdr:spPr>
        <a:xfrm>
          <a:off x="16995327" y="3758382"/>
          <a:ext cx="687372" cy="606973"/>
        </a:xfrm>
        <a:prstGeom prst="borderCallout1">
          <a:avLst>
            <a:gd name="adj1" fmla="val 18750"/>
            <a:gd name="adj2" fmla="val -8333"/>
            <a:gd name="adj3" fmla="val 44007"/>
            <a:gd name="adj4" fmla="val -72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45.48</a:t>
          </a:r>
          <a:endParaRPr lang="th-TH" sz="1100"/>
        </a:p>
      </xdr:txBody>
    </xdr:sp>
    <xdr:clientData/>
  </xdr:twoCellAnchor>
  <xdr:twoCellAnchor>
    <xdr:from>
      <xdr:col>52</xdr:col>
      <xdr:colOff>66260</xdr:colOff>
      <xdr:row>18</xdr:row>
      <xdr:rowOff>1</xdr:rowOff>
    </xdr:from>
    <xdr:to>
      <xdr:col>54</xdr:col>
      <xdr:colOff>99390</xdr:colOff>
      <xdr:row>19</xdr:row>
      <xdr:rowOff>240196</xdr:rowOff>
    </xdr:to>
    <xdr:sp macro="" textlink="">
      <xdr:nvSpPr>
        <xdr:cNvPr id="150" name="คำบรรยายภาพแบบเส้น 1 149"/>
        <xdr:cNvSpPr/>
      </xdr:nvSpPr>
      <xdr:spPr>
        <a:xfrm>
          <a:off x="18586173" y="6559827"/>
          <a:ext cx="745434" cy="604630"/>
        </a:xfrm>
        <a:prstGeom prst="borderCallout1">
          <a:avLst>
            <a:gd name="adj1" fmla="val 18750"/>
            <a:gd name="adj2" fmla="val -8333"/>
            <a:gd name="adj3" fmla="val 63185"/>
            <a:gd name="adj4" fmla="val -238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46.76</a:t>
          </a:r>
        </a:p>
      </xdr:txBody>
    </xdr:sp>
    <xdr:clientData/>
  </xdr:twoCellAnchor>
  <xdr:twoCellAnchor>
    <xdr:from>
      <xdr:col>45</xdr:col>
      <xdr:colOff>215348</xdr:colOff>
      <xdr:row>28</xdr:row>
      <xdr:rowOff>165653</xdr:rowOff>
    </xdr:from>
    <xdr:to>
      <xdr:col>47</xdr:col>
      <xdr:colOff>248478</xdr:colOff>
      <xdr:row>30</xdr:row>
      <xdr:rowOff>41414</xdr:rowOff>
    </xdr:to>
    <xdr:sp macro="" textlink="">
      <xdr:nvSpPr>
        <xdr:cNvPr id="153" name="คำบรรยายภาพแบบเส้น 1 152"/>
        <xdr:cNvSpPr/>
      </xdr:nvSpPr>
      <xdr:spPr>
        <a:xfrm>
          <a:off x="16242196" y="10369827"/>
          <a:ext cx="745434" cy="604630"/>
        </a:xfrm>
        <a:prstGeom prst="borderCallout1">
          <a:avLst>
            <a:gd name="adj1" fmla="val 18750"/>
            <a:gd name="adj2" fmla="val -8333"/>
            <a:gd name="adj3" fmla="val 12500"/>
            <a:gd name="adj4" fmla="val -62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38.95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160884</xdr:colOff>
      <xdr:row>31</xdr:row>
      <xdr:rowOff>69636</xdr:rowOff>
    </xdr:from>
    <xdr:to>
      <xdr:col>10</xdr:col>
      <xdr:colOff>1012314</xdr:colOff>
      <xdr:row>33</xdr:row>
      <xdr:rowOff>45695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กล่องข้อความ 8"/>
            <xdr:cNvSpPr txBox="1"/>
          </xdr:nvSpPr>
          <xdr:spPr>
            <a:xfrm>
              <a:off x="10201355" y="9437754"/>
              <a:ext cx="5154488" cy="5699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th-TH"/>
              </a:defPPr>
              <a:lvl1pPr marL="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 b="1">
                  <a:solidFill>
                    <a:schemeClr val="bg2">
                      <a:lumMod val="10000"/>
                    </a:schemeClr>
                  </a:solidFill>
                </a:rPr>
                <a:t>	WL   =  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charset="0"/>
                            </a:rPr>
                          </m:ctrlPr>
                        </m:sSubPr>
                        <m:e>
                          <m: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  <m:sSub>
                        <m:sSubPr>
                          <m:ctrlP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charset="0"/>
                            </a:rPr>
                          </m:ctrlPr>
                        </m:sSubPr>
                        <m:e>
                          <m: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𝑻</m:t>
                          </m:r>
                        </m:e>
                        <m:sub>
                          <m:r>
                            <a:rPr lang="en-US" sz="2000" b="1" i="1">
                              <a:solidFill>
                                <a:schemeClr val="bg2">
                                  <a:lumMod val="1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𝒄</m:t>
                          </m:r>
                        </m:sub>
                      </m:sSub>
                    </m:num>
                    <m:den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𝑵𝒐</m:t>
                      </m:r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𝑴</m:t>
                      </m:r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𝑪</m:t>
                      </m:r>
                      <m:r>
                        <a:rPr lang="en-US" sz="2000" b="1" i="1">
                          <a:solidFill>
                            <a:schemeClr val="bg2">
                              <a:lumMod val="10000"/>
                            </a:schemeClr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endParaRPr lang="th-TH" sz="2000" b="1">
                <a:solidFill>
                  <a:schemeClr val="bg2">
                    <a:lumMod val="1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กล่องข้อความ 8"/>
            <xdr:cNvSpPr txBox="1"/>
          </xdr:nvSpPr>
          <xdr:spPr>
            <a:xfrm>
              <a:off x="10201355" y="9437754"/>
              <a:ext cx="5154488" cy="5699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th-TH"/>
              </a:defPPr>
              <a:lvl1pPr marL="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 b="1">
                  <a:solidFill>
                    <a:schemeClr val="bg2">
                      <a:lumMod val="10000"/>
                    </a:schemeClr>
                  </a:solidFill>
                </a:rPr>
                <a:t>	WL   =    </a:t>
              </a:r>
              <a:r>
                <a:rPr lang="en-US" sz="2000" b="1" i="0">
                  <a:solidFill>
                    <a:schemeClr val="bg2">
                      <a:lumMod val="10000"/>
                    </a:schemeClr>
                  </a:solidFill>
                  <a:latin typeface="Cambria Math" panose="02040503050406030204" pitchFamily="18" charset="0"/>
                </a:rPr>
                <a:t>(𝑸_𝟎 𝒙𝑻_𝒄)/(𝑵𝒐.𝑴/𝑪 )</a:t>
              </a:r>
              <a:endParaRPr lang="th-TH" sz="2000" b="1">
                <a:solidFill>
                  <a:schemeClr val="bg2">
                    <a:lumMod val="10000"/>
                  </a:schemeClr>
                </a:solidFill>
              </a:endParaRP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2" name="Table2" displayName="Table2" ref="J49:O55" headerRowCount="0" totalsRowShown="0">
  <tableColumns count="6">
    <tableColumn id="1" name="%OEE" dataDxfId="3"/>
    <tableColumn id="2" name="Column1"/>
    <tableColumn id="3" name="Column2" dataDxfId="2"/>
    <tableColumn id="4" name="Column3" dataDxfId="1"/>
    <tableColumn id="5" name="Column4"/>
    <tableColumn id="6" name="Column5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="84" zoomScaleNormal="84" zoomScalePageLayoutView="84" workbookViewId="0">
      <selection activeCell="O44" sqref="O44"/>
    </sheetView>
  </sheetViews>
  <sheetFormatPr baseColWidth="10" defaultColWidth="10.83203125" defaultRowHeight="24" x14ac:dyDescent="0.4"/>
  <cols>
    <col min="1" max="16384" width="10.83203125" style="1"/>
  </cols>
  <sheetData>
    <row r="1" spans="1:15" x14ac:dyDescent="0.4">
      <c r="D1" s="1" t="s">
        <v>0</v>
      </c>
    </row>
    <row r="2" spans="1:15" x14ac:dyDescent="0.4">
      <c r="B2" s="1" t="s">
        <v>11</v>
      </c>
      <c r="C2" s="1" t="s">
        <v>12</v>
      </c>
    </row>
    <row r="3" spans="1:15" x14ac:dyDescent="0.4">
      <c r="A3" s="4" t="s">
        <v>1</v>
      </c>
      <c r="B3" s="316" t="s">
        <v>2</v>
      </c>
      <c r="C3" s="316"/>
      <c r="D3" s="316" t="s">
        <v>5</v>
      </c>
      <c r="E3" s="316"/>
      <c r="F3" s="316" t="s">
        <v>6</v>
      </c>
      <c r="G3" s="316"/>
      <c r="H3" s="316" t="s">
        <v>7</v>
      </c>
      <c r="I3" s="316"/>
      <c r="J3" s="316" t="s">
        <v>8</v>
      </c>
      <c r="K3" s="316"/>
      <c r="L3" s="316" t="s">
        <v>9</v>
      </c>
      <c r="M3" s="316"/>
      <c r="N3" s="316" t="s">
        <v>10</v>
      </c>
      <c r="O3" s="316"/>
    </row>
    <row r="4" spans="1:15" s="2" customFormat="1" x14ac:dyDescent="0.4">
      <c r="A4" s="5"/>
      <c r="B4" s="6" t="s">
        <v>3</v>
      </c>
      <c r="C4" s="6" t="s">
        <v>4</v>
      </c>
      <c r="D4" s="6" t="s">
        <v>3</v>
      </c>
      <c r="E4" s="6" t="s">
        <v>4</v>
      </c>
      <c r="F4" s="6" t="s">
        <v>3</v>
      </c>
      <c r="G4" s="6" t="s">
        <v>4</v>
      </c>
      <c r="H4" s="6" t="s">
        <v>3</v>
      </c>
      <c r="I4" s="6" t="s">
        <v>4</v>
      </c>
      <c r="J4" s="6" t="s">
        <v>3</v>
      </c>
      <c r="K4" s="6" t="s">
        <v>4</v>
      </c>
      <c r="L4" s="6" t="s">
        <v>3</v>
      </c>
      <c r="M4" s="6" t="s">
        <v>4</v>
      </c>
      <c r="N4" s="6" t="s">
        <v>3</v>
      </c>
      <c r="O4" s="6" t="s">
        <v>4</v>
      </c>
    </row>
    <row r="5" spans="1:15" s="2" customFormat="1" x14ac:dyDescent="0.4">
      <c r="A5" s="6">
        <v>1</v>
      </c>
      <c r="B5" s="7">
        <f>D23</f>
        <v>1.6912320483749059</v>
      </c>
      <c r="C5" s="12">
        <f>K23</f>
        <v>0.38973922902494335</v>
      </c>
      <c r="D5" s="11">
        <f>D23+E23</f>
        <v>1.6912320483749059</v>
      </c>
      <c r="E5" s="12">
        <f>J23+K23</f>
        <v>0.38973922902494335</v>
      </c>
      <c r="F5" s="11">
        <f>D23+E23+F23</f>
        <v>1.6912320483749059</v>
      </c>
      <c r="G5" s="11">
        <f>I23+J23+K23</f>
        <v>0.38973922902494335</v>
      </c>
      <c r="H5" s="11">
        <f>D23+E23+F23+G23</f>
        <v>3.8170823885109604</v>
      </c>
      <c r="I5" s="11">
        <f>H23+I23+J23+K23</f>
        <v>0.38973922902494335</v>
      </c>
      <c r="J5" s="11">
        <f>D23+E23+F23+G23+H23</f>
        <v>3.8170823885109604</v>
      </c>
      <c r="K5" s="11">
        <f>G23+H23+I23+J23+K23</f>
        <v>2.5155895691609982</v>
      </c>
      <c r="L5" s="11">
        <f>D23+E23+F23+G23+H23+I23</f>
        <v>3.8170823885109604</v>
      </c>
      <c r="M5" s="11">
        <f>F23+G23+H23+I23+J23+K23</f>
        <v>2.5155895691609982</v>
      </c>
      <c r="N5" s="11">
        <f>D23+E23+F23+G23+H23+I23+J23+K23</f>
        <v>4.2068216175359039</v>
      </c>
      <c r="O5" s="11">
        <f>E23+F23+G23+H23+I23+J23+K23</f>
        <v>2.5155895691609982</v>
      </c>
    </row>
    <row r="6" spans="1:15" s="2" customFormat="1" x14ac:dyDescent="0.4">
      <c r="A6" s="6">
        <v>2</v>
      </c>
      <c r="B6" s="7">
        <f t="shared" ref="B6:B20" si="0">D24</f>
        <v>1.3988095238095239</v>
      </c>
      <c r="C6" s="12">
        <f>K24</f>
        <v>0.29761904761904762</v>
      </c>
      <c r="D6" s="11">
        <f t="shared" ref="D6:D20" si="1">D24+E24</f>
        <v>1.3988095238095239</v>
      </c>
      <c r="E6" s="11">
        <f t="shared" ref="E6:E20" si="2">J24+K24</f>
        <v>0.29761904761904762</v>
      </c>
      <c r="F6" s="11">
        <f t="shared" ref="F6:F20" si="3">D24+E24+F24</f>
        <v>1.3988095238095239</v>
      </c>
      <c r="G6" s="11">
        <f t="shared" ref="G6:G20" si="4">I24+J24+K24</f>
        <v>0.29761904761904762</v>
      </c>
      <c r="H6" s="11">
        <f t="shared" ref="H6:H20" si="5">D24+E24+F24+G24</f>
        <v>2.8869047619047619</v>
      </c>
      <c r="I6" s="11">
        <f t="shared" ref="I6:I20" si="6">H24+I24+J24+K24</f>
        <v>0.29761904761904762</v>
      </c>
      <c r="J6" s="11">
        <f t="shared" ref="J6:J20" si="7">D24+E24+F24+G24+H24</f>
        <v>2.8869047619047619</v>
      </c>
      <c r="K6" s="11">
        <f t="shared" ref="K6:K20" si="8">G24+H24+I24+J24+K24</f>
        <v>1.7857142857142856</v>
      </c>
      <c r="L6" s="11">
        <f t="shared" ref="L6:L20" si="9">D24+E24+F24+G24+H24+I24</f>
        <v>2.8869047619047619</v>
      </c>
      <c r="M6" s="11">
        <f t="shared" ref="M6:M20" si="10">F24+G24+H24+I24+J24+K24</f>
        <v>1.7857142857142856</v>
      </c>
      <c r="N6" s="11">
        <f t="shared" ref="N6:N20" si="11">D24+E24+F24+G24+H24+I24+J24+K24</f>
        <v>3.1845238095238093</v>
      </c>
      <c r="O6" s="11">
        <f t="shared" ref="O6:O20" si="12">E24+F24+G24+H24+I24+J24+K24</f>
        <v>1.7857142857142856</v>
      </c>
    </row>
    <row r="7" spans="1:15" s="2" customFormat="1" x14ac:dyDescent="0.4">
      <c r="A7" s="6">
        <v>3</v>
      </c>
      <c r="B7" s="7">
        <f t="shared" si="0"/>
        <v>2.6020408163265305</v>
      </c>
      <c r="C7" s="12">
        <f t="shared" ref="C7:C20" si="13">K25</f>
        <v>0.63775510204081631</v>
      </c>
      <c r="D7" s="11">
        <f t="shared" si="1"/>
        <v>2.6020408163265305</v>
      </c>
      <c r="E7" s="11">
        <f t="shared" si="2"/>
        <v>0.63775510204081631</v>
      </c>
      <c r="F7" s="11">
        <f t="shared" si="3"/>
        <v>2.6020408163265305</v>
      </c>
      <c r="G7" s="11">
        <f t="shared" si="4"/>
        <v>0.63775510204081631</v>
      </c>
      <c r="H7" s="11">
        <f t="shared" si="5"/>
        <v>5.1530612244897958</v>
      </c>
      <c r="I7" s="11">
        <f t="shared" si="6"/>
        <v>0.63775510204081631</v>
      </c>
      <c r="J7" s="11">
        <f t="shared" si="7"/>
        <v>5.1530612244897958</v>
      </c>
      <c r="K7" s="11">
        <f t="shared" si="8"/>
        <v>3.1887755102040813</v>
      </c>
      <c r="L7" s="11">
        <f t="shared" si="9"/>
        <v>5.1530612244897958</v>
      </c>
      <c r="M7" s="11">
        <f t="shared" si="10"/>
        <v>3.1887755102040813</v>
      </c>
      <c r="N7" s="11">
        <f t="shared" si="11"/>
        <v>5.7908163265306118</v>
      </c>
      <c r="O7" s="11">
        <f t="shared" si="12"/>
        <v>3.1887755102040813</v>
      </c>
    </row>
    <row r="8" spans="1:15" s="2" customFormat="1" x14ac:dyDescent="0.4">
      <c r="A8" s="6">
        <v>4</v>
      </c>
      <c r="B8" s="7">
        <f t="shared" si="0"/>
        <v>0.47808012093726371</v>
      </c>
      <c r="C8" s="12">
        <f t="shared" si="13"/>
        <v>0.11337868480725624</v>
      </c>
      <c r="D8" s="11">
        <f t="shared" si="1"/>
        <v>0.47808012093726371</v>
      </c>
      <c r="E8" s="11">
        <f t="shared" si="2"/>
        <v>0.11337868480725624</v>
      </c>
      <c r="F8" s="11">
        <f t="shared" si="3"/>
        <v>0.47808012093726371</v>
      </c>
      <c r="G8" s="11">
        <f t="shared" si="4"/>
        <v>0.11337868480725624</v>
      </c>
      <c r="H8" s="11">
        <f t="shared" si="5"/>
        <v>0.90325018896447462</v>
      </c>
      <c r="I8" s="11">
        <f t="shared" si="6"/>
        <v>0.11337868480725624</v>
      </c>
      <c r="J8" s="11">
        <f t="shared" si="7"/>
        <v>0.90325018896447462</v>
      </c>
      <c r="K8" s="11">
        <f t="shared" si="8"/>
        <v>0.53854875283446713</v>
      </c>
      <c r="L8" s="11">
        <f t="shared" si="9"/>
        <v>0.90325018896447462</v>
      </c>
      <c r="M8" s="11">
        <f t="shared" si="10"/>
        <v>0.53854875283446713</v>
      </c>
      <c r="N8" s="11">
        <f t="shared" si="11"/>
        <v>1.0166288737717308</v>
      </c>
      <c r="O8" s="11">
        <f t="shared" si="12"/>
        <v>0.53854875283446713</v>
      </c>
    </row>
    <row r="9" spans="1:15" s="2" customFormat="1" x14ac:dyDescent="0.4">
      <c r="A9" s="6">
        <v>5</v>
      </c>
      <c r="B9" s="7">
        <f t="shared" si="0"/>
        <v>2.5368480725623583</v>
      </c>
      <c r="C9" s="12">
        <f t="shared" si="13"/>
        <v>0.58460884353741505</v>
      </c>
      <c r="D9" s="11">
        <f t="shared" si="1"/>
        <v>2.5368480725623583</v>
      </c>
      <c r="E9" s="11">
        <f t="shared" si="2"/>
        <v>3.7733843537414966</v>
      </c>
      <c r="F9" s="11">
        <f t="shared" si="3"/>
        <v>2.5368480725623583</v>
      </c>
      <c r="G9" s="11">
        <f t="shared" si="4"/>
        <v>8.2057823129251695</v>
      </c>
      <c r="H9" s="11">
        <f t="shared" si="5"/>
        <v>5.7256235827664401</v>
      </c>
      <c r="I9" s="11">
        <f t="shared" si="6"/>
        <v>8.2057823129251695</v>
      </c>
      <c r="J9" s="11">
        <f t="shared" si="7"/>
        <v>5.7256235827664401</v>
      </c>
      <c r="K9" s="11">
        <f t="shared" si="8"/>
        <v>11.394557823129253</v>
      </c>
      <c r="L9" s="11">
        <f t="shared" si="9"/>
        <v>10.158021541950113</v>
      </c>
      <c r="M9" s="11">
        <f t="shared" si="10"/>
        <v>11.394557823129253</v>
      </c>
      <c r="N9" s="11">
        <f t="shared" si="11"/>
        <v>13.93140589569161</v>
      </c>
      <c r="O9" s="11">
        <f t="shared" si="12"/>
        <v>11.394557823129253</v>
      </c>
    </row>
    <row r="10" spans="1:15" s="2" customFormat="1" x14ac:dyDescent="0.4">
      <c r="A10" s="6">
        <v>6</v>
      </c>
      <c r="B10" s="7">
        <f t="shared" si="0"/>
        <v>4.795918367346939</v>
      </c>
      <c r="C10" s="12">
        <f t="shared" si="13"/>
        <v>1.0204081632653061</v>
      </c>
      <c r="D10" s="11">
        <f t="shared" si="1"/>
        <v>4.795918367346939</v>
      </c>
      <c r="E10" s="11">
        <f t="shared" si="2"/>
        <v>6.1224489795918364</v>
      </c>
      <c r="F10" s="11">
        <f t="shared" si="3"/>
        <v>4.795918367346939</v>
      </c>
      <c r="G10" s="11">
        <f t="shared" si="4"/>
        <v>13.418367346938778</v>
      </c>
      <c r="H10" s="11">
        <f t="shared" si="5"/>
        <v>9.8979591836734695</v>
      </c>
      <c r="I10" s="11">
        <f t="shared" si="6"/>
        <v>13.418367346938778</v>
      </c>
      <c r="J10" s="11">
        <f t="shared" si="7"/>
        <v>9.8979591836734695</v>
      </c>
      <c r="K10" s="11">
        <f t="shared" si="8"/>
        <v>18.520408163265305</v>
      </c>
      <c r="L10" s="11">
        <f t="shared" si="9"/>
        <v>17.19387755102041</v>
      </c>
      <c r="M10" s="11">
        <f t="shared" si="10"/>
        <v>18.520408163265305</v>
      </c>
      <c r="N10" s="11">
        <f t="shared" si="11"/>
        <v>23.316326530612248</v>
      </c>
      <c r="O10" s="11">
        <f t="shared" si="12"/>
        <v>18.520408163265305</v>
      </c>
    </row>
    <row r="11" spans="1:15" s="2" customFormat="1" x14ac:dyDescent="0.4">
      <c r="A11" s="6">
        <v>7</v>
      </c>
      <c r="B11" s="7">
        <f t="shared" si="0"/>
        <v>6.5051020408163254</v>
      </c>
      <c r="C11" s="11">
        <f t="shared" si="13"/>
        <v>1.5943877551020407</v>
      </c>
      <c r="D11" s="11">
        <f t="shared" si="1"/>
        <v>6.5051020408163254</v>
      </c>
      <c r="E11" s="11">
        <f t="shared" si="2"/>
        <v>7.9719387755102034</v>
      </c>
      <c r="F11" s="11">
        <f t="shared" si="3"/>
        <v>6.5051020408163254</v>
      </c>
      <c r="G11" s="11">
        <f t="shared" si="4"/>
        <v>17.410714285714285</v>
      </c>
      <c r="H11" s="11">
        <f t="shared" si="5"/>
        <v>12.882653061224488</v>
      </c>
      <c r="I11" s="11">
        <f t="shared" si="6"/>
        <v>17.410714285714285</v>
      </c>
      <c r="J11" s="11">
        <f t="shared" si="7"/>
        <v>12.882653061224488</v>
      </c>
      <c r="K11" s="11">
        <f t="shared" si="8"/>
        <v>23.788265306122447</v>
      </c>
      <c r="L11" s="11">
        <f t="shared" si="9"/>
        <v>22.321428571428569</v>
      </c>
      <c r="M11" s="11">
        <f t="shared" si="10"/>
        <v>23.788265306122447</v>
      </c>
      <c r="N11" s="11">
        <f t="shared" si="11"/>
        <v>30.293367346938773</v>
      </c>
      <c r="O11" s="11">
        <f t="shared" si="12"/>
        <v>23.788265306122447</v>
      </c>
    </row>
    <row r="12" spans="1:15" s="2" customFormat="1" x14ac:dyDescent="0.4">
      <c r="A12" s="6">
        <v>8</v>
      </c>
      <c r="B12" s="7">
        <f t="shared" si="0"/>
        <v>4.7808012093726378</v>
      </c>
      <c r="C12" s="11">
        <f t="shared" si="13"/>
        <v>1.1337868480725626</v>
      </c>
      <c r="D12" s="11">
        <f t="shared" si="1"/>
        <v>4.7808012093726378</v>
      </c>
      <c r="E12" s="11">
        <f t="shared" si="2"/>
        <v>5.3854875283446724</v>
      </c>
      <c r="F12" s="11">
        <f t="shared" si="3"/>
        <v>4.7808012093726378</v>
      </c>
      <c r="G12" s="11">
        <f t="shared" si="4"/>
        <v>11.862244897959185</v>
      </c>
      <c r="H12" s="11">
        <f t="shared" si="5"/>
        <v>9.0325018896447471</v>
      </c>
      <c r="I12" s="11">
        <f t="shared" si="6"/>
        <v>11.862244897959185</v>
      </c>
      <c r="J12" s="11">
        <f t="shared" si="7"/>
        <v>9.0325018896447471</v>
      </c>
      <c r="K12" s="11">
        <f t="shared" si="8"/>
        <v>16.113945578231295</v>
      </c>
      <c r="L12" s="11">
        <f t="shared" si="9"/>
        <v>15.50925925925926</v>
      </c>
      <c r="M12" s="11">
        <f t="shared" si="10"/>
        <v>16.113945578231295</v>
      </c>
      <c r="N12" s="11">
        <f t="shared" si="11"/>
        <v>20.894746787603932</v>
      </c>
      <c r="O12" s="11">
        <f t="shared" si="12"/>
        <v>16.113945578231295</v>
      </c>
    </row>
    <row r="13" spans="1:15" s="2" customFormat="1" x14ac:dyDescent="0.4">
      <c r="A13" s="6">
        <v>9</v>
      </c>
      <c r="B13" s="7">
        <f t="shared" si="0"/>
        <v>0</v>
      </c>
      <c r="C13" s="11">
        <f t="shared" si="13"/>
        <v>1.9486961451247169</v>
      </c>
      <c r="D13" s="11">
        <f t="shared" si="1"/>
        <v>14.562074829931975</v>
      </c>
      <c r="E13" s="11">
        <f t="shared" si="2"/>
        <v>12.577947845804989</v>
      </c>
      <c r="F13" s="11">
        <f t="shared" si="3"/>
        <v>14.562074829931975</v>
      </c>
      <c r="G13" s="11">
        <f t="shared" si="4"/>
        <v>27.352607709750568</v>
      </c>
      <c r="H13" s="11">
        <f t="shared" si="5"/>
        <v>14.562074829931975</v>
      </c>
      <c r="I13" s="11">
        <f t="shared" si="6"/>
        <v>27.352607709750568</v>
      </c>
      <c r="J13" s="11">
        <f t="shared" si="7"/>
        <v>14.562074829931975</v>
      </c>
      <c r="K13" s="11">
        <f t="shared" si="8"/>
        <v>27.352607709750568</v>
      </c>
      <c r="L13" s="11">
        <f t="shared" si="9"/>
        <v>29.336734693877553</v>
      </c>
      <c r="M13" s="11">
        <f t="shared" si="10"/>
        <v>27.352607709750568</v>
      </c>
      <c r="N13" s="11">
        <f t="shared" si="11"/>
        <v>41.914682539682538</v>
      </c>
      <c r="O13" s="11">
        <f t="shared" si="12"/>
        <v>41.914682539682538</v>
      </c>
    </row>
    <row r="14" spans="1:15" s="2" customFormat="1" x14ac:dyDescent="0.4">
      <c r="A14" s="6">
        <v>10</v>
      </c>
      <c r="B14" s="7">
        <f t="shared" si="0"/>
        <v>0</v>
      </c>
      <c r="C14" s="11">
        <f t="shared" si="13"/>
        <v>2.5510204081632653</v>
      </c>
      <c r="D14" s="11">
        <f t="shared" si="1"/>
        <v>18.367346938775508</v>
      </c>
      <c r="E14" s="11">
        <f t="shared" si="2"/>
        <v>15.30612244897959</v>
      </c>
      <c r="F14" s="11">
        <f t="shared" si="3"/>
        <v>18.367346938775508</v>
      </c>
      <c r="G14" s="11">
        <f t="shared" si="4"/>
        <v>33.545918367346935</v>
      </c>
      <c r="H14" s="11">
        <f t="shared" si="5"/>
        <v>18.367346938775508</v>
      </c>
      <c r="I14" s="11">
        <f t="shared" si="6"/>
        <v>33.545918367346935</v>
      </c>
      <c r="J14" s="11">
        <f t="shared" si="7"/>
        <v>18.367346938775508</v>
      </c>
      <c r="K14" s="11">
        <f t="shared" si="8"/>
        <v>33.545918367346935</v>
      </c>
      <c r="L14" s="11">
        <f t="shared" si="9"/>
        <v>36.607142857142854</v>
      </c>
      <c r="M14" s="11">
        <f t="shared" si="10"/>
        <v>33.545918367346935</v>
      </c>
      <c r="N14" s="11">
        <f t="shared" si="11"/>
        <v>51.913265306122447</v>
      </c>
      <c r="O14" s="11">
        <f t="shared" si="12"/>
        <v>51.913265306122447</v>
      </c>
    </row>
    <row r="15" spans="1:15" s="2" customFormat="1" x14ac:dyDescent="0.4">
      <c r="A15" s="6">
        <v>11</v>
      </c>
      <c r="B15" s="7">
        <f t="shared" si="0"/>
        <v>0</v>
      </c>
      <c r="C15" s="11">
        <f t="shared" si="13"/>
        <v>1.806972789115646</v>
      </c>
      <c r="D15" s="11">
        <f t="shared" si="1"/>
        <v>12.23922902494331</v>
      </c>
      <c r="E15" s="11">
        <f t="shared" si="2"/>
        <v>9.0348639455782305</v>
      </c>
      <c r="F15" s="11">
        <f t="shared" si="3"/>
        <v>12.23922902494331</v>
      </c>
      <c r="G15" s="11">
        <f t="shared" si="4"/>
        <v>19.732142857142858</v>
      </c>
      <c r="H15" s="11">
        <f t="shared" si="5"/>
        <v>12.23922902494331</v>
      </c>
      <c r="I15" s="11">
        <f t="shared" si="6"/>
        <v>19.732142857142858</v>
      </c>
      <c r="J15" s="11">
        <f t="shared" si="7"/>
        <v>12.23922902494331</v>
      </c>
      <c r="K15" s="11">
        <f t="shared" si="8"/>
        <v>19.732142857142858</v>
      </c>
      <c r="L15" s="11">
        <f t="shared" si="9"/>
        <v>22.936507936507937</v>
      </c>
      <c r="M15" s="11">
        <f t="shared" si="10"/>
        <v>19.732142857142858</v>
      </c>
      <c r="N15" s="11">
        <f t="shared" si="11"/>
        <v>31.971371882086167</v>
      </c>
      <c r="O15" s="11">
        <f t="shared" si="12"/>
        <v>31.971371882086167</v>
      </c>
    </row>
    <row r="16" spans="1:15" s="2" customFormat="1" x14ac:dyDescent="0.4">
      <c r="A16" s="6">
        <v>12</v>
      </c>
      <c r="B16" s="7">
        <f t="shared" si="0"/>
        <v>0</v>
      </c>
      <c r="C16" s="11">
        <f t="shared" si="13"/>
        <v>0.56689342403628129</v>
      </c>
      <c r="D16" s="11">
        <f t="shared" si="1"/>
        <v>3.8619614512471663</v>
      </c>
      <c r="E16" s="11">
        <f t="shared" si="2"/>
        <v>2.6927437641723362</v>
      </c>
      <c r="F16" s="11">
        <f t="shared" si="3"/>
        <v>3.8619614512471663</v>
      </c>
      <c r="G16" s="11">
        <f t="shared" si="4"/>
        <v>5.9311224489795924</v>
      </c>
      <c r="H16" s="11">
        <f t="shared" si="5"/>
        <v>3.8619614512471663</v>
      </c>
      <c r="I16" s="11">
        <f t="shared" si="6"/>
        <v>5.9311224489795924</v>
      </c>
      <c r="J16" s="11">
        <f t="shared" si="7"/>
        <v>3.8619614512471663</v>
      </c>
      <c r="K16" s="11">
        <f t="shared" si="8"/>
        <v>5.9311224489795924</v>
      </c>
      <c r="L16" s="11">
        <f t="shared" si="9"/>
        <v>7.1003401360544229</v>
      </c>
      <c r="M16" s="11">
        <f t="shared" si="10"/>
        <v>5.9311224489795924</v>
      </c>
      <c r="N16" s="11">
        <f t="shared" si="11"/>
        <v>9.79308390022676</v>
      </c>
      <c r="O16" s="11">
        <f t="shared" si="12"/>
        <v>9.79308390022676</v>
      </c>
    </row>
    <row r="17" spans="1:15" s="2" customFormat="1" x14ac:dyDescent="0.4">
      <c r="A17" s="6">
        <v>13</v>
      </c>
      <c r="B17" s="7">
        <f t="shared" si="0"/>
        <v>0</v>
      </c>
      <c r="C17" s="11">
        <f t="shared" si="13"/>
        <v>0.66255668934240364</v>
      </c>
      <c r="D17" s="11">
        <f t="shared" si="1"/>
        <v>0</v>
      </c>
      <c r="E17" s="11">
        <f t="shared" si="2"/>
        <v>4.2765022675736954</v>
      </c>
      <c r="F17" s="11">
        <f t="shared" si="3"/>
        <v>4.8426870748299313</v>
      </c>
      <c r="G17" s="11">
        <f t="shared" si="4"/>
        <v>4.2765022675736954</v>
      </c>
      <c r="H17" s="11">
        <f t="shared" si="5"/>
        <v>4.8426870748299313</v>
      </c>
      <c r="I17" s="11">
        <f t="shared" si="6"/>
        <v>8.0109126984126977</v>
      </c>
      <c r="J17" s="11">
        <f t="shared" si="7"/>
        <v>8.5770975056689345</v>
      </c>
      <c r="K17" s="11">
        <f t="shared" si="8"/>
        <v>8.0109126984126977</v>
      </c>
      <c r="L17" s="11">
        <f t="shared" si="9"/>
        <v>8.5770975056689345</v>
      </c>
      <c r="M17" s="11">
        <f t="shared" si="10"/>
        <v>12.85359977324263</v>
      </c>
      <c r="N17" s="11">
        <f t="shared" si="11"/>
        <v>12.85359977324263</v>
      </c>
      <c r="O17" s="11">
        <f t="shared" si="12"/>
        <v>12.85359977324263</v>
      </c>
    </row>
    <row r="18" spans="1:15" s="2" customFormat="1" x14ac:dyDescent="0.4">
      <c r="A18" s="6">
        <v>14</v>
      </c>
      <c r="B18" s="7">
        <f t="shared" si="0"/>
        <v>0</v>
      </c>
      <c r="C18" s="11">
        <f t="shared" si="13"/>
        <v>0.76530612244897955</v>
      </c>
      <c r="D18" s="11">
        <f t="shared" si="1"/>
        <v>0</v>
      </c>
      <c r="E18" s="11">
        <f t="shared" si="2"/>
        <v>4.5918367346938771</v>
      </c>
      <c r="F18" s="11">
        <f t="shared" si="3"/>
        <v>5.420918367346939</v>
      </c>
      <c r="G18" s="11">
        <f t="shared" si="4"/>
        <v>4.5918367346938771</v>
      </c>
      <c r="H18" s="11">
        <f t="shared" si="5"/>
        <v>5.420918367346939</v>
      </c>
      <c r="I18" s="11">
        <f t="shared" si="6"/>
        <v>8.545918367346939</v>
      </c>
      <c r="J18" s="11">
        <f t="shared" si="7"/>
        <v>9.375</v>
      </c>
      <c r="K18" s="11">
        <f t="shared" si="8"/>
        <v>8.545918367346939</v>
      </c>
      <c r="L18" s="11">
        <f t="shared" si="9"/>
        <v>9.375</v>
      </c>
      <c r="M18" s="11">
        <f t="shared" si="10"/>
        <v>13.966836734693878</v>
      </c>
      <c r="N18" s="11">
        <f t="shared" si="11"/>
        <v>13.966836734693878</v>
      </c>
      <c r="O18" s="11">
        <f t="shared" si="12"/>
        <v>13.966836734693878</v>
      </c>
    </row>
    <row r="19" spans="1:15" s="2" customFormat="1" x14ac:dyDescent="0.4">
      <c r="A19" s="6">
        <v>15</v>
      </c>
      <c r="B19" s="7">
        <f t="shared" si="0"/>
        <v>0</v>
      </c>
      <c r="C19" s="11">
        <f t="shared" si="13"/>
        <v>0.47831632653061223</v>
      </c>
      <c r="D19" s="11">
        <f t="shared" si="1"/>
        <v>0</v>
      </c>
      <c r="E19" s="11">
        <f t="shared" si="2"/>
        <v>2.391581632653061</v>
      </c>
      <c r="F19" s="11">
        <f t="shared" si="3"/>
        <v>2.8762755102040813</v>
      </c>
      <c r="G19" s="11">
        <f t="shared" si="4"/>
        <v>2.391581632653061</v>
      </c>
      <c r="H19" s="11">
        <f t="shared" si="5"/>
        <v>2.8762755102040813</v>
      </c>
      <c r="I19" s="11">
        <f t="shared" si="6"/>
        <v>4.3686224489795915</v>
      </c>
      <c r="J19" s="11">
        <f t="shared" si="7"/>
        <v>4.8533163265306118</v>
      </c>
      <c r="K19" s="11">
        <f t="shared" si="8"/>
        <v>4.3686224489795915</v>
      </c>
      <c r="L19" s="11">
        <f t="shared" si="9"/>
        <v>4.8533163265306118</v>
      </c>
      <c r="M19" s="11">
        <f t="shared" si="10"/>
        <v>7.2448979591836729</v>
      </c>
      <c r="N19" s="11">
        <f t="shared" si="11"/>
        <v>7.2448979591836729</v>
      </c>
      <c r="O19" s="11">
        <f t="shared" si="12"/>
        <v>7.2448979591836729</v>
      </c>
    </row>
    <row r="20" spans="1:15" s="2" customFormat="1" x14ac:dyDescent="0.4">
      <c r="A20" s="6">
        <v>16</v>
      </c>
      <c r="B20" s="7">
        <f t="shared" si="0"/>
        <v>0</v>
      </c>
      <c r="C20" s="11">
        <f t="shared" si="13"/>
        <v>0.28344671201814065</v>
      </c>
      <c r="D20" s="11">
        <f t="shared" si="1"/>
        <v>0</v>
      </c>
      <c r="E20" s="11">
        <f t="shared" si="2"/>
        <v>1.3463718820861681</v>
      </c>
      <c r="F20" s="11">
        <f t="shared" si="3"/>
        <v>1.8849206349206351</v>
      </c>
      <c r="G20" s="11">
        <f t="shared" si="4"/>
        <v>1.3463718820861681</v>
      </c>
      <c r="H20" s="11">
        <f t="shared" si="5"/>
        <v>1.8849206349206351</v>
      </c>
      <c r="I20" s="11">
        <f t="shared" si="6"/>
        <v>2.4447278911564627</v>
      </c>
      <c r="J20" s="11">
        <f t="shared" si="7"/>
        <v>2.98327664399093</v>
      </c>
      <c r="K20" s="11">
        <f t="shared" si="8"/>
        <v>2.4447278911564627</v>
      </c>
      <c r="L20" s="11">
        <f t="shared" si="9"/>
        <v>2.98327664399093</v>
      </c>
      <c r="M20" s="11">
        <f t="shared" si="10"/>
        <v>4.329648526077098</v>
      </c>
      <c r="N20" s="11">
        <f t="shared" si="11"/>
        <v>4.329648526077098</v>
      </c>
      <c r="O20" s="11">
        <f t="shared" si="12"/>
        <v>4.329648526077098</v>
      </c>
    </row>
    <row r="21" spans="1:15" s="2" customFormat="1" x14ac:dyDescent="0.4"/>
    <row r="22" spans="1:15" s="2" customFormat="1" x14ac:dyDescent="0.4">
      <c r="A22" s="10" t="s">
        <v>30</v>
      </c>
      <c r="B22" s="10" t="s">
        <v>31</v>
      </c>
      <c r="C22" s="10" t="s">
        <v>17</v>
      </c>
      <c r="D22" s="10" t="s">
        <v>18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23</v>
      </c>
      <c r="J22" s="10" t="s">
        <v>24</v>
      </c>
      <c r="K22" s="10" t="s">
        <v>25</v>
      </c>
    </row>
    <row r="23" spans="1:15" x14ac:dyDescent="0.4">
      <c r="A23" s="6">
        <v>5000</v>
      </c>
      <c r="B23" s="7">
        <f>A23/(1-0.02)</f>
        <v>5102.0408163265311</v>
      </c>
      <c r="C23" s="8">
        <v>43009</v>
      </c>
      <c r="D23" s="7">
        <f>B23*3.58/(3600*3)</f>
        <v>1.6912320483749059</v>
      </c>
      <c r="E23" s="6"/>
      <c r="F23" s="6"/>
      <c r="G23" s="7">
        <f>B23*3/(3600*2)</f>
        <v>2.1258503401360547</v>
      </c>
      <c r="H23" s="7"/>
      <c r="I23" s="7"/>
      <c r="J23" s="7"/>
      <c r="K23" s="7">
        <f>B23*0.55/(3600*2)</f>
        <v>0.38973922902494335</v>
      </c>
    </row>
    <row r="24" spans="1:15" x14ac:dyDescent="0.4">
      <c r="A24" s="6">
        <v>3500</v>
      </c>
      <c r="B24" s="7">
        <f>A24/(1-0.02)</f>
        <v>3571.4285714285716</v>
      </c>
      <c r="C24" s="8">
        <v>42795</v>
      </c>
      <c r="D24" s="7">
        <f>B24*4.23/(3600*3)</f>
        <v>1.3988095238095239</v>
      </c>
      <c r="E24" s="6"/>
      <c r="F24" s="6"/>
      <c r="G24" s="7">
        <f t="shared" ref="G24:G30" si="14">B24*3/(3600*2)</f>
        <v>1.4880952380952379</v>
      </c>
      <c r="H24" s="7"/>
      <c r="I24" s="7"/>
      <c r="J24" s="7"/>
      <c r="K24" s="7">
        <f>B24*0.6/(3600*2)</f>
        <v>0.29761904761904762</v>
      </c>
    </row>
    <row r="25" spans="1:15" x14ac:dyDescent="0.4">
      <c r="A25" s="6">
        <v>6000</v>
      </c>
      <c r="B25" s="7">
        <f t="shared" ref="B25:B38" si="15">A25/(1-0.02)</f>
        <v>6122.4489795918371</v>
      </c>
      <c r="C25" s="8">
        <v>43040</v>
      </c>
      <c r="D25" s="7">
        <f>B25*4.59/(3600*3)</f>
        <v>2.6020408163265305</v>
      </c>
      <c r="E25" s="6"/>
      <c r="F25" s="6"/>
      <c r="G25" s="7">
        <f t="shared" si="14"/>
        <v>2.5510204081632653</v>
      </c>
      <c r="H25" s="7"/>
      <c r="I25" s="7"/>
      <c r="J25" s="7"/>
      <c r="K25" s="7">
        <f>B25*0.75/(3600*2)</f>
        <v>0.63775510204081631</v>
      </c>
    </row>
    <row r="26" spans="1:15" x14ac:dyDescent="0.4">
      <c r="A26" s="6">
        <v>1000</v>
      </c>
      <c r="B26" s="7">
        <f t="shared" si="15"/>
        <v>1020.4081632653061</v>
      </c>
      <c r="C26" s="8">
        <v>43009</v>
      </c>
      <c r="D26" s="7">
        <f>B26*5.06/(3600*3)</f>
        <v>0.47808012093726371</v>
      </c>
      <c r="E26" s="6"/>
      <c r="F26" s="6"/>
      <c r="G26" s="7">
        <f t="shared" si="14"/>
        <v>0.42517006802721091</v>
      </c>
      <c r="H26" s="7"/>
      <c r="I26" s="7"/>
      <c r="J26" s="7"/>
      <c r="K26" s="7">
        <f>B26*0.8/(3600*2)</f>
        <v>0.11337868480725624</v>
      </c>
    </row>
    <row r="27" spans="1:15" x14ac:dyDescent="0.4">
      <c r="A27" s="6">
        <v>7500</v>
      </c>
      <c r="B27" s="7">
        <f t="shared" si="15"/>
        <v>7653.0612244897957</v>
      </c>
      <c r="C27" s="9">
        <v>42948</v>
      </c>
      <c r="D27" s="7">
        <f>B27*3.58/(3600*3)</f>
        <v>2.5368480725623583</v>
      </c>
      <c r="E27" s="6"/>
      <c r="F27" s="6"/>
      <c r="G27" s="7">
        <f t="shared" si="14"/>
        <v>3.1887755102040813</v>
      </c>
      <c r="H27" s="7"/>
      <c r="I27" s="7">
        <f>B27*4.17/(3600*2)</f>
        <v>4.4323979591836737</v>
      </c>
      <c r="J27" s="7">
        <f>B27*3/(3600*2)</f>
        <v>3.1887755102040813</v>
      </c>
      <c r="K27" s="7">
        <f>B27*0.55/(3600*2)</f>
        <v>0.58460884353741505</v>
      </c>
    </row>
    <row r="28" spans="1:15" x14ac:dyDescent="0.4">
      <c r="A28" s="6">
        <v>12000</v>
      </c>
      <c r="B28" s="7">
        <f t="shared" si="15"/>
        <v>12244.897959183674</v>
      </c>
      <c r="C28" s="6" t="s">
        <v>26</v>
      </c>
      <c r="D28" s="7">
        <f>B28*4.23/(3600*3)</f>
        <v>4.795918367346939</v>
      </c>
      <c r="E28" s="6"/>
      <c r="F28" s="6"/>
      <c r="G28" s="7">
        <f t="shared" si="14"/>
        <v>5.1020408163265305</v>
      </c>
      <c r="H28" s="7"/>
      <c r="I28" s="7">
        <f>B28*4.29/(3600*2)</f>
        <v>7.2959183673469399</v>
      </c>
      <c r="J28" s="7">
        <f t="shared" ref="J28:J38" si="16">B28*3/(3600*2)</f>
        <v>5.1020408163265305</v>
      </c>
      <c r="K28" s="7">
        <f>B28*0.6/(3600*2)</f>
        <v>1.0204081632653061</v>
      </c>
    </row>
    <row r="29" spans="1:15" x14ac:dyDescent="0.4">
      <c r="A29" s="6">
        <v>15000</v>
      </c>
      <c r="B29" s="7">
        <f t="shared" si="15"/>
        <v>15306.122448979591</v>
      </c>
      <c r="C29" s="6" t="s">
        <v>27</v>
      </c>
      <c r="D29" s="7">
        <f>B29*4.59/(3600*3)</f>
        <v>6.5051020408163254</v>
      </c>
      <c r="E29" s="6"/>
      <c r="F29" s="6"/>
      <c r="G29" s="7">
        <f t="shared" si="14"/>
        <v>6.3775510204081627</v>
      </c>
      <c r="H29" s="7"/>
      <c r="I29" s="7">
        <f>B29*4.44/(3600*2)</f>
        <v>9.4387755102040831</v>
      </c>
      <c r="J29" s="7">
        <f t="shared" si="16"/>
        <v>6.3775510204081627</v>
      </c>
      <c r="K29" s="7">
        <f>B29*0.75/(3600*2)</f>
        <v>1.5943877551020407</v>
      </c>
    </row>
    <row r="30" spans="1:15" x14ac:dyDescent="0.4">
      <c r="A30" s="6">
        <v>10000</v>
      </c>
      <c r="B30" s="7">
        <f t="shared" si="15"/>
        <v>10204.081632653062</v>
      </c>
      <c r="C30" s="8">
        <v>42856</v>
      </c>
      <c r="D30" s="7">
        <f>B30*5.06/(3600*3)</f>
        <v>4.7808012093726378</v>
      </c>
      <c r="E30" s="6"/>
      <c r="F30" s="6"/>
      <c r="G30" s="7">
        <f t="shared" si="14"/>
        <v>4.2517006802721093</v>
      </c>
      <c r="H30" s="7"/>
      <c r="I30" s="7">
        <f>B30*4.57/(3600*2)</f>
        <v>6.4767573696145133</v>
      </c>
      <c r="J30" s="7">
        <f t="shared" si="16"/>
        <v>4.2517006802721093</v>
      </c>
      <c r="K30" s="7">
        <f>B30*0.8/(3600*2)</f>
        <v>1.1337868480725626</v>
      </c>
    </row>
    <row r="31" spans="1:15" x14ac:dyDescent="0.4">
      <c r="A31" s="6">
        <v>25000</v>
      </c>
      <c r="B31" s="7">
        <f t="shared" si="15"/>
        <v>25510.204081632655</v>
      </c>
      <c r="C31" s="6" t="s">
        <v>28</v>
      </c>
      <c r="D31" s="6"/>
      <c r="E31" s="7">
        <f>B31*4.11/(3600*2)</f>
        <v>14.562074829931975</v>
      </c>
      <c r="F31" s="7"/>
      <c r="G31" s="7"/>
      <c r="H31" s="7"/>
      <c r="I31" s="7">
        <f>B31*4.17/(3600*2)</f>
        <v>14.774659863945578</v>
      </c>
      <c r="J31" s="7">
        <f t="shared" si="16"/>
        <v>10.629251700680271</v>
      </c>
      <c r="K31" s="7">
        <f>B31*0.55/(3600*2)</f>
        <v>1.9486961451247169</v>
      </c>
    </row>
    <row r="32" spans="1:15" x14ac:dyDescent="0.4">
      <c r="A32" s="6">
        <v>30000</v>
      </c>
      <c r="B32" s="7">
        <f t="shared" si="15"/>
        <v>30612.244897959183</v>
      </c>
      <c r="C32" s="6" t="s">
        <v>28</v>
      </c>
      <c r="D32" s="6"/>
      <c r="E32" s="7">
        <f>B32*4.32/(3600*2)</f>
        <v>18.367346938775508</v>
      </c>
      <c r="F32" s="7"/>
      <c r="G32" s="7"/>
      <c r="H32" s="7"/>
      <c r="I32" s="7">
        <f>B32*4.29/(3600*2)</f>
        <v>18.239795918367346</v>
      </c>
      <c r="J32" s="7">
        <f t="shared" si="16"/>
        <v>12.755102040816325</v>
      </c>
      <c r="K32" s="7">
        <f>B32*0.6/(3600*2)</f>
        <v>2.5510204081632653</v>
      </c>
    </row>
    <row r="33" spans="1:18" x14ac:dyDescent="0.4">
      <c r="A33" s="6">
        <v>17000</v>
      </c>
      <c r="B33" s="7">
        <f t="shared" si="15"/>
        <v>17346.938775510203</v>
      </c>
      <c r="C33" s="6" t="s">
        <v>29</v>
      </c>
      <c r="D33" s="6"/>
      <c r="E33" s="7">
        <f>B33*5.08/(3600*2)</f>
        <v>12.23922902494331</v>
      </c>
      <c r="F33" s="7"/>
      <c r="G33" s="7"/>
      <c r="H33" s="7"/>
      <c r="I33" s="7">
        <f>B33*4.44/(3600*2)</f>
        <v>10.697278911564627</v>
      </c>
      <c r="J33" s="7">
        <f t="shared" si="16"/>
        <v>7.2278911564625838</v>
      </c>
      <c r="K33" s="7">
        <f>B33*0.75/(3600*2)</f>
        <v>1.806972789115646</v>
      </c>
    </row>
    <row r="34" spans="1:18" x14ac:dyDescent="0.4">
      <c r="A34" s="6">
        <v>5000</v>
      </c>
      <c r="B34" s="7">
        <f t="shared" si="15"/>
        <v>5102.0408163265311</v>
      </c>
      <c r="C34" s="8">
        <v>42948</v>
      </c>
      <c r="D34" s="6"/>
      <c r="E34" s="7">
        <f>B34*5.45/(3600*2)</f>
        <v>3.8619614512471663</v>
      </c>
      <c r="F34" s="7"/>
      <c r="G34" s="7"/>
      <c r="H34" s="7"/>
      <c r="I34" s="7">
        <f>B34*4.57/(3600*2)</f>
        <v>3.2383786848072567</v>
      </c>
      <c r="J34" s="7">
        <f t="shared" si="16"/>
        <v>2.1258503401360547</v>
      </c>
      <c r="K34" s="7">
        <f>B34*0.8/(3600*2)</f>
        <v>0.56689342403628129</v>
      </c>
    </row>
    <row r="35" spans="1:18" x14ac:dyDescent="0.4">
      <c r="A35" s="6">
        <v>8500</v>
      </c>
      <c r="B35" s="7">
        <f t="shared" si="15"/>
        <v>8673.4693877551017</v>
      </c>
      <c r="C35" s="8">
        <v>43009</v>
      </c>
      <c r="D35" s="6"/>
      <c r="E35" s="7"/>
      <c r="F35" s="7">
        <f>B35*4.02/(3600*2)</f>
        <v>4.8426870748299313</v>
      </c>
      <c r="G35" s="7"/>
      <c r="H35" s="7">
        <f>B35*3.1/(3600*2)</f>
        <v>3.7344104308390023</v>
      </c>
      <c r="I35" s="7"/>
      <c r="J35" s="7">
        <f t="shared" si="16"/>
        <v>3.6139455782312919</v>
      </c>
      <c r="K35" s="7">
        <f>B35*0.55/(3600*2)</f>
        <v>0.66255668934240364</v>
      </c>
    </row>
    <row r="36" spans="1:18" x14ac:dyDescent="0.4">
      <c r="A36" s="6">
        <v>9000</v>
      </c>
      <c r="B36" s="7">
        <f t="shared" si="15"/>
        <v>9183.6734693877552</v>
      </c>
      <c r="C36" s="8">
        <v>43070</v>
      </c>
      <c r="D36" s="6"/>
      <c r="E36" s="7"/>
      <c r="F36" s="7">
        <f>B36*4.25/(3600*2)</f>
        <v>5.420918367346939</v>
      </c>
      <c r="G36" s="7"/>
      <c r="H36" s="7">
        <f t="shared" ref="H36:H38" si="17">B36*3.1/(3600*2)</f>
        <v>3.9540816326530615</v>
      </c>
      <c r="I36" s="7"/>
      <c r="J36" s="7">
        <f t="shared" si="16"/>
        <v>3.8265306122448979</v>
      </c>
      <c r="K36" s="7">
        <f>B36*0.6/(3600*2)</f>
        <v>0.76530612244897955</v>
      </c>
    </row>
    <row r="37" spans="1:18" x14ac:dyDescent="0.4">
      <c r="A37" s="6">
        <v>4500</v>
      </c>
      <c r="B37" s="7">
        <f t="shared" si="15"/>
        <v>4591.8367346938776</v>
      </c>
      <c r="C37" s="8">
        <v>42917</v>
      </c>
      <c r="D37" s="6"/>
      <c r="E37" s="7"/>
      <c r="F37" s="7">
        <f>B37*4.51/(3600*2)</f>
        <v>2.8762755102040813</v>
      </c>
      <c r="G37" s="7"/>
      <c r="H37" s="7">
        <f t="shared" si="17"/>
        <v>1.9770408163265307</v>
      </c>
      <c r="I37" s="7"/>
      <c r="J37" s="7">
        <f t="shared" si="16"/>
        <v>1.9132653061224489</v>
      </c>
      <c r="K37" s="7">
        <f>B37*0.75/(3600*2)</f>
        <v>0.47831632653061223</v>
      </c>
    </row>
    <row r="38" spans="1:18" x14ac:dyDescent="0.4">
      <c r="A38" s="6">
        <v>2500</v>
      </c>
      <c r="B38" s="7">
        <f t="shared" si="15"/>
        <v>2551.0204081632655</v>
      </c>
      <c r="C38" s="8">
        <v>42826</v>
      </c>
      <c r="D38" s="6"/>
      <c r="E38" s="7"/>
      <c r="F38" s="7">
        <f>B38*5.32/(3600*2)</f>
        <v>1.8849206349206351</v>
      </c>
      <c r="G38" s="7"/>
      <c r="H38" s="7">
        <f t="shared" si="17"/>
        <v>1.0983560090702948</v>
      </c>
      <c r="I38" s="7"/>
      <c r="J38" s="7">
        <f t="shared" si="16"/>
        <v>1.0629251700680273</v>
      </c>
      <c r="K38" s="7">
        <f>B38*0.8/(3600*2)</f>
        <v>0.28344671201814065</v>
      </c>
    </row>
    <row r="40" spans="1:18" x14ac:dyDescent="0.4">
      <c r="B40" s="1" t="s">
        <v>32</v>
      </c>
      <c r="C40" s="1">
        <v>10</v>
      </c>
      <c r="D40" s="1">
        <v>9</v>
      </c>
      <c r="E40" s="1">
        <v>11</v>
      </c>
      <c r="F40" s="1">
        <v>14</v>
      </c>
      <c r="G40" s="1">
        <v>13</v>
      </c>
      <c r="H40" s="1">
        <v>12</v>
      </c>
      <c r="I40" s="1">
        <v>15</v>
      </c>
      <c r="J40" s="1">
        <v>16</v>
      </c>
      <c r="K40" s="1">
        <v>7</v>
      </c>
      <c r="L40" s="1">
        <v>8</v>
      </c>
      <c r="M40" s="1">
        <v>6</v>
      </c>
      <c r="N40" s="1">
        <v>3</v>
      </c>
      <c r="O40" s="1">
        <v>5</v>
      </c>
      <c r="P40" s="1">
        <v>1</v>
      </c>
      <c r="Q40" s="1">
        <v>2</v>
      </c>
      <c r="R40" s="1">
        <v>4</v>
      </c>
    </row>
    <row r="42" spans="1:18" x14ac:dyDescent="0.4">
      <c r="B42" s="1" t="s">
        <v>38</v>
      </c>
      <c r="C42" s="1">
        <v>14</v>
      </c>
      <c r="D42" s="1">
        <v>13</v>
      </c>
      <c r="E42" s="1">
        <v>15</v>
      </c>
      <c r="F42" s="1">
        <v>16</v>
      </c>
      <c r="G42" s="1">
        <v>5</v>
      </c>
      <c r="H42" s="1">
        <v>8</v>
      </c>
      <c r="I42" s="1">
        <v>6</v>
      </c>
      <c r="J42" s="1">
        <v>7</v>
      </c>
      <c r="K42" s="1">
        <v>10</v>
      </c>
      <c r="L42" s="1">
        <v>9</v>
      </c>
      <c r="M42" s="1">
        <v>11</v>
      </c>
      <c r="N42" s="1">
        <v>12</v>
      </c>
      <c r="O42" s="1">
        <v>3</v>
      </c>
      <c r="P42" s="1">
        <v>1</v>
      </c>
      <c r="Q42" s="1">
        <v>2</v>
      </c>
      <c r="R42" s="1">
        <v>4</v>
      </c>
    </row>
    <row r="44" spans="1:18" x14ac:dyDescent="0.4">
      <c r="B44" s="1" t="s">
        <v>37</v>
      </c>
      <c r="C44" s="1">
        <v>5</v>
      </c>
      <c r="D44" s="1">
        <v>12</v>
      </c>
      <c r="E44" s="1">
        <v>8</v>
      </c>
      <c r="F44" s="1">
        <v>6</v>
      </c>
      <c r="G44" s="1">
        <v>7</v>
      </c>
      <c r="H44" s="1">
        <v>11</v>
      </c>
      <c r="I44" s="1">
        <v>9</v>
      </c>
      <c r="J44" s="1">
        <v>10</v>
      </c>
      <c r="K44" s="1">
        <v>14</v>
      </c>
      <c r="L44" s="1">
        <v>13</v>
      </c>
      <c r="M44" s="1">
        <v>15</v>
      </c>
      <c r="N44" s="1">
        <v>16</v>
      </c>
      <c r="O44" s="1">
        <v>3</v>
      </c>
      <c r="P44" s="1">
        <v>1</v>
      </c>
      <c r="Q44" s="1">
        <v>2</v>
      </c>
      <c r="R44" s="1">
        <v>4</v>
      </c>
    </row>
    <row r="46" spans="1:18" x14ac:dyDescent="0.4">
      <c r="B46" s="1" t="s">
        <v>36</v>
      </c>
      <c r="C46" s="1">
        <v>16</v>
      </c>
      <c r="D46" s="1">
        <v>15</v>
      </c>
      <c r="E46" s="1">
        <v>12</v>
      </c>
      <c r="F46" s="1">
        <v>13</v>
      </c>
      <c r="G46" s="1">
        <v>14</v>
      </c>
      <c r="H46" s="1">
        <v>5</v>
      </c>
      <c r="I46" s="1">
        <v>8</v>
      </c>
      <c r="J46" s="1">
        <v>6</v>
      </c>
      <c r="K46" s="1">
        <v>11</v>
      </c>
      <c r="L46" s="13">
        <v>7</v>
      </c>
      <c r="M46" s="13">
        <v>9</v>
      </c>
      <c r="N46" s="13">
        <v>10</v>
      </c>
      <c r="O46" s="1">
        <v>3</v>
      </c>
      <c r="P46" s="1">
        <v>1</v>
      </c>
      <c r="Q46" s="1">
        <v>2</v>
      </c>
      <c r="R46" s="1">
        <v>4</v>
      </c>
    </row>
    <row r="48" spans="1:18" x14ac:dyDescent="0.4">
      <c r="B48" s="1" t="s">
        <v>35</v>
      </c>
      <c r="C48" s="1">
        <v>12</v>
      </c>
      <c r="D48" s="1">
        <v>5</v>
      </c>
      <c r="E48" s="1">
        <v>8</v>
      </c>
      <c r="F48" s="1">
        <v>6</v>
      </c>
      <c r="G48" s="1">
        <v>11</v>
      </c>
      <c r="H48" s="1">
        <v>7</v>
      </c>
      <c r="I48" s="1">
        <v>9</v>
      </c>
      <c r="J48" s="1">
        <v>10</v>
      </c>
      <c r="K48" s="1">
        <v>14</v>
      </c>
      <c r="L48" s="1">
        <v>13</v>
      </c>
      <c r="M48" s="1">
        <v>15</v>
      </c>
      <c r="N48" s="1">
        <v>3</v>
      </c>
      <c r="O48" s="1">
        <v>1</v>
      </c>
      <c r="P48" s="1">
        <v>16</v>
      </c>
      <c r="Q48" s="1">
        <v>2</v>
      </c>
      <c r="R48" s="1">
        <v>4</v>
      </c>
    </row>
    <row r="50" spans="2:18" x14ac:dyDescent="0.4">
      <c r="B50" s="1" t="s">
        <v>34</v>
      </c>
      <c r="C50" s="1">
        <v>16</v>
      </c>
      <c r="D50" s="1">
        <v>15</v>
      </c>
      <c r="E50" s="1">
        <v>13</v>
      </c>
      <c r="F50" s="1">
        <v>14</v>
      </c>
      <c r="G50" s="1">
        <v>5</v>
      </c>
      <c r="H50" s="1">
        <v>8</v>
      </c>
      <c r="I50" s="1">
        <v>6</v>
      </c>
      <c r="J50" s="1">
        <v>7</v>
      </c>
      <c r="K50" s="1">
        <v>10</v>
      </c>
      <c r="L50" s="1">
        <v>9</v>
      </c>
      <c r="M50" s="1">
        <v>11</v>
      </c>
      <c r="N50" s="1">
        <v>12</v>
      </c>
      <c r="O50" s="1">
        <v>3</v>
      </c>
      <c r="P50" s="1">
        <v>1</v>
      </c>
      <c r="Q50" s="1">
        <v>2</v>
      </c>
      <c r="R50" s="1">
        <v>4</v>
      </c>
    </row>
    <row r="52" spans="2:18" x14ac:dyDescent="0.4">
      <c r="B52" s="1" t="s">
        <v>33</v>
      </c>
      <c r="C52" s="1">
        <v>16</v>
      </c>
      <c r="D52" s="1">
        <v>15</v>
      </c>
      <c r="E52" s="1">
        <v>12</v>
      </c>
      <c r="F52" s="1">
        <v>13</v>
      </c>
      <c r="G52" s="1">
        <v>14</v>
      </c>
      <c r="H52" s="1">
        <v>11</v>
      </c>
      <c r="I52" s="1">
        <v>9</v>
      </c>
      <c r="J52" s="1">
        <v>10</v>
      </c>
      <c r="K52" s="1">
        <v>7</v>
      </c>
      <c r="L52" s="1">
        <v>6</v>
      </c>
      <c r="M52" s="1">
        <v>8</v>
      </c>
      <c r="N52" s="1">
        <v>5</v>
      </c>
      <c r="O52" s="1">
        <v>3</v>
      </c>
      <c r="P52" s="1">
        <v>1</v>
      </c>
      <c r="Q52" s="1">
        <v>2</v>
      </c>
      <c r="R52" s="1">
        <v>4</v>
      </c>
    </row>
  </sheetData>
  <mergeCells count="7">
    <mergeCell ref="N3:O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80"/>
  <sheetViews>
    <sheetView zoomScale="70" zoomScaleNormal="70" zoomScalePageLayoutView="70" workbookViewId="0">
      <selection activeCell="B30" sqref="B30"/>
    </sheetView>
  </sheetViews>
  <sheetFormatPr baseColWidth="10" defaultColWidth="9.1640625" defaultRowHeight="24" x14ac:dyDescent="0.4"/>
  <cols>
    <col min="1" max="1" width="11.6640625" style="1" customWidth="1"/>
    <col min="2" max="2" width="21.33203125" style="1" bestFit="1" customWidth="1"/>
    <col min="3" max="3" width="22.83203125" style="1" bestFit="1" customWidth="1"/>
    <col min="4" max="4" width="17.6640625" style="1" customWidth="1"/>
    <col min="5" max="5" width="18.1640625" style="1" customWidth="1"/>
    <col min="6" max="6" width="10.83203125" style="1" customWidth="1"/>
    <col min="7" max="12" width="16.1640625" style="1" customWidth="1"/>
    <col min="13" max="13" width="5.1640625" style="1" customWidth="1"/>
    <col min="14" max="14" width="9.33203125" style="1" bestFit="1" customWidth="1"/>
    <col min="15" max="15" width="24" style="1" customWidth="1"/>
    <col min="16" max="16" width="20.83203125" style="1" customWidth="1"/>
    <col min="17" max="25" width="16.6640625" style="1" customWidth="1"/>
    <col min="26" max="26" width="12.83203125" style="1" customWidth="1"/>
    <col min="27" max="27" width="13.33203125" style="1" customWidth="1"/>
    <col min="28" max="28" width="8" style="1" customWidth="1"/>
    <col min="29" max="29" width="10.83203125" style="1" bestFit="1" customWidth="1"/>
    <col min="30" max="16384" width="9.1640625" style="1"/>
  </cols>
  <sheetData>
    <row r="1" spans="1:36" x14ac:dyDescent="0.4">
      <c r="A1" s="14"/>
      <c r="B1" s="14"/>
      <c r="C1" s="23" t="s">
        <v>13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36" x14ac:dyDescent="0.4">
      <c r="A2" s="15">
        <v>42370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96" t="s">
        <v>71</v>
      </c>
      <c r="P2" s="95" t="s">
        <v>66</v>
      </c>
      <c r="Q2" s="57" t="s">
        <v>67</v>
      </c>
      <c r="R2" s="52"/>
      <c r="S2" s="52"/>
      <c r="T2" s="63" t="s">
        <v>80</v>
      </c>
      <c r="U2" s="62"/>
      <c r="V2" s="62"/>
      <c r="W2" s="69" t="s">
        <v>81</v>
      </c>
      <c r="X2" s="68"/>
      <c r="Y2" s="68"/>
      <c r="Z2" s="36" t="s">
        <v>82</v>
      </c>
      <c r="AA2" s="66"/>
      <c r="AB2" s="66"/>
      <c r="AC2" s="27"/>
      <c r="AD2" s="27"/>
      <c r="AE2" s="26"/>
      <c r="AF2" s="26"/>
      <c r="AG2" s="26"/>
      <c r="AH2" s="27" t="s">
        <v>55</v>
      </c>
      <c r="AI2" s="26"/>
      <c r="AJ2" s="26"/>
    </row>
    <row r="3" spans="1:36" s="3" customFormat="1" x14ac:dyDescent="0.4">
      <c r="A3" s="16" t="s">
        <v>14</v>
      </c>
      <c r="B3" s="10" t="s">
        <v>15</v>
      </c>
      <c r="C3" s="10" t="s">
        <v>16</v>
      </c>
      <c r="D3" s="10" t="s">
        <v>30</v>
      </c>
      <c r="E3" s="10" t="s">
        <v>31</v>
      </c>
      <c r="F3" s="10" t="s">
        <v>17</v>
      </c>
      <c r="G3" s="37" t="s">
        <v>18</v>
      </c>
      <c r="H3" s="37" t="s">
        <v>19</v>
      </c>
      <c r="I3" s="37" t="s">
        <v>20</v>
      </c>
      <c r="J3" s="37" t="s">
        <v>21</v>
      </c>
      <c r="K3" s="37" t="s">
        <v>22</v>
      </c>
      <c r="L3" s="46" t="s">
        <v>23</v>
      </c>
      <c r="M3" s="50"/>
      <c r="N3" s="48"/>
      <c r="O3" s="97" t="s">
        <v>39</v>
      </c>
      <c r="P3" s="98" t="s">
        <v>40</v>
      </c>
      <c r="Q3" s="91" t="s">
        <v>79</v>
      </c>
      <c r="R3" s="53" t="s">
        <v>68</v>
      </c>
      <c r="S3" s="53" t="s">
        <v>42</v>
      </c>
      <c r="T3" s="64" t="s">
        <v>79</v>
      </c>
      <c r="U3" s="64" t="s">
        <v>68</v>
      </c>
      <c r="V3" s="64" t="s">
        <v>43</v>
      </c>
      <c r="W3" s="70" t="s">
        <v>79</v>
      </c>
      <c r="X3" s="70" t="s">
        <v>68</v>
      </c>
      <c r="Y3" s="70" t="s">
        <v>44</v>
      </c>
      <c r="Z3" s="67" t="s">
        <v>79</v>
      </c>
      <c r="AA3" s="67" t="s">
        <v>68</v>
      </c>
      <c r="AB3" s="67" t="s">
        <v>45</v>
      </c>
      <c r="AC3" s="24" t="s">
        <v>70</v>
      </c>
      <c r="AD3" s="24" t="s">
        <v>69</v>
      </c>
      <c r="AE3" s="24" t="s">
        <v>41</v>
      </c>
      <c r="AF3" s="22" t="s">
        <v>42</v>
      </c>
      <c r="AG3" s="28" t="s">
        <v>43</v>
      </c>
      <c r="AH3" s="31" t="s">
        <v>44</v>
      </c>
      <c r="AI3" s="34" t="s">
        <v>45</v>
      </c>
      <c r="AJ3" s="65"/>
    </row>
    <row r="4" spans="1:36" s="26" customFormat="1" x14ac:dyDescent="0.4">
      <c r="A4" s="38">
        <v>1</v>
      </c>
      <c r="B4" s="24" t="s">
        <v>87</v>
      </c>
      <c r="C4" s="38" t="s">
        <v>88</v>
      </c>
      <c r="D4" s="39">
        <v>10</v>
      </c>
      <c r="E4" s="40">
        <f t="shared" ref="E4:E19" si="0">D4/(1-0.02)</f>
        <v>10.204081632653061</v>
      </c>
      <c r="F4" s="41">
        <v>42738</v>
      </c>
      <c r="G4" s="40">
        <f>E4*C25/(3600*3)</f>
        <v>1.4172335600907029E-3</v>
      </c>
      <c r="H4" s="40">
        <f t="shared" ref="H4:H10" si="1">E4*D25/(3600*2)</f>
        <v>0</v>
      </c>
      <c r="I4" s="40">
        <f t="shared" ref="I4:I14" si="2">E4*E25/(3600*2)</f>
        <v>3.5430839002267573E-4</v>
      </c>
      <c r="J4" s="40">
        <f>E4*F25/(3600*2)</f>
        <v>1.7006802721088435E-3</v>
      </c>
      <c r="K4" s="40">
        <f t="shared" ref="K4:K15" si="3">E4*G25/(3600*2)</f>
        <v>0</v>
      </c>
      <c r="L4" s="47">
        <f t="shared" ref="L4:L7" si="4">E4*H25/(3600*2)</f>
        <v>2.3620559334845047E-4</v>
      </c>
      <c r="M4" s="51"/>
      <c r="N4" s="49"/>
      <c r="O4" s="59">
        <f>G4+H4+I4+J4+K4+L4</f>
        <v>3.7084278155706724E-3</v>
      </c>
      <c r="P4" s="92">
        <f>O4*1.6</f>
        <v>5.9334845049130759E-3</v>
      </c>
      <c r="Q4" s="54">
        <v>13.35</v>
      </c>
      <c r="R4" s="58">
        <f>Q4-AC4</f>
        <v>-10.65</v>
      </c>
      <c r="S4" s="54">
        <v>1</v>
      </c>
      <c r="T4" s="60">
        <v>48.02</v>
      </c>
      <c r="U4" s="60">
        <f>T4-AC4</f>
        <v>24.020000000000003</v>
      </c>
      <c r="V4" s="54">
        <v>1</v>
      </c>
      <c r="W4" s="60">
        <v>22.57</v>
      </c>
      <c r="X4" s="60">
        <f>W4-AC4</f>
        <v>-1.4299999999999997</v>
      </c>
      <c r="Y4" s="54">
        <v>1</v>
      </c>
      <c r="Z4" s="60">
        <v>67.3</v>
      </c>
      <c r="AA4" s="60">
        <f>Z4-AC4</f>
        <v>43.3</v>
      </c>
      <c r="AB4" s="54">
        <v>1</v>
      </c>
      <c r="AC4" s="24">
        <f>AD4*8</f>
        <v>24</v>
      </c>
      <c r="AD4" s="24">
        <v>3</v>
      </c>
      <c r="AE4" s="25">
        <f t="shared" ref="AE4:AE19" si="5">O4/8</f>
        <v>4.6355347694633406E-4</v>
      </c>
      <c r="AF4" s="24">
        <v>1</v>
      </c>
      <c r="AG4" s="24">
        <v>9</v>
      </c>
      <c r="AH4" s="30">
        <v>6</v>
      </c>
      <c r="AI4" s="42">
        <v>11</v>
      </c>
      <c r="AJ4" s="42"/>
    </row>
    <row r="5" spans="1:36" s="26" customFormat="1" x14ac:dyDescent="0.4">
      <c r="A5" s="38">
        <v>2</v>
      </c>
      <c r="B5" s="43"/>
      <c r="C5" s="38" t="s">
        <v>89</v>
      </c>
      <c r="D5" s="39">
        <v>8</v>
      </c>
      <c r="E5" s="40">
        <f t="shared" si="0"/>
        <v>8.1632653061224492</v>
      </c>
      <c r="F5" s="41">
        <v>42738</v>
      </c>
      <c r="G5" s="40">
        <f>E5*C26/(3600*3)</f>
        <v>1.5117157974300832E-3</v>
      </c>
      <c r="H5" s="40">
        <f t="shared" si="1"/>
        <v>0</v>
      </c>
      <c r="I5" s="40">
        <f t="shared" si="2"/>
        <v>3.1494079113126731E-4</v>
      </c>
      <c r="J5" s="40">
        <f t="shared" ref="J5:J19" si="6">E5*F26/(3600*2)</f>
        <v>1.4172335600907029E-3</v>
      </c>
      <c r="K5" s="40">
        <f t="shared" si="3"/>
        <v>0</v>
      </c>
      <c r="L5" s="47">
        <f t="shared" si="4"/>
        <v>1.889644746787604E-4</v>
      </c>
      <c r="M5" s="51"/>
      <c r="N5" s="49"/>
      <c r="O5" s="59">
        <f>G5+H5+I5+J5+K5+L5</f>
        <v>3.432854623330814E-3</v>
      </c>
      <c r="P5" s="92">
        <f t="shared" ref="P5:P20" si="7">O5*1.6</f>
        <v>5.4925673973293026E-3</v>
      </c>
      <c r="Q5" s="92">
        <v>18.28</v>
      </c>
      <c r="R5" s="58">
        <f t="shared" ref="R5:R19" si="8">Q5-AC5</f>
        <v>-5.7199999999999989</v>
      </c>
      <c r="S5" s="55">
        <v>2</v>
      </c>
      <c r="T5" s="60">
        <v>25.94</v>
      </c>
      <c r="U5" s="60">
        <f t="shared" ref="U5:U19" si="9">T5-AC5</f>
        <v>1.9400000000000013</v>
      </c>
      <c r="V5" s="55">
        <v>2</v>
      </c>
      <c r="W5" s="60">
        <v>27.6</v>
      </c>
      <c r="X5" s="60">
        <f t="shared" ref="X5:X19" si="10">W5-AC5</f>
        <v>3.6000000000000014</v>
      </c>
      <c r="Y5" s="55">
        <v>2</v>
      </c>
      <c r="Z5" s="60">
        <v>46.3</v>
      </c>
      <c r="AA5" s="60">
        <f t="shared" ref="AA5:AA19" si="11">Z5-AC5</f>
        <v>22.299999999999997</v>
      </c>
      <c r="AB5" s="55">
        <v>2</v>
      </c>
      <c r="AC5" s="24">
        <f t="shared" ref="AC5:AC19" si="12">AD5*8</f>
        <v>24</v>
      </c>
      <c r="AD5" s="25">
        <v>3</v>
      </c>
      <c r="AE5" s="25">
        <f t="shared" si="5"/>
        <v>4.2910682791635175E-4</v>
      </c>
      <c r="AF5" s="24">
        <v>2</v>
      </c>
      <c r="AG5" s="24">
        <v>6</v>
      </c>
      <c r="AH5" s="30">
        <v>9</v>
      </c>
      <c r="AI5" s="42">
        <v>8</v>
      </c>
      <c r="AJ5" s="42"/>
    </row>
    <row r="6" spans="1:36" s="26" customFormat="1" x14ac:dyDescent="0.4">
      <c r="A6" s="38">
        <v>3</v>
      </c>
      <c r="B6" s="43"/>
      <c r="C6" s="38" t="s">
        <v>90</v>
      </c>
      <c r="D6" s="39">
        <v>12</v>
      </c>
      <c r="E6" s="40">
        <f t="shared" si="0"/>
        <v>12.244897959183673</v>
      </c>
      <c r="F6" s="41">
        <v>42740</v>
      </c>
      <c r="G6" s="40">
        <f>E6*C27/(3600*3)</f>
        <v>2.8344671201814059E-3</v>
      </c>
      <c r="H6" s="40">
        <f t="shared" si="1"/>
        <v>0</v>
      </c>
      <c r="I6" s="40">
        <f t="shared" si="2"/>
        <v>5.6689342403628109E-4</v>
      </c>
      <c r="J6" s="40">
        <f t="shared" si="6"/>
        <v>2.2439531368102796E-3</v>
      </c>
      <c r="K6" s="40">
        <f t="shared" si="3"/>
        <v>0</v>
      </c>
      <c r="L6" s="47">
        <f t="shared" si="4"/>
        <v>2.8344671201814054E-4</v>
      </c>
      <c r="M6" s="51"/>
      <c r="N6" s="49"/>
      <c r="O6" s="59">
        <f t="shared" ref="O6:O19" si="13">G6+H6+I6+J6+K6+L6</f>
        <v>5.9287603930461069E-3</v>
      </c>
      <c r="P6" s="92">
        <f t="shared" si="7"/>
        <v>9.4860166288737724E-3</v>
      </c>
      <c r="Q6" s="92">
        <v>31.88</v>
      </c>
      <c r="R6" s="58">
        <f t="shared" si="8"/>
        <v>-8.120000000000001</v>
      </c>
      <c r="S6" s="55">
        <v>3</v>
      </c>
      <c r="T6" s="60">
        <v>98.13</v>
      </c>
      <c r="U6" s="60">
        <f t="shared" si="9"/>
        <v>58.129999999999995</v>
      </c>
      <c r="V6" s="55">
        <v>3</v>
      </c>
      <c r="W6" s="60">
        <v>50.52</v>
      </c>
      <c r="X6" s="60">
        <f t="shared" si="10"/>
        <v>10.520000000000003</v>
      </c>
      <c r="Y6" s="55">
        <v>3</v>
      </c>
      <c r="Z6" s="60">
        <v>34.76</v>
      </c>
      <c r="AA6" s="60">
        <f t="shared" si="11"/>
        <v>-5.240000000000002</v>
      </c>
      <c r="AB6" s="55">
        <v>3</v>
      </c>
      <c r="AC6" s="24">
        <f t="shared" si="12"/>
        <v>40</v>
      </c>
      <c r="AD6" s="25">
        <v>5</v>
      </c>
      <c r="AE6" s="25">
        <f t="shared" si="5"/>
        <v>7.4109504913076336E-4</v>
      </c>
      <c r="AF6" s="24">
        <v>3</v>
      </c>
      <c r="AG6" s="24">
        <v>15</v>
      </c>
      <c r="AH6" s="30">
        <v>12</v>
      </c>
      <c r="AI6" s="42">
        <v>5</v>
      </c>
      <c r="AJ6" s="42"/>
    </row>
    <row r="7" spans="1:36" s="26" customFormat="1" x14ac:dyDescent="0.4">
      <c r="A7" s="38">
        <v>4</v>
      </c>
      <c r="B7" s="43"/>
      <c r="C7" s="38" t="s">
        <v>91</v>
      </c>
      <c r="D7" s="39">
        <v>5</v>
      </c>
      <c r="E7" s="40">
        <f t="shared" si="0"/>
        <v>5.1020408163265305</v>
      </c>
      <c r="F7" s="41">
        <v>42738</v>
      </c>
      <c r="G7" s="40">
        <f>E7*C28/(3600*3)</f>
        <v>1.4172335600907029E-3</v>
      </c>
      <c r="H7" s="40">
        <f t="shared" si="1"/>
        <v>0</v>
      </c>
      <c r="I7" s="40">
        <f t="shared" si="2"/>
        <v>2.9525699168556313E-4</v>
      </c>
      <c r="J7" s="40">
        <f t="shared" si="6"/>
        <v>9.6450617283950623E-4</v>
      </c>
      <c r="K7" s="40">
        <f t="shared" si="3"/>
        <v>0</v>
      </c>
      <c r="L7" s="47">
        <f t="shared" si="4"/>
        <v>1.1810279667422524E-4</v>
      </c>
      <c r="M7" s="51"/>
      <c r="N7" s="49"/>
      <c r="O7" s="59">
        <f t="shared" si="13"/>
        <v>2.7950995212899978E-3</v>
      </c>
      <c r="P7" s="92">
        <f t="shared" si="7"/>
        <v>4.4721592340639963E-3</v>
      </c>
      <c r="Q7" s="92">
        <v>34.76</v>
      </c>
      <c r="R7" s="58">
        <f t="shared" si="8"/>
        <v>10.759999999999998</v>
      </c>
      <c r="S7" s="55">
        <v>4</v>
      </c>
      <c r="T7" s="60">
        <v>19.7</v>
      </c>
      <c r="U7" s="60">
        <f t="shared" si="9"/>
        <v>-4.3000000000000007</v>
      </c>
      <c r="V7" s="55">
        <v>4</v>
      </c>
      <c r="W7" s="60">
        <v>30.82</v>
      </c>
      <c r="X7" s="60">
        <f t="shared" si="10"/>
        <v>6.82</v>
      </c>
      <c r="Y7" s="55">
        <v>4</v>
      </c>
      <c r="Z7" s="60">
        <v>33.43</v>
      </c>
      <c r="AA7" s="60">
        <f t="shared" si="11"/>
        <v>9.43</v>
      </c>
      <c r="AB7" s="55">
        <v>4</v>
      </c>
      <c r="AC7" s="24">
        <f t="shared" si="12"/>
        <v>24</v>
      </c>
      <c r="AD7" s="25">
        <v>3</v>
      </c>
      <c r="AE7" s="25">
        <f t="shared" si="5"/>
        <v>3.4938744016124973E-4</v>
      </c>
      <c r="AF7" s="24">
        <v>4</v>
      </c>
      <c r="AG7" s="24">
        <v>5</v>
      </c>
      <c r="AH7" s="30">
        <v>13</v>
      </c>
      <c r="AI7" s="42">
        <v>4</v>
      </c>
      <c r="AJ7" s="42"/>
    </row>
    <row r="8" spans="1:36" s="26" customFormat="1" x14ac:dyDescent="0.4">
      <c r="A8" s="38">
        <v>5</v>
      </c>
      <c r="B8" s="24" t="s">
        <v>93</v>
      </c>
      <c r="C8" s="44" t="s">
        <v>94</v>
      </c>
      <c r="D8" s="39">
        <v>20</v>
      </c>
      <c r="E8" s="40">
        <f t="shared" si="0"/>
        <v>20.408163265306122</v>
      </c>
      <c r="F8" s="41">
        <v>42739</v>
      </c>
      <c r="G8" s="40">
        <f t="shared" ref="G8:G19" si="14">E8*C29/(3600*3)</f>
        <v>2.7294868564709833E-3</v>
      </c>
      <c r="H8" s="40">
        <f t="shared" si="1"/>
        <v>0</v>
      </c>
      <c r="I8" s="40">
        <f t="shared" si="2"/>
        <v>0</v>
      </c>
      <c r="J8" s="40">
        <f t="shared" si="6"/>
        <v>1.4172335600907029E-3</v>
      </c>
      <c r="K8" s="40">
        <f t="shared" si="3"/>
        <v>0</v>
      </c>
      <c r="L8" s="47">
        <f>E8*H29/(3600*2)</f>
        <v>4.7241118669690094E-4</v>
      </c>
      <c r="M8" s="51"/>
      <c r="N8" s="49"/>
      <c r="O8" s="59">
        <f t="shared" si="13"/>
        <v>4.6191316032585866E-3</v>
      </c>
      <c r="P8" s="92">
        <f t="shared" si="7"/>
        <v>7.3906105652137392E-3</v>
      </c>
      <c r="Q8" s="92">
        <v>42.47</v>
      </c>
      <c r="R8" s="58">
        <f t="shared" si="8"/>
        <v>10.469999999999999</v>
      </c>
      <c r="S8" s="55">
        <v>5</v>
      </c>
      <c r="T8" s="60">
        <v>63.11</v>
      </c>
      <c r="U8" s="60">
        <f t="shared" si="9"/>
        <v>31.11</v>
      </c>
      <c r="V8" s="55">
        <v>5</v>
      </c>
      <c r="W8" s="60">
        <v>56.3</v>
      </c>
      <c r="X8" s="60">
        <f t="shared" si="10"/>
        <v>24.299999999999997</v>
      </c>
      <c r="Y8" s="55">
        <v>5</v>
      </c>
      <c r="Z8" s="60">
        <v>93.15</v>
      </c>
      <c r="AA8" s="60">
        <f t="shared" si="11"/>
        <v>61.150000000000006</v>
      </c>
      <c r="AB8" s="55">
        <v>5</v>
      </c>
      <c r="AC8" s="24">
        <f t="shared" si="12"/>
        <v>32</v>
      </c>
      <c r="AD8" s="25">
        <v>4</v>
      </c>
      <c r="AE8" s="25">
        <f t="shared" si="5"/>
        <v>5.7739145040732332E-4</v>
      </c>
      <c r="AF8" s="24">
        <v>5</v>
      </c>
      <c r="AG8" s="24">
        <v>12</v>
      </c>
      <c r="AH8" s="30">
        <v>1</v>
      </c>
      <c r="AI8" s="42">
        <v>16</v>
      </c>
      <c r="AJ8" s="42"/>
    </row>
    <row r="9" spans="1:36" s="26" customFormat="1" x14ac:dyDescent="0.4">
      <c r="A9" s="38">
        <v>6</v>
      </c>
      <c r="B9" s="43"/>
      <c r="C9" s="44" t="s">
        <v>95</v>
      </c>
      <c r="D9" s="39">
        <v>5</v>
      </c>
      <c r="E9" s="40">
        <f t="shared" si="0"/>
        <v>5.1020408163265305</v>
      </c>
      <c r="F9" s="41">
        <v>42736</v>
      </c>
      <c r="G9" s="40">
        <f t="shared" si="14"/>
        <v>7.8735197782816842E-4</v>
      </c>
      <c r="H9" s="40">
        <f t="shared" si="1"/>
        <v>0</v>
      </c>
      <c r="I9" s="40">
        <f t="shared" si="2"/>
        <v>0</v>
      </c>
      <c r="J9" s="40">
        <f t="shared" si="6"/>
        <v>3.9367598891408415E-4</v>
      </c>
      <c r="K9" s="40">
        <f t="shared" si="3"/>
        <v>0</v>
      </c>
      <c r="L9" s="47">
        <f t="shared" ref="L9:L19" si="15">E9*H30/(3600*2)</f>
        <v>1.1810279667422524E-4</v>
      </c>
      <c r="M9" s="51"/>
      <c r="N9" s="49"/>
      <c r="O9" s="59">
        <f t="shared" si="13"/>
        <v>1.2991307634164777E-3</v>
      </c>
      <c r="P9" s="92">
        <f t="shared" si="7"/>
        <v>2.0786092214663643E-3</v>
      </c>
      <c r="Q9" s="92">
        <v>42.9</v>
      </c>
      <c r="R9" s="58">
        <f t="shared" si="8"/>
        <v>34.9</v>
      </c>
      <c r="S9" s="55">
        <v>6</v>
      </c>
      <c r="T9" s="60">
        <v>5.47</v>
      </c>
      <c r="U9" s="60">
        <f t="shared" si="9"/>
        <v>-2.5300000000000002</v>
      </c>
      <c r="V9" s="55">
        <v>6</v>
      </c>
      <c r="W9" s="60">
        <v>4.68</v>
      </c>
      <c r="X9" s="60">
        <f t="shared" si="10"/>
        <v>-3.3200000000000003</v>
      </c>
      <c r="Y9" s="55">
        <v>6</v>
      </c>
      <c r="Z9" s="60">
        <v>82.7</v>
      </c>
      <c r="AA9" s="60">
        <f t="shared" si="11"/>
        <v>74.7</v>
      </c>
      <c r="AB9" s="55">
        <v>6</v>
      </c>
      <c r="AC9" s="24">
        <f t="shared" si="12"/>
        <v>8</v>
      </c>
      <c r="AD9" s="25">
        <v>1</v>
      </c>
      <c r="AE9" s="25">
        <f t="shared" si="5"/>
        <v>1.6239134542705972E-4</v>
      </c>
      <c r="AF9" s="24">
        <v>6</v>
      </c>
      <c r="AG9" s="24">
        <v>2</v>
      </c>
      <c r="AH9" s="30">
        <v>2</v>
      </c>
      <c r="AI9" s="42">
        <v>15</v>
      </c>
      <c r="AJ9" s="42"/>
    </row>
    <row r="10" spans="1:36" s="26" customFormat="1" x14ac:dyDescent="0.4">
      <c r="A10" s="38">
        <v>7</v>
      </c>
      <c r="B10" s="43"/>
      <c r="C10" s="44" t="s">
        <v>96</v>
      </c>
      <c r="D10" s="39">
        <v>23</v>
      </c>
      <c r="E10" s="40">
        <f t="shared" si="0"/>
        <v>23.469387755102041</v>
      </c>
      <c r="F10" s="41">
        <v>42741</v>
      </c>
      <c r="G10" s="40">
        <f t="shared" si="14"/>
        <v>4.5272738725119681E-3</v>
      </c>
      <c r="H10" s="40">
        <f t="shared" si="1"/>
        <v>0</v>
      </c>
      <c r="I10" s="40">
        <f t="shared" si="2"/>
        <v>0</v>
      </c>
      <c r="J10" s="40">
        <f t="shared" si="6"/>
        <v>2.2636369362559836E-3</v>
      </c>
      <c r="K10" s="40">
        <f t="shared" si="3"/>
        <v>0</v>
      </c>
      <c r="L10" s="47">
        <f t="shared" si="15"/>
        <v>5.4327286470143613E-4</v>
      </c>
      <c r="M10" s="51"/>
      <c r="N10" s="49"/>
      <c r="O10" s="59">
        <f t="shared" si="13"/>
        <v>7.3341836734693881E-3</v>
      </c>
      <c r="P10" s="92">
        <f t="shared" si="7"/>
        <v>1.1734693877551022E-2</v>
      </c>
      <c r="Q10" s="92">
        <v>64.91</v>
      </c>
      <c r="R10" s="58">
        <f t="shared" si="8"/>
        <v>16.909999999999997</v>
      </c>
      <c r="S10" s="55">
        <v>7</v>
      </c>
      <c r="T10" s="60">
        <v>107.22</v>
      </c>
      <c r="U10" s="60">
        <f t="shared" si="9"/>
        <v>59.22</v>
      </c>
      <c r="V10" s="55">
        <v>7</v>
      </c>
      <c r="W10" s="60">
        <v>89.14</v>
      </c>
      <c r="X10" s="60">
        <f t="shared" si="10"/>
        <v>41.14</v>
      </c>
      <c r="Y10" s="55">
        <v>7</v>
      </c>
      <c r="Z10" s="60">
        <v>81.760000000000005</v>
      </c>
      <c r="AA10" s="60">
        <f t="shared" si="11"/>
        <v>33.760000000000005</v>
      </c>
      <c r="AB10" s="55">
        <v>7</v>
      </c>
      <c r="AC10" s="24">
        <f t="shared" si="12"/>
        <v>48</v>
      </c>
      <c r="AD10" s="25">
        <v>6</v>
      </c>
      <c r="AE10" s="25">
        <f t="shared" si="5"/>
        <v>9.1677295918367351E-4</v>
      </c>
      <c r="AF10" s="24">
        <v>7</v>
      </c>
      <c r="AG10" s="24">
        <v>16</v>
      </c>
      <c r="AH10" s="30">
        <v>4</v>
      </c>
      <c r="AI10" s="42">
        <v>13</v>
      </c>
      <c r="AJ10" s="42"/>
    </row>
    <row r="11" spans="1:36" s="26" customFormat="1" x14ac:dyDescent="0.4">
      <c r="A11" s="38">
        <v>8</v>
      </c>
      <c r="B11" s="43"/>
      <c r="C11" s="38" t="s">
        <v>97</v>
      </c>
      <c r="D11" s="39">
        <v>9</v>
      </c>
      <c r="E11" s="40">
        <f t="shared" si="0"/>
        <v>9.183673469387756</v>
      </c>
      <c r="F11" s="41">
        <v>42738</v>
      </c>
      <c r="G11" s="40">
        <f>E11*C32/(3600*3)</f>
        <v>2.362055933484505E-3</v>
      </c>
      <c r="H11" s="40">
        <f>E11*D32/(3600*2)</f>
        <v>0</v>
      </c>
      <c r="I11" s="40">
        <f t="shared" si="2"/>
        <v>0</v>
      </c>
      <c r="J11" s="40">
        <f t="shared" si="6"/>
        <v>1.0629251700680273E-3</v>
      </c>
      <c r="K11" s="40">
        <f t="shared" si="3"/>
        <v>0</v>
      </c>
      <c r="L11" s="47">
        <f t="shared" si="15"/>
        <v>2.1258503401360546E-4</v>
      </c>
      <c r="M11" s="51"/>
      <c r="N11" s="49"/>
      <c r="O11" s="59">
        <f t="shared" si="13"/>
        <v>3.6375661375661382E-3</v>
      </c>
      <c r="P11" s="92">
        <f t="shared" si="7"/>
        <v>5.8201058201058217E-3</v>
      </c>
      <c r="Q11" s="92">
        <v>67.900000000000006</v>
      </c>
      <c r="R11" s="58">
        <f t="shared" si="8"/>
        <v>43.900000000000006</v>
      </c>
      <c r="S11" s="55">
        <v>8</v>
      </c>
      <c r="T11" s="60">
        <v>32.130000000000003</v>
      </c>
      <c r="U11" s="60">
        <f t="shared" si="9"/>
        <v>8.1300000000000026</v>
      </c>
      <c r="V11" s="55">
        <v>8</v>
      </c>
      <c r="W11" s="60">
        <v>61.8</v>
      </c>
      <c r="X11" s="60">
        <f t="shared" si="10"/>
        <v>37.799999999999997</v>
      </c>
      <c r="Y11" s="55">
        <v>8</v>
      </c>
      <c r="Z11" s="60">
        <v>39.49</v>
      </c>
      <c r="AA11" s="60">
        <f t="shared" si="11"/>
        <v>15.490000000000002</v>
      </c>
      <c r="AB11" s="55">
        <v>8</v>
      </c>
      <c r="AC11" s="24">
        <f t="shared" si="12"/>
        <v>24</v>
      </c>
      <c r="AD11" s="25">
        <v>3</v>
      </c>
      <c r="AE11" s="25">
        <f t="shared" si="5"/>
        <v>4.5469576719576728E-4</v>
      </c>
      <c r="AF11" s="24">
        <v>8</v>
      </c>
      <c r="AG11" s="24">
        <v>7</v>
      </c>
      <c r="AH11" s="30">
        <v>10</v>
      </c>
      <c r="AI11" s="42">
        <v>7</v>
      </c>
      <c r="AJ11" s="42"/>
    </row>
    <row r="12" spans="1:36" s="26" customFormat="1" x14ac:dyDescent="0.4">
      <c r="A12" s="38">
        <v>9</v>
      </c>
      <c r="B12" s="24" t="s">
        <v>56</v>
      </c>
      <c r="C12" s="45" t="s">
        <v>62</v>
      </c>
      <c r="D12" s="39">
        <v>6</v>
      </c>
      <c r="E12" s="40">
        <f t="shared" si="0"/>
        <v>6.1224489795918364</v>
      </c>
      <c r="F12" s="41">
        <v>42737</v>
      </c>
      <c r="G12" s="40">
        <f t="shared" si="14"/>
        <v>5.6689342403628119E-4</v>
      </c>
      <c r="H12" s="40">
        <f>E12*D33/(3600*2)</f>
        <v>2.1258503401360543E-4</v>
      </c>
      <c r="I12" s="40">
        <f t="shared" si="2"/>
        <v>2.1258503401360543E-4</v>
      </c>
      <c r="J12" s="40">
        <f t="shared" si="6"/>
        <v>0</v>
      </c>
      <c r="K12" s="40">
        <f t="shared" si="3"/>
        <v>8.5034013605442174E-4</v>
      </c>
      <c r="L12" s="47">
        <f t="shared" si="15"/>
        <v>1.4172335600907027E-4</v>
      </c>
      <c r="M12" s="51"/>
      <c r="N12" s="49"/>
      <c r="O12" s="59">
        <f t="shared" si="13"/>
        <v>1.984126984126984E-3</v>
      </c>
      <c r="P12" s="92">
        <f t="shared" si="7"/>
        <v>3.1746031746031746E-3</v>
      </c>
      <c r="Q12" s="92">
        <v>70.45</v>
      </c>
      <c r="R12" s="58">
        <f t="shared" si="8"/>
        <v>54.45</v>
      </c>
      <c r="S12" s="55">
        <v>9</v>
      </c>
      <c r="T12" s="60">
        <v>10.77</v>
      </c>
      <c r="U12" s="60">
        <f t="shared" si="9"/>
        <v>-5.23</v>
      </c>
      <c r="V12" s="55">
        <v>9</v>
      </c>
      <c r="W12" s="60">
        <v>9.98</v>
      </c>
      <c r="X12" s="60">
        <f t="shared" si="10"/>
        <v>-6.02</v>
      </c>
      <c r="Y12" s="55">
        <v>9</v>
      </c>
      <c r="Z12" s="60">
        <v>82.27</v>
      </c>
      <c r="AA12" s="60">
        <f t="shared" si="11"/>
        <v>66.27</v>
      </c>
      <c r="AB12" s="55">
        <v>9</v>
      </c>
      <c r="AC12" s="24">
        <f t="shared" si="12"/>
        <v>16</v>
      </c>
      <c r="AD12" s="25">
        <v>2</v>
      </c>
      <c r="AE12" s="25">
        <f t="shared" si="5"/>
        <v>2.48015873015873E-4</v>
      </c>
      <c r="AF12" s="24">
        <v>9</v>
      </c>
      <c r="AG12" s="24">
        <v>3</v>
      </c>
      <c r="AH12" s="30">
        <v>3</v>
      </c>
      <c r="AI12" s="42">
        <v>14</v>
      </c>
      <c r="AJ12" s="42"/>
    </row>
    <row r="13" spans="1:36" s="26" customFormat="1" x14ac:dyDescent="0.4">
      <c r="A13" s="38">
        <v>10</v>
      </c>
      <c r="B13" s="43"/>
      <c r="C13" s="45" t="s">
        <v>63</v>
      </c>
      <c r="D13" s="39">
        <v>12</v>
      </c>
      <c r="E13" s="40">
        <f t="shared" si="0"/>
        <v>12.244897959183673</v>
      </c>
      <c r="F13" s="41">
        <v>42739</v>
      </c>
      <c r="G13" s="40">
        <f t="shared" si="14"/>
        <v>1.2597631645250692E-3</v>
      </c>
      <c r="H13" s="40">
        <f t="shared" ref="H13:H19" si="16">E13*D34/(3600*2)</f>
        <v>4.2517006802721087E-4</v>
      </c>
      <c r="I13" s="40">
        <f t="shared" si="2"/>
        <v>5.6689342403628109E-4</v>
      </c>
      <c r="J13" s="40">
        <f t="shared" si="6"/>
        <v>0</v>
      </c>
      <c r="K13" s="40">
        <f t="shared" si="3"/>
        <v>1.984126984126984E-3</v>
      </c>
      <c r="L13" s="47">
        <f t="shared" si="15"/>
        <v>2.8344671201814054E-4</v>
      </c>
      <c r="M13" s="51"/>
      <c r="N13" s="49"/>
      <c r="O13" s="59">
        <f t="shared" si="13"/>
        <v>4.5194003527336858E-3</v>
      </c>
      <c r="P13" s="92">
        <f t="shared" si="7"/>
        <v>7.2310405643738977E-3</v>
      </c>
      <c r="Q13" s="92">
        <v>81.61</v>
      </c>
      <c r="R13" s="58">
        <f t="shared" si="8"/>
        <v>49.61</v>
      </c>
      <c r="S13" s="55">
        <v>10</v>
      </c>
      <c r="T13" s="60">
        <v>64.41</v>
      </c>
      <c r="U13" s="60">
        <f t="shared" si="9"/>
        <v>32.409999999999997</v>
      </c>
      <c r="V13" s="55">
        <v>10</v>
      </c>
      <c r="W13" s="60">
        <v>40.4</v>
      </c>
      <c r="X13" s="60">
        <f t="shared" si="10"/>
        <v>8.3999999999999986</v>
      </c>
      <c r="Y13" s="55">
        <v>10</v>
      </c>
      <c r="Z13" s="60">
        <v>70.430000000000007</v>
      </c>
      <c r="AA13" s="60">
        <f t="shared" si="11"/>
        <v>38.430000000000007</v>
      </c>
      <c r="AB13" s="55">
        <v>10</v>
      </c>
      <c r="AC13" s="24">
        <f t="shared" si="12"/>
        <v>32</v>
      </c>
      <c r="AD13" s="25">
        <v>4</v>
      </c>
      <c r="AE13" s="25">
        <f t="shared" si="5"/>
        <v>5.6492504409171073E-4</v>
      </c>
      <c r="AF13" s="24">
        <v>10</v>
      </c>
      <c r="AG13" s="24">
        <v>11</v>
      </c>
      <c r="AH13" s="30">
        <v>5</v>
      </c>
      <c r="AI13" s="42">
        <v>12</v>
      </c>
      <c r="AJ13" s="42"/>
    </row>
    <row r="14" spans="1:36" s="26" customFormat="1" x14ac:dyDescent="0.4">
      <c r="A14" s="38">
        <v>11</v>
      </c>
      <c r="B14" s="43"/>
      <c r="C14" s="45" t="s">
        <v>64</v>
      </c>
      <c r="D14" s="39">
        <v>13</v>
      </c>
      <c r="E14" s="40">
        <f t="shared" si="0"/>
        <v>13.26530612244898</v>
      </c>
      <c r="F14" s="41">
        <v>42739</v>
      </c>
      <c r="G14" s="40">
        <f t="shared" si="14"/>
        <v>1.5353363567649281E-3</v>
      </c>
      <c r="H14" s="40">
        <f t="shared" si="16"/>
        <v>4.6060090702947846E-4</v>
      </c>
      <c r="I14" s="40">
        <f t="shared" si="2"/>
        <v>7.6766817838246407E-4</v>
      </c>
      <c r="J14" s="40">
        <f t="shared" si="6"/>
        <v>0</v>
      </c>
      <c r="K14" s="40">
        <f t="shared" si="3"/>
        <v>2.4565381708238853E-3</v>
      </c>
      <c r="L14" s="47">
        <f t="shared" si="15"/>
        <v>3.0706727135298566E-4</v>
      </c>
      <c r="M14" s="51"/>
      <c r="N14" s="49"/>
      <c r="O14" s="59">
        <f t="shared" si="13"/>
        <v>5.5272108843537416E-3</v>
      </c>
      <c r="P14" s="92">
        <f t="shared" si="7"/>
        <v>8.8435374149659872E-3</v>
      </c>
      <c r="Q14" s="92">
        <v>91.26</v>
      </c>
      <c r="R14" s="58">
        <f t="shared" si="8"/>
        <v>59.260000000000005</v>
      </c>
      <c r="S14" s="55">
        <v>11</v>
      </c>
      <c r="T14" s="60">
        <v>87.92</v>
      </c>
      <c r="U14" s="60">
        <f t="shared" si="9"/>
        <v>55.92</v>
      </c>
      <c r="V14" s="55">
        <v>11</v>
      </c>
      <c r="W14" s="60">
        <v>77.099999999999994</v>
      </c>
      <c r="X14" s="60">
        <f t="shared" si="10"/>
        <v>45.099999999999994</v>
      </c>
      <c r="Y14" s="55">
        <v>11</v>
      </c>
      <c r="Z14" s="60">
        <v>59.23</v>
      </c>
      <c r="AA14" s="60">
        <f t="shared" si="11"/>
        <v>27.229999999999997</v>
      </c>
      <c r="AB14" s="55">
        <v>11</v>
      </c>
      <c r="AC14" s="24">
        <f t="shared" si="12"/>
        <v>32</v>
      </c>
      <c r="AD14" s="25">
        <v>4</v>
      </c>
      <c r="AE14" s="25">
        <f t="shared" si="5"/>
        <v>6.909013605442177E-4</v>
      </c>
      <c r="AF14" s="24">
        <v>11</v>
      </c>
      <c r="AG14" s="24">
        <v>14</v>
      </c>
      <c r="AH14" s="30">
        <v>8</v>
      </c>
      <c r="AI14" s="42">
        <v>9</v>
      </c>
      <c r="AJ14" s="42"/>
    </row>
    <row r="15" spans="1:36" s="26" customFormat="1" x14ac:dyDescent="0.4">
      <c r="A15" s="38">
        <v>12</v>
      </c>
      <c r="B15" s="43"/>
      <c r="C15" s="45" t="s">
        <v>65</v>
      </c>
      <c r="D15" s="39">
        <v>5</v>
      </c>
      <c r="E15" s="40">
        <f t="shared" si="0"/>
        <v>5.1020408163265305</v>
      </c>
      <c r="F15" s="41">
        <v>42736</v>
      </c>
      <c r="G15" s="40">
        <f t="shared" si="14"/>
        <v>7.8735197782816842E-4</v>
      </c>
      <c r="H15" s="40">
        <f t="shared" si="16"/>
        <v>1.7715419501133787E-4</v>
      </c>
      <c r="I15" s="40">
        <f>E15*E36/(3600*2)</f>
        <v>3.5430839002267573E-4</v>
      </c>
      <c r="J15" s="40">
        <f t="shared" si="6"/>
        <v>0</v>
      </c>
      <c r="K15" s="40">
        <f t="shared" si="3"/>
        <v>1.1022927689594356E-3</v>
      </c>
      <c r="L15" s="47">
        <f t="shared" si="15"/>
        <v>1.1810279667422524E-4</v>
      </c>
      <c r="M15" s="51"/>
      <c r="N15" s="49"/>
      <c r="O15" s="59">
        <f t="shared" si="13"/>
        <v>2.539210128495843E-3</v>
      </c>
      <c r="P15" s="92">
        <f t="shared" si="7"/>
        <v>4.0627362055933487E-3</v>
      </c>
      <c r="Q15" s="92">
        <v>93.07</v>
      </c>
      <c r="R15" s="58">
        <f t="shared" si="8"/>
        <v>77.069999999999993</v>
      </c>
      <c r="S15" s="55">
        <v>12</v>
      </c>
      <c r="T15" s="60">
        <v>15.17</v>
      </c>
      <c r="U15" s="60">
        <f t="shared" si="9"/>
        <v>-0.83000000000000007</v>
      </c>
      <c r="V15" s="55">
        <v>12</v>
      </c>
      <c r="W15" s="60">
        <v>14.02</v>
      </c>
      <c r="X15" s="60">
        <f t="shared" si="10"/>
        <v>-1.9800000000000004</v>
      </c>
      <c r="Y15" s="55">
        <v>12</v>
      </c>
      <c r="Z15" s="60">
        <v>37.72</v>
      </c>
      <c r="AA15" s="60">
        <f t="shared" si="11"/>
        <v>21.72</v>
      </c>
      <c r="AB15" s="55">
        <v>12</v>
      </c>
      <c r="AC15" s="24">
        <f t="shared" si="12"/>
        <v>16</v>
      </c>
      <c r="AD15" s="25">
        <v>2</v>
      </c>
      <c r="AE15" s="25">
        <f t="shared" si="5"/>
        <v>3.1740126606198037E-4</v>
      </c>
      <c r="AF15" s="24">
        <v>12</v>
      </c>
      <c r="AG15" s="24">
        <v>4</v>
      </c>
      <c r="AH15" s="30">
        <v>11</v>
      </c>
      <c r="AI15" s="42">
        <v>6</v>
      </c>
      <c r="AJ15" s="42"/>
    </row>
    <row r="16" spans="1:36" s="26" customFormat="1" x14ac:dyDescent="0.4">
      <c r="A16" s="38">
        <v>13</v>
      </c>
      <c r="B16" s="24" t="s">
        <v>57</v>
      </c>
      <c r="C16" s="38" t="s">
        <v>61</v>
      </c>
      <c r="D16" s="39">
        <v>2</v>
      </c>
      <c r="E16" s="40">
        <f t="shared" si="0"/>
        <v>2.0408163265306123</v>
      </c>
      <c r="F16" s="41">
        <v>42739</v>
      </c>
      <c r="G16" s="40">
        <f t="shared" si="14"/>
        <v>2.2045855379188717E-4</v>
      </c>
      <c r="H16" s="40">
        <f t="shared" si="16"/>
        <v>7.0861678004535149E-5</v>
      </c>
      <c r="I16" s="40">
        <f>E16*E37/(3600*2)</f>
        <v>7.0861678004535149E-5</v>
      </c>
      <c r="J16" s="40">
        <f t="shared" si="6"/>
        <v>1.417233560090703E-4</v>
      </c>
      <c r="K16" s="40">
        <f>E16*G37/(3600*2)</f>
        <v>2.9919375157470395E-4</v>
      </c>
      <c r="L16" s="47">
        <f t="shared" si="15"/>
        <v>4.72411186696901E-5</v>
      </c>
      <c r="M16" s="51"/>
      <c r="N16" s="49"/>
      <c r="O16" s="59">
        <f t="shared" si="13"/>
        <v>8.5034013605442185E-4</v>
      </c>
      <c r="P16" s="92">
        <f t="shared" si="7"/>
        <v>1.360544217687075E-3</v>
      </c>
      <c r="Q16" s="92">
        <v>93.24</v>
      </c>
      <c r="R16" s="58">
        <f t="shared" si="8"/>
        <v>85.24</v>
      </c>
      <c r="S16" s="55">
        <v>13</v>
      </c>
      <c r="T16" s="60">
        <v>3.07</v>
      </c>
      <c r="U16" s="60">
        <f t="shared" si="9"/>
        <v>-4.93</v>
      </c>
      <c r="V16" s="55">
        <v>13</v>
      </c>
      <c r="W16" s="60">
        <v>16.87</v>
      </c>
      <c r="X16" s="60">
        <f t="shared" si="10"/>
        <v>8.870000000000001</v>
      </c>
      <c r="Y16" s="55">
        <v>13</v>
      </c>
      <c r="Z16" s="60">
        <v>61.46</v>
      </c>
      <c r="AA16" s="60">
        <f t="shared" si="11"/>
        <v>53.46</v>
      </c>
      <c r="AB16" s="55">
        <v>13</v>
      </c>
      <c r="AC16" s="24">
        <f t="shared" si="12"/>
        <v>8</v>
      </c>
      <c r="AD16" s="25">
        <v>1</v>
      </c>
      <c r="AE16" s="25">
        <f t="shared" si="5"/>
        <v>1.0629251700680273E-4</v>
      </c>
      <c r="AF16" s="24">
        <v>13</v>
      </c>
      <c r="AG16" s="24">
        <v>1</v>
      </c>
      <c r="AH16" s="30">
        <v>7</v>
      </c>
      <c r="AI16" s="42">
        <v>10</v>
      </c>
      <c r="AJ16" s="42"/>
    </row>
    <row r="17" spans="1:36" s="26" customFormat="1" x14ac:dyDescent="0.4">
      <c r="A17" s="38">
        <v>14</v>
      </c>
      <c r="B17" s="38"/>
      <c r="C17" s="38" t="s">
        <v>58</v>
      </c>
      <c r="D17" s="39">
        <v>7</v>
      </c>
      <c r="E17" s="40">
        <f t="shared" si="0"/>
        <v>7.1428571428571432</v>
      </c>
      <c r="F17" s="41">
        <v>42739</v>
      </c>
      <c r="G17" s="40">
        <f t="shared" si="14"/>
        <v>8.8183421516754845E-4</v>
      </c>
      <c r="H17" s="40">
        <f t="shared" si="16"/>
        <v>4.1335978835978839E-4</v>
      </c>
      <c r="I17" s="40">
        <f t="shared" ref="I17:I19" si="17">E17*E38/(3600*2)</f>
        <v>4.1335978835978839E-4</v>
      </c>
      <c r="J17" s="40">
        <f t="shared" si="6"/>
        <v>5.5114638447971789E-4</v>
      </c>
      <c r="K17" s="40">
        <f t="shared" ref="K17:K19" si="18">E17*G38/(3600*2)</f>
        <v>2.0667989417989421E-3</v>
      </c>
      <c r="L17" s="47">
        <f t="shared" si="15"/>
        <v>1.6534391534391533E-4</v>
      </c>
      <c r="M17" s="51"/>
      <c r="N17" s="49"/>
      <c r="O17" s="59">
        <f t="shared" si="13"/>
        <v>4.4918430335097008E-3</v>
      </c>
      <c r="P17" s="92">
        <f t="shared" si="7"/>
        <v>7.1869488536155214E-3</v>
      </c>
      <c r="Q17" s="92">
        <v>102.46</v>
      </c>
      <c r="R17" s="58">
        <f t="shared" si="8"/>
        <v>70.459999999999994</v>
      </c>
      <c r="S17" s="55">
        <v>14</v>
      </c>
      <c r="T17" s="60">
        <v>54.79</v>
      </c>
      <c r="U17" s="60">
        <f t="shared" si="9"/>
        <v>22.79</v>
      </c>
      <c r="V17" s="55">
        <v>14</v>
      </c>
      <c r="W17" s="60">
        <v>95.2</v>
      </c>
      <c r="X17" s="60">
        <f t="shared" si="10"/>
        <v>63.2</v>
      </c>
      <c r="Y17" s="55">
        <v>14</v>
      </c>
      <c r="Z17" s="60">
        <v>33</v>
      </c>
      <c r="AA17" s="60">
        <f t="shared" si="11"/>
        <v>1</v>
      </c>
      <c r="AB17" s="55">
        <v>14</v>
      </c>
      <c r="AC17" s="24">
        <f t="shared" si="12"/>
        <v>32</v>
      </c>
      <c r="AD17" s="25">
        <v>4</v>
      </c>
      <c r="AE17" s="25">
        <f t="shared" si="5"/>
        <v>5.614803791887126E-4</v>
      </c>
      <c r="AF17" s="24">
        <v>14</v>
      </c>
      <c r="AG17" s="24">
        <v>10</v>
      </c>
      <c r="AH17" s="30">
        <v>14</v>
      </c>
      <c r="AI17" s="42">
        <v>3</v>
      </c>
      <c r="AJ17" s="42"/>
    </row>
    <row r="18" spans="1:36" s="26" customFormat="1" x14ac:dyDescent="0.4">
      <c r="A18" s="38">
        <v>15</v>
      </c>
      <c r="B18" s="38"/>
      <c r="C18" s="38" t="s">
        <v>59</v>
      </c>
      <c r="D18" s="39">
        <v>4</v>
      </c>
      <c r="E18" s="40">
        <f t="shared" si="0"/>
        <v>4.0816326530612246</v>
      </c>
      <c r="F18" s="41">
        <v>42738</v>
      </c>
      <c r="G18" s="40">
        <f t="shared" si="14"/>
        <v>5.7739145040732343E-4</v>
      </c>
      <c r="H18" s="40">
        <f t="shared" si="16"/>
        <v>3.3068783068783072E-4</v>
      </c>
      <c r="I18" s="40">
        <f t="shared" si="17"/>
        <v>3.3068783068783072E-4</v>
      </c>
      <c r="J18" s="40">
        <f t="shared" si="6"/>
        <v>3.4643487024439414E-4</v>
      </c>
      <c r="K18" s="40">
        <f t="shared" si="18"/>
        <v>1.9683799445704207E-3</v>
      </c>
      <c r="L18" s="47">
        <f t="shared" si="15"/>
        <v>9.4482237339380199E-5</v>
      </c>
      <c r="M18" s="51"/>
      <c r="N18" s="49"/>
      <c r="O18" s="59">
        <f t="shared" si="13"/>
        <v>3.6480641639371797E-3</v>
      </c>
      <c r="P18" s="92">
        <f t="shared" si="7"/>
        <v>5.8369026622994875E-3</v>
      </c>
      <c r="Q18" s="92">
        <v>108.56</v>
      </c>
      <c r="R18" s="58">
        <f t="shared" si="8"/>
        <v>84.56</v>
      </c>
      <c r="S18" s="55">
        <v>15</v>
      </c>
      <c r="T18" s="60">
        <v>41.39</v>
      </c>
      <c r="U18" s="60">
        <f t="shared" si="9"/>
        <v>17.39</v>
      </c>
      <c r="V18" s="55">
        <v>15</v>
      </c>
      <c r="W18" s="60">
        <v>101.3</v>
      </c>
      <c r="X18" s="60">
        <f t="shared" si="10"/>
        <v>77.3</v>
      </c>
      <c r="Y18" s="55">
        <v>15</v>
      </c>
      <c r="Z18" s="60">
        <v>24.94</v>
      </c>
      <c r="AA18" s="60">
        <f t="shared" si="11"/>
        <v>0.94000000000000128</v>
      </c>
      <c r="AB18" s="55">
        <v>15</v>
      </c>
      <c r="AC18" s="24">
        <f t="shared" si="12"/>
        <v>24</v>
      </c>
      <c r="AD18" s="25">
        <v>3</v>
      </c>
      <c r="AE18" s="25">
        <f t="shared" si="5"/>
        <v>4.5600802049214746E-4</v>
      </c>
      <c r="AF18" s="24">
        <v>15</v>
      </c>
      <c r="AG18" s="24">
        <v>8</v>
      </c>
      <c r="AH18" s="24">
        <v>15</v>
      </c>
      <c r="AI18" s="26">
        <v>2</v>
      </c>
    </row>
    <row r="19" spans="1:36" s="26" customFormat="1" x14ac:dyDescent="0.4">
      <c r="A19" s="38">
        <v>16</v>
      </c>
      <c r="B19" s="38"/>
      <c r="C19" s="38" t="s">
        <v>60</v>
      </c>
      <c r="D19" s="39">
        <v>5</v>
      </c>
      <c r="E19" s="40">
        <f t="shared" si="0"/>
        <v>5.1020408163265305</v>
      </c>
      <c r="F19" s="41">
        <v>42739</v>
      </c>
      <c r="G19" s="40">
        <f t="shared" si="14"/>
        <v>8.5296464264718232E-4</v>
      </c>
      <c r="H19" s="40">
        <f t="shared" si="16"/>
        <v>5.3146258503401354E-4</v>
      </c>
      <c r="I19" s="40">
        <f t="shared" si="17"/>
        <v>5.3146258503401354E-4</v>
      </c>
      <c r="J19" s="40">
        <f t="shared" si="6"/>
        <v>4.7241118669690094E-4</v>
      </c>
      <c r="K19" s="40">
        <f t="shared" si="18"/>
        <v>2.9525699168556313E-3</v>
      </c>
      <c r="L19" s="47">
        <f t="shared" si="15"/>
        <v>1.1810279667422524E-4</v>
      </c>
      <c r="M19" s="51"/>
      <c r="N19" s="49"/>
      <c r="O19" s="59">
        <f t="shared" si="13"/>
        <v>5.4589737129419665E-3</v>
      </c>
      <c r="P19" s="92">
        <f t="shared" si="7"/>
        <v>8.7343579407071475E-3</v>
      </c>
      <c r="Q19" s="93">
        <v>119.73</v>
      </c>
      <c r="R19" s="58">
        <f t="shared" si="8"/>
        <v>87.73</v>
      </c>
      <c r="S19" s="56">
        <v>16</v>
      </c>
      <c r="T19" s="61">
        <v>86.81</v>
      </c>
      <c r="U19" s="60">
        <f t="shared" si="9"/>
        <v>54.81</v>
      </c>
      <c r="V19" s="56">
        <v>16</v>
      </c>
      <c r="W19" s="61">
        <v>112.47</v>
      </c>
      <c r="X19" s="60">
        <f t="shared" si="10"/>
        <v>80.47</v>
      </c>
      <c r="Y19" s="56">
        <v>16</v>
      </c>
      <c r="Z19" s="60">
        <v>17.940000000000001</v>
      </c>
      <c r="AA19" s="60">
        <f t="shared" si="11"/>
        <v>-14.059999999999999</v>
      </c>
      <c r="AB19" s="55">
        <v>16</v>
      </c>
      <c r="AC19" s="24">
        <f t="shared" si="12"/>
        <v>32</v>
      </c>
      <c r="AD19" s="25">
        <v>4</v>
      </c>
      <c r="AE19" s="25">
        <f t="shared" si="5"/>
        <v>6.8237171411774582E-4</v>
      </c>
      <c r="AF19" s="24">
        <v>16</v>
      </c>
      <c r="AG19" s="24">
        <v>13</v>
      </c>
      <c r="AH19" s="24">
        <v>16</v>
      </c>
      <c r="AI19" s="26">
        <v>1</v>
      </c>
    </row>
    <row r="20" spans="1:36" ht="25" thickBot="1" x14ac:dyDescent="0.45">
      <c r="O20" s="99">
        <f>SUM(O4:O19)</f>
        <v>6.1774323927101721E-2</v>
      </c>
      <c r="P20" s="100">
        <f t="shared" si="7"/>
        <v>9.8838918283362762E-2</v>
      </c>
      <c r="Q20" s="94">
        <f>SUM(Q4:Q19)</f>
        <v>1076.8300000000002</v>
      </c>
      <c r="R20" s="71">
        <f>SUM(R7:R19)</f>
        <v>685.31999999999994</v>
      </c>
      <c r="S20" s="71"/>
      <c r="T20" s="80">
        <f>SUM(T4:T19)</f>
        <v>764.05</v>
      </c>
      <c r="U20" s="80">
        <f>SUM(U4,U5,U6,U8,U10,U11,U13,U14,U17,U18,U19)</f>
        <v>365.87</v>
      </c>
      <c r="V20" s="80"/>
      <c r="W20" s="88">
        <f>SUM(W4:W19)</f>
        <v>810.77</v>
      </c>
      <c r="X20" s="88">
        <f>SUM(X5:X7,X8,X10,X11,X13,X14,X16,X17,X18,X19)</f>
        <v>407.52</v>
      </c>
      <c r="Y20" s="88"/>
      <c r="Z20" s="87">
        <f>SUM(Z4:Z19)</f>
        <v>865.88000000000011</v>
      </c>
      <c r="AA20" s="87">
        <f>SUM(AA4,AA5,AA7,AA8,AA9,AA10,AA11,AA12,AA13,AA14,AA15,AA16,AA17,AA18)</f>
        <v>469.17999999999995</v>
      </c>
      <c r="AB20" s="87"/>
      <c r="AC20" s="26"/>
      <c r="AD20" s="26"/>
    </row>
    <row r="21" spans="1:36" ht="25" thickBot="1" x14ac:dyDescent="0.45">
      <c r="A21" s="17"/>
      <c r="B21" s="103"/>
      <c r="C21" s="324" t="s">
        <v>47</v>
      </c>
      <c r="D21" s="325"/>
      <c r="E21" s="325"/>
      <c r="F21" s="325"/>
      <c r="G21" s="325"/>
      <c r="H21" s="326"/>
      <c r="I21" s="101"/>
      <c r="J21" s="102"/>
      <c r="Q21" s="71"/>
      <c r="R21" s="71">
        <f>R20/8</f>
        <v>85.664999999999992</v>
      </c>
      <c r="S21" s="71"/>
      <c r="T21" s="80"/>
      <c r="U21" s="80">
        <f>U20/8</f>
        <v>45.733750000000001</v>
      </c>
      <c r="V21" s="80"/>
      <c r="W21" s="88"/>
      <c r="X21" s="88">
        <f>X20/8</f>
        <v>50.94</v>
      </c>
      <c r="Y21" s="88"/>
      <c r="Z21" s="87"/>
      <c r="AA21" s="87">
        <f>AA20/8</f>
        <v>58.647499999999994</v>
      </c>
      <c r="AB21" s="87"/>
    </row>
    <row r="22" spans="1:36" ht="48" x14ac:dyDescent="0.4">
      <c r="A22" s="18" t="s">
        <v>46</v>
      </c>
      <c r="B22" s="19" t="s">
        <v>120</v>
      </c>
      <c r="C22" s="20" t="s">
        <v>48</v>
      </c>
      <c r="D22" s="20" t="s">
        <v>49</v>
      </c>
      <c r="E22" s="20" t="s">
        <v>50</v>
      </c>
      <c r="F22" s="20" t="s">
        <v>51</v>
      </c>
      <c r="G22" s="20" t="s">
        <v>52</v>
      </c>
      <c r="H22" s="20" t="s">
        <v>53</v>
      </c>
      <c r="I22" s="317" t="s">
        <v>54</v>
      </c>
      <c r="J22" s="318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36" x14ac:dyDescent="0.4">
      <c r="A23" s="104"/>
      <c r="B23" s="105"/>
      <c r="C23" s="20" t="s">
        <v>141</v>
      </c>
      <c r="D23" s="20" t="s">
        <v>142</v>
      </c>
      <c r="E23" s="162" t="s">
        <v>142</v>
      </c>
      <c r="F23" s="20" t="s">
        <v>142</v>
      </c>
      <c r="G23" s="162" t="s">
        <v>142</v>
      </c>
      <c r="H23" s="162" t="s">
        <v>142</v>
      </c>
      <c r="I23" s="319"/>
      <c r="J23" s="320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36" ht="25" thickBot="1" x14ac:dyDescent="0.45">
      <c r="A24" s="106"/>
      <c r="B24" s="107"/>
      <c r="C24" s="108"/>
      <c r="D24" s="21"/>
      <c r="E24" s="21"/>
      <c r="F24" s="21"/>
      <c r="G24" s="21"/>
      <c r="H24" s="21"/>
      <c r="I24" s="319"/>
      <c r="J24" s="320"/>
      <c r="K24"/>
      <c r="L24" s="31" t="s">
        <v>44</v>
      </c>
      <c r="M24" s="34"/>
      <c r="N24"/>
      <c r="O24"/>
      <c r="P24" s="76"/>
      <c r="Q24" s="116" t="s">
        <v>42</v>
      </c>
      <c r="R24" s="116" t="s">
        <v>43</v>
      </c>
      <c r="S24" s="116" t="s">
        <v>44</v>
      </c>
      <c r="T24" s="117" t="s">
        <v>45</v>
      </c>
      <c r="U24"/>
      <c r="V24"/>
      <c r="W24"/>
      <c r="X24"/>
      <c r="Y24"/>
    </row>
    <row r="25" spans="1:36" x14ac:dyDescent="0.4">
      <c r="A25" s="333" t="s">
        <v>121</v>
      </c>
      <c r="B25" s="38" t="s">
        <v>125</v>
      </c>
      <c r="C25" s="163">
        <f>5400/3600</f>
        <v>1.5</v>
      </c>
      <c r="D25" s="163"/>
      <c r="E25" s="163">
        <f>900/3600</f>
        <v>0.25</v>
      </c>
      <c r="F25" s="163">
        <f>4320/3600</f>
        <v>1.2</v>
      </c>
      <c r="G25" s="163"/>
      <c r="H25" s="163">
        <f>600/3600</f>
        <v>0.16666666666666666</v>
      </c>
      <c r="I25" s="319"/>
      <c r="J25" s="320"/>
      <c r="K25" s="198">
        <f>SUM(C25:J25)</f>
        <v>3.1166666666666667</v>
      </c>
      <c r="L25" s="32">
        <v>6</v>
      </c>
      <c r="M25" s="35"/>
      <c r="N25"/>
      <c r="O25"/>
      <c r="P25" s="72" t="s">
        <v>72</v>
      </c>
      <c r="Q25" s="81">
        <f>Q20/16</f>
        <v>67.30187500000001</v>
      </c>
      <c r="R25" s="81">
        <f>T20/16</f>
        <v>47.753124999999997</v>
      </c>
      <c r="S25" s="81">
        <f>W20/16</f>
        <v>50.673124999999999</v>
      </c>
      <c r="T25" s="82">
        <f>Z20/16</f>
        <v>54.117500000000007</v>
      </c>
      <c r="U25"/>
      <c r="V25"/>
      <c r="W25"/>
      <c r="X25"/>
      <c r="Y25"/>
    </row>
    <row r="26" spans="1:36" x14ac:dyDescent="0.4">
      <c r="A26" s="328"/>
      <c r="B26" s="38" t="s">
        <v>126</v>
      </c>
      <c r="C26" s="163">
        <f>7200/3600</f>
        <v>2</v>
      </c>
      <c r="D26" s="163"/>
      <c r="E26" s="163">
        <f>1000/3600</f>
        <v>0.27777777777777779</v>
      </c>
      <c r="F26" s="163">
        <f>4500/3600</f>
        <v>1.25</v>
      </c>
      <c r="G26" s="163"/>
      <c r="H26" s="163">
        <f t="shared" ref="H26:H40" si="19">600/3600</f>
        <v>0.16666666666666666</v>
      </c>
      <c r="I26" s="319"/>
      <c r="J26" s="320"/>
      <c r="K26" s="29">
        <f t="shared" ref="K26:K40" si="20">SUM(C26:J26)</f>
        <v>3.6944444444444442</v>
      </c>
      <c r="L26" s="32">
        <v>9</v>
      </c>
      <c r="M26" s="35"/>
      <c r="N26"/>
      <c r="O26"/>
      <c r="P26" s="74" t="s">
        <v>73</v>
      </c>
      <c r="Q26" s="83"/>
      <c r="R26" s="83"/>
      <c r="S26" s="83"/>
      <c r="T26" s="84"/>
      <c r="U26"/>
      <c r="V26"/>
      <c r="W26"/>
      <c r="X26"/>
      <c r="Y26"/>
    </row>
    <row r="27" spans="1:36" x14ac:dyDescent="0.4">
      <c r="A27" s="328"/>
      <c r="B27" s="38" t="s">
        <v>127</v>
      </c>
      <c r="C27" s="163">
        <f>9000/3600</f>
        <v>2.5</v>
      </c>
      <c r="D27" s="164"/>
      <c r="E27" s="163">
        <f>1200/3600</f>
        <v>0.33333333333333331</v>
      </c>
      <c r="F27" s="163">
        <f>4750/3600</f>
        <v>1.3194444444444444</v>
      </c>
      <c r="G27" s="163"/>
      <c r="H27" s="163">
        <f t="shared" si="19"/>
        <v>0.16666666666666666</v>
      </c>
      <c r="I27" s="319"/>
      <c r="J27" s="320"/>
      <c r="K27" s="29">
        <f t="shared" si="20"/>
        <v>4.3194444444444446</v>
      </c>
      <c r="L27" s="32">
        <v>12</v>
      </c>
      <c r="M27" s="35"/>
      <c r="N27"/>
      <c r="O27"/>
      <c r="P27" s="72" t="s">
        <v>74</v>
      </c>
      <c r="Q27" s="79">
        <f>(O20/Q20)*100%</f>
        <v>5.7366830351217661E-5</v>
      </c>
      <c r="R27" s="79">
        <f>(O20/T20)*100%</f>
        <v>8.0851153624895915E-5</v>
      </c>
      <c r="S27" s="79">
        <f>(O20/W20)*100%</f>
        <v>7.6192167849207195E-5</v>
      </c>
      <c r="T27" s="89">
        <f>(O20/Z20)*100%</f>
        <v>7.1342823401743553E-5</v>
      </c>
      <c r="U27"/>
      <c r="V27"/>
      <c r="W27"/>
      <c r="X27"/>
      <c r="Y27"/>
    </row>
    <row r="28" spans="1:36" ht="25" thickBot="1" x14ac:dyDescent="0.45">
      <c r="A28" s="329"/>
      <c r="B28" s="38" t="s">
        <v>128</v>
      </c>
      <c r="C28" s="163">
        <f>10800/3600</f>
        <v>3</v>
      </c>
      <c r="D28" s="164"/>
      <c r="E28" s="163">
        <f>1500/3600</f>
        <v>0.41666666666666669</v>
      </c>
      <c r="F28" s="163">
        <f>4900/3600</f>
        <v>1.3611111111111112</v>
      </c>
      <c r="G28" s="163"/>
      <c r="H28" s="165">
        <f t="shared" si="19"/>
        <v>0.16666666666666666</v>
      </c>
      <c r="I28" s="319"/>
      <c r="J28" s="320"/>
      <c r="K28" s="29">
        <f t="shared" si="20"/>
        <v>4.9444444444444446</v>
      </c>
      <c r="L28" s="32">
        <v>13</v>
      </c>
      <c r="M28" s="35"/>
      <c r="N28"/>
      <c r="O28"/>
      <c r="P28" s="74" t="s">
        <v>75</v>
      </c>
      <c r="Q28" s="83"/>
      <c r="R28" s="83"/>
      <c r="S28" s="83"/>
      <c r="T28" s="84"/>
      <c r="U28"/>
      <c r="V28"/>
      <c r="W28"/>
      <c r="X28"/>
      <c r="Y28"/>
    </row>
    <row r="29" spans="1:36" x14ac:dyDescent="0.4">
      <c r="A29" s="327" t="s">
        <v>122</v>
      </c>
      <c r="B29" s="44" t="s">
        <v>129</v>
      </c>
      <c r="C29" s="166">
        <f>5200/3600</f>
        <v>1.4444444444444444</v>
      </c>
      <c r="D29" s="167"/>
      <c r="E29" s="168"/>
      <c r="F29" s="168">
        <f>1800/3600</f>
        <v>0.5</v>
      </c>
      <c r="G29" s="168"/>
      <c r="H29" s="163">
        <f t="shared" si="19"/>
        <v>0.16666666666666666</v>
      </c>
      <c r="I29" s="321"/>
      <c r="J29" s="320"/>
      <c r="K29" s="29">
        <f t="shared" si="20"/>
        <v>2.1111111111111112</v>
      </c>
      <c r="L29" s="32">
        <v>1</v>
      </c>
      <c r="M29" s="35"/>
      <c r="N29"/>
      <c r="O29"/>
      <c r="P29" s="72" t="s">
        <v>76</v>
      </c>
      <c r="Q29" s="81">
        <f>Q20/O20</f>
        <v>17431.676002973974</v>
      </c>
      <c r="R29" s="81">
        <f>T20/O20</f>
        <v>12368.407315985127</v>
      </c>
      <c r="S29" s="81">
        <f>W20/O20</f>
        <v>13124.708591821558</v>
      </c>
      <c r="T29" s="82">
        <f>Z20/O20</f>
        <v>14016.826813382897</v>
      </c>
      <c r="U29"/>
      <c r="V29"/>
      <c r="W29"/>
      <c r="X29"/>
      <c r="Y29"/>
    </row>
    <row r="30" spans="1:36" x14ac:dyDescent="0.4">
      <c r="A30" s="328"/>
      <c r="B30" s="44" t="s">
        <v>130</v>
      </c>
      <c r="C30" s="169">
        <f>6000/3600</f>
        <v>1.6666666666666667</v>
      </c>
      <c r="D30" s="170"/>
      <c r="E30" s="163"/>
      <c r="F30" s="163">
        <f>2000/3600</f>
        <v>0.55555555555555558</v>
      </c>
      <c r="G30" s="163"/>
      <c r="H30" s="163">
        <f t="shared" si="19"/>
        <v>0.16666666666666666</v>
      </c>
      <c r="I30" s="321"/>
      <c r="J30" s="320"/>
      <c r="K30" s="29">
        <f t="shared" si="20"/>
        <v>2.3888888888888888</v>
      </c>
      <c r="L30" s="32">
        <v>2</v>
      </c>
      <c r="M30" s="35"/>
      <c r="N30"/>
      <c r="O30"/>
      <c r="P30" s="74" t="s">
        <v>77</v>
      </c>
      <c r="Q30" s="83"/>
      <c r="R30" s="83"/>
      <c r="S30" s="83"/>
      <c r="T30" s="84"/>
      <c r="U30"/>
      <c r="V30"/>
      <c r="W30"/>
      <c r="X30"/>
      <c r="Y30"/>
    </row>
    <row r="31" spans="1:36" x14ac:dyDescent="0.4">
      <c r="A31" s="328"/>
      <c r="B31" s="44" t="s">
        <v>131</v>
      </c>
      <c r="C31" s="169">
        <f>7500/3600</f>
        <v>2.0833333333333335</v>
      </c>
      <c r="D31" s="170"/>
      <c r="E31" s="164"/>
      <c r="F31" s="163">
        <f>2500/3600</f>
        <v>0.69444444444444442</v>
      </c>
      <c r="G31" s="164"/>
      <c r="H31" s="163">
        <f t="shared" si="19"/>
        <v>0.16666666666666666</v>
      </c>
      <c r="I31" s="321"/>
      <c r="J31" s="320"/>
      <c r="K31" s="29">
        <f t="shared" si="20"/>
        <v>2.9444444444444442</v>
      </c>
      <c r="L31" s="32">
        <v>4</v>
      </c>
      <c r="M31" s="35"/>
      <c r="N31"/>
      <c r="O31"/>
      <c r="P31" s="73" t="s">
        <v>83</v>
      </c>
      <c r="Q31" s="85">
        <f>R20/16</f>
        <v>42.832499999999996</v>
      </c>
      <c r="R31" s="85">
        <f>U20/16</f>
        <v>22.866875</v>
      </c>
      <c r="S31" s="85">
        <f>X20/16</f>
        <v>25.47</v>
      </c>
      <c r="T31" s="86">
        <f>AA20/16</f>
        <v>29.323749999999997</v>
      </c>
      <c r="U31"/>
      <c r="V31"/>
      <c r="W31"/>
      <c r="X31"/>
      <c r="Y31"/>
    </row>
    <row r="32" spans="1:36" ht="25" thickBot="1" x14ac:dyDescent="0.45">
      <c r="A32" s="329"/>
      <c r="B32" s="38" t="s">
        <v>132</v>
      </c>
      <c r="C32" s="171">
        <f>10000/3600</f>
        <v>2.7777777777777777</v>
      </c>
      <c r="D32" s="172"/>
      <c r="E32" s="173"/>
      <c r="F32" s="174">
        <f>3000/3600</f>
        <v>0.83333333333333337</v>
      </c>
      <c r="G32" s="175"/>
      <c r="H32" s="165">
        <f t="shared" si="19"/>
        <v>0.16666666666666666</v>
      </c>
      <c r="I32" s="321"/>
      <c r="J32" s="320"/>
      <c r="K32" s="29">
        <f t="shared" si="20"/>
        <v>3.7777777777777777</v>
      </c>
      <c r="L32" s="32">
        <v>10</v>
      </c>
      <c r="M32" s="35"/>
      <c r="N32"/>
      <c r="O32"/>
      <c r="P32" s="74" t="s">
        <v>78</v>
      </c>
      <c r="Q32" s="78"/>
      <c r="R32" s="78"/>
      <c r="S32" s="78"/>
      <c r="T32" s="75"/>
      <c r="U32"/>
      <c r="V32"/>
      <c r="W32"/>
      <c r="X32"/>
      <c r="Y32"/>
    </row>
    <row r="33" spans="1:25" x14ac:dyDescent="0.4">
      <c r="A33" s="330" t="s">
        <v>123</v>
      </c>
      <c r="B33" s="109" t="s">
        <v>133</v>
      </c>
      <c r="C33" s="163">
        <f>3600/3600</f>
        <v>1</v>
      </c>
      <c r="D33" s="163">
        <f>900/3600</f>
        <v>0.25</v>
      </c>
      <c r="E33" s="163">
        <f>900/3600</f>
        <v>0.25</v>
      </c>
      <c r="F33" s="163">
        <v>0</v>
      </c>
      <c r="G33" s="163">
        <f>3600/3600</f>
        <v>1</v>
      </c>
      <c r="H33" s="163">
        <f t="shared" si="19"/>
        <v>0.16666666666666666</v>
      </c>
      <c r="I33" s="319"/>
      <c r="J33" s="320"/>
      <c r="K33" s="29">
        <f t="shared" si="20"/>
        <v>2.6666666666666665</v>
      </c>
      <c r="L33" s="32">
        <v>3</v>
      </c>
      <c r="M33" s="35"/>
      <c r="N33"/>
      <c r="O33"/>
      <c r="P33" s="90" t="s">
        <v>84</v>
      </c>
      <c r="Q33" s="77">
        <v>119.73</v>
      </c>
      <c r="R33" s="77">
        <v>107.22</v>
      </c>
      <c r="S33" s="115">
        <v>112.47</v>
      </c>
      <c r="T33" s="77">
        <v>93.15</v>
      </c>
      <c r="U33"/>
      <c r="V33"/>
      <c r="W33"/>
      <c r="X33"/>
      <c r="Y33"/>
    </row>
    <row r="34" spans="1:25" x14ac:dyDescent="0.4">
      <c r="A34" s="331"/>
      <c r="B34" s="109" t="s">
        <v>134</v>
      </c>
      <c r="C34" s="163">
        <f>4000/3600</f>
        <v>1.1111111111111112</v>
      </c>
      <c r="D34" s="163">
        <f>900/3600</f>
        <v>0.25</v>
      </c>
      <c r="E34" s="163">
        <f>1200/3600</f>
        <v>0.33333333333333331</v>
      </c>
      <c r="F34" s="163">
        <v>0</v>
      </c>
      <c r="G34" s="163">
        <f>4200/3600</f>
        <v>1.1666666666666667</v>
      </c>
      <c r="H34" s="163">
        <f t="shared" si="19"/>
        <v>0.16666666666666666</v>
      </c>
      <c r="I34" s="319"/>
      <c r="J34" s="320"/>
      <c r="K34" s="29">
        <f t="shared" si="20"/>
        <v>3.0277777777777777</v>
      </c>
      <c r="L34" s="32">
        <v>5</v>
      </c>
      <c r="M34" s="35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4">
      <c r="A35" s="331"/>
      <c r="B35" s="109" t="s">
        <v>135</v>
      </c>
      <c r="C35" s="177">
        <f>4500/3600</f>
        <v>1.25</v>
      </c>
      <c r="D35" s="163">
        <f>900/3600</f>
        <v>0.25</v>
      </c>
      <c r="E35" s="177">
        <f>1500/3600</f>
        <v>0.41666666666666669</v>
      </c>
      <c r="F35" s="177">
        <v>0</v>
      </c>
      <c r="G35" s="177">
        <f>4800/3600</f>
        <v>1.3333333333333333</v>
      </c>
      <c r="H35" s="163">
        <f t="shared" si="19"/>
        <v>0.16666666666666666</v>
      </c>
      <c r="I35" s="319"/>
      <c r="J35" s="320"/>
      <c r="K35" s="29">
        <f t="shared" si="20"/>
        <v>3.4166666666666665</v>
      </c>
      <c r="L35" s="32">
        <v>8</v>
      </c>
      <c r="M35" s="35"/>
      <c r="N35"/>
      <c r="O35"/>
      <c r="P35"/>
      <c r="Q35"/>
      <c r="R35"/>
      <c r="S35"/>
      <c r="T35"/>
      <c r="U35"/>
      <c r="V35"/>
      <c r="W35"/>
      <c r="X35"/>
      <c r="Y35"/>
    </row>
    <row r="36" spans="1:25" ht="25" thickBot="1" x14ac:dyDescent="0.45">
      <c r="A36" s="332"/>
      <c r="B36" s="109" t="s">
        <v>136</v>
      </c>
      <c r="C36" s="178">
        <f>6000/3600</f>
        <v>1.6666666666666667</v>
      </c>
      <c r="D36" s="176">
        <f>900/3600</f>
        <v>0.25</v>
      </c>
      <c r="E36" s="178">
        <f>1800/3600</f>
        <v>0.5</v>
      </c>
      <c r="F36" s="178">
        <v>0</v>
      </c>
      <c r="G36" s="178">
        <f>5600/3600</f>
        <v>1.5555555555555556</v>
      </c>
      <c r="H36" s="165">
        <f t="shared" si="19"/>
        <v>0.16666666666666666</v>
      </c>
      <c r="I36" s="319"/>
      <c r="J36" s="320"/>
      <c r="K36" s="29">
        <f t="shared" si="20"/>
        <v>4.1388888888888893</v>
      </c>
      <c r="L36" s="32">
        <v>11</v>
      </c>
      <c r="M36" s="35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4">
      <c r="A37" s="330" t="s">
        <v>124</v>
      </c>
      <c r="B37" s="10" t="s">
        <v>137</v>
      </c>
      <c r="C37" s="163">
        <f>4200/3600</f>
        <v>1.1666666666666667</v>
      </c>
      <c r="D37" s="163">
        <f>900/3600</f>
        <v>0.25</v>
      </c>
      <c r="E37" s="163">
        <f>900/3600</f>
        <v>0.25</v>
      </c>
      <c r="F37" s="163">
        <f>1800/3600</f>
        <v>0.5</v>
      </c>
      <c r="G37" s="163">
        <f>3800/3600</f>
        <v>1.0555555555555556</v>
      </c>
      <c r="H37" s="163">
        <f t="shared" si="19"/>
        <v>0.16666666666666666</v>
      </c>
      <c r="I37" s="319"/>
      <c r="J37" s="320"/>
      <c r="K37" s="29">
        <f t="shared" si="20"/>
        <v>3.3888888888888888</v>
      </c>
      <c r="L37" s="32">
        <v>7</v>
      </c>
      <c r="M37" s="35"/>
      <c r="N37"/>
      <c r="O37"/>
      <c r="P37"/>
      <c r="Q37" s="160"/>
      <c r="R37" s="160"/>
      <c r="S37"/>
      <c r="T37"/>
      <c r="U37"/>
      <c r="V37"/>
      <c r="W37"/>
      <c r="X37"/>
      <c r="Y37"/>
    </row>
    <row r="38" spans="1:25" x14ac:dyDescent="0.4">
      <c r="A38" s="331"/>
      <c r="B38" s="10" t="s">
        <v>138</v>
      </c>
      <c r="C38" s="163">
        <f>4800/3600</f>
        <v>1.3333333333333333</v>
      </c>
      <c r="D38" s="163">
        <f>1500/3600</f>
        <v>0.41666666666666669</v>
      </c>
      <c r="E38" s="163">
        <f>1500/3600</f>
        <v>0.41666666666666669</v>
      </c>
      <c r="F38" s="163">
        <f>2000/3600</f>
        <v>0.55555555555555558</v>
      </c>
      <c r="G38" s="163">
        <f>7500/3600</f>
        <v>2.0833333333333335</v>
      </c>
      <c r="H38" s="163">
        <f t="shared" si="19"/>
        <v>0.16666666666666666</v>
      </c>
      <c r="I38" s="319"/>
      <c r="J38" s="320"/>
      <c r="K38" s="29">
        <f t="shared" si="20"/>
        <v>4.9722222222222223</v>
      </c>
      <c r="L38" s="32">
        <v>14</v>
      </c>
      <c r="M38" s="35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4">
      <c r="A39" s="331"/>
      <c r="B39" s="10" t="s">
        <v>139</v>
      </c>
      <c r="C39" s="163">
        <f>5500/3600</f>
        <v>1.5277777777777777</v>
      </c>
      <c r="D39" s="163">
        <f>2100/3600</f>
        <v>0.58333333333333337</v>
      </c>
      <c r="E39" s="163">
        <f>2100/3600</f>
        <v>0.58333333333333337</v>
      </c>
      <c r="F39" s="163">
        <f>2200/3600</f>
        <v>0.61111111111111116</v>
      </c>
      <c r="G39" s="163">
        <f>12500/3600</f>
        <v>3.4722222222222223</v>
      </c>
      <c r="H39" s="163">
        <f t="shared" si="19"/>
        <v>0.16666666666666666</v>
      </c>
      <c r="I39" s="319"/>
      <c r="J39" s="320"/>
      <c r="K39" s="29">
        <f t="shared" si="20"/>
        <v>6.9444444444444455</v>
      </c>
      <c r="L39" s="33">
        <v>15</v>
      </c>
      <c r="M39" s="36"/>
    </row>
    <row r="40" spans="1:25" x14ac:dyDescent="0.4">
      <c r="A40" s="331"/>
      <c r="B40" s="110" t="s">
        <v>140</v>
      </c>
      <c r="C40" s="177">
        <f>6500/3600</f>
        <v>1.8055555555555556</v>
      </c>
      <c r="D40" s="177">
        <f>2700/3600</f>
        <v>0.75</v>
      </c>
      <c r="E40" s="163">
        <f>2700/3600</f>
        <v>0.75</v>
      </c>
      <c r="F40" s="177">
        <f>2400/3600</f>
        <v>0.66666666666666663</v>
      </c>
      <c r="G40" s="163">
        <f>15000/3600</f>
        <v>4.166666666666667</v>
      </c>
      <c r="H40" s="163">
        <f t="shared" si="19"/>
        <v>0.16666666666666666</v>
      </c>
      <c r="I40" s="319"/>
      <c r="J40" s="320"/>
      <c r="K40" s="29">
        <f t="shared" si="20"/>
        <v>8.3055555555555554</v>
      </c>
      <c r="L40" s="33">
        <v>16</v>
      </c>
      <c r="M40" s="36"/>
    </row>
    <row r="41" spans="1:25" ht="25" thickBot="1" x14ac:dyDescent="0.45">
      <c r="A41" s="111"/>
      <c r="B41" s="112"/>
      <c r="C41" s="112"/>
      <c r="D41" s="112"/>
      <c r="E41" s="112"/>
      <c r="F41" s="112"/>
      <c r="G41" s="113"/>
      <c r="H41" s="114"/>
      <c r="I41" s="322"/>
      <c r="J41" s="323"/>
      <c r="K41"/>
    </row>
    <row r="42" spans="1:25" x14ac:dyDescent="0.4">
      <c r="G42" s="118" t="s">
        <v>85</v>
      </c>
      <c r="P42" s="1" t="s">
        <v>110</v>
      </c>
      <c r="R42" s="1" t="s">
        <v>111</v>
      </c>
    </row>
    <row r="43" spans="1:25" ht="27" x14ac:dyDescent="0.45">
      <c r="A43" s="151" t="s">
        <v>14</v>
      </c>
      <c r="B43" s="151" t="s">
        <v>15</v>
      </c>
      <c r="C43" s="151" t="s">
        <v>16</v>
      </c>
      <c r="D43" s="151" t="s">
        <v>30</v>
      </c>
      <c r="E43" s="151" t="s">
        <v>31</v>
      </c>
      <c r="F43" s="151" t="s">
        <v>17</v>
      </c>
      <c r="G43" s="151" t="s">
        <v>18</v>
      </c>
      <c r="H43" s="151" t="s">
        <v>19</v>
      </c>
      <c r="I43" s="151" t="s">
        <v>20</v>
      </c>
      <c r="J43" s="151" t="s">
        <v>21</v>
      </c>
      <c r="K43" s="151" t="s">
        <v>22</v>
      </c>
      <c r="L43" s="152" t="s">
        <v>23</v>
      </c>
      <c r="M43" s="151" t="s">
        <v>14</v>
      </c>
      <c r="N43" s="151" t="s">
        <v>15</v>
      </c>
      <c r="O43" s="151" t="s">
        <v>16</v>
      </c>
      <c r="P43" s="151" t="s">
        <v>18</v>
      </c>
      <c r="Q43" s="151" t="s">
        <v>19</v>
      </c>
      <c r="R43" s="151" t="s">
        <v>20</v>
      </c>
      <c r="S43" s="151" t="s">
        <v>21</v>
      </c>
      <c r="T43" s="151" t="s">
        <v>22</v>
      </c>
      <c r="U43" s="151" t="s">
        <v>23</v>
      </c>
      <c r="V43" s="153"/>
    </row>
    <row r="44" spans="1:25" ht="26" x14ac:dyDescent="0.4">
      <c r="A44" s="122">
        <v>1</v>
      </c>
      <c r="B44" s="123" t="s">
        <v>87</v>
      </c>
      <c r="C44" s="122" t="s">
        <v>88</v>
      </c>
      <c r="D44" s="122">
        <v>10</v>
      </c>
      <c r="E44" s="124">
        <f t="shared" ref="E44:E59" si="21">D44/(1-0.02)</f>
        <v>10.204081632653061</v>
      </c>
      <c r="F44" s="125">
        <v>42738</v>
      </c>
      <c r="G44" s="124">
        <v>5</v>
      </c>
      <c r="H44" s="124">
        <v>0</v>
      </c>
      <c r="I44" s="124">
        <v>1.25</v>
      </c>
      <c r="J44" s="124">
        <v>6.25</v>
      </c>
      <c r="K44" s="124">
        <v>0</v>
      </c>
      <c r="L44" s="126">
        <v>0.84</v>
      </c>
      <c r="M44" s="122">
        <v>1</v>
      </c>
      <c r="N44" s="123" t="s">
        <v>87</v>
      </c>
      <c r="O44" s="122" t="s">
        <v>88</v>
      </c>
      <c r="P44" s="161">
        <f>(1/G44)/(1/G4)</f>
        <v>2.834467120181406E-4</v>
      </c>
      <c r="Q44" s="127">
        <v>0</v>
      </c>
      <c r="R44" s="127">
        <f>(1/I44)/(1/I4)</f>
        <v>2.834467120181406E-4</v>
      </c>
      <c r="S44" s="127">
        <f>(1/J44)/(1/J4)</f>
        <v>2.7210884353741496E-4</v>
      </c>
      <c r="T44" s="127">
        <v>0</v>
      </c>
      <c r="U44" s="127">
        <f>(1/L44)/(1/L4)</f>
        <v>2.8119713493863152E-4</v>
      </c>
      <c r="V44" s="154"/>
      <c r="W44" s="154"/>
      <c r="X44" s="155"/>
      <c r="Y44" s="154"/>
    </row>
    <row r="45" spans="1:25" ht="26" x14ac:dyDescent="0.4">
      <c r="A45" s="122">
        <v>2</v>
      </c>
      <c r="B45" s="128"/>
      <c r="C45" s="122" t="s">
        <v>89</v>
      </c>
      <c r="D45" s="122">
        <v>8</v>
      </c>
      <c r="E45" s="124">
        <f t="shared" si="21"/>
        <v>8.1632653061224492</v>
      </c>
      <c r="F45" s="125">
        <v>42738</v>
      </c>
      <c r="G45" s="124">
        <v>4.45</v>
      </c>
      <c r="H45" s="124">
        <v>0</v>
      </c>
      <c r="I45" s="124">
        <v>1.1000000000000001</v>
      </c>
      <c r="J45" s="124">
        <v>4.9000000000000004</v>
      </c>
      <c r="K45" s="124">
        <v>0</v>
      </c>
      <c r="L45" s="126">
        <v>0.7</v>
      </c>
      <c r="M45" s="122">
        <v>2</v>
      </c>
      <c r="N45" s="128"/>
      <c r="O45" s="122" t="s">
        <v>89</v>
      </c>
      <c r="P45" s="127">
        <f t="shared" ref="P45:P59" si="22">(1/G45)/(1/G5)</f>
        <v>3.3971141515282767E-4</v>
      </c>
      <c r="Q45" s="127">
        <v>0</v>
      </c>
      <c r="R45" s="127">
        <f t="shared" ref="R45:R59" si="23">(1/I45)/(1/I5)</f>
        <v>2.8630981011933392E-4</v>
      </c>
      <c r="S45" s="127">
        <f t="shared" ref="S45:S59" si="24">(1/J45)/(1/J5)</f>
        <v>2.8923133879402098E-4</v>
      </c>
      <c r="T45" s="127">
        <v>0</v>
      </c>
      <c r="U45" s="127">
        <f t="shared" ref="U45:U59" si="25">(1/L45)/(1/L5)</f>
        <v>2.6994924954108627E-4</v>
      </c>
      <c r="V45" s="154"/>
      <c r="W45" s="154"/>
      <c r="X45" s="155"/>
      <c r="Y45" s="154"/>
    </row>
    <row r="46" spans="1:25" ht="26" x14ac:dyDescent="0.4">
      <c r="A46" s="122">
        <v>3</v>
      </c>
      <c r="B46" s="128"/>
      <c r="C46" s="122" t="s">
        <v>90</v>
      </c>
      <c r="D46" s="122">
        <v>12</v>
      </c>
      <c r="E46" s="124">
        <f t="shared" si="21"/>
        <v>12.244897959183673</v>
      </c>
      <c r="F46" s="125">
        <v>42740</v>
      </c>
      <c r="G46" s="124">
        <v>10.25</v>
      </c>
      <c r="H46" s="124">
        <v>0</v>
      </c>
      <c r="I46" s="124">
        <v>2.0499999999999998</v>
      </c>
      <c r="J46" s="124">
        <v>8.1</v>
      </c>
      <c r="K46" s="124">
        <v>0</v>
      </c>
      <c r="L46" s="126">
        <v>1</v>
      </c>
      <c r="M46" s="122">
        <v>3</v>
      </c>
      <c r="N46" s="128"/>
      <c r="O46" s="122" t="s">
        <v>90</v>
      </c>
      <c r="P46" s="127">
        <f t="shared" si="22"/>
        <v>2.7653337757867376E-4</v>
      </c>
      <c r="Q46" s="127">
        <v>0</v>
      </c>
      <c r="R46" s="127">
        <f>(1/I46)/(1/I6)</f>
        <v>2.7653337757867376E-4</v>
      </c>
      <c r="S46" s="127">
        <f t="shared" si="24"/>
        <v>2.7703125145805919E-4</v>
      </c>
      <c r="T46" s="127">
        <v>0</v>
      </c>
      <c r="U46" s="127">
        <f t="shared" si="25"/>
        <v>2.8344671201814054E-4</v>
      </c>
      <c r="V46" s="154"/>
      <c r="W46" s="154"/>
      <c r="X46" s="155"/>
      <c r="Y46" s="154"/>
    </row>
    <row r="47" spans="1:25" ht="26" x14ac:dyDescent="0.4">
      <c r="A47" s="122">
        <v>4</v>
      </c>
      <c r="B47" s="128"/>
      <c r="C47" s="122" t="s">
        <v>91</v>
      </c>
      <c r="D47" s="122">
        <v>5</v>
      </c>
      <c r="E47" s="124">
        <f t="shared" si="21"/>
        <v>5.1020408163265305</v>
      </c>
      <c r="F47" s="125">
        <v>42738</v>
      </c>
      <c r="G47" s="124">
        <v>5.1100000000000003</v>
      </c>
      <c r="H47" s="124">
        <v>0</v>
      </c>
      <c r="I47" s="124">
        <v>1.1299999999999999</v>
      </c>
      <c r="J47" s="124">
        <v>3.45</v>
      </c>
      <c r="K47" s="124">
        <v>0</v>
      </c>
      <c r="L47" s="126">
        <v>0.45</v>
      </c>
      <c r="M47" s="122">
        <v>4</v>
      </c>
      <c r="N47" s="128"/>
      <c r="O47" s="122" t="s">
        <v>91</v>
      </c>
      <c r="P47" s="127">
        <f t="shared" si="22"/>
        <v>2.7734511939152696E-4</v>
      </c>
      <c r="Q47" s="127">
        <v>0</v>
      </c>
      <c r="R47" s="127">
        <f t="shared" si="23"/>
        <v>2.6128937317306477E-4</v>
      </c>
      <c r="S47" s="127">
        <f t="shared" si="24"/>
        <v>2.7956700662014675E-4</v>
      </c>
      <c r="T47" s="127">
        <v>0</v>
      </c>
      <c r="U47" s="127">
        <f t="shared" si="25"/>
        <v>2.6245065927605607E-4</v>
      </c>
      <c r="V47" s="154"/>
      <c r="W47" s="154"/>
      <c r="X47" s="155"/>
      <c r="Y47" s="154"/>
    </row>
    <row r="48" spans="1:25" ht="26" x14ac:dyDescent="0.4">
      <c r="A48" s="136">
        <v>5</v>
      </c>
      <c r="B48" s="137" t="s">
        <v>93</v>
      </c>
      <c r="C48" s="138" t="s">
        <v>94</v>
      </c>
      <c r="D48" s="136">
        <v>20</v>
      </c>
      <c r="E48" s="139">
        <f t="shared" si="21"/>
        <v>20.408163265306122</v>
      </c>
      <c r="F48" s="140">
        <v>42739</v>
      </c>
      <c r="G48" s="139">
        <v>9.8000000000000007</v>
      </c>
      <c r="H48" s="139">
        <v>0</v>
      </c>
      <c r="I48" s="139">
        <v>0</v>
      </c>
      <c r="J48" s="139">
        <v>5.15</v>
      </c>
      <c r="K48" s="139">
        <v>0</v>
      </c>
      <c r="L48" s="141">
        <v>1.72</v>
      </c>
      <c r="M48" s="136">
        <v>5</v>
      </c>
      <c r="N48" s="137" t="s">
        <v>93</v>
      </c>
      <c r="O48" s="138" t="s">
        <v>94</v>
      </c>
      <c r="P48" s="127">
        <f t="shared" si="22"/>
        <v>2.7851906698683499E-4</v>
      </c>
      <c r="Q48" s="142">
        <v>0</v>
      </c>
      <c r="R48" s="142">
        <v>0</v>
      </c>
      <c r="S48" s="142">
        <f t="shared" si="24"/>
        <v>2.7519098254188403E-4</v>
      </c>
      <c r="T48" s="142">
        <v>0</v>
      </c>
      <c r="U48" s="127">
        <f t="shared" si="25"/>
        <v>2.7465766668424474E-4</v>
      </c>
      <c r="V48" s="154"/>
      <c r="W48" s="154"/>
      <c r="X48" s="156"/>
      <c r="Y48" s="154"/>
    </row>
    <row r="49" spans="1:25" ht="26" x14ac:dyDescent="0.4">
      <c r="A49" s="136">
        <v>6</v>
      </c>
      <c r="B49" s="143"/>
      <c r="C49" s="138" t="s">
        <v>95</v>
      </c>
      <c r="D49" s="136">
        <v>5</v>
      </c>
      <c r="E49" s="139">
        <f t="shared" si="21"/>
        <v>5.1020408163265305</v>
      </c>
      <c r="F49" s="140">
        <v>42736</v>
      </c>
      <c r="G49" s="139">
        <v>2.88</v>
      </c>
      <c r="H49" s="139">
        <v>0</v>
      </c>
      <c r="I49" s="139">
        <v>0</v>
      </c>
      <c r="J49" s="139">
        <v>1.44</v>
      </c>
      <c r="K49" s="139">
        <v>0</v>
      </c>
      <c r="L49" s="141">
        <v>0.41</v>
      </c>
      <c r="M49" s="136">
        <v>6</v>
      </c>
      <c r="N49" s="143"/>
      <c r="O49" s="138" t="s">
        <v>95</v>
      </c>
      <c r="P49" s="127">
        <f t="shared" si="22"/>
        <v>2.7338610341255844E-4</v>
      </c>
      <c r="Q49" s="142">
        <v>0</v>
      </c>
      <c r="R49" s="142">
        <v>0</v>
      </c>
      <c r="S49" s="142">
        <f t="shared" si="24"/>
        <v>2.7338610341255844E-4</v>
      </c>
      <c r="T49" s="142">
        <v>0</v>
      </c>
      <c r="U49" s="127">
        <f t="shared" si="25"/>
        <v>2.8805560164445177E-4</v>
      </c>
      <c r="V49" s="154"/>
      <c r="W49" s="154"/>
      <c r="X49" s="156"/>
      <c r="Y49" s="154"/>
    </row>
    <row r="50" spans="1:25" ht="26" x14ac:dyDescent="0.4">
      <c r="A50" s="136">
        <v>7</v>
      </c>
      <c r="B50" s="143"/>
      <c r="C50" s="138" t="s">
        <v>96</v>
      </c>
      <c r="D50" s="136">
        <v>23</v>
      </c>
      <c r="E50" s="139">
        <f t="shared" si="21"/>
        <v>23.469387755102041</v>
      </c>
      <c r="F50" s="140">
        <v>42741</v>
      </c>
      <c r="G50" s="139">
        <v>16.3</v>
      </c>
      <c r="H50" s="139">
        <v>0</v>
      </c>
      <c r="I50" s="139">
        <v>0</v>
      </c>
      <c r="J50" s="139">
        <v>8.15</v>
      </c>
      <c r="K50" s="139">
        <v>0</v>
      </c>
      <c r="L50" s="141">
        <v>1.95</v>
      </c>
      <c r="M50" s="136">
        <v>7</v>
      </c>
      <c r="N50" s="143"/>
      <c r="O50" s="138" t="s">
        <v>96</v>
      </c>
      <c r="P50" s="127">
        <f t="shared" si="22"/>
        <v>2.7774686334429253E-4</v>
      </c>
      <c r="Q50" s="142">
        <v>0</v>
      </c>
      <c r="R50" s="142">
        <v>0</v>
      </c>
      <c r="S50" s="142">
        <f t="shared" si="24"/>
        <v>2.7774686334429248E-4</v>
      </c>
      <c r="T50" s="142">
        <v>0</v>
      </c>
      <c r="U50" s="127">
        <f t="shared" si="25"/>
        <v>2.7860146907765959E-4</v>
      </c>
      <c r="V50" s="154"/>
      <c r="W50" s="154"/>
      <c r="X50" s="156"/>
      <c r="Y50" s="154"/>
    </row>
    <row r="51" spans="1:25" ht="26" x14ac:dyDescent="0.4">
      <c r="A51" s="136">
        <v>8</v>
      </c>
      <c r="B51" s="143"/>
      <c r="C51" s="136" t="s">
        <v>97</v>
      </c>
      <c r="D51" s="136">
        <v>9</v>
      </c>
      <c r="E51" s="139">
        <f t="shared" si="21"/>
        <v>9.183673469387756</v>
      </c>
      <c r="F51" s="140">
        <v>42738</v>
      </c>
      <c r="G51" s="139">
        <v>8.5</v>
      </c>
      <c r="H51" s="139">
        <v>0</v>
      </c>
      <c r="I51" s="139">
        <v>0</v>
      </c>
      <c r="J51" s="139">
        <v>3.85</v>
      </c>
      <c r="K51" s="139">
        <v>0</v>
      </c>
      <c r="L51" s="141">
        <v>0.77</v>
      </c>
      <c r="M51" s="136">
        <v>8</v>
      </c>
      <c r="N51" s="143"/>
      <c r="O51" s="136" t="s">
        <v>97</v>
      </c>
      <c r="P51" s="127">
        <f t="shared" si="22"/>
        <v>2.7788893335111824E-4</v>
      </c>
      <c r="Q51" s="142">
        <v>0</v>
      </c>
      <c r="R51" s="142">
        <v>0</v>
      </c>
      <c r="S51" s="142">
        <f>(1/J51)/(1/J11)</f>
        <v>2.7608445975792911E-4</v>
      </c>
      <c r="T51" s="142">
        <v>0</v>
      </c>
      <c r="U51" s="127">
        <f t="shared" si="25"/>
        <v>2.7608445975792916E-4</v>
      </c>
      <c r="V51" s="154"/>
      <c r="W51" s="154"/>
      <c r="X51" s="156"/>
      <c r="Y51" s="154"/>
    </row>
    <row r="52" spans="1:25" ht="26" x14ac:dyDescent="0.4">
      <c r="A52" s="129">
        <v>9</v>
      </c>
      <c r="B52" s="130" t="s">
        <v>56</v>
      </c>
      <c r="C52" s="150" t="s">
        <v>112</v>
      </c>
      <c r="D52" s="129">
        <v>6</v>
      </c>
      <c r="E52" s="131">
        <f t="shared" si="21"/>
        <v>6.1224489795918364</v>
      </c>
      <c r="F52" s="132">
        <v>42737</v>
      </c>
      <c r="G52" s="131">
        <v>2.0499999999999998</v>
      </c>
      <c r="H52" s="131">
        <v>0.75</v>
      </c>
      <c r="I52" s="131">
        <v>0.75</v>
      </c>
      <c r="J52" s="131">
        <v>0</v>
      </c>
      <c r="K52" s="131">
        <v>3.1</v>
      </c>
      <c r="L52" s="133">
        <v>1</v>
      </c>
      <c r="M52" s="129">
        <v>9</v>
      </c>
      <c r="N52" s="130" t="s">
        <v>56</v>
      </c>
      <c r="O52" s="150" t="s">
        <v>112</v>
      </c>
      <c r="P52" s="127">
        <f>(1/G52)/(1/G12)</f>
        <v>2.7653337757867376E-4</v>
      </c>
      <c r="Q52" s="134">
        <f>(1/H52)/(1/H12)</f>
        <v>2.834467120181406E-4</v>
      </c>
      <c r="R52" s="134">
        <f>(S521/I52)/(1/I12)</f>
        <v>0</v>
      </c>
      <c r="S52" s="134">
        <v>0</v>
      </c>
      <c r="T52" s="134">
        <f t="shared" ref="T52:T59" si="26">(1/K52)/(1/K12)</f>
        <v>2.7430326969497473E-4</v>
      </c>
      <c r="U52" s="127">
        <f t="shared" si="25"/>
        <v>1.4172335600907027E-4</v>
      </c>
      <c r="V52" s="154"/>
      <c r="W52" s="154"/>
      <c r="X52" s="157"/>
      <c r="Y52" s="154"/>
    </row>
    <row r="53" spans="1:25" ht="26" x14ac:dyDescent="0.4">
      <c r="A53" s="129">
        <v>10</v>
      </c>
      <c r="B53" s="135"/>
      <c r="C53" s="150" t="s">
        <v>113</v>
      </c>
      <c r="D53" s="129">
        <v>12</v>
      </c>
      <c r="E53" s="131">
        <f t="shared" si="21"/>
        <v>12.244897959183673</v>
      </c>
      <c r="F53" s="132">
        <v>42739</v>
      </c>
      <c r="G53" s="131">
        <v>5</v>
      </c>
      <c r="H53" s="131">
        <v>2</v>
      </c>
      <c r="I53" s="131">
        <v>2.1</v>
      </c>
      <c r="J53" s="131">
        <v>0</v>
      </c>
      <c r="K53" s="131">
        <v>7.2</v>
      </c>
      <c r="L53" s="133">
        <v>1.1200000000000001</v>
      </c>
      <c r="M53" s="129">
        <v>10</v>
      </c>
      <c r="N53" s="135"/>
      <c r="O53" s="150" t="s">
        <v>113</v>
      </c>
      <c r="P53" s="127">
        <f t="shared" si="22"/>
        <v>2.5195263290501383E-4</v>
      </c>
      <c r="Q53" s="134">
        <f t="shared" ref="Q53:Q59" si="27">(1/H53)/(1/H13)</f>
        <v>2.1258503401360543E-4</v>
      </c>
      <c r="R53" s="134">
        <f t="shared" si="23"/>
        <v>2.6994924954108621E-4</v>
      </c>
      <c r="S53" s="134">
        <v>0</v>
      </c>
      <c r="T53" s="134">
        <f>(1/K53)/(1/K13)</f>
        <v>2.7557319223985895E-4</v>
      </c>
      <c r="U53" s="127">
        <f t="shared" si="25"/>
        <v>2.5307742144476834E-4</v>
      </c>
      <c r="V53" s="154"/>
      <c r="W53" s="154"/>
      <c r="X53" s="157"/>
      <c r="Y53" s="154"/>
    </row>
    <row r="54" spans="1:25" ht="26" x14ac:dyDescent="0.4">
      <c r="A54" s="129">
        <v>11</v>
      </c>
      <c r="B54" s="135"/>
      <c r="C54" s="150" t="s">
        <v>114</v>
      </c>
      <c r="D54" s="129">
        <v>13</v>
      </c>
      <c r="E54" s="131">
        <f t="shared" si="21"/>
        <v>13.26530612244898</v>
      </c>
      <c r="F54" s="132">
        <v>42739</v>
      </c>
      <c r="G54" s="131">
        <v>5.55</v>
      </c>
      <c r="H54" s="131">
        <v>1.68</v>
      </c>
      <c r="I54" s="131">
        <v>2.75</v>
      </c>
      <c r="J54" s="131">
        <v>0</v>
      </c>
      <c r="K54" s="131">
        <v>8.85</v>
      </c>
      <c r="L54" s="133">
        <v>1.1299999999999999</v>
      </c>
      <c r="M54" s="129">
        <v>11</v>
      </c>
      <c r="N54" s="135"/>
      <c r="O54" s="150" t="s">
        <v>114</v>
      </c>
      <c r="P54" s="127">
        <f t="shared" si="22"/>
        <v>2.7663718139908617E-4</v>
      </c>
      <c r="Q54" s="134">
        <f t="shared" si="27"/>
        <v>2.7416720656516576E-4</v>
      </c>
      <c r="R54" s="134">
        <f t="shared" si="23"/>
        <v>2.7915206486635053E-4</v>
      </c>
      <c r="S54" s="134">
        <v>0</v>
      </c>
      <c r="T54" s="134">
        <f t="shared" si="26"/>
        <v>2.7757493455637125E-4</v>
      </c>
      <c r="U54" s="127">
        <f t="shared" si="25"/>
        <v>2.7174094809998732E-4</v>
      </c>
      <c r="V54" s="154"/>
      <c r="W54" s="154"/>
      <c r="X54" s="157"/>
      <c r="Y54" s="154"/>
    </row>
    <row r="55" spans="1:25" ht="26" x14ac:dyDescent="0.4">
      <c r="A55" s="129">
        <v>12</v>
      </c>
      <c r="B55" s="135"/>
      <c r="C55" s="150" t="s">
        <v>115</v>
      </c>
      <c r="D55" s="129">
        <v>5</v>
      </c>
      <c r="E55" s="131">
        <f t="shared" si="21"/>
        <v>5.1020408163265305</v>
      </c>
      <c r="F55" s="132">
        <v>42736</v>
      </c>
      <c r="G55" s="131">
        <v>2.85</v>
      </c>
      <c r="H55" s="131">
        <v>0.68</v>
      </c>
      <c r="I55" s="131">
        <v>1.3</v>
      </c>
      <c r="J55" s="131">
        <v>0</v>
      </c>
      <c r="K55" s="131">
        <v>4</v>
      </c>
      <c r="L55" s="133">
        <v>0.5</v>
      </c>
      <c r="M55" s="129">
        <v>12</v>
      </c>
      <c r="N55" s="129"/>
      <c r="O55" s="150" t="s">
        <v>115</v>
      </c>
      <c r="P55" s="127">
        <f t="shared" si="22"/>
        <v>2.7626385186953271E-4</v>
      </c>
      <c r="Q55" s="134">
        <f t="shared" si="27"/>
        <v>2.605208750166733E-4</v>
      </c>
      <c r="R55" s="134">
        <f t="shared" si="23"/>
        <v>2.7254491540205824E-4</v>
      </c>
      <c r="S55" s="134">
        <v>0</v>
      </c>
      <c r="T55" s="134">
        <f t="shared" si="26"/>
        <v>2.7557319223985889E-4</v>
      </c>
      <c r="U55" s="127">
        <f t="shared" si="25"/>
        <v>2.3620559334845047E-4</v>
      </c>
      <c r="V55" s="154"/>
      <c r="W55" s="154"/>
      <c r="X55" s="157"/>
      <c r="Y55" s="154"/>
    </row>
    <row r="56" spans="1:25" ht="26" x14ac:dyDescent="0.4">
      <c r="A56" s="144">
        <v>13</v>
      </c>
      <c r="B56" s="145" t="s">
        <v>57</v>
      </c>
      <c r="C56" s="144" t="s">
        <v>61</v>
      </c>
      <c r="D56" s="144">
        <v>2</v>
      </c>
      <c r="E56" s="146">
        <f t="shared" si="21"/>
        <v>2.0408163265306123</v>
      </c>
      <c r="F56" s="147">
        <v>42739</v>
      </c>
      <c r="G56" s="146">
        <v>0.82</v>
      </c>
      <c r="H56" s="146">
        <v>0.35</v>
      </c>
      <c r="I56" s="146">
        <v>0.3</v>
      </c>
      <c r="J56" s="146">
        <v>0.5</v>
      </c>
      <c r="K56" s="146">
        <v>1.1000000000000001</v>
      </c>
      <c r="L56" s="148">
        <v>0.2</v>
      </c>
      <c r="M56" s="144">
        <v>13</v>
      </c>
      <c r="N56" s="145" t="s">
        <v>57</v>
      </c>
      <c r="O56" s="144" t="s">
        <v>61</v>
      </c>
      <c r="P56" s="127">
        <f t="shared" si="22"/>
        <v>2.6885189486815507E-4</v>
      </c>
      <c r="Q56" s="149">
        <f t="shared" si="27"/>
        <v>2.024619371558147E-4</v>
      </c>
      <c r="R56" s="149">
        <f t="shared" si="23"/>
        <v>2.362055933484505E-4</v>
      </c>
      <c r="S56" s="149">
        <f t="shared" si="24"/>
        <v>2.834467120181406E-4</v>
      </c>
      <c r="T56" s="149">
        <f t="shared" si="26"/>
        <v>2.7199431961336725E-4</v>
      </c>
      <c r="U56" s="127">
        <f t="shared" si="25"/>
        <v>2.362055933484505E-4</v>
      </c>
      <c r="V56" s="154"/>
      <c r="W56" s="14"/>
      <c r="X56" s="158"/>
      <c r="Y56" s="154"/>
    </row>
    <row r="57" spans="1:25" ht="26" x14ac:dyDescent="0.4">
      <c r="A57" s="144">
        <v>14</v>
      </c>
      <c r="B57" s="144"/>
      <c r="C57" s="144" t="s">
        <v>58</v>
      </c>
      <c r="D57" s="144">
        <v>7</v>
      </c>
      <c r="E57" s="146">
        <f t="shared" si="21"/>
        <v>7.1428571428571432</v>
      </c>
      <c r="F57" s="147">
        <v>42739</v>
      </c>
      <c r="G57" s="146">
        <v>3.2</v>
      </c>
      <c r="H57" s="146">
        <v>1.5</v>
      </c>
      <c r="I57" s="146">
        <v>1.52</v>
      </c>
      <c r="J57" s="146">
        <v>2.02</v>
      </c>
      <c r="K57" s="146">
        <v>7.5</v>
      </c>
      <c r="L57" s="148">
        <v>0.65</v>
      </c>
      <c r="M57" s="144">
        <v>14</v>
      </c>
      <c r="N57" s="144"/>
      <c r="O57" s="144" t="s">
        <v>58</v>
      </c>
      <c r="P57" s="127">
        <f t="shared" si="22"/>
        <v>2.7557319223985889E-4</v>
      </c>
      <c r="Q57" s="149">
        <f t="shared" si="27"/>
        <v>2.7557319223985889E-4</v>
      </c>
      <c r="R57" s="149">
        <f t="shared" si="23"/>
        <v>2.7194722918407133E-4</v>
      </c>
      <c r="S57" s="149">
        <f t="shared" si="24"/>
        <v>2.7284474479193955E-4</v>
      </c>
      <c r="T57" s="149">
        <f t="shared" si="26"/>
        <v>2.7557319223985895E-4</v>
      </c>
      <c r="U57" s="127">
        <f t="shared" si="25"/>
        <v>2.5437525437525436E-4</v>
      </c>
      <c r="V57" s="154"/>
      <c r="W57" s="14"/>
      <c r="X57" s="158"/>
      <c r="Y57" s="154"/>
    </row>
    <row r="58" spans="1:25" ht="26" x14ac:dyDescent="0.4">
      <c r="A58" s="144">
        <v>15</v>
      </c>
      <c r="B58" s="144"/>
      <c r="C58" s="144" t="s">
        <v>59</v>
      </c>
      <c r="D58" s="144">
        <v>4</v>
      </c>
      <c r="E58" s="146">
        <f t="shared" si="21"/>
        <v>4.0816326530612246</v>
      </c>
      <c r="F58" s="147">
        <v>42738</v>
      </c>
      <c r="G58" s="146">
        <v>2.12</v>
      </c>
      <c r="H58" s="146">
        <v>1.24</v>
      </c>
      <c r="I58" s="146">
        <v>1.25</v>
      </c>
      <c r="J58" s="146">
        <v>1.28</v>
      </c>
      <c r="K58" s="146">
        <v>7.13</v>
      </c>
      <c r="L58" s="148">
        <v>0.4</v>
      </c>
      <c r="M58" s="144">
        <v>15</v>
      </c>
      <c r="N58" s="144"/>
      <c r="O58" s="144" t="s">
        <v>59</v>
      </c>
      <c r="P58" s="127">
        <f t="shared" si="22"/>
        <v>2.7235445773930348E-4</v>
      </c>
      <c r="Q58" s="149">
        <f t="shared" si="27"/>
        <v>2.6668373442566995E-4</v>
      </c>
      <c r="R58" s="149">
        <f t="shared" si="23"/>
        <v>2.6455026455026462E-4</v>
      </c>
      <c r="S58" s="149">
        <f t="shared" si="24"/>
        <v>2.7065224237843289E-4</v>
      </c>
      <c r="T58" s="149">
        <f t="shared" si="26"/>
        <v>2.7607011845307439E-4</v>
      </c>
      <c r="U58" s="127">
        <f t="shared" si="25"/>
        <v>2.362055933484505E-4</v>
      </c>
      <c r="V58" s="154"/>
      <c r="W58" s="14"/>
      <c r="X58" s="158"/>
      <c r="Y58" s="154"/>
    </row>
    <row r="59" spans="1:25" ht="26" x14ac:dyDescent="0.4">
      <c r="A59" s="144">
        <v>16</v>
      </c>
      <c r="B59" s="144"/>
      <c r="C59" s="144" t="s">
        <v>60</v>
      </c>
      <c r="D59" s="144">
        <v>5</v>
      </c>
      <c r="E59" s="146">
        <f t="shared" si="21"/>
        <v>5.1020408163265305</v>
      </c>
      <c r="F59" s="147">
        <v>42739</v>
      </c>
      <c r="G59" s="146">
        <v>3.12</v>
      </c>
      <c r="H59" s="146">
        <v>2.02</v>
      </c>
      <c r="I59" s="146">
        <v>2</v>
      </c>
      <c r="J59" s="146">
        <v>1.72</v>
      </c>
      <c r="K59" s="146">
        <v>10.65</v>
      </c>
      <c r="L59" s="148">
        <v>0.48</v>
      </c>
      <c r="M59" s="144">
        <v>16</v>
      </c>
      <c r="N59" s="144"/>
      <c r="O59" s="144" t="s">
        <v>60</v>
      </c>
      <c r="P59" s="127">
        <f t="shared" si="22"/>
        <v>2.7338610341255844E-4</v>
      </c>
      <c r="Q59" s="149">
        <f t="shared" si="27"/>
        <v>2.631002896207988E-4</v>
      </c>
      <c r="R59" s="149">
        <f t="shared" si="23"/>
        <v>2.6573129251700677E-4</v>
      </c>
      <c r="S59" s="149">
        <f t="shared" si="24"/>
        <v>2.7465766668424474E-4</v>
      </c>
      <c r="T59" s="149">
        <f t="shared" si="26"/>
        <v>2.7723661191132688E-4</v>
      </c>
      <c r="U59" s="127">
        <f t="shared" si="25"/>
        <v>2.4604749307130259E-4</v>
      </c>
      <c r="V59" s="154"/>
      <c r="W59" s="14"/>
      <c r="X59" s="158"/>
      <c r="Y59" s="154"/>
    </row>
    <row r="61" spans="1:25" x14ac:dyDescent="0.4">
      <c r="A61" s="10" t="s">
        <v>15</v>
      </c>
      <c r="B61" s="10" t="s">
        <v>16</v>
      </c>
      <c r="C61" s="4" t="s">
        <v>86</v>
      </c>
      <c r="D61" s="4" t="s">
        <v>102</v>
      </c>
    </row>
    <row r="62" spans="1:25" x14ac:dyDescent="0.4">
      <c r="A62" s="24" t="s">
        <v>87</v>
      </c>
      <c r="B62" s="38" t="s">
        <v>88</v>
      </c>
      <c r="C62" s="119" t="s">
        <v>92</v>
      </c>
      <c r="D62" s="119" t="s">
        <v>103</v>
      </c>
    </row>
    <row r="63" spans="1:25" ht="26" x14ac:dyDescent="0.4">
      <c r="A63" s="43"/>
      <c r="B63" s="38" t="s">
        <v>89</v>
      </c>
      <c r="C63" s="120"/>
      <c r="D63" s="120" t="s">
        <v>104</v>
      </c>
      <c r="U63" s="127"/>
    </row>
    <row r="64" spans="1:25" ht="26" x14ac:dyDescent="0.4">
      <c r="A64" s="43"/>
      <c r="B64" s="38" t="s">
        <v>90</v>
      </c>
      <c r="C64" s="120"/>
      <c r="D64" s="120"/>
      <c r="U64" s="127"/>
    </row>
    <row r="65" spans="1:21" ht="26" x14ac:dyDescent="0.4">
      <c r="A65" s="43"/>
      <c r="B65" s="38" t="s">
        <v>91</v>
      </c>
      <c r="C65" s="121"/>
      <c r="D65" s="121"/>
      <c r="F65" s="1" t="s">
        <v>116</v>
      </c>
      <c r="O65" s="153"/>
      <c r="U65" s="127"/>
    </row>
    <row r="66" spans="1:21" ht="27" x14ac:dyDescent="0.45">
      <c r="A66" s="24" t="s">
        <v>93</v>
      </c>
      <c r="B66" s="44" t="s">
        <v>94</v>
      </c>
      <c r="C66" s="119" t="s">
        <v>98</v>
      </c>
      <c r="D66" s="119" t="s">
        <v>105</v>
      </c>
      <c r="F66" s="151" t="s">
        <v>14</v>
      </c>
      <c r="G66" s="151" t="s">
        <v>18</v>
      </c>
      <c r="H66" s="151" t="s">
        <v>19</v>
      </c>
      <c r="I66" s="151" t="s">
        <v>20</v>
      </c>
      <c r="J66" s="151" t="s">
        <v>21</v>
      </c>
      <c r="K66" s="151" t="s">
        <v>22</v>
      </c>
      <c r="L66" s="151" t="s">
        <v>23</v>
      </c>
      <c r="O66" s="153"/>
      <c r="U66" s="127"/>
    </row>
    <row r="67" spans="1:21" ht="26" x14ac:dyDescent="0.4">
      <c r="A67" s="43"/>
      <c r="B67" s="44" t="s">
        <v>95</v>
      </c>
      <c r="C67" s="120"/>
      <c r="D67" s="120"/>
      <c r="F67" s="122">
        <v>1</v>
      </c>
      <c r="G67" s="159">
        <v>5.1020408163265305</v>
      </c>
      <c r="H67" s="159">
        <v>0</v>
      </c>
      <c r="I67" s="159">
        <v>1.2755102040816326</v>
      </c>
      <c r="J67" s="159">
        <v>6.1224489795918364</v>
      </c>
      <c r="K67" s="159">
        <v>0</v>
      </c>
      <c r="L67" s="159">
        <v>0.85034013605442171</v>
      </c>
      <c r="O67" s="153"/>
      <c r="U67" s="142"/>
    </row>
    <row r="68" spans="1:21" ht="26" x14ac:dyDescent="0.4">
      <c r="A68" s="43"/>
      <c r="B68" s="44" t="s">
        <v>96</v>
      </c>
      <c r="C68" s="120"/>
      <c r="D68" s="120"/>
      <c r="F68" s="122">
        <v>2</v>
      </c>
      <c r="G68" s="159">
        <v>5.4421768707482991</v>
      </c>
      <c r="H68" s="159">
        <v>0</v>
      </c>
      <c r="I68" s="159">
        <v>1.1337868480725624</v>
      </c>
      <c r="J68" s="159">
        <v>5.1020408163265305</v>
      </c>
      <c r="K68" s="159">
        <v>0</v>
      </c>
      <c r="L68" s="159">
        <v>0.6802721088435375</v>
      </c>
      <c r="O68" s="153"/>
      <c r="U68" s="142"/>
    </row>
    <row r="69" spans="1:21" ht="26" x14ac:dyDescent="0.4">
      <c r="A69" s="43"/>
      <c r="B69" s="38" t="s">
        <v>97</v>
      </c>
      <c r="C69" s="121"/>
      <c r="D69" s="121"/>
      <c r="F69" s="122">
        <v>3</v>
      </c>
      <c r="G69" s="159">
        <v>10.204081632653061</v>
      </c>
      <c r="H69" s="159">
        <v>0</v>
      </c>
      <c r="I69" s="159">
        <v>2.0408163265306118</v>
      </c>
      <c r="J69" s="159">
        <v>8.0782312925170068</v>
      </c>
      <c r="K69" s="159">
        <v>0</v>
      </c>
      <c r="L69" s="159">
        <v>1.0204081632653059</v>
      </c>
      <c r="O69" s="153"/>
      <c r="U69" s="142"/>
    </row>
    <row r="70" spans="1:21" ht="26" x14ac:dyDescent="0.4">
      <c r="A70" s="24" t="s">
        <v>56</v>
      </c>
      <c r="B70" s="45" t="s">
        <v>62</v>
      </c>
      <c r="C70" s="119" t="s">
        <v>99</v>
      </c>
      <c r="D70" s="119" t="s">
        <v>106</v>
      </c>
      <c r="F70" s="122">
        <v>4</v>
      </c>
      <c r="G70" s="159">
        <v>5.1020408163265305</v>
      </c>
      <c r="H70" s="159">
        <v>0</v>
      </c>
      <c r="I70" s="159">
        <v>1.0629251700680271</v>
      </c>
      <c r="J70" s="159">
        <v>3.4722222222222223</v>
      </c>
      <c r="K70" s="159">
        <v>0</v>
      </c>
      <c r="L70" s="159">
        <v>0.42517006802721086</v>
      </c>
      <c r="O70" s="153"/>
      <c r="U70" s="142"/>
    </row>
    <row r="71" spans="1:21" ht="26" x14ac:dyDescent="0.4">
      <c r="A71" s="43"/>
      <c r="B71" s="45" t="s">
        <v>63</v>
      </c>
      <c r="C71" s="120"/>
      <c r="D71" s="120" t="s">
        <v>107</v>
      </c>
      <c r="F71" s="122">
        <v>5</v>
      </c>
      <c r="G71" s="159">
        <v>9.8261526832955397</v>
      </c>
      <c r="H71" s="159">
        <v>0</v>
      </c>
      <c r="I71" s="159">
        <v>0</v>
      </c>
      <c r="J71" s="159">
        <v>5.1020408163265305</v>
      </c>
      <c r="K71" s="159">
        <v>0</v>
      </c>
      <c r="L71" s="159">
        <v>1.7006802721088434</v>
      </c>
      <c r="O71" s="153"/>
      <c r="U71" s="134"/>
    </row>
    <row r="72" spans="1:21" ht="26" x14ac:dyDescent="0.4">
      <c r="A72" s="43"/>
      <c r="B72" s="45" t="s">
        <v>64</v>
      </c>
      <c r="C72" s="120"/>
      <c r="D72" s="120"/>
      <c r="F72" s="1" t="s">
        <v>117</v>
      </c>
      <c r="O72" s="153"/>
      <c r="U72" s="134"/>
    </row>
    <row r="73" spans="1:21" ht="27" x14ac:dyDescent="0.45">
      <c r="A73" s="43"/>
      <c r="B73" s="45" t="s">
        <v>65</v>
      </c>
      <c r="C73" s="121"/>
      <c r="D73" s="121"/>
      <c r="F73" s="151" t="s">
        <v>14</v>
      </c>
      <c r="G73" s="151" t="s">
        <v>18</v>
      </c>
      <c r="H73" s="151" t="s">
        <v>19</v>
      </c>
      <c r="I73" s="151" t="s">
        <v>20</v>
      </c>
      <c r="J73" s="151" t="s">
        <v>21</v>
      </c>
      <c r="K73" s="151" t="s">
        <v>22</v>
      </c>
      <c r="L73" s="152" t="s">
        <v>23</v>
      </c>
      <c r="O73" s="153"/>
      <c r="U73" s="134"/>
    </row>
    <row r="74" spans="1:21" ht="26" x14ac:dyDescent="0.4">
      <c r="A74" s="24" t="s">
        <v>57</v>
      </c>
      <c r="B74" s="38" t="s">
        <v>61</v>
      </c>
      <c r="C74" s="119" t="s">
        <v>101</v>
      </c>
      <c r="D74" s="119" t="s">
        <v>108</v>
      </c>
      <c r="F74" s="122">
        <v>1</v>
      </c>
      <c r="G74" s="124">
        <v>5</v>
      </c>
      <c r="H74" s="124">
        <v>0</v>
      </c>
      <c r="I74" s="124">
        <v>1.25</v>
      </c>
      <c r="J74" s="124">
        <v>6.25</v>
      </c>
      <c r="K74" s="124">
        <v>0</v>
      </c>
      <c r="L74" s="124">
        <v>0.84</v>
      </c>
      <c r="O74" s="153"/>
      <c r="U74" s="134"/>
    </row>
    <row r="75" spans="1:21" ht="26" x14ac:dyDescent="0.4">
      <c r="A75" s="38"/>
      <c r="B75" s="38" t="s">
        <v>58</v>
      </c>
      <c r="C75" s="120" t="s">
        <v>100</v>
      </c>
      <c r="D75" s="120" t="s">
        <v>109</v>
      </c>
      <c r="F75" s="122">
        <v>2</v>
      </c>
      <c r="G75" s="124">
        <v>4.45</v>
      </c>
      <c r="H75" s="124">
        <v>0</v>
      </c>
      <c r="I75" s="124">
        <v>1.1000000000000001</v>
      </c>
      <c r="J75" s="124">
        <v>4.9000000000000004</v>
      </c>
      <c r="K75" s="124">
        <v>0</v>
      </c>
      <c r="L75" s="124">
        <v>0.7</v>
      </c>
      <c r="O75" s="153"/>
      <c r="U75" s="149"/>
    </row>
    <row r="76" spans="1:21" ht="26" x14ac:dyDescent="0.4">
      <c r="A76" s="38"/>
      <c r="B76" s="38" t="s">
        <v>59</v>
      </c>
      <c r="C76" s="120"/>
      <c r="D76" s="120"/>
      <c r="F76" s="122">
        <v>3</v>
      </c>
      <c r="G76" s="124">
        <v>10.25</v>
      </c>
      <c r="H76" s="124">
        <v>0</v>
      </c>
      <c r="I76" s="124">
        <v>2.0499999999999998</v>
      </c>
      <c r="J76" s="124">
        <v>8.1</v>
      </c>
      <c r="K76" s="124">
        <v>0</v>
      </c>
      <c r="L76" s="124">
        <v>1</v>
      </c>
      <c r="O76" s="153"/>
      <c r="U76" s="149"/>
    </row>
    <row r="77" spans="1:21" ht="26" x14ac:dyDescent="0.4">
      <c r="A77" s="38"/>
      <c r="B77" s="38" t="s">
        <v>60</v>
      </c>
      <c r="C77" s="121"/>
      <c r="D77" s="121"/>
      <c r="F77" s="122">
        <v>4</v>
      </c>
      <c r="G77" s="124">
        <v>5.1100000000000003</v>
      </c>
      <c r="H77" s="124">
        <v>0</v>
      </c>
      <c r="I77" s="124">
        <v>1.1299999999999999</v>
      </c>
      <c r="J77" s="124">
        <v>3.45</v>
      </c>
      <c r="K77" s="124">
        <v>0</v>
      </c>
      <c r="L77" s="124">
        <v>0.45</v>
      </c>
      <c r="O77" s="153"/>
      <c r="U77" s="149"/>
    </row>
    <row r="78" spans="1:21" ht="26" x14ac:dyDescent="0.4">
      <c r="F78" s="122">
        <v>5</v>
      </c>
      <c r="G78" s="124">
        <v>9.8000000000000007</v>
      </c>
      <c r="H78" s="124">
        <v>0</v>
      </c>
      <c r="I78" s="124">
        <v>0</v>
      </c>
      <c r="J78" s="124">
        <v>5.15</v>
      </c>
      <c r="K78" s="124">
        <v>0</v>
      </c>
      <c r="L78" s="124">
        <v>1.72</v>
      </c>
      <c r="O78" s="153"/>
      <c r="U78" s="149"/>
    </row>
    <row r="79" spans="1:21" x14ac:dyDescent="0.4">
      <c r="O79" s="153"/>
    </row>
    <row r="80" spans="1:21" x14ac:dyDescent="0.4">
      <c r="O80" s="153"/>
    </row>
  </sheetData>
  <autoFilter ref="A4:A19"/>
  <sortState ref="A4:U19">
    <sortCondition ref="A4:A19"/>
  </sortState>
  <mergeCells count="6">
    <mergeCell ref="I22:J41"/>
    <mergeCell ref="C21:H21"/>
    <mergeCell ref="A29:A32"/>
    <mergeCell ref="A33:A36"/>
    <mergeCell ref="A25:A28"/>
    <mergeCell ref="A37:A4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F14"/>
  <sheetViews>
    <sheetView zoomScale="130" zoomScaleNormal="130" zoomScalePageLayoutView="130" workbookViewId="0">
      <selection activeCell="E18" sqref="E18"/>
    </sheetView>
  </sheetViews>
  <sheetFormatPr baseColWidth="10" defaultColWidth="8.83203125" defaultRowHeight="15" x14ac:dyDescent="0.2"/>
  <sheetData>
    <row r="2" spans="1:6" x14ac:dyDescent="0.2">
      <c r="A2" t="s">
        <v>151</v>
      </c>
    </row>
    <row r="3" spans="1:6" x14ac:dyDescent="0.2">
      <c r="A3" t="s">
        <v>152</v>
      </c>
      <c r="C3" t="s">
        <v>153</v>
      </c>
    </row>
    <row r="4" spans="1:6" x14ac:dyDescent="0.2">
      <c r="C4" t="s">
        <v>154</v>
      </c>
    </row>
    <row r="5" spans="1:6" x14ac:dyDescent="0.2">
      <c r="C5" t="s">
        <v>155</v>
      </c>
    </row>
    <row r="6" spans="1:6" ht="16" thickBot="1" x14ac:dyDescent="0.25">
      <c r="C6" t="s">
        <v>156</v>
      </c>
    </row>
    <row r="7" spans="1:6" s="201" customFormat="1" ht="14.25" customHeight="1" thickBot="1" x14ac:dyDescent="0.25">
      <c r="B7" s="334" t="s">
        <v>157</v>
      </c>
      <c r="C7" s="334" t="s">
        <v>158</v>
      </c>
      <c r="D7" s="334"/>
      <c r="E7" s="334"/>
      <c r="F7" s="334"/>
    </row>
    <row r="8" spans="1:6" s="201" customFormat="1" ht="14.25" customHeight="1" thickBot="1" x14ac:dyDescent="0.25">
      <c r="B8" s="334"/>
      <c r="C8" s="199" t="s">
        <v>43</v>
      </c>
      <c r="D8" s="199" t="s">
        <v>42</v>
      </c>
      <c r="E8" s="199" t="s">
        <v>44</v>
      </c>
      <c r="F8" s="199" t="s">
        <v>45</v>
      </c>
    </row>
    <row r="9" spans="1:6" s="201" customFormat="1" ht="14.25" customHeight="1" thickBot="1" x14ac:dyDescent="0.25">
      <c r="B9" s="204">
        <v>1</v>
      </c>
      <c r="C9" s="204">
        <v>3</v>
      </c>
      <c r="D9" s="204">
        <v>1</v>
      </c>
      <c r="E9" s="202">
        <v>4</v>
      </c>
      <c r="F9" s="202">
        <v>3</v>
      </c>
    </row>
    <row r="10" spans="1:6" s="201" customFormat="1" ht="14.25" customHeight="1" thickBot="1" x14ac:dyDescent="0.25">
      <c r="B10" s="204">
        <v>2</v>
      </c>
      <c r="C10" s="204">
        <v>4</v>
      </c>
      <c r="D10" s="204">
        <v>2</v>
      </c>
      <c r="E10" s="202">
        <v>3</v>
      </c>
      <c r="F10" s="202">
        <v>4</v>
      </c>
    </row>
    <row r="11" spans="1:6" s="201" customFormat="1" ht="14.25" customHeight="1" thickBot="1" x14ac:dyDescent="0.25">
      <c r="B11" s="204">
        <v>3</v>
      </c>
      <c r="C11" s="204">
        <v>5</v>
      </c>
      <c r="D11" s="204">
        <v>3</v>
      </c>
      <c r="E11" s="202">
        <v>5</v>
      </c>
      <c r="F11" s="202">
        <v>2</v>
      </c>
    </row>
    <row r="12" spans="1:6" s="201" customFormat="1" ht="14.25" customHeight="1" thickBot="1" x14ac:dyDescent="0.25">
      <c r="B12" s="204">
        <v>4</v>
      </c>
      <c r="C12" s="204">
        <v>1</v>
      </c>
      <c r="D12" s="204">
        <v>4</v>
      </c>
      <c r="E12" s="202">
        <v>1</v>
      </c>
      <c r="F12" s="202">
        <v>6</v>
      </c>
    </row>
    <row r="13" spans="1:6" s="201" customFormat="1" ht="14.25" customHeight="1" thickBot="1" x14ac:dyDescent="0.25">
      <c r="B13" s="204">
        <v>5</v>
      </c>
      <c r="C13" s="204">
        <v>2</v>
      </c>
      <c r="D13" s="204">
        <v>5</v>
      </c>
      <c r="E13" s="202">
        <v>2</v>
      </c>
      <c r="F13" s="202">
        <v>5</v>
      </c>
    </row>
    <row r="14" spans="1:6" s="201" customFormat="1" ht="14.25" customHeight="1" thickBot="1" x14ac:dyDescent="0.25">
      <c r="B14" s="204">
        <v>6</v>
      </c>
      <c r="C14" s="204">
        <v>6</v>
      </c>
      <c r="D14" s="204">
        <v>6</v>
      </c>
      <c r="E14" s="202">
        <v>6</v>
      </c>
      <c r="F14" s="202">
        <v>1</v>
      </c>
    </row>
  </sheetData>
  <mergeCells count="2">
    <mergeCell ref="B7:B8"/>
    <mergeCell ref="C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opLeftCell="C43" workbookViewId="0">
      <selection activeCell="N71" sqref="D64:N71"/>
    </sheetView>
  </sheetViews>
  <sheetFormatPr baseColWidth="10" defaultColWidth="8.83203125" defaultRowHeight="15" x14ac:dyDescent="0.2"/>
  <cols>
    <col min="4" max="4" width="12.6640625" bestFit="1" customWidth="1"/>
    <col min="5" max="5" width="13.1640625" customWidth="1"/>
    <col min="6" max="6" width="10.33203125" customWidth="1"/>
    <col min="7" max="7" width="13.6640625" bestFit="1" customWidth="1"/>
    <col min="8" max="8" width="13.83203125" bestFit="1" customWidth="1"/>
    <col min="9" max="9" width="11.5" customWidth="1"/>
    <col min="10" max="10" width="9.33203125" customWidth="1"/>
    <col min="13" max="13" width="9.33203125" customWidth="1"/>
  </cols>
  <sheetData>
    <row r="1" spans="1:15" ht="25" thickBot="1" x14ac:dyDescent="0.45">
      <c r="A1" s="1" t="s">
        <v>145</v>
      </c>
      <c r="B1" s="1"/>
      <c r="C1" s="1"/>
      <c r="D1" s="1"/>
      <c r="E1" s="1"/>
    </row>
    <row r="2" spans="1:15" ht="25" thickBot="1" x14ac:dyDescent="0.45">
      <c r="A2" s="193" t="s">
        <v>118</v>
      </c>
      <c r="B2" s="193" t="s">
        <v>119</v>
      </c>
      <c r="C2" s="193" t="s">
        <v>120</v>
      </c>
      <c r="D2" s="185" t="s">
        <v>143</v>
      </c>
      <c r="E2" s="185" t="s">
        <v>31</v>
      </c>
    </row>
    <row r="3" spans="1:15" ht="25" thickBot="1" x14ac:dyDescent="0.45">
      <c r="A3" s="193">
        <v>1</v>
      </c>
      <c r="B3" s="193" t="s">
        <v>121</v>
      </c>
      <c r="C3" s="193" t="s">
        <v>125</v>
      </c>
      <c r="D3" s="193">
        <v>10</v>
      </c>
      <c r="E3" s="186">
        <f t="shared" ref="E3:E8" si="0">D3/(1-0.02)</f>
        <v>10.204081632653061</v>
      </c>
    </row>
    <row r="4" spans="1:15" ht="25" thickBot="1" x14ac:dyDescent="0.45">
      <c r="A4" s="193">
        <v>2</v>
      </c>
      <c r="B4" s="193" t="s">
        <v>121</v>
      </c>
      <c r="C4" s="193" t="s">
        <v>126</v>
      </c>
      <c r="D4" s="193">
        <v>8</v>
      </c>
      <c r="E4" s="186">
        <f t="shared" si="0"/>
        <v>8.1632653061224492</v>
      </c>
    </row>
    <row r="5" spans="1:15" ht="25" thickBot="1" x14ac:dyDescent="0.45">
      <c r="A5" s="193">
        <v>3</v>
      </c>
      <c r="B5" s="193" t="s">
        <v>122</v>
      </c>
      <c r="C5" s="193" t="s">
        <v>129</v>
      </c>
      <c r="D5" s="193">
        <v>20</v>
      </c>
      <c r="E5" s="186">
        <f t="shared" si="0"/>
        <v>20.408163265306122</v>
      </c>
    </row>
    <row r="6" spans="1:15" ht="25" thickBot="1" x14ac:dyDescent="0.45">
      <c r="A6" s="193">
        <v>4</v>
      </c>
      <c r="B6" s="193" t="s">
        <v>122</v>
      </c>
      <c r="C6" s="193" t="s">
        <v>130</v>
      </c>
      <c r="D6" s="193">
        <v>5</v>
      </c>
      <c r="E6" s="186">
        <f t="shared" si="0"/>
        <v>5.1020408163265305</v>
      </c>
    </row>
    <row r="7" spans="1:15" ht="25" thickBot="1" x14ac:dyDescent="0.45">
      <c r="A7" s="193">
        <v>5</v>
      </c>
      <c r="B7" s="193" t="s">
        <v>123</v>
      </c>
      <c r="C7" s="193" t="s">
        <v>133</v>
      </c>
      <c r="D7" s="193">
        <v>6</v>
      </c>
      <c r="E7" s="186">
        <f t="shared" si="0"/>
        <v>6.1224489795918364</v>
      </c>
    </row>
    <row r="8" spans="1:15" ht="25" thickBot="1" x14ac:dyDescent="0.45">
      <c r="A8" s="193">
        <v>6</v>
      </c>
      <c r="B8" s="193" t="s">
        <v>123</v>
      </c>
      <c r="C8" s="193" t="s">
        <v>134</v>
      </c>
      <c r="D8" s="193">
        <v>12</v>
      </c>
      <c r="E8" s="186">
        <f t="shared" si="0"/>
        <v>12.244897959183673</v>
      </c>
    </row>
    <row r="10" spans="1:15" ht="25" thickBot="1" x14ac:dyDescent="0.45">
      <c r="A10" s="1" t="s">
        <v>173</v>
      </c>
    </row>
    <row r="11" spans="1:15" ht="16" thickBot="1" x14ac:dyDescent="0.25">
      <c r="A11" s="336" t="s">
        <v>46</v>
      </c>
      <c r="B11" s="336" t="s">
        <v>120</v>
      </c>
      <c r="C11" s="337" t="s">
        <v>149</v>
      </c>
      <c r="D11" s="338"/>
      <c r="E11" s="338"/>
      <c r="F11" s="338"/>
      <c r="G11" s="338"/>
      <c r="H11" s="339"/>
      <c r="I11" s="343" t="s">
        <v>180</v>
      </c>
      <c r="J11" s="344"/>
      <c r="K11" s="344"/>
      <c r="L11" s="344"/>
      <c r="M11" s="344"/>
      <c r="N11" s="345"/>
    </row>
    <row r="12" spans="1:15" ht="16" thickBot="1" x14ac:dyDescent="0.25">
      <c r="A12" s="336"/>
      <c r="B12" s="336"/>
      <c r="C12" s="340"/>
      <c r="D12" s="341"/>
      <c r="E12" s="341"/>
      <c r="F12" s="341"/>
      <c r="G12" s="341"/>
      <c r="H12" s="342"/>
      <c r="I12" s="346"/>
      <c r="J12" s="347"/>
      <c r="K12" s="347"/>
      <c r="L12" s="347"/>
      <c r="M12" s="347"/>
      <c r="N12" s="348"/>
    </row>
    <row r="13" spans="1:15" ht="25" thickBot="1" x14ac:dyDescent="0.45">
      <c r="A13" s="336"/>
      <c r="B13" s="336"/>
      <c r="C13" s="193">
        <v>3</v>
      </c>
      <c r="D13" s="193">
        <v>2</v>
      </c>
      <c r="E13" s="193">
        <v>2</v>
      </c>
      <c r="F13" s="193">
        <v>2</v>
      </c>
      <c r="G13" s="193">
        <v>2</v>
      </c>
      <c r="H13" s="193">
        <v>2</v>
      </c>
      <c r="I13" s="203" t="s">
        <v>167</v>
      </c>
      <c r="J13" s="203" t="s">
        <v>168</v>
      </c>
      <c r="K13" s="203" t="s">
        <v>169</v>
      </c>
      <c r="L13" s="203" t="s">
        <v>170</v>
      </c>
      <c r="M13" s="203" t="s">
        <v>171</v>
      </c>
      <c r="N13" s="206" t="s">
        <v>172</v>
      </c>
    </row>
    <row r="14" spans="1:15" ht="73" thickBot="1" x14ac:dyDescent="0.25">
      <c r="A14" s="336"/>
      <c r="B14" s="336"/>
      <c r="C14" s="194" t="s">
        <v>48</v>
      </c>
      <c r="D14" s="194" t="s">
        <v>49</v>
      </c>
      <c r="E14" s="194" t="s">
        <v>50</v>
      </c>
      <c r="F14" s="194" t="s">
        <v>51</v>
      </c>
      <c r="G14" s="194" t="s">
        <v>52</v>
      </c>
      <c r="H14" s="194" t="s">
        <v>53</v>
      </c>
      <c r="I14" s="194" t="s">
        <v>48</v>
      </c>
      <c r="J14" s="194" t="s">
        <v>49</v>
      </c>
      <c r="K14" s="194" t="s">
        <v>50</v>
      </c>
      <c r="L14" s="194" t="s">
        <v>51</v>
      </c>
      <c r="M14" s="194" t="s">
        <v>52</v>
      </c>
      <c r="N14" s="194" t="s">
        <v>53</v>
      </c>
    </row>
    <row r="15" spans="1:15" ht="46" thickBot="1" x14ac:dyDescent="0.25">
      <c r="A15" s="336"/>
      <c r="B15" s="336"/>
      <c r="C15" s="194" t="s">
        <v>141</v>
      </c>
      <c r="D15" s="194" t="s">
        <v>142</v>
      </c>
      <c r="E15" s="194" t="s">
        <v>142</v>
      </c>
      <c r="F15" s="194" t="s">
        <v>142</v>
      </c>
      <c r="G15" s="194" t="s">
        <v>142</v>
      </c>
      <c r="H15" s="194" t="s">
        <v>142</v>
      </c>
      <c r="I15" s="194" t="s">
        <v>159</v>
      </c>
      <c r="J15" s="194" t="s">
        <v>159</v>
      </c>
      <c r="K15" s="194" t="s">
        <v>159</v>
      </c>
      <c r="L15" s="194" t="s">
        <v>159</v>
      </c>
      <c r="M15" s="194" t="s">
        <v>159</v>
      </c>
      <c r="N15" s="194" t="s">
        <v>159</v>
      </c>
      <c r="O15" t="s">
        <v>190</v>
      </c>
    </row>
    <row r="16" spans="1:15" ht="25" thickBot="1" x14ac:dyDescent="0.45">
      <c r="A16" s="335" t="s">
        <v>121</v>
      </c>
      <c r="B16" s="211" t="s">
        <v>125</v>
      </c>
      <c r="C16" s="180">
        <f>5400/3600</f>
        <v>1.5</v>
      </c>
      <c r="D16" s="180"/>
      <c r="E16" s="180">
        <f>900/3600</f>
        <v>0.25</v>
      </c>
      <c r="F16" s="180">
        <f>4320/3600</f>
        <v>1.2</v>
      </c>
      <c r="G16" s="180"/>
      <c r="H16" s="180">
        <f>600/3600</f>
        <v>0.16666666666666666</v>
      </c>
      <c r="I16" s="207">
        <v>0.5</v>
      </c>
      <c r="J16" s="193"/>
      <c r="K16" s="193">
        <v>0.5</v>
      </c>
      <c r="L16" s="193">
        <v>0.25</v>
      </c>
      <c r="M16" s="193"/>
      <c r="N16" s="193">
        <v>0.2</v>
      </c>
    </row>
    <row r="17" spans="1:14" ht="25" thickBot="1" x14ac:dyDescent="0.45">
      <c r="A17" s="335"/>
      <c r="B17" s="211" t="s">
        <v>126</v>
      </c>
      <c r="C17" s="180">
        <f>7200/3600</f>
        <v>2</v>
      </c>
      <c r="D17" s="180"/>
      <c r="E17" s="180">
        <f>1000/3600</f>
        <v>0.27777777777777779</v>
      </c>
      <c r="F17" s="180">
        <f>4500/3600</f>
        <v>1.25</v>
      </c>
      <c r="G17" s="180"/>
      <c r="H17" s="180">
        <f t="shared" ref="H17:H27" si="1">600/3600</f>
        <v>0.16666666666666666</v>
      </c>
      <c r="I17" s="207">
        <v>0.5</v>
      </c>
      <c r="J17" s="193"/>
      <c r="K17" s="193">
        <v>0.5</v>
      </c>
      <c r="L17" s="193">
        <v>0.25</v>
      </c>
      <c r="M17" s="193"/>
      <c r="N17" s="193">
        <v>0.2</v>
      </c>
    </row>
    <row r="18" spans="1:14" ht="25" thickBot="1" x14ac:dyDescent="0.45">
      <c r="A18" s="335"/>
      <c r="B18" s="214" t="s">
        <v>127</v>
      </c>
      <c r="C18" s="215">
        <f>9000/3600</f>
        <v>2.5</v>
      </c>
      <c r="D18" s="216"/>
      <c r="E18" s="215">
        <f>1200/3600</f>
        <v>0.33333333333333331</v>
      </c>
      <c r="F18" s="215">
        <f>4750/3600</f>
        <v>1.3194444444444444</v>
      </c>
      <c r="G18" s="215"/>
      <c r="H18" s="215">
        <f t="shared" si="1"/>
        <v>0.16666666666666666</v>
      </c>
      <c r="I18" s="223">
        <v>0.5</v>
      </c>
      <c r="J18" s="224">
        <v>0.25</v>
      </c>
      <c r="K18" s="224">
        <v>0.5</v>
      </c>
      <c r="L18" s="224">
        <v>0.25</v>
      </c>
      <c r="M18" s="224">
        <v>0.65</v>
      </c>
      <c r="N18" s="224">
        <v>0.2</v>
      </c>
    </row>
    <row r="19" spans="1:14" ht="25" thickBot="1" x14ac:dyDescent="0.45">
      <c r="A19" s="335"/>
      <c r="B19" s="214" t="s">
        <v>128</v>
      </c>
      <c r="C19" s="215">
        <f>10800/3600</f>
        <v>3</v>
      </c>
      <c r="D19" s="216"/>
      <c r="E19" s="215">
        <f>1500/3600</f>
        <v>0.41666666666666669</v>
      </c>
      <c r="F19" s="215">
        <f>4900/3600</f>
        <v>1.3611111111111112</v>
      </c>
      <c r="G19" s="215"/>
      <c r="H19" s="215">
        <f t="shared" si="1"/>
        <v>0.16666666666666666</v>
      </c>
      <c r="I19" s="223">
        <v>0.5</v>
      </c>
      <c r="J19" s="224">
        <v>0.25</v>
      </c>
      <c r="K19" s="224">
        <v>0.5</v>
      </c>
      <c r="L19" s="224">
        <v>0.25</v>
      </c>
      <c r="M19" s="224">
        <v>0.65</v>
      </c>
      <c r="N19" s="224">
        <v>0.2</v>
      </c>
    </row>
    <row r="20" spans="1:14" ht="25" thickBot="1" x14ac:dyDescent="0.45">
      <c r="A20" s="335" t="s">
        <v>122</v>
      </c>
      <c r="B20" s="189" t="s">
        <v>129</v>
      </c>
      <c r="C20" s="180">
        <f>5200/3600</f>
        <v>1.4444444444444444</v>
      </c>
      <c r="D20" s="180"/>
      <c r="E20" s="180"/>
      <c r="F20" s="180">
        <f>1800/3600</f>
        <v>0.5</v>
      </c>
      <c r="G20" s="180"/>
      <c r="H20" s="180">
        <f t="shared" si="1"/>
        <v>0.16666666666666666</v>
      </c>
      <c r="I20" s="207">
        <v>0.45</v>
      </c>
      <c r="J20" s="193"/>
      <c r="K20" s="193"/>
      <c r="L20" s="193">
        <v>0.35</v>
      </c>
      <c r="M20" s="193"/>
      <c r="N20" s="193">
        <v>0.2</v>
      </c>
    </row>
    <row r="21" spans="1:14" ht="25" thickBot="1" x14ac:dyDescent="0.45">
      <c r="A21" s="335"/>
      <c r="B21" s="189" t="s">
        <v>130</v>
      </c>
      <c r="C21" s="180">
        <f>6000/3600</f>
        <v>1.6666666666666667</v>
      </c>
      <c r="D21" s="180"/>
      <c r="E21" s="180"/>
      <c r="F21" s="180">
        <f>2000/3600</f>
        <v>0.55555555555555558</v>
      </c>
      <c r="G21" s="180"/>
      <c r="H21" s="180">
        <f t="shared" si="1"/>
        <v>0.16666666666666666</v>
      </c>
      <c r="I21" s="207">
        <v>0.45</v>
      </c>
      <c r="J21" s="193"/>
      <c r="K21" s="193"/>
      <c r="L21" s="193">
        <v>0.35</v>
      </c>
      <c r="M21" s="193"/>
      <c r="N21" s="193">
        <v>0.2</v>
      </c>
    </row>
    <row r="22" spans="1:14" ht="25" thickBot="1" x14ac:dyDescent="0.45">
      <c r="A22" s="335"/>
      <c r="B22" s="219" t="s">
        <v>131</v>
      </c>
      <c r="C22" s="215">
        <f>7500/3600</f>
        <v>2.0833333333333335</v>
      </c>
      <c r="D22" s="215"/>
      <c r="E22" s="216"/>
      <c r="F22" s="215">
        <f>2500/3600</f>
        <v>0.69444444444444442</v>
      </c>
      <c r="G22" s="216"/>
      <c r="H22" s="215">
        <f t="shared" si="1"/>
        <v>0.16666666666666666</v>
      </c>
      <c r="I22" s="223">
        <v>0.45</v>
      </c>
      <c r="J22" s="224">
        <v>0.3</v>
      </c>
      <c r="K22" s="224">
        <v>0.4</v>
      </c>
      <c r="L22" s="224">
        <v>0.35</v>
      </c>
      <c r="M22" s="224">
        <v>0.55000000000000004</v>
      </c>
      <c r="N22" s="224">
        <v>0.2</v>
      </c>
    </row>
    <row r="23" spans="1:14" ht="25" thickBot="1" x14ac:dyDescent="0.45">
      <c r="A23" s="335"/>
      <c r="B23" s="214" t="s">
        <v>132</v>
      </c>
      <c r="C23" s="215">
        <f>10000/3600</f>
        <v>2.7777777777777777</v>
      </c>
      <c r="D23" s="215"/>
      <c r="E23" s="216"/>
      <c r="F23" s="215">
        <f>3000/3600</f>
        <v>0.83333333333333337</v>
      </c>
      <c r="G23" s="216"/>
      <c r="H23" s="215">
        <f t="shared" si="1"/>
        <v>0.16666666666666666</v>
      </c>
      <c r="I23" s="223">
        <v>0.45</v>
      </c>
      <c r="J23" s="224">
        <v>0.3</v>
      </c>
      <c r="K23" s="224">
        <v>0.4</v>
      </c>
      <c r="L23" s="224">
        <v>0.35</v>
      </c>
      <c r="M23" s="224">
        <v>0.55000000000000004</v>
      </c>
      <c r="N23" s="224">
        <v>0.2</v>
      </c>
    </row>
    <row r="24" spans="1:14" ht="25" thickBot="1" x14ac:dyDescent="0.45">
      <c r="A24" s="349" t="s">
        <v>123</v>
      </c>
      <c r="B24" s="190" t="s">
        <v>133</v>
      </c>
      <c r="C24" s="180">
        <f>3600/3600</f>
        <v>1</v>
      </c>
      <c r="D24" s="180">
        <f>900/3600</f>
        <v>0.25</v>
      </c>
      <c r="E24" s="180">
        <f>900/3600</f>
        <v>0.25</v>
      </c>
      <c r="F24" s="180">
        <v>0</v>
      </c>
      <c r="G24" s="180">
        <f>3600/3600</f>
        <v>1</v>
      </c>
      <c r="H24" s="180">
        <f t="shared" si="1"/>
        <v>0.16666666666666666</v>
      </c>
      <c r="I24" s="207">
        <v>0.6</v>
      </c>
      <c r="J24" s="193">
        <v>0.25</v>
      </c>
      <c r="K24" s="193">
        <v>0.65</v>
      </c>
      <c r="L24" s="193"/>
      <c r="M24" s="193">
        <v>0.65</v>
      </c>
      <c r="N24" s="193">
        <v>0.2</v>
      </c>
    </row>
    <row r="25" spans="1:14" ht="25" thickBot="1" x14ac:dyDescent="0.45">
      <c r="A25" s="349"/>
      <c r="B25" s="190" t="s">
        <v>134</v>
      </c>
      <c r="C25" s="180">
        <f>4000/3600</f>
        <v>1.1111111111111112</v>
      </c>
      <c r="D25" s="180">
        <f>900/3600</f>
        <v>0.25</v>
      </c>
      <c r="E25" s="180">
        <f>1200/3600</f>
        <v>0.33333333333333331</v>
      </c>
      <c r="F25" s="180">
        <v>0</v>
      </c>
      <c r="G25" s="180">
        <f>4200/3600</f>
        <v>1.1666666666666667</v>
      </c>
      <c r="H25" s="180">
        <f t="shared" si="1"/>
        <v>0.16666666666666666</v>
      </c>
      <c r="I25" s="207">
        <v>0.6</v>
      </c>
      <c r="J25" s="193">
        <v>0.25</v>
      </c>
      <c r="K25" s="193">
        <v>0.65</v>
      </c>
      <c r="L25" s="193"/>
      <c r="M25" s="193">
        <v>0.65</v>
      </c>
      <c r="N25" s="193">
        <v>0.2</v>
      </c>
    </row>
    <row r="26" spans="1:14" ht="25" thickBot="1" x14ac:dyDescent="0.45">
      <c r="A26" s="349"/>
      <c r="B26" s="220" t="s">
        <v>135</v>
      </c>
      <c r="C26" s="221">
        <f>4500/3600</f>
        <v>1.25</v>
      </c>
      <c r="D26" s="215">
        <f>900/3600</f>
        <v>0.25</v>
      </c>
      <c r="E26" s="221">
        <f>1500/3600</f>
        <v>0.41666666666666669</v>
      </c>
      <c r="F26" s="221">
        <v>0</v>
      </c>
      <c r="G26" s="221">
        <f>4800/3600</f>
        <v>1.3333333333333333</v>
      </c>
      <c r="H26" s="215">
        <f t="shared" si="1"/>
        <v>0.16666666666666666</v>
      </c>
      <c r="I26" s="223">
        <v>0.6</v>
      </c>
      <c r="J26" s="224">
        <v>0.25</v>
      </c>
      <c r="K26" s="224">
        <v>0.65</v>
      </c>
      <c r="L26" s="224">
        <v>0.25</v>
      </c>
      <c r="M26" s="224">
        <v>0.65</v>
      </c>
      <c r="N26" s="224">
        <v>0.2</v>
      </c>
    </row>
    <row r="27" spans="1:14" ht="25" thickBot="1" x14ac:dyDescent="0.45">
      <c r="A27" s="349"/>
      <c r="B27" s="220" t="s">
        <v>136</v>
      </c>
      <c r="C27" s="221">
        <f>6000/3600</f>
        <v>1.6666666666666667</v>
      </c>
      <c r="D27" s="215">
        <f>900/3600</f>
        <v>0.25</v>
      </c>
      <c r="E27" s="221">
        <f>1800/3600</f>
        <v>0.5</v>
      </c>
      <c r="F27" s="221">
        <v>0</v>
      </c>
      <c r="G27" s="221">
        <f>5600/3600</f>
        <v>1.5555555555555556</v>
      </c>
      <c r="H27" s="215">
        <f t="shared" si="1"/>
        <v>0.16666666666666666</v>
      </c>
      <c r="I27" s="217">
        <v>0.6</v>
      </c>
      <c r="J27" s="218">
        <v>0.25</v>
      </c>
      <c r="K27" s="218">
        <v>0.65</v>
      </c>
      <c r="L27" s="218">
        <v>0.25</v>
      </c>
      <c r="M27" s="218">
        <v>0.65</v>
      </c>
      <c r="N27" s="218">
        <v>0.2</v>
      </c>
    </row>
    <row r="29" spans="1:14" ht="25" thickBot="1" x14ac:dyDescent="0.45">
      <c r="A29" s="1" t="s">
        <v>191</v>
      </c>
    </row>
    <row r="30" spans="1:14" ht="16" thickBot="1" x14ac:dyDescent="0.25">
      <c r="A30" s="336" t="s">
        <v>46</v>
      </c>
      <c r="B30" s="336" t="s">
        <v>120</v>
      </c>
      <c r="C30" s="343" t="s">
        <v>149</v>
      </c>
      <c r="D30" s="344"/>
      <c r="E30" s="344"/>
      <c r="F30" s="344"/>
      <c r="G30" s="344"/>
      <c r="H30" s="345"/>
      <c r="I30" s="343" t="s">
        <v>180</v>
      </c>
      <c r="J30" s="344"/>
      <c r="K30" s="344"/>
      <c r="L30" s="344"/>
      <c r="M30" s="344"/>
      <c r="N30" s="345"/>
    </row>
    <row r="31" spans="1:14" ht="16" thickBot="1" x14ac:dyDescent="0.25">
      <c r="A31" s="336"/>
      <c r="B31" s="336"/>
      <c r="C31" s="350"/>
      <c r="D31" s="351"/>
      <c r="E31" s="351"/>
      <c r="F31" s="351"/>
      <c r="G31" s="351"/>
      <c r="H31" s="352"/>
      <c r="I31" s="346"/>
      <c r="J31" s="347"/>
      <c r="K31" s="347"/>
      <c r="L31" s="347"/>
      <c r="M31" s="347"/>
      <c r="N31" s="348"/>
    </row>
    <row r="32" spans="1:14" ht="25" thickBot="1" x14ac:dyDescent="0.45">
      <c r="A32" s="336"/>
      <c r="B32" s="336"/>
      <c r="C32" s="229">
        <v>3</v>
      </c>
      <c r="D32" s="229">
        <v>2</v>
      </c>
      <c r="E32" s="229">
        <v>2</v>
      </c>
      <c r="F32" s="229">
        <v>2</v>
      </c>
      <c r="G32" s="229">
        <v>2</v>
      </c>
      <c r="H32" s="229">
        <v>2</v>
      </c>
      <c r="I32" s="203" t="s">
        <v>167</v>
      </c>
      <c r="J32" s="203" t="s">
        <v>168</v>
      </c>
      <c r="K32" s="203" t="s">
        <v>169</v>
      </c>
      <c r="L32" s="203" t="s">
        <v>170</v>
      </c>
      <c r="M32" s="203" t="s">
        <v>171</v>
      </c>
      <c r="N32" s="230" t="s">
        <v>172</v>
      </c>
    </row>
    <row r="33" spans="1:14" ht="73" thickBot="1" x14ac:dyDescent="0.25">
      <c r="A33" s="336"/>
      <c r="B33" s="336"/>
      <c r="C33" s="194" t="s">
        <v>48</v>
      </c>
      <c r="D33" s="194" t="s">
        <v>49</v>
      </c>
      <c r="E33" s="194" t="s">
        <v>50</v>
      </c>
      <c r="F33" s="194" t="s">
        <v>51</v>
      </c>
      <c r="G33" s="194" t="s">
        <v>52</v>
      </c>
      <c r="H33" s="194" t="s">
        <v>53</v>
      </c>
      <c r="I33" s="194" t="s">
        <v>48</v>
      </c>
      <c r="J33" s="194" t="s">
        <v>49</v>
      </c>
      <c r="K33" s="194" t="s">
        <v>50</v>
      </c>
      <c r="L33" s="194" t="s">
        <v>51</v>
      </c>
      <c r="M33" s="194" t="s">
        <v>52</v>
      </c>
      <c r="N33" s="194" t="s">
        <v>53</v>
      </c>
    </row>
    <row r="34" spans="1:14" ht="46" thickBot="1" x14ac:dyDescent="0.25">
      <c r="A34" s="336"/>
      <c r="B34" s="336"/>
      <c r="C34" s="194" t="s">
        <v>141</v>
      </c>
      <c r="D34" s="194" t="s">
        <v>142</v>
      </c>
      <c r="E34" s="194" t="s">
        <v>142</v>
      </c>
      <c r="F34" s="194" t="s">
        <v>142</v>
      </c>
      <c r="G34" s="194" t="s">
        <v>142</v>
      </c>
      <c r="H34" s="194" t="s">
        <v>142</v>
      </c>
      <c r="I34" s="194" t="s">
        <v>159</v>
      </c>
      <c r="J34" s="194" t="s">
        <v>159</v>
      </c>
      <c r="K34" s="194" t="s">
        <v>159</v>
      </c>
      <c r="L34" s="194" t="s">
        <v>159</v>
      </c>
      <c r="M34" s="194" t="s">
        <v>159</v>
      </c>
      <c r="N34" s="194" t="s">
        <v>159</v>
      </c>
    </row>
    <row r="35" spans="1:14" ht="25" thickBot="1" x14ac:dyDescent="0.45">
      <c r="A35" s="359" t="s">
        <v>121</v>
      </c>
      <c r="B35" s="191" t="s">
        <v>125</v>
      </c>
      <c r="C35" s="180">
        <v>1.6</v>
      </c>
      <c r="D35" s="180"/>
      <c r="E35" s="180">
        <v>0.28000000000000003</v>
      </c>
      <c r="F35" s="180">
        <v>1.22</v>
      </c>
      <c r="G35" s="180"/>
      <c r="H35" s="180">
        <v>0.19</v>
      </c>
      <c r="I35" s="231">
        <v>0.57999999999999996</v>
      </c>
      <c r="J35" s="232"/>
      <c r="K35" s="232">
        <v>0.56999999999999995</v>
      </c>
      <c r="L35" s="232">
        <v>0.28000000000000003</v>
      </c>
      <c r="M35" s="232"/>
      <c r="N35" s="232">
        <v>0.25</v>
      </c>
    </row>
    <row r="36" spans="1:14" ht="25" thickBot="1" x14ac:dyDescent="0.45">
      <c r="A36" s="359"/>
      <c r="B36" s="191" t="s">
        <v>126</v>
      </c>
      <c r="C36" s="180">
        <v>2.2999999999999998</v>
      </c>
      <c r="D36" s="180"/>
      <c r="E36" s="180">
        <v>0.28999999999999998</v>
      </c>
      <c r="F36" s="180">
        <v>1.26</v>
      </c>
      <c r="G36" s="180"/>
      <c r="H36" s="180">
        <v>0.18</v>
      </c>
      <c r="I36" s="231">
        <v>0.62</v>
      </c>
      <c r="J36" s="232"/>
      <c r="K36" s="232">
        <v>0.52</v>
      </c>
      <c r="L36" s="232">
        <v>0.27</v>
      </c>
      <c r="M36" s="232"/>
      <c r="N36" s="232">
        <v>0.24</v>
      </c>
    </row>
    <row r="37" spans="1:14" ht="25" thickBot="1" x14ac:dyDescent="0.45">
      <c r="A37" s="359"/>
      <c r="B37" s="222" t="s">
        <v>127</v>
      </c>
      <c r="C37" s="215">
        <v>2.5</v>
      </c>
      <c r="D37" s="216"/>
      <c r="E37" s="215">
        <v>0.33333333333333331</v>
      </c>
      <c r="F37" s="215">
        <v>1.3194444444444444</v>
      </c>
      <c r="G37" s="215"/>
      <c r="H37" s="215">
        <v>0.16666666666666666</v>
      </c>
      <c r="I37" s="233">
        <v>0.5</v>
      </c>
      <c r="J37" s="234">
        <v>0.25</v>
      </c>
      <c r="K37" s="234">
        <v>0.5</v>
      </c>
      <c r="L37" s="234">
        <v>0.25</v>
      </c>
      <c r="M37" s="234">
        <v>0.65</v>
      </c>
      <c r="N37" s="234">
        <v>0.2</v>
      </c>
    </row>
    <row r="38" spans="1:14" ht="25" thickBot="1" x14ac:dyDescent="0.45">
      <c r="A38" s="359"/>
      <c r="B38" s="222" t="s">
        <v>128</v>
      </c>
      <c r="C38" s="215">
        <v>3</v>
      </c>
      <c r="D38" s="216"/>
      <c r="E38" s="215">
        <v>0.41666666666666669</v>
      </c>
      <c r="F38" s="215">
        <v>1.3611111111111112</v>
      </c>
      <c r="G38" s="215"/>
      <c r="H38" s="215">
        <v>0.16666666666666666</v>
      </c>
      <c r="I38" s="233">
        <v>0.5</v>
      </c>
      <c r="J38" s="234">
        <v>0.25</v>
      </c>
      <c r="K38" s="234">
        <v>0.5</v>
      </c>
      <c r="L38" s="234">
        <v>0.25</v>
      </c>
      <c r="M38" s="234">
        <v>0.65</v>
      </c>
      <c r="N38" s="234">
        <v>0.2</v>
      </c>
    </row>
    <row r="39" spans="1:14" ht="25" thickBot="1" x14ac:dyDescent="0.45">
      <c r="A39" s="359" t="s">
        <v>122</v>
      </c>
      <c r="B39" s="227" t="s">
        <v>129</v>
      </c>
      <c r="C39" s="180">
        <v>1.46</v>
      </c>
      <c r="D39" s="180"/>
      <c r="E39" s="180"/>
      <c r="F39" s="180">
        <v>0.52</v>
      </c>
      <c r="G39" s="180"/>
      <c r="H39" s="180">
        <v>0.25</v>
      </c>
      <c r="I39" s="231">
        <v>0.52</v>
      </c>
      <c r="J39" s="232"/>
      <c r="K39" s="232"/>
      <c r="L39" s="232">
        <v>0.42</v>
      </c>
      <c r="M39" s="232"/>
      <c r="N39" s="232">
        <v>0.26</v>
      </c>
    </row>
    <row r="40" spans="1:14" ht="25" thickBot="1" x14ac:dyDescent="0.45">
      <c r="A40" s="359"/>
      <c r="B40" s="227" t="s">
        <v>130</v>
      </c>
      <c r="C40" s="180">
        <v>1.69</v>
      </c>
      <c r="D40" s="180"/>
      <c r="E40" s="180"/>
      <c r="F40" s="180">
        <v>0.53</v>
      </c>
      <c r="G40" s="180"/>
      <c r="H40" s="180">
        <v>0.23</v>
      </c>
      <c r="I40" s="231">
        <v>0.48</v>
      </c>
      <c r="J40" s="232"/>
      <c r="K40" s="232"/>
      <c r="L40" s="232">
        <v>0.41</v>
      </c>
      <c r="M40" s="232"/>
      <c r="N40" s="232">
        <v>0.28000000000000003</v>
      </c>
    </row>
    <row r="41" spans="1:14" ht="25" thickBot="1" x14ac:dyDescent="0.45">
      <c r="A41" s="359"/>
      <c r="B41" s="235" t="s">
        <v>131</v>
      </c>
      <c r="C41" s="215">
        <v>2.0833333333333335</v>
      </c>
      <c r="D41" s="215"/>
      <c r="E41" s="216"/>
      <c r="F41" s="215">
        <v>0.69444444444444442</v>
      </c>
      <c r="G41" s="216"/>
      <c r="H41" s="215">
        <v>0.16666666666666666</v>
      </c>
      <c r="I41" s="233">
        <v>0.45</v>
      </c>
      <c r="J41" s="234">
        <v>0.3</v>
      </c>
      <c r="K41" s="234">
        <v>0.4</v>
      </c>
      <c r="L41" s="234">
        <v>0.35</v>
      </c>
      <c r="M41" s="234">
        <v>0.55000000000000004</v>
      </c>
      <c r="N41" s="234">
        <v>0</v>
      </c>
    </row>
    <row r="42" spans="1:14" ht="25" thickBot="1" x14ac:dyDescent="0.45">
      <c r="A42" s="359"/>
      <c r="B42" s="222" t="s">
        <v>132</v>
      </c>
      <c r="C42" s="215">
        <v>2.7777777777777777</v>
      </c>
      <c r="D42" s="215"/>
      <c r="E42" s="216"/>
      <c r="F42" s="215">
        <v>0.83333333333333337</v>
      </c>
      <c r="G42" s="216"/>
      <c r="H42" s="215">
        <v>0.16666666666666666</v>
      </c>
      <c r="I42" s="233">
        <v>0.45</v>
      </c>
      <c r="J42" s="234">
        <v>0.3</v>
      </c>
      <c r="K42" s="234">
        <v>0.4</v>
      </c>
      <c r="L42" s="234">
        <v>0.35</v>
      </c>
      <c r="M42" s="234">
        <v>0.55000000000000004</v>
      </c>
      <c r="N42" s="234">
        <v>0.2</v>
      </c>
    </row>
    <row r="43" spans="1:14" ht="25" thickBot="1" x14ac:dyDescent="0.45">
      <c r="A43" s="349" t="s">
        <v>123</v>
      </c>
      <c r="B43" s="190" t="s">
        <v>133</v>
      </c>
      <c r="C43" s="180">
        <v>1.2</v>
      </c>
      <c r="D43" s="180">
        <v>0.26</v>
      </c>
      <c r="E43" s="180">
        <v>0.28000000000000003</v>
      </c>
      <c r="F43" s="180">
        <v>0</v>
      </c>
      <c r="G43" s="180">
        <v>1.1000000000000001</v>
      </c>
      <c r="H43" s="180">
        <v>0.18</v>
      </c>
      <c r="I43" s="231">
        <v>0.62</v>
      </c>
      <c r="J43" s="232">
        <v>0.27</v>
      </c>
      <c r="K43" s="232">
        <v>0.68</v>
      </c>
      <c r="L43" s="232"/>
      <c r="M43" s="232">
        <v>0.67</v>
      </c>
      <c r="N43" s="232">
        <v>0.23</v>
      </c>
    </row>
    <row r="44" spans="1:14" ht="25" thickBot="1" x14ac:dyDescent="0.45">
      <c r="A44" s="349"/>
      <c r="B44" s="190" t="s">
        <v>134</v>
      </c>
      <c r="C44" s="180">
        <v>1.1399999999999999</v>
      </c>
      <c r="D44" s="180">
        <v>0.28000000000000003</v>
      </c>
      <c r="E44" s="180">
        <v>0.36</v>
      </c>
      <c r="F44" s="180">
        <v>0</v>
      </c>
      <c r="G44" s="180">
        <v>1.27</v>
      </c>
      <c r="H44" s="180">
        <v>0.19</v>
      </c>
      <c r="I44" s="231">
        <v>0.63</v>
      </c>
      <c r="J44" s="232">
        <v>0.28000000000000003</v>
      </c>
      <c r="K44" s="232">
        <v>0.69</v>
      </c>
      <c r="L44" s="232"/>
      <c r="M44" s="232">
        <v>0.68</v>
      </c>
      <c r="N44" s="232">
        <v>0.3</v>
      </c>
    </row>
    <row r="45" spans="1:14" ht="25" thickBot="1" x14ac:dyDescent="0.45">
      <c r="A45" s="349"/>
      <c r="B45" s="220" t="s">
        <v>135</v>
      </c>
      <c r="C45" s="221">
        <v>1.25</v>
      </c>
      <c r="D45" s="215">
        <v>0.25</v>
      </c>
      <c r="E45" s="221">
        <v>0.41666666666666669</v>
      </c>
      <c r="F45" s="221">
        <v>0</v>
      </c>
      <c r="G45" s="221">
        <v>1.3333333333333333</v>
      </c>
      <c r="H45" s="215">
        <v>0.16666666666666666</v>
      </c>
      <c r="I45" s="233">
        <v>0.6</v>
      </c>
      <c r="J45" s="234">
        <v>0.25</v>
      </c>
      <c r="K45" s="234">
        <v>0.65</v>
      </c>
      <c r="L45" s="234">
        <v>0.25</v>
      </c>
      <c r="M45" s="234">
        <v>0.65</v>
      </c>
      <c r="N45" s="234">
        <v>0.2</v>
      </c>
    </row>
    <row r="46" spans="1:14" ht="25" thickBot="1" x14ac:dyDescent="0.45">
      <c r="A46" s="349"/>
      <c r="B46" s="220" t="s">
        <v>136</v>
      </c>
      <c r="C46" s="221">
        <v>1.6666666666666667</v>
      </c>
      <c r="D46" s="215">
        <v>0.25</v>
      </c>
      <c r="E46" s="221">
        <v>0.5</v>
      </c>
      <c r="F46" s="221">
        <v>0</v>
      </c>
      <c r="G46" s="221">
        <v>1.5555555555555556</v>
      </c>
      <c r="H46" s="215">
        <v>0.16666666666666666</v>
      </c>
      <c r="I46" s="233">
        <v>0.6</v>
      </c>
      <c r="J46" s="234">
        <v>0.25</v>
      </c>
      <c r="K46" s="234">
        <v>0.65</v>
      </c>
      <c r="L46" s="234">
        <v>0.25</v>
      </c>
      <c r="M46" s="234">
        <v>0.65</v>
      </c>
      <c r="N46" s="234">
        <v>0.2</v>
      </c>
    </row>
    <row r="48" spans="1:14" x14ac:dyDescent="0.2">
      <c r="A48" s="225" t="s">
        <v>190</v>
      </c>
      <c r="G48" s="228"/>
    </row>
    <row r="49" spans="1:23" x14ac:dyDescent="0.2">
      <c r="A49" t="s">
        <v>192</v>
      </c>
    </row>
    <row r="50" spans="1:23" x14ac:dyDescent="0.2">
      <c r="A50" t="s">
        <v>193</v>
      </c>
    </row>
    <row r="51" spans="1:23" x14ac:dyDescent="0.2">
      <c r="A51" s="225" t="s">
        <v>194</v>
      </c>
    </row>
    <row r="52" spans="1:23" ht="13.5" customHeight="1" thickBot="1" x14ac:dyDescent="0.25"/>
    <row r="53" spans="1:23" ht="24" customHeight="1" thickBot="1" x14ac:dyDescent="0.25">
      <c r="A53" s="365" t="s">
        <v>118</v>
      </c>
      <c r="B53" s="365" t="s">
        <v>119</v>
      </c>
      <c r="C53" s="365" t="s">
        <v>120</v>
      </c>
      <c r="D53" s="363" t="s">
        <v>143</v>
      </c>
      <c r="E53" s="363" t="s">
        <v>31</v>
      </c>
      <c r="F53" s="360" t="s">
        <v>195</v>
      </c>
      <c r="G53" s="361"/>
      <c r="H53" s="361"/>
      <c r="I53" s="361"/>
      <c r="J53" s="361"/>
      <c r="K53" s="362"/>
      <c r="L53" s="356" t="s">
        <v>196</v>
      </c>
      <c r="M53" s="357"/>
      <c r="N53" s="357"/>
      <c r="O53" s="357"/>
      <c r="P53" s="357"/>
      <c r="Q53" s="358"/>
      <c r="R53" s="353" t="s">
        <v>197</v>
      </c>
      <c r="S53" s="354"/>
      <c r="T53" s="354"/>
      <c r="U53" s="354"/>
      <c r="V53" s="354"/>
      <c r="W53" s="355"/>
    </row>
    <row r="54" spans="1:23" ht="36.75" customHeight="1" thickBot="1" x14ac:dyDescent="0.25">
      <c r="A54" s="366"/>
      <c r="B54" s="366"/>
      <c r="C54" s="366"/>
      <c r="D54" s="364"/>
      <c r="E54" s="364"/>
      <c r="F54" s="236" t="s">
        <v>48</v>
      </c>
      <c r="G54" s="236" t="s">
        <v>49</v>
      </c>
      <c r="H54" s="236" t="s">
        <v>50</v>
      </c>
      <c r="I54" s="236" t="s">
        <v>51</v>
      </c>
      <c r="J54" s="236" t="s">
        <v>52</v>
      </c>
      <c r="K54" s="236" t="s">
        <v>53</v>
      </c>
      <c r="L54" s="240" t="s">
        <v>48</v>
      </c>
      <c r="M54" s="240" t="s">
        <v>49</v>
      </c>
      <c r="N54" s="240" t="s">
        <v>50</v>
      </c>
      <c r="O54" s="240" t="s">
        <v>51</v>
      </c>
      <c r="P54" s="240" t="s">
        <v>52</v>
      </c>
      <c r="Q54" s="240" t="s">
        <v>53</v>
      </c>
      <c r="R54" s="238" t="s">
        <v>48</v>
      </c>
      <c r="S54" s="238" t="s">
        <v>49</v>
      </c>
      <c r="T54" s="238" t="s">
        <v>50</v>
      </c>
      <c r="U54" s="238" t="s">
        <v>51</v>
      </c>
      <c r="V54" s="238" t="s">
        <v>52</v>
      </c>
      <c r="W54" s="238" t="s">
        <v>53</v>
      </c>
    </row>
    <row r="55" spans="1:23" ht="25" thickBot="1" x14ac:dyDescent="0.45">
      <c r="A55" s="193">
        <v>1</v>
      </c>
      <c r="B55" s="193" t="s">
        <v>121</v>
      </c>
      <c r="C55" s="193" t="s">
        <v>125</v>
      </c>
      <c r="D55" s="193">
        <v>10</v>
      </c>
      <c r="E55" s="226">
        <f t="shared" ref="E55:E60" si="2">D55/(1-0.02)</f>
        <v>10.204081632653061</v>
      </c>
      <c r="F55" s="237">
        <f>1/(I16/$E55)+C16</f>
        <v>21.908163265306122</v>
      </c>
      <c r="G55" s="237">
        <v>0</v>
      </c>
      <c r="H55" s="237">
        <f>1/(K16/$E55)+E16</f>
        <v>20.658163265306122</v>
      </c>
      <c r="I55" s="237">
        <f t="shared" ref="I55:K55" si="3">1/(L16/$E55)+F16</f>
        <v>42.016326530612247</v>
      </c>
      <c r="J55" s="237">
        <v>0</v>
      </c>
      <c r="K55" s="237">
        <f t="shared" si="3"/>
        <v>51.187074829931966</v>
      </c>
      <c r="L55" s="241">
        <v>19.193244194229418</v>
      </c>
      <c r="M55" s="241">
        <v>0</v>
      </c>
      <c r="N55" s="241">
        <v>18.181897601145725</v>
      </c>
      <c r="O55" s="241">
        <v>37.66314868804664</v>
      </c>
      <c r="P55" s="241">
        <v>0</v>
      </c>
      <c r="Q55" s="241">
        <v>41.006326530612242</v>
      </c>
      <c r="R55" s="239">
        <v>0.87607728506496652</v>
      </c>
      <c r="S55" s="239">
        <v>0</v>
      </c>
      <c r="T55" s="239">
        <v>0.88013137313523393</v>
      </c>
      <c r="U55" s="239">
        <v>0.89639318326903306</v>
      </c>
      <c r="V55" s="239">
        <v>0</v>
      </c>
      <c r="W55" s="239">
        <v>0.80110705030234575</v>
      </c>
    </row>
    <row r="56" spans="1:23" ht="25" thickBot="1" x14ac:dyDescent="0.45">
      <c r="A56" s="193">
        <v>2</v>
      </c>
      <c r="B56" s="193" t="s">
        <v>121</v>
      </c>
      <c r="C56" s="193" t="s">
        <v>126</v>
      </c>
      <c r="D56" s="193">
        <v>8</v>
      </c>
      <c r="E56" s="226">
        <f t="shared" si="2"/>
        <v>8.1632653061224492</v>
      </c>
      <c r="F56" s="237">
        <f>1/(I17/$E56)+C17</f>
        <v>18.326530612244898</v>
      </c>
      <c r="G56" s="237">
        <v>0</v>
      </c>
      <c r="H56" s="237">
        <f>1/(K17/$E56)+E17</f>
        <v>16.604308390022677</v>
      </c>
      <c r="I56" s="237">
        <f t="shared" ref="I56:K56" si="4">1/(L17/$E56)+F17</f>
        <v>33.903061224489797</v>
      </c>
      <c r="J56" s="237">
        <v>0</v>
      </c>
      <c r="K56" s="237">
        <f t="shared" si="4"/>
        <v>40.982993197278908</v>
      </c>
      <c r="L56" s="241">
        <v>15.466556945358789</v>
      </c>
      <c r="M56" s="241">
        <v>0</v>
      </c>
      <c r="N56" s="241">
        <v>15.988587127158553</v>
      </c>
      <c r="O56" s="241">
        <v>31.494315948601663</v>
      </c>
      <c r="P56" s="241">
        <v>0</v>
      </c>
      <c r="Q56" s="241">
        <v>34.193605442176874</v>
      </c>
      <c r="R56" s="239">
        <v>0.84394353042603631</v>
      </c>
      <c r="S56" s="239">
        <v>0</v>
      </c>
      <c r="T56" s="239">
        <v>0.96291798198387457</v>
      </c>
      <c r="U56" s="239">
        <v>0.92895198283309643</v>
      </c>
      <c r="V56" s="239">
        <v>0</v>
      </c>
      <c r="W56" s="239">
        <v>0.83433645945721657</v>
      </c>
    </row>
    <row r="57" spans="1:23" ht="25" thickBot="1" x14ac:dyDescent="0.45">
      <c r="A57" s="193">
        <v>3</v>
      </c>
      <c r="B57" s="193" t="s">
        <v>122</v>
      </c>
      <c r="C57" s="193" t="s">
        <v>129</v>
      </c>
      <c r="D57" s="193">
        <v>20</v>
      </c>
      <c r="E57" s="226">
        <f t="shared" si="2"/>
        <v>20.408163265306122</v>
      </c>
      <c r="F57" s="237">
        <f>1/(I20/$E57)+C20</f>
        <v>46.795918367346935</v>
      </c>
      <c r="G57" s="237">
        <v>0</v>
      </c>
      <c r="H57" s="237">
        <v>0</v>
      </c>
      <c r="I57" s="237">
        <f>1/(L20/$E57)+F20</f>
        <v>58.809037900874642</v>
      </c>
      <c r="J57" s="237">
        <v>0</v>
      </c>
      <c r="K57" s="237">
        <f>1/(N20/$E57)+H20</f>
        <v>102.20748299319727</v>
      </c>
      <c r="L57" s="241">
        <v>40.446467817896391</v>
      </c>
      <c r="M57" s="241">
        <v>0</v>
      </c>
      <c r="N57" s="241">
        <v>0</v>
      </c>
      <c r="O57" s="241">
        <v>48.590864917395528</v>
      </c>
      <c r="P57" s="241">
        <v>0</v>
      </c>
      <c r="Q57" s="241">
        <v>78.742935635792776</v>
      </c>
      <c r="R57" s="239">
        <v>0.86431614613036345</v>
      </c>
      <c r="S57" s="239">
        <v>0</v>
      </c>
      <c r="T57" s="239">
        <v>0</v>
      </c>
      <c r="U57" s="239">
        <v>0.82624825455056217</v>
      </c>
      <c r="V57" s="239">
        <v>0</v>
      </c>
      <c r="W57" s="239">
        <v>0.77042241262348421</v>
      </c>
    </row>
    <row r="58" spans="1:23" ht="25" thickBot="1" x14ac:dyDescent="0.45">
      <c r="A58" s="193">
        <v>4</v>
      </c>
      <c r="B58" s="193" t="s">
        <v>122</v>
      </c>
      <c r="C58" s="193" t="s">
        <v>130</v>
      </c>
      <c r="D58" s="193">
        <v>5</v>
      </c>
      <c r="E58" s="226">
        <f t="shared" si="2"/>
        <v>5.1020408163265305</v>
      </c>
      <c r="F58" s="237">
        <f>1/(I21/$E58)+C21</f>
        <v>13.004535147392289</v>
      </c>
      <c r="G58" s="237">
        <v>0</v>
      </c>
      <c r="H58" s="237">
        <v>0</v>
      </c>
      <c r="I58" s="237">
        <f t="shared" ref="I58" si="5">1/(L21/$E58)+F21</f>
        <v>15.132815030774216</v>
      </c>
      <c r="J58" s="237">
        <v>0</v>
      </c>
      <c r="K58" s="237">
        <f t="shared" ref="K58" si="6">1/(N21/$E58)+H21</f>
        <v>25.676870748299319</v>
      </c>
      <c r="L58" s="241">
        <v>11.769251700680273</v>
      </c>
      <c r="M58" s="241">
        <v>0</v>
      </c>
      <c r="N58" s="241">
        <v>0</v>
      </c>
      <c r="O58" s="241">
        <v>12.444001991040318</v>
      </c>
      <c r="P58" s="241">
        <v>0</v>
      </c>
      <c r="Q58" s="241">
        <v>18.411574344023322</v>
      </c>
      <c r="R58" s="239">
        <v>0.9050113339145599</v>
      </c>
      <c r="S58" s="239">
        <v>0</v>
      </c>
      <c r="T58" s="239">
        <v>0</v>
      </c>
      <c r="U58" s="239">
        <v>0.82231904412590084</v>
      </c>
      <c r="V58" s="239">
        <v>0</v>
      </c>
      <c r="W58" s="239">
        <v>0.71704899419033741</v>
      </c>
    </row>
    <row r="59" spans="1:23" ht="25" thickBot="1" x14ac:dyDescent="0.45">
      <c r="A59" s="193">
        <v>5</v>
      </c>
      <c r="B59" s="193" t="s">
        <v>123</v>
      </c>
      <c r="C59" s="193" t="s">
        <v>133</v>
      </c>
      <c r="D59" s="193">
        <v>6</v>
      </c>
      <c r="E59" s="226">
        <f t="shared" si="2"/>
        <v>6.1224489795918364</v>
      </c>
      <c r="F59" s="237">
        <f>1/(I24/$E59)+C24</f>
        <v>11.204081632653061</v>
      </c>
      <c r="G59" s="237">
        <f t="shared" ref="G59:K59" si="7">1/(J24/$E59)+D24</f>
        <v>24.739795918367346</v>
      </c>
      <c r="H59" s="237">
        <f t="shared" si="7"/>
        <v>9.669152276295133</v>
      </c>
      <c r="I59" s="237">
        <v>0</v>
      </c>
      <c r="J59" s="237">
        <f t="shared" si="7"/>
        <v>10.419152276295133</v>
      </c>
      <c r="K59" s="237">
        <f t="shared" si="7"/>
        <v>30.778911564625847</v>
      </c>
      <c r="L59" s="241">
        <v>11.07491770901909</v>
      </c>
      <c r="M59" s="241">
        <v>22.935736961451244</v>
      </c>
      <c r="N59" s="241">
        <v>9.2836014405762288</v>
      </c>
      <c r="O59" s="241">
        <v>0</v>
      </c>
      <c r="P59" s="241">
        <v>10.237983551629606</v>
      </c>
      <c r="Q59" s="241">
        <v>26.799343389529721</v>
      </c>
      <c r="R59" s="239">
        <v>0.98847170809095708</v>
      </c>
      <c r="S59" s="239">
        <v>0.92707866455855725</v>
      </c>
      <c r="T59" s="239">
        <v>0.96012568375160257</v>
      </c>
      <c r="U59" s="239">
        <v>0</v>
      </c>
      <c r="V59" s="239">
        <v>0.9826119515425733</v>
      </c>
      <c r="W59" s="239">
        <v>0.87070471394869475</v>
      </c>
    </row>
    <row r="60" spans="1:23" ht="25" thickBot="1" x14ac:dyDescent="0.45">
      <c r="A60" s="193">
        <v>6</v>
      </c>
      <c r="B60" s="193" t="s">
        <v>123</v>
      </c>
      <c r="C60" s="193" t="s">
        <v>134</v>
      </c>
      <c r="D60" s="193">
        <v>12</v>
      </c>
      <c r="E60" s="226">
        <f t="shared" si="2"/>
        <v>12.244897959183673</v>
      </c>
      <c r="F60" s="237">
        <f>1/(I25/$E60)+C25</f>
        <v>21.519274376417233</v>
      </c>
      <c r="G60" s="237">
        <f t="shared" ref="G60" si="8">1/(J25/$E60)+D25</f>
        <v>49.229591836734691</v>
      </c>
      <c r="H60" s="237">
        <f t="shared" ref="H60" si="9">1/(K25/$E60)+E25</f>
        <v>19.171637885923598</v>
      </c>
      <c r="I60" s="237">
        <v>0</v>
      </c>
      <c r="J60" s="237">
        <f t="shared" ref="J60" si="10">1/(M25/$E60)+G25</f>
        <v>20.004971219256934</v>
      </c>
      <c r="K60" s="237">
        <f t="shared" ref="K60" si="11">1/(N25/$E60)+H25</f>
        <v>61.391156462585023</v>
      </c>
      <c r="L60" s="241">
        <v>20.576345966958211</v>
      </c>
      <c r="M60" s="241">
        <v>44.011778425655969</v>
      </c>
      <c r="N60" s="241">
        <v>18.10622892635315</v>
      </c>
      <c r="O60" s="241">
        <v>0</v>
      </c>
      <c r="P60" s="241">
        <v>19.277202881152459</v>
      </c>
      <c r="Q60" s="241">
        <v>41.006326530612242</v>
      </c>
      <c r="R60" s="239">
        <v>0.95618214662050283</v>
      </c>
      <c r="S60" s="239">
        <v>0.89401063026516425</v>
      </c>
      <c r="T60" s="239">
        <v>0.944427859220484</v>
      </c>
      <c r="U60" s="239">
        <v>0</v>
      </c>
      <c r="V60" s="239">
        <v>0.96362062558710804</v>
      </c>
      <c r="W60" s="239">
        <v>0.66795168707407615</v>
      </c>
    </row>
    <row r="63" spans="1:23" ht="16" thickBot="1" x14ac:dyDescent="0.25"/>
    <row r="64" spans="1:23" ht="24.75" customHeight="1" thickBot="1" x14ac:dyDescent="0.25">
      <c r="D64" s="365" t="s">
        <v>118</v>
      </c>
      <c r="E64" s="365" t="s">
        <v>119</v>
      </c>
      <c r="F64" s="365" t="s">
        <v>120</v>
      </c>
      <c r="G64" s="363" t="s">
        <v>143</v>
      </c>
      <c r="H64" s="363" t="s">
        <v>31</v>
      </c>
      <c r="I64" s="353" t="s">
        <v>197</v>
      </c>
      <c r="J64" s="354"/>
      <c r="K64" s="354"/>
      <c r="L64" s="354"/>
      <c r="M64" s="354"/>
      <c r="N64" s="355"/>
    </row>
    <row r="65" spans="4:14" ht="39" customHeight="1" thickBot="1" x14ac:dyDescent="0.25">
      <c r="D65" s="366"/>
      <c r="E65" s="366"/>
      <c r="F65" s="366"/>
      <c r="G65" s="364"/>
      <c r="H65" s="364"/>
      <c r="I65" s="238" t="s">
        <v>48</v>
      </c>
      <c r="J65" s="238" t="s">
        <v>49</v>
      </c>
      <c r="K65" s="238" t="s">
        <v>50</v>
      </c>
      <c r="L65" s="238" t="s">
        <v>51</v>
      </c>
      <c r="M65" s="238" t="s">
        <v>52</v>
      </c>
      <c r="N65" s="238" t="s">
        <v>53</v>
      </c>
    </row>
    <row r="66" spans="4:14" ht="25" thickBot="1" x14ac:dyDescent="0.45">
      <c r="D66" s="274">
        <v>1</v>
      </c>
      <c r="E66" s="274" t="s">
        <v>121</v>
      </c>
      <c r="F66" s="274" t="s">
        <v>125</v>
      </c>
      <c r="G66" s="274">
        <v>10</v>
      </c>
      <c r="H66" s="313">
        <f t="shared" ref="H66:H71" si="12">G66/(1-0.02)</f>
        <v>10.204081632653061</v>
      </c>
      <c r="I66" s="239">
        <v>0.87607728506496652</v>
      </c>
      <c r="J66" s="239">
        <v>0</v>
      </c>
      <c r="K66" s="239">
        <v>0.88013137313523393</v>
      </c>
      <c r="L66" s="239">
        <v>0.89639318326903306</v>
      </c>
      <c r="M66" s="239">
        <v>0</v>
      </c>
      <c r="N66" s="239">
        <v>0.80110705030234575</v>
      </c>
    </row>
    <row r="67" spans="4:14" ht="25" thickBot="1" x14ac:dyDescent="0.45">
      <c r="D67" s="274">
        <v>2</v>
      </c>
      <c r="E67" s="274" t="s">
        <v>121</v>
      </c>
      <c r="F67" s="274" t="s">
        <v>126</v>
      </c>
      <c r="G67" s="274">
        <v>8</v>
      </c>
      <c r="H67" s="313">
        <f t="shared" si="12"/>
        <v>8.1632653061224492</v>
      </c>
      <c r="I67" s="239">
        <v>0.84394353042603631</v>
      </c>
      <c r="J67" s="239">
        <v>0</v>
      </c>
      <c r="K67" s="239">
        <v>0.96291798198387457</v>
      </c>
      <c r="L67" s="239">
        <v>0.92895198283309643</v>
      </c>
      <c r="M67" s="239">
        <v>0</v>
      </c>
      <c r="N67" s="239">
        <v>0.83433645945721657</v>
      </c>
    </row>
    <row r="68" spans="4:14" ht="25" thickBot="1" x14ac:dyDescent="0.45">
      <c r="D68" s="274">
        <v>3</v>
      </c>
      <c r="E68" s="274" t="s">
        <v>122</v>
      </c>
      <c r="F68" s="274" t="s">
        <v>129</v>
      </c>
      <c r="G68" s="274">
        <v>20</v>
      </c>
      <c r="H68" s="313">
        <f t="shared" si="12"/>
        <v>20.408163265306122</v>
      </c>
      <c r="I68" s="239">
        <v>0.86431614613036345</v>
      </c>
      <c r="J68" s="239">
        <v>0</v>
      </c>
      <c r="K68" s="239">
        <v>0</v>
      </c>
      <c r="L68" s="239">
        <v>0.82624825455056217</v>
      </c>
      <c r="M68" s="239">
        <v>0</v>
      </c>
      <c r="N68" s="239">
        <v>0.77042241262348421</v>
      </c>
    </row>
    <row r="69" spans="4:14" ht="25" thickBot="1" x14ac:dyDescent="0.45">
      <c r="D69" s="274">
        <v>4</v>
      </c>
      <c r="E69" s="274" t="s">
        <v>122</v>
      </c>
      <c r="F69" s="274" t="s">
        <v>130</v>
      </c>
      <c r="G69" s="274">
        <v>5</v>
      </c>
      <c r="H69" s="313">
        <f t="shared" si="12"/>
        <v>5.1020408163265305</v>
      </c>
      <c r="I69" s="239">
        <v>0.9050113339145599</v>
      </c>
      <c r="J69" s="239">
        <v>0</v>
      </c>
      <c r="K69" s="239">
        <v>0</v>
      </c>
      <c r="L69" s="239">
        <v>0.82231904412590084</v>
      </c>
      <c r="M69" s="239">
        <v>0</v>
      </c>
      <c r="N69" s="239">
        <v>0.71704899419033741</v>
      </c>
    </row>
    <row r="70" spans="4:14" ht="25" thickBot="1" x14ac:dyDescent="0.45">
      <c r="D70" s="274">
        <v>5</v>
      </c>
      <c r="E70" s="274" t="s">
        <v>123</v>
      </c>
      <c r="F70" s="274" t="s">
        <v>133</v>
      </c>
      <c r="G70" s="274">
        <v>6</v>
      </c>
      <c r="H70" s="313">
        <f t="shared" si="12"/>
        <v>6.1224489795918364</v>
      </c>
      <c r="I70" s="239">
        <v>0.98847170809095708</v>
      </c>
      <c r="J70" s="239">
        <v>0.92707866455855725</v>
      </c>
      <c r="K70" s="239">
        <v>0.96012568375160257</v>
      </c>
      <c r="L70" s="239">
        <v>0</v>
      </c>
      <c r="M70" s="239">
        <v>0.9826119515425733</v>
      </c>
      <c r="N70" s="239">
        <v>0.87070471394869475</v>
      </c>
    </row>
    <row r="71" spans="4:14" ht="25" thickBot="1" x14ac:dyDescent="0.45">
      <c r="D71" s="274">
        <v>6</v>
      </c>
      <c r="E71" s="274" t="s">
        <v>123</v>
      </c>
      <c r="F71" s="274" t="s">
        <v>134</v>
      </c>
      <c r="G71" s="274">
        <v>12</v>
      </c>
      <c r="H71" s="313">
        <f t="shared" si="12"/>
        <v>12.244897959183673</v>
      </c>
      <c r="I71" s="239">
        <v>0.95618214662050283</v>
      </c>
      <c r="J71" s="239">
        <v>0.89401063026516425</v>
      </c>
      <c r="K71" s="239">
        <v>0.944427859220484</v>
      </c>
      <c r="L71" s="239">
        <v>0</v>
      </c>
      <c r="M71" s="239">
        <v>0.96362062558710804</v>
      </c>
      <c r="N71" s="239">
        <v>0.66795168707407615</v>
      </c>
    </row>
  </sheetData>
  <mergeCells count="28">
    <mergeCell ref="H64:H65"/>
    <mergeCell ref="I64:N64"/>
    <mergeCell ref="L53:Q53"/>
    <mergeCell ref="R53:W53"/>
    <mergeCell ref="A35:A38"/>
    <mergeCell ref="A39:A42"/>
    <mergeCell ref="A43:A46"/>
    <mergeCell ref="F53:K53"/>
    <mergeCell ref="E53:E54"/>
    <mergeCell ref="D53:D54"/>
    <mergeCell ref="C53:C54"/>
    <mergeCell ref="B53:B54"/>
    <mergeCell ref="A53:A54"/>
    <mergeCell ref="D64:D65"/>
    <mergeCell ref="E64:E65"/>
    <mergeCell ref="F64:F65"/>
    <mergeCell ref="G64:G65"/>
    <mergeCell ref="A24:A27"/>
    <mergeCell ref="A30:A34"/>
    <mergeCell ref="B30:B34"/>
    <mergeCell ref="C30:H31"/>
    <mergeCell ref="I30:N31"/>
    <mergeCell ref="A20:A23"/>
    <mergeCell ref="A11:A15"/>
    <mergeCell ref="B11:B15"/>
    <mergeCell ref="C11:H12"/>
    <mergeCell ref="I11:N12"/>
    <mergeCell ref="A16:A19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abSelected="1" zoomScale="89" zoomScaleNormal="89" zoomScalePageLayoutView="89" workbookViewId="0">
      <selection activeCell="E9" sqref="E9:L9"/>
    </sheetView>
  </sheetViews>
  <sheetFormatPr baseColWidth="10" defaultColWidth="8.83203125" defaultRowHeight="15" x14ac:dyDescent="0.2"/>
  <cols>
    <col min="2" max="2" width="11.83203125" bestFit="1" customWidth="1"/>
    <col min="3" max="3" width="14.1640625" bestFit="1" customWidth="1"/>
    <col min="4" max="4" width="17.1640625" customWidth="1"/>
    <col min="5" max="5" width="10.83203125" customWidth="1"/>
    <col min="6" max="7" width="9.33203125" bestFit="1" customWidth="1"/>
    <col min="8" max="8" width="18.83203125" customWidth="1"/>
    <col min="9" max="9" width="9.6640625" customWidth="1"/>
    <col min="10" max="10" width="9.33203125" bestFit="1" customWidth="1"/>
    <col min="11" max="11" width="9.6640625" customWidth="1"/>
    <col min="12" max="12" width="18.1640625" bestFit="1" customWidth="1"/>
    <col min="13" max="13" width="12" bestFit="1" customWidth="1"/>
    <col min="14" max="14" width="10.6640625" bestFit="1" customWidth="1"/>
    <col min="15" max="15" width="11.5" bestFit="1" customWidth="1"/>
  </cols>
  <sheetData>
    <row r="1" spans="1:15" ht="25.5" customHeight="1" x14ac:dyDescent="0.2">
      <c r="A1" s="243" t="s">
        <v>202</v>
      </c>
      <c r="B1" s="244"/>
      <c r="C1" s="244"/>
      <c r="D1" s="243" t="s">
        <v>198</v>
      </c>
      <c r="E1" s="244" t="s">
        <v>209</v>
      </c>
      <c r="F1" s="243"/>
      <c r="G1" s="243"/>
      <c r="H1" s="243"/>
      <c r="I1" s="244"/>
      <c r="K1" s="246" t="s">
        <v>215</v>
      </c>
      <c r="L1" s="255"/>
    </row>
    <row r="2" spans="1:15" ht="24" x14ac:dyDescent="0.2">
      <c r="A2" s="243" t="s">
        <v>203</v>
      </c>
      <c r="B2" s="244"/>
      <c r="C2" s="244"/>
      <c r="D2" s="243" t="s">
        <v>199</v>
      </c>
      <c r="E2" s="244" t="s">
        <v>208</v>
      </c>
      <c r="F2" s="243"/>
      <c r="G2" s="243"/>
      <c r="H2" s="243"/>
      <c r="I2" s="244"/>
    </row>
    <row r="3" spans="1:15" ht="24" x14ac:dyDescent="0.2">
      <c r="A3" s="245" t="s">
        <v>204</v>
      </c>
      <c r="B3" s="244"/>
      <c r="C3" s="245"/>
      <c r="D3" s="243" t="s">
        <v>200</v>
      </c>
      <c r="E3" s="244" t="s">
        <v>207</v>
      </c>
      <c r="F3" s="243"/>
      <c r="G3" s="243"/>
      <c r="H3" s="243"/>
      <c r="I3" s="244"/>
      <c r="J3" s="242"/>
    </row>
    <row r="4" spans="1:15" ht="24" x14ac:dyDescent="0.2">
      <c r="A4" s="243" t="s">
        <v>205</v>
      </c>
      <c r="B4" s="244"/>
      <c r="C4" s="244"/>
      <c r="D4" s="243" t="s">
        <v>201</v>
      </c>
      <c r="E4" s="244" t="s">
        <v>210</v>
      </c>
      <c r="F4" s="243"/>
      <c r="G4" s="243"/>
      <c r="H4" s="243"/>
      <c r="I4" s="244"/>
    </row>
    <row r="5" spans="1:15" ht="24" x14ac:dyDescent="0.2">
      <c r="A5" s="243" t="s">
        <v>206</v>
      </c>
      <c r="B5" s="244"/>
      <c r="C5" s="244"/>
      <c r="D5" s="243" t="s">
        <v>198</v>
      </c>
      <c r="E5" s="244" t="s">
        <v>211</v>
      </c>
      <c r="F5" s="243"/>
      <c r="G5" s="243"/>
      <c r="H5" s="243"/>
      <c r="I5" s="244"/>
    </row>
    <row r="6" spans="1:15" ht="24" x14ac:dyDescent="0.2">
      <c r="A6" s="243" t="s">
        <v>212</v>
      </c>
      <c r="D6" s="243" t="s">
        <v>198</v>
      </c>
      <c r="E6" s="244" t="s">
        <v>213</v>
      </c>
      <c r="F6" s="243"/>
      <c r="G6" s="243"/>
      <c r="H6" s="243"/>
      <c r="I6" s="244"/>
    </row>
    <row r="7" spans="1:15" ht="16" x14ac:dyDescent="0.2">
      <c r="M7" s="312"/>
      <c r="N7" s="312"/>
      <c r="O7" s="312"/>
    </row>
    <row r="8" spans="1:15" ht="24" x14ac:dyDescent="0.2">
      <c r="A8" s="311" t="s">
        <v>223</v>
      </c>
      <c r="C8" t="s">
        <v>297</v>
      </c>
    </row>
    <row r="9" spans="1:15" ht="22.5" customHeight="1" x14ac:dyDescent="0.2">
      <c r="A9" s="372" t="s">
        <v>14</v>
      </c>
      <c r="B9" s="369" t="s">
        <v>243</v>
      </c>
      <c r="C9" s="372" t="s">
        <v>219</v>
      </c>
      <c r="D9" s="372" t="s">
        <v>220</v>
      </c>
      <c r="E9" s="378" t="s">
        <v>221</v>
      </c>
      <c r="F9" s="379"/>
      <c r="G9" s="379"/>
      <c r="H9" s="379"/>
      <c r="I9" s="379"/>
      <c r="J9" s="379"/>
      <c r="K9" s="379"/>
      <c r="L9" s="380"/>
      <c r="M9" s="373" t="s">
        <v>224</v>
      </c>
      <c r="N9" s="376" t="s">
        <v>225</v>
      </c>
      <c r="O9" s="367" t="s">
        <v>214</v>
      </c>
    </row>
    <row r="10" spans="1:15" ht="24" x14ac:dyDescent="0.2">
      <c r="A10" s="372"/>
      <c r="B10" s="370"/>
      <c r="C10" s="372"/>
      <c r="D10" s="372"/>
      <c r="E10" s="378" t="s">
        <v>296</v>
      </c>
      <c r="F10" s="379"/>
      <c r="G10" s="379"/>
      <c r="H10" s="380"/>
      <c r="I10" s="378" t="s">
        <v>295</v>
      </c>
      <c r="J10" s="379"/>
      <c r="K10" s="379"/>
      <c r="L10" s="380"/>
      <c r="M10" s="374"/>
      <c r="N10" s="376"/>
      <c r="O10" s="367"/>
    </row>
    <row r="11" spans="1:15" ht="48" x14ac:dyDescent="0.2">
      <c r="A11" s="372"/>
      <c r="B11" s="371"/>
      <c r="C11" s="372"/>
      <c r="D11" s="372"/>
      <c r="E11" s="310" t="s">
        <v>216</v>
      </c>
      <c r="F11" s="310" t="s">
        <v>217</v>
      </c>
      <c r="G11" s="310" t="s">
        <v>218</v>
      </c>
      <c r="H11" s="310" t="s">
        <v>222</v>
      </c>
      <c r="I11" s="310" t="s">
        <v>216</v>
      </c>
      <c r="J11" s="310" t="s">
        <v>217</v>
      </c>
      <c r="K11" s="310" t="s">
        <v>218</v>
      </c>
      <c r="L11" s="310" t="s">
        <v>222</v>
      </c>
      <c r="M11" s="375"/>
      <c r="N11" s="377"/>
      <c r="O11" s="368"/>
    </row>
    <row r="12" spans="1:15" ht="24" x14ac:dyDescent="0.2">
      <c r="A12" s="247">
        <v>1</v>
      </c>
      <c r="B12" s="250" t="s">
        <v>207</v>
      </c>
      <c r="C12" s="250" t="s">
        <v>226</v>
      </c>
      <c r="D12" s="287" t="s">
        <v>227</v>
      </c>
      <c r="E12" s="291">
        <v>241066</v>
      </c>
      <c r="F12" s="290">
        <v>241071</v>
      </c>
      <c r="G12" s="295" t="s">
        <v>294</v>
      </c>
      <c r="H12" s="309" t="s">
        <v>287</v>
      </c>
      <c r="I12" s="291">
        <v>241098</v>
      </c>
      <c r="J12" s="291">
        <v>241111</v>
      </c>
      <c r="K12" s="290">
        <v>241113</v>
      </c>
      <c r="L12" s="309" t="s">
        <v>289</v>
      </c>
      <c r="M12" s="283">
        <f>5+13</f>
        <v>18</v>
      </c>
      <c r="N12" s="283">
        <f>5+2</f>
        <v>7</v>
      </c>
      <c r="O12" s="282">
        <f t="shared" ref="O12:O24" si="0">(M12-N12)/M12</f>
        <v>0.61111111111111116</v>
      </c>
    </row>
    <row r="13" spans="1:15" ht="24" x14ac:dyDescent="0.2">
      <c r="A13" s="248">
        <v>2</v>
      </c>
      <c r="B13" s="251"/>
      <c r="C13" s="251"/>
      <c r="D13" s="297" t="s">
        <v>228</v>
      </c>
      <c r="E13" s="307" t="s">
        <v>294</v>
      </c>
      <c r="F13" s="308" t="s">
        <v>265</v>
      </c>
      <c r="G13" s="307" t="s">
        <v>293</v>
      </c>
      <c r="H13" s="296" t="s">
        <v>292</v>
      </c>
      <c r="I13" s="307" t="s">
        <v>269</v>
      </c>
      <c r="J13" s="306">
        <v>241115</v>
      </c>
      <c r="K13" s="305">
        <v>241118</v>
      </c>
      <c r="L13" s="255" t="s">
        <v>285</v>
      </c>
      <c r="M13" s="304">
        <v>12</v>
      </c>
      <c r="N13" s="303">
        <f>4+3</f>
        <v>7</v>
      </c>
      <c r="O13" s="302">
        <f t="shared" si="0"/>
        <v>0.41666666666666669</v>
      </c>
    </row>
    <row r="14" spans="1:15" ht="24" x14ac:dyDescent="0.2">
      <c r="A14" s="249">
        <v>3</v>
      </c>
      <c r="B14" s="252"/>
      <c r="C14" s="252"/>
      <c r="D14" s="281" t="s">
        <v>229</v>
      </c>
      <c r="E14" s="289" t="s">
        <v>291</v>
      </c>
      <c r="F14" s="288" t="s">
        <v>290</v>
      </c>
      <c r="G14" s="301" t="s">
        <v>265</v>
      </c>
      <c r="H14" s="299" t="s">
        <v>289</v>
      </c>
      <c r="I14" s="300">
        <v>241092</v>
      </c>
      <c r="J14" s="289" t="s">
        <v>288</v>
      </c>
      <c r="K14" s="293">
        <v>241105</v>
      </c>
      <c r="L14" s="299" t="s">
        <v>287</v>
      </c>
      <c r="M14" s="298">
        <f>10+28</f>
        <v>38</v>
      </c>
      <c r="N14" s="277">
        <f>3+10</f>
        <v>13</v>
      </c>
      <c r="O14" s="276">
        <f t="shared" si="0"/>
        <v>0.65789473684210531</v>
      </c>
    </row>
    <row r="15" spans="1:15" ht="24" x14ac:dyDescent="0.2">
      <c r="A15" s="247">
        <v>4</v>
      </c>
      <c r="B15" s="250" t="s">
        <v>208</v>
      </c>
      <c r="C15" s="250" t="s">
        <v>230</v>
      </c>
      <c r="D15" s="287" t="s">
        <v>231</v>
      </c>
      <c r="E15" s="291">
        <v>241064</v>
      </c>
      <c r="F15" s="290">
        <v>241073</v>
      </c>
      <c r="G15" s="291">
        <v>241076</v>
      </c>
      <c r="H15" s="297" t="s">
        <v>286</v>
      </c>
      <c r="I15" s="291">
        <v>241096</v>
      </c>
      <c r="J15" s="291">
        <v>241101</v>
      </c>
      <c r="K15" s="290">
        <v>241104</v>
      </c>
      <c r="L15" s="255" t="s">
        <v>285</v>
      </c>
      <c r="M15" s="283">
        <f>9+5</f>
        <v>14</v>
      </c>
      <c r="N15" s="283">
        <f>3+3</f>
        <v>6</v>
      </c>
      <c r="O15" s="282">
        <f t="shared" si="0"/>
        <v>0.5714285714285714</v>
      </c>
    </row>
    <row r="16" spans="1:15" ht="24" x14ac:dyDescent="0.2">
      <c r="A16" s="249">
        <v>5</v>
      </c>
      <c r="B16" s="252"/>
      <c r="C16" s="252"/>
      <c r="D16" s="281" t="s">
        <v>232</v>
      </c>
      <c r="E16" s="252"/>
      <c r="F16" s="281"/>
      <c r="G16" s="252"/>
      <c r="H16" s="281"/>
      <c r="I16" s="294">
        <v>241089</v>
      </c>
      <c r="J16" s="294">
        <v>241097</v>
      </c>
      <c r="K16" s="293">
        <v>241100</v>
      </c>
      <c r="L16" s="296" t="s">
        <v>281</v>
      </c>
      <c r="M16" s="277">
        <v>8</v>
      </c>
      <c r="N16" s="277">
        <v>3</v>
      </c>
      <c r="O16" s="276">
        <f t="shared" si="0"/>
        <v>0.625</v>
      </c>
    </row>
    <row r="17" spans="1:15" ht="24" x14ac:dyDescent="0.2">
      <c r="A17" s="247">
        <v>6</v>
      </c>
      <c r="B17" s="250" t="s">
        <v>209</v>
      </c>
      <c r="C17" s="250" t="s">
        <v>233</v>
      </c>
      <c r="D17" s="287" t="s">
        <v>234</v>
      </c>
      <c r="E17" s="291">
        <v>241071</v>
      </c>
      <c r="F17" s="290">
        <v>241083</v>
      </c>
      <c r="G17" s="291">
        <v>241086</v>
      </c>
      <c r="H17" s="296" t="s">
        <v>284</v>
      </c>
      <c r="I17" s="291"/>
      <c r="J17" s="291"/>
      <c r="K17" s="290"/>
      <c r="L17" s="254"/>
      <c r="M17" s="283">
        <v>12</v>
      </c>
      <c r="N17" s="283">
        <v>3</v>
      </c>
      <c r="O17" s="282">
        <f t="shared" si="0"/>
        <v>0.75</v>
      </c>
    </row>
    <row r="18" spans="1:15" ht="24" x14ac:dyDescent="0.2">
      <c r="A18" s="249">
        <v>7</v>
      </c>
      <c r="B18" s="252"/>
      <c r="C18" s="252"/>
      <c r="D18" s="281" t="s">
        <v>235</v>
      </c>
      <c r="E18" s="252"/>
      <c r="F18" s="281"/>
      <c r="G18" s="252"/>
      <c r="H18" s="281"/>
      <c r="I18" s="289" t="s">
        <v>283</v>
      </c>
      <c r="J18" s="289" t="s">
        <v>275</v>
      </c>
      <c r="K18" s="288" t="s">
        <v>282</v>
      </c>
      <c r="L18" s="296" t="s">
        <v>281</v>
      </c>
      <c r="M18" s="277">
        <v>5</v>
      </c>
      <c r="N18" s="277">
        <v>1</v>
      </c>
      <c r="O18" s="276">
        <f t="shared" si="0"/>
        <v>0.8</v>
      </c>
    </row>
    <row r="19" spans="1:15" ht="24" x14ac:dyDescent="0.2">
      <c r="A19" s="247">
        <v>8</v>
      </c>
      <c r="B19" s="250" t="s">
        <v>210</v>
      </c>
      <c r="C19" s="250" t="s">
        <v>238</v>
      </c>
      <c r="D19" s="287" t="s">
        <v>236</v>
      </c>
      <c r="E19" s="250"/>
      <c r="F19" s="287"/>
      <c r="G19" s="250"/>
      <c r="H19" s="287"/>
      <c r="I19" s="295" t="s">
        <v>263</v>
      </c>
      <c r="J19" s="295" t="s">
        <v>269</v>
      </c>
      <c r="K19" s="290">
        <v>241112</v>
      </c>
      <c r="L19" s="254" t="s">
        <v>280</v>
      </c>
      <c r="M19" s="283">
        <v>11</v>
      </c>
      <c r="N19" s="283">
        <v>3</v>
      </c>
      <c r="O19" s="282">
        <f t="shared" si="0"/>
        <v>0.72727272727272729</v>
      </c>
    </row>
    <row r="20" spans="1:15" ht="24" x14ac:dyDescent="0.2">
      <c r="A20" s="249">
        <v>9</v>
      </c>
      <c r="B20" s="252"/>
      <c r="C20" s="252"/>
      <c r="D20" s="281" t="s">
        <v>237</v>
      </c>
      <c r="E20" s="280" t="s">
        <v>279</v>
      </c>
      <c r="F20" s="293">
        <v>241086</v>
      </c>
      <c r="G20" s="294">
        <v>241089</v>
      </c>
      <c r="H20" s="281" t="s">
        <v>278</v>
      </c>
      <c r="I20" s="280" t="s">
        <v>269</v>
      </c>
      <c r="J20" s="294">
        <v>241118</v>
      </c>
      <c r="K20" s="293">
        <v>241119</v>
      </c>
      <c r="L20" s="292" t="s">
        <v>277</v>
      </c>
      <c r="M20" s="277">
        <f>9+9</f>
        <v>18</v>
      </c>
      <c r="N20" s="277">
        <f>3+1</f>
        <v>4</v>
      </c>
      <c r="O20" s="276">
        <f t="shared" si="0"/>
        <v>0.77777777777777779</v>
      </c>
    </row>
    <row r="21" spans="1:15" ht="24" x14ac:dyDescent="0.2">
      <c r="A21" s="247">
        <v>10</v>
      </c>
      <c r="B21" s="250" t="s">
        <v>211</v>
      </c>
      <c r="C21" s="250" t="s">
        <v>239</v>
      </c>
      <c r="D21" s="287" t="s">
        <v>298</v>
      </c>
      <c r="E21" s="286" t="s">
        <v>267</v>
      </c>
      <c r="F21" s="290">
        <v>241080</v>
      </c>
      <c r="G21" s="291">
        <v>241083</v>
      </c>
      <c r="H21" s="287" t="s">
        <v>276</v>
      </c>
      <c r="I21" s="286"/>
      <c r="J21" s="291"/>
      <c r="K21" s="290"/>
      <c r="L21" s="254"/>
      <c r="M21" s="283">
        <v>15</v>
      </c>
      <c r="N21" s="283">
        <v>3</v>
      </c>
      <c r="O21" s="282">
        <f t="shared" si="0"/>
        <v>0.8</v>
      </c>
    </row>
    <row r="22" spans="1:15" ht="24" x14ac:dyDescent="0.2">
      <c r="A22" s="249">
        <v>11</v>
      </c>
      <c r="B22" s="252"/>
      <c r="C22" s="252"/>
      <c r="D22" s="281" t="s">
        <v>240</v>
      </c>
      <c r="E22" s="252"/>
      <c r="F22" s="281"/>
      <c r="G22" s="252"/>
      <c r="H22" s="281"/>
      <c r="I22" s="289" t="s">
        <v>275</v>
      </c>
      <c r="J22" s="289" t="s">
        <v>274</v>
      </c>
      <c r="K22" s="288" t="s">
        <v>273</v>
      </c>
      <c r="L22" s="78" t="s">
        <v>272</v>
      </c>
      <c r="M22" s="277">
        <v>11</v>
      </c>
      <c r="N22" s="277">
        <v>3</v>
      </c>
      <c r="O22" s="276">
        <f t="shared" si="0"/>
        <v>0.72727272727272729</v>
      </c>
    </row>
    <row r="23" spans="1:15" ht="24" x14ac:dyDescent="0.2">
      <c r="A23" s="247">
        <v>12</v>
      </c>
      <c r="B23" s="250" t="s">
        <v>213</v>
      </c>
      <c r="C23" s="250" t="s">
        <v>172</v>
      </c>
      <c r="D23" s="287" t="s">
        <v>241</v>
      </c>
      <c r="E23" s="250"/>
      <c r="F23" s="287"/>
      <c r="G23" s="250"/>
      <c r="H23" s="287"/>
      <c r="I23" s="286" t="s">
        <v>271</v>
      </c>
      <c r="J23" s="286" t="s">
        <v>270</v>
      </c>
      <c r="K23" s="285" t="s">
        <v>269</v>
      </c>
      <c r="L23" s="254" t="s">
        <v>268</v>
      </c>
      <c r="M23" s="284">
        <v>3</v>
      </c>
      <c r="N23" s="283">
        <v>1</v>
      </c>
      <c r="O23" s="282">
        <f t="shared" si="0"/>
        <v>0.66666666666666663</v>
      </c>
    </row>
    <row r="24" spans="1:15" ht="24" x14ac:dyDescent="0.2">
      <c r="A24" s="249">
        <v>13</v>
      </c>
      <c r="B24" s="252"/>
      <c r="C24" s="252"/>
      <c r="D24" s="281" t="s">
        <v>242</v>
      </c>
      <c r="E24" s="280" t="s">
        <v>267</v>
      </c>
      <c r="F24" s="279" t="s">
        <v>266</v>
      </c>
      <c r="G24" s="280" t="s">
        <v>265</v>
      </c>
      <c r="H24" s="281" t="s">
        <v>264</v>
      </c>
      <c r="I24" s="280" t="s">
        <v>263</v>
      </c>
      <c r="J24" s="280" t="s">
        <v>262</v>
      </c>
      <c r="K24" s="279" t="s">
        <v>261</v>
      </c>
      <c r="L24" s="78" t="s">
        <v>260</v>
      </c>
      <c r="M24" s="278" t="s">
        <v>259</v>
      </c>
      <c r="N24" s="277">
        <f>3+6</f>
        <v>9</v>
      </c>
      <c r="O24" s="276">
        <f t="shared" si="0"/>
        <v>0.6785714285714286</v>
      </c>
    </row>
    <row r="28" spans="1:15" ht="27" x14ac:dyDescent="0.2">
      <c r="C28" s="314" t="s">
        <v>243</v>
      </c>
      <c r="D28" s="314" t="s">
        <v>299</v>
      </c>
      <c r="E28" s="314" t="s">
        <v>300</v>
      </c>
    </row>
    <row r="29" spans="1:15" ht="26" x14ac:dyDescent="0.2">
      <c r="C29" s="315">
        <v>1</v>
      </c>
      <c r="D29" s="315" t="s">
        <v>226</v>
      </c>
      <c r="E29" s="315" t="s">
        <v>301</v>
      </c>
    </row>
    <row r="30" spans="1:15" ht="26" x14ac:dyDescent="0.2">
      <c r="C30" s="315">
        <v>2</v>
      </c>
      <c r="D30" s="315" t="s">
        <v>303</v>
      </c>
      <c r="E30" s="315" t="s">
        <v>302</v>
      </c>
    </row>
    <row r="31" spans="1:15" ht="26" x14ac:dyDescent="0.2">
      <c r="C31" s="315">
        <v>3</v>
      </c>
      <c r="D31" s="315" t="s">
        <v>233</v>
      </c>
      <c r="E31" s="315" t="s">
        <v>302</v>
      </c>
    </row>
    <row r="32" spans="1:15" ht="26" x14ac:dyDescent="0.2">
      <c r="C32" s="315">
        <v>4</v>
      </c>
      <c r="D32" s="315" t="s">
        <v>238</v>
      </c>
      <c r="E32" s="315" t="s">
        <v>302</v>
      </c>
    </row>
    <row r="33" spans="3:5" ht="26" x14ac:dyDescent="0.2">
      <c r="C33" s="315">
        <v>5</v>
      </c>
      <c r="D33" s="315" t="s">
        <v>239</v>
      </c>
      <c r="E33" s="315" t="s">
        <v>302</v>
      </c>
    </row>
    <row r="34" spans="3:5" ht="26" x14ac:dyDescent="0.2">
      <c r="C34" s="315">
        <v>6</v>
      </c>
      <c r="D34" s="315" t="s">
        <v>172</v>
      </c>
      <c r="E34" s="315" t="s">
        <v>302</v>
      </c>
    </row>
  </sheetData>
  <mergeCells count="10">
    <mergeCell ref="O9:O11"/>
    <mergeCell ref="B9:B11"/>
    <mergeCell ref="D9:D11"/>
    <mergeCell ref="C9:C11"/>
    <mergeCell ref="A9:A11"/>
    <mergeCell ref="M9:M11"/>
    <mergeCell ref="N9:N11"/>
    <mergeCell ref="E9:L9"/>
    <mergeCell ref="E10:H10"/>
    <mergeCell ref="I10:L10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C1:BB34"/>
  <sheetViews>
    <sheetView zoomScale="66" zoomScaleNormal="66" zoomScalePageLayoutView="66" workbookViewId="0">
      <selection activeCell="V15" sqref="V15"/>
    </sheetView>
  </sheetViews>
  <sheetFormatPr baseColWidth="10" defaultColWidth="4.6640625" defaultRowHeight="28.5" customHeight="1" x14ac:dyDescent="0.2"/>
  <sheetData>
    <row r="1" spans="3:54" ht="28.5" customHeight="1" thickBot="1" x14ac:dyDescent="0.25">
      <c r="C1" s="265" t="s">
        <v>244</v>
      </c>
    </row>
    <row r="2" spans="3:54" ht="28.5" customHeight="1" thickBot="1" x14ac:dyDescent="0.25">
      <c r="D2">
        <v>6</v>
      </c>
      <c r="E2" s="259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1"/>
    </row>
    <row r="3" spans="3:54" ht="28.5" customHeight="1" thickBot="1" x14ac:dyDescent="0.25">
      <c r="D3">
        <v>5</v>
      </c>
      <c r="E3" s="256"/>
      <c r="G3" t="s">
        <v>252</v>
      </c>
      <c r="AZ3" s="262"/>
    </row>
    <row r="4" spans="3:54" ht="28.5" customHeight="1" thickBot="1" x14ac:dyDescent="0.25">
      <c r="D4">
        <v>4</v>
      </c>
      <c r="E4" s="259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3:54" ht="28.5" customHeight="1" thickBot="1" x14ac:dyDescent="0.25">
      <c r="D5">
        <v>3</v>
      </c>
      <c r="E5" s="256"/>
      <c r="AZ5" s="263"/>
    </row>
    <row r="6" spans="3:54" ht="28.5" customHeight="1" thickBot="1" x14ac:dyDescent="0.25">
      <c r="D6">
        <v>2</v>
      </c>
      <c r="E6" s="259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1"/>
    </row>
    <row r="7" spans="3:54" ht="28.5" customHeight="1" thickBot="1" x14ac:dyDescent="0.25">
      <c r="D7">
        <v>1</v>
      </c>
      <c r="E7" s="257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64"/>
    </row>
    <row r="9" spans="3:54" ht="28.5" customHeight="1" x14ac:dyDescent="0.2">
      <c r="Q9">
        <v>0</v>
      </c>
      <c r="AM9" s="253"/>
    </row>
    <row r="10" spans="3:54" ht="28.5" customHeight="1" thickBot="1" x14ac:dyDescent="0.25">
      <c r="C10" s="265" t="s">
        <v>245</v>
      </c>
      <c r="AZ10" s="258"/>
    </row>
    <row r="11" spans="3:54" ht="28.5" customHeight="1" thickBot="1" x14ac:dyDescent="0.25">
      <c r="D11" s="263">
        <v>6</v>
      </c>
      <c r="E11" s="259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1"/>
    </row>
    <row r="12" spans="3:54" ht="28.5" customHeight="1" thickBot="1" x14ac:dyDescent="0.25">
      <c r="D12" s="263">
        <v>5</v>
      </c>
      <c r="E12" s="259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4"/>
    </row>
    <row r="13" spans="3:54" ht="28.5" customHeight="1" thickBot="1" x14ac:dyDescent="0.25">
      <c r="D13" s="263">
        <v>4</v>
      </c>
      <c r="AY13" s="260"/>
      <c r="AZ13" s="264"/>
    </row>
    <row r="14" spans="3:54" ht="28.5" customHeight="1" thickBot="1" x14ac:dyDescent="0.25">
      <c r="D14" s="263">
        <v>3</v>
      </c>
      <c r="E14" s="259"/>
      <c r="F14" s="260"/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4"/>
      <c r="BB14">
        <v>45.48</v>
      </c>
    </row>
    <row r="15" spans="3:54" ht="28.5" customHeight="1" thickBot="1" x14ac:dyDescent="0.25">
      <c r="D15" s="263">
        <v>2</v>
      </c>
      <c r="AY15" s="260"/>
      <c r="AZ15" s="264"/>
    </row>
    <row r="16" spans="3:54" ht="28.5" customHeight="1" thickBot="1" x14ac:dyDescent="0.25">
      <c r="D16" s="263">
        <v>1</v>
      </c>
      <c r="E16" s="259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4"/>
    </row>
    <row r="19" spans="3:52" ht="28.5" customHeight="1" thickBot="1" x14ac:dyDescent="0.25">
      <c r="C19" t="s">
        <v>246</v>
      </c>
    </row>
    <row r="20" spans="3:52" ht="28.5" customHeight="1" thickBot="1" x14ac:dyDescent="0.25">
      <c r="D20" s="263">
        <v>6</v>
      </c>
      <c r="E20" s="259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1"/>
    </row>
    <row r="21" spans="3:52" ht="28.5" customHeight="1" thickBot="1" x14ac:dyDescent="0.25">
      <c r="D21" s="263">
        <v>5</v>
      </c>
      <c r="E21" s="259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1"/>
    </row>
    <row r="22" spans="3:52" ht="28.5" customHeight="1" thickBot="1" x14ac:dyDescent="0.25">
      <c r="D22" s="263">
        <v>4</v>
      </c>
      <c r="AZ22" s="263"/>
    </row>
    <row r="23" spans="3:52" ht="28.5" customHeight="1" thickBot="1" x14ac:dyDescent="0.25">
      <c r="D23" s="263">
        <v>3</v>
      </c>
      <c r="E23" s="259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1"/>
    </row>
    <row r="24" spans="3:52" ht="28.5" customHeight="1" thickBot="1" x14ac:dyDescent="0.25">
      <c r="D24" s="263">
        <v>2</v>
      </c>
      <c r="AZ24" s="263"/>
    </row>
    <row r="25" spans="3:52" ht="28.5" customHeight="1" thickBot="1" x14ac:dyDescent="0.25">
      <c r="D25" s="263">
        <v>1</v>
      </c>
      <c r="E25" s="259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1"/>
    </row>
    <row r="28" spans="3:52" ht="28.5" customHeight="1" thickBot="1" x14ac:dyDescent="0.25">
      <c r="C28" t="s">
        <v>247</v>
      </c>
    </row>
    <row r="29" spans="3:52" ht="28.5" customHeight="1" thickBot="1" x14ac:dyDescent="0.25">
      <c r="D29" s="263">
        <v>6</v>
      </c>
      <c r="E29" s="259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0"/>
      <c r="AX29" s="260"/>
      <c r="AY29" s="260"/>
      <c r="AZ29" s="261"/>
    </row>
    <row r="30" spans="3:52" ht="28.5" customHeight="1" thickBot="1" x14ac:dyDescent="0.25">
      <c r="D30" s="263">
        <v>5</v>
      </c>
      <c r="AZ30" s="263"/>
    </row>
    <row r="31" spans="3:52" ht="28.5" customHeight="1" thickBot="1" x14ac:dyDescent="0.25">
      <c r="D31" s="263">
        <v>4</v>
      </c>
      <c r="E31" s="259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1"/>
    </row>
    <row r="32" spans="3:52" ht="28.5" customHeight="1" thickBot="1" x14ac:dyDescent="0.25">
      <c r="D32" s="263">
        <v>3</v>
      </c>
      <c r="AZ32" s="263"/>
    </row>
    <row r="33" spans="4:52" ht="28.5" customHeight="1" thickBot="1" x14ac:dyDescent="0.25">
      <c r="D33" s="263">
        <v>2</v>
      </c>
      <c r="E33" s="259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1"/>
    </row>
    <row r="34" spans="4:52" ht="28.5" customHeight="1" thickBot="1" x14ac:dyDescent="0.25">
      <c r="D34" s="263">
        <v>1</v>
      </c>
      <c r="E34" s="259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60"/>
      <c r="AV34" s="260"/>
      <c r="AW34" s="260"/>
      <c r="AX34" s="260"/>
      <c r="AY34" s="260"/>
      <c r="AZ34" s="26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E69"/>
  <sheetViews>
    <sheetView topLeftCell="A40" zoomScale="45" zoomScaleNormal="45" zoomScalePageLayoutView="45" workbookViewId="0">
      <selection activeCell="F55" sqref="F55:F61"/>
    </sheetView>
  </sheetViews>
  <sheetFormatPr baseColWidth="10" defaultColWidth="18.83203125" defaultRowHeight="24" x14ac:dyDescent="0.4"/>
  <cols>
    <col min="1" max="12" width="18.83203125" style="1"/>
    <col min="13" max="13" width="19.6640625" style="1" customWidth="1"/>
    <col min="14" max="16384" width="18.83203125" style="1"/>
  </cols>
  <sheetData>
    <row r="1" spans="1:17" ht="25" thickBot="1" x14ac:dyDescent="0.45">
      <c r="A1" s="1" t="s">
        <v>145</v>
      </c>
    </row>
    <row r="2" spans="1:17" ht="25" thickBot="1" x14ac:dyDescent="0.45">
      <c r="A2" s="184" t="s">
        <v>118</v>
      </c>
      <c r="B2" s="184" t="s">
        <v>119</v>
      </c>
      <c r="C2" s="184" t="s">
        <v>120</v>
      </c>
      <c r="D2" s="185" t="s">
        <v>143</v>
      </c>
      <c r="E2" s="185" t="s">
        <v>31</v>
      </c>
      <c r="F2" s="185" t="s">
        <v>17</v>
      </c>
      <c r="G2" s="185" t="s">
        <v>18</v>
      </c>
      <c r="H2" s="185" t="s">
        <v>19</v>
      </c>
      <c r="I2" s="185" t="s">
        <v>20</v>
      </c>
      <c r="J2" s="185" t="s">
        <v>21</v>
      </c>
      <c r="K2" s="185" t="s">
        <v>22</v>
      </c>
      <c r="L2" s="185" t="s">
        <v>23</v>
      </c>
    </row>
    <row r="3" spans="1:17" ht="25" thickBot="1" x14ac:dyDescent="0.45">
      <c r="A3" s="184">
        <v>1</v>
      </c>
      <c r="B3" s="184" t="s">
        <v>121</v>
      </c>
      <c r="C3" s="184" t="s">
        <v>125</v>
      </c>
      <c r="D3" s="184">
        <v>10</v>
      </c>
      <c r="E3" s="186">
        <f t="shared" ref="E3:E8" si="0">D3/(1-0.02)</f>
        <v>10.204081632653061</v>
      </c>
      <c r="F3" s="187">
        <v>42738</v>
      </c>
      <c r="G3" s="186">
        <f t="shared" ref="G3:L4" si="1">C16</f>
        <v>1.5</v>
      </c>
      <c r="H3" s="186">
        <f t="shared" si="1"/>
        <v>0</v>
      </c>
      <c r="I3" s="186">
        <f t="shared" si="1"/>
        <v>0.25</v>
      </c>
      <c r="J3" s="186">
        <f t="shared" si="1"/>
        <v>1.2</v>
      </c>
      <c r="K3" s="186">
        <f t="shared" si="1"/>
        <v>0</v>
      </c>
      <c r="L3" s="186">
        <f t="shared" si="1"/>
        <v>0.16666666666666666</v>
      </c>
    </row>
    <row r="4" spans="1:17" ht="25" thickBot="1" x14ac:dyDescent="0.45">
      <c r="A4" s="184">
        <v>2</v>
      </c>
      <c r="B4" s="184" t="s">
        <v>121</v>
      </c>
      <c r="C4" s="184" t="s">
        <v>126</v>
      </c>
      <c r="D4" s="184">
        <v>8</v>
      </c>
      <c r="E4" s="186">
        <f t="shared" si="0"/>
        <v>8.1632653061224492</v>
      </c>
      <c r="F4" s="187">
        <v>42738</v>
      </c>
      <c r="G4" s="186">
        <f t="shared" si="1"/>
        <v>2</v>
      </c>
      <c r="H4" s="186">
        <f t="shared" si="1"/>
        <v>0</v>
      </c>
      <c r="I4" s="186">
        <f t="shared" si="1"/>
        <v>0.27777777777777779</v>
      </c>
      <c r="J4" s="186">
        <f t="shared" si="1"/>
        <v>1.25</v>
      </c>
      <c r="K4" s="186">
        <f t="shared" si="1"/>
        <v>0</v>
      </c>
      <c r="L4" s="186">
        <f t="shared" si="1"/>
        <v>0.16666666666666666</v>
      </c>
    </row>
    <row r="5" spans="1:17" ht="25" thickBot="1" x14ac:dyDescent="0.45">
      <c r="A5" s="184">
        <v>3</v>
      </c>
      <c r="B5" s="184" t="s">
        <v>122</v>
      </c>
      <c r="C5" s="184" t="s">
        <v>129</v>
      </c>
      <c r="D5" s="184">
        <v>20</v>
      </c>
      <c r="E5" s="186">
        <f t="shared" si="0"/>
        <v>20.408163265306122</v>
      </c>
      <c r="F5" s="187">
        <v>42739</v>
      </c>
      <c r="G5" s="186">
        <f t="shared" ref="G5:L6" si="2">C20</f>
        <v>1.4444444444444444</v>
      </c>
      <c r="H5" s="186">
        <f t="shared" si="2"/>
        <v>0</v>
      </c>
      <c r="I5" s="186">
        <f t="shared" si="2"/>
        <v>0</v>
      </c>
      <c r="J5" s="186">
        <f t="shared" si="2"/>
        <v>0.5</v>
      </c>
      <c r="K5" s="186">
        <f t="shared" si="2"/>
        <v>0</v>
      </c>
      <c r="L5" s="186">
        <f t="shared" si="2"/>
        <v>0.16666666666666666</v>
      </c>
    </row>
    <row r="6" spans="1:17" ht="25" thickBot="1" x14ac:dyDescent="0.45">
      <c r="A6" s="184">
        <v>4</v>
      </c>
      <c r="B6" s="184" t="s">
        <v>122</v>
      </c>
      <c r="C6" s="184" t="s">
        <v>130</v>
      </c>
      <c r="D6" s="184">
        <v>5</v>
      </c>
      <c r="E6" s="186">
        <f t="shared" si="0"/>
        <v>5.1020408163265305</v>
      </c>
      <c r="F6" s="187">
        <v>42736</v>
      </c>
      <c r="G6" s="186">
        <f t="shared" si="2"/>
        <v>1.6666666666666667</v>
      </c>
      <c r="H6" s="186">
        <f t="shared" si="2"/>
        <v>0</v>
      </c>
      <c r="I6" s="186">
        <f t="shared" si="2"/>
        <v>0</v>
      </c>
      <c r="J6" s="186">
        <f t="shared" si="2"/>
        <v>0.55555555555555558</v>
      </c>
      <c r="K6" s="186">
        <f t="shared" si="2"/>
        <v>0</v>
      </c>
      <c r="L6" s="186">
        <f t="shared" si="2"/>
        <v>0.16666666666666666</v>
      </c>
    </row>
    <row r="7" spans="1:17" ht="25" thickBot="1" x14ac:dyDescent="0.45">
      <c r="A7" s="184">
        <v>5</v>
      </c>
      <c r="B7" s="184" t="s">
        <v>123</v>
      </c>
      <c r="C7" s="184" t="s">
        <v>133</v>
      </c>
      <c r="D7" s="184">
        <v>6</v>
      </c>
      <c r="E7" s="186">
        <f t="shared" si="0"/>
        <v>6.1224489795918364</v>
      </c>
      <c r="F7" s="187">
        <v>42737</v>
      </c>
      <c r="G7" s="186">
        <f>C20</f>
        <v>1.4444444444444444</v>
      </c>
      <c r="H7" s="186">
        <f t="shared" ref="H7:K8" si="3">D24</f>
        <v>0.25</v>
      </c>
      <c r="I7" s="186">
        <f t="shared" si="3"/>
        <v>0.25</v>
      </c>
      <c r="J7" s="186">
        <f t="shared" si="3"/>
        <v>0</v>
      </c>
      <c r="K7" s="186">
        <f t="shared" si="3"/>
        <v>1</v>
      </c>
      <c r="L7" s="186">
        <f>H28</f>
        <v>0.16666666666666666</v>
      </c>
    </row>
    <row r="8" spans="1:17" ht="25" thickBot="1" x14ac:dyDescent="0.45">
      <c r="A8" s="184">
        <v>6</v>
      </c>
      <c r="B8" s="184" t="s">
        <v>123</v>
      </c>
      <c r="C8" s="184" t="s">
        <v>134</v>
      </c>
      <c r="D8" s="184">
        <v>12</v>
      </c>
      <c r="E8" s="186">
        <f t="shared" si="0"/>
        <v>12.244897959183673</v>
      </c>
      <c r="F8" s="187">
        <v>42739</v>
      </c>
      <c r="G8" s="186">
        <f>C25</f>
        <v>1.1111111111111112</v>
      </c>
      <c r="H8" s="186">
        <f t="shared" si="3"/>
        <v>0.25</v>
      </c>
      <c r="I8" s="186">
        <f t="shared" si="3"/>
        <v>0.33333333333333331</v>
      </c>
      <c r="J8" s="186">
        <f t="shared" si="3"/>
        <v>0</v>
      </c>
      <c r="K8" s="186">
        <f t="shared" si="3"/>
        <v>1.1666666666666667</v>
      </c>
      <c r="L8" s="186">
        <f>H29</f>
        <v>0.16666666666666666</v>
      </c>
    </row>
    <row r="9" spans="1:17" x14ac:dyDescent="0.4">
      <c r="E9" s="1" t="s">
        <v>144</v>
      </c>
    </row>
    <row r="10" spans="1:17" ht="25" thickBot="1" x14ac:dyDescent="0.45">
      <c r="A10" s="1" t="s">
        <v>173</v>
      </c>
    </row>
    <row r="11" spans="1:17" ht="25" thickBot="1" x14ac:dyDescent="0.45">
      <c r="A11" s="336" t="s">
        <v>46</v>
      </c>
      <c r="B11" s="336" t="s">
        <v>120</v>
      </c>
      <c r="C11" s="337" t="s">
        <v>149</v>
      </c>
      <c r="D11" s="338"/>
      <c r="E11" s="338"/>
      <c r="F11" s="338"/>
      <c r="G11" s="338"/>
      <c r="H11" s="339"/>
      <c r="I11" s="343" t="s">
        <v>180</v>
      </c>
      <c r="J11" s="344"/>
      <c r="K11" s="344"/>
      <c r="L11" s="344"/>
      <c r="M11" s="344"/>
      <c r="N11" s="345"/>
    </row>
    <row r="12" spans="1:17" ht="25" thickBot="1" x14ac:dyDescent="0.45">
      <c r="A12" s="336"/>
      <c r="B12" s="336"/>
      <c r="C12" s="340"/>
      <c r="D12" s="341"/>
      <c r="E12" s="341"/>
      <c r="F12" s="341"/>
      <c r="G12" s="341"/>
      <c r="H12" s="342"/>
      <c r="I12" s="346"/>
      <c r="J12" s="347"/>
      <c r="K12" s="347"/>
      <c r="L12" s="347"/>
      <c r="M12" s="347"/>
      <c r="N12" s="348"/>
    </row>
    <row r="13" spans="1:17" ht="25" thickBot="1" x14ac:dyDescent="0.45">
      <c r="A13" s="336"/>
      <c r="B13" s="336"/>
      <c r="C13" s="192">
        <v>3</v>
      </c>
      <c r="D13" s="192">
        <v>2</v>
      </c>
      <c r="E13" s="192">
        <v>2</v>
      </c>
      <c r="F13" s="192">
        <v>2</v>
      </c>
      <c r="G13" s="192">
        <v>2</v>
      </c>
      <c r="H13" s="192">
        <v>2</v>
      </c>
      <c r="I13" s="203" t="s">
        <v>167</v>
      </c>
      <c r="J13" s="203" t="s">
        <v>168</v>
      </c>
      <c r="K13" s="203" t="s">
        <v>169</v>
      </c>
      <c r="L13" s="203" t="s">
        <v>170</v>
      </c>
      <c r="M13" s="203" t="s">
        <v>171</v>
      </c>
      <c r="N13" s="206" t="s">
        <v>172</v>
      </c>
    </row>
    <row r="14" spans="1:17" ht="25" thickBot="1" x14ac:dyDescent="0.45">
      <c r="A14" s="336"/>
      <c r="B14" s="336"/>
      <c r="C14" s="179" t="s">
        <v>48</v>
      </c>
      <c r="D14" s="179" t="s">
        <v>49</v>
      </c>
      <c r="E14" s="179" t="s">
        <v>50</v>
      </c>
      <c r="F14" s="179" t="s">
        <v>51</v>
      </c>
      <c r="G14" s="179" t="s">
        <v>52</v>
      </c>
      <c r="H14" s="179" t="s">
        <v>53</v>
      </c>
      <c r="I14" s="183" t="s">
        <v>48</v>
      </c>
      <c r="J14" s="183" t="s">
        <v>49</v>
      </c>
      <c r="K14" s="183" t="s">
        <v>50</v>
      </c>
      <c r="L14" s="183" t="s">
        <v>51</v>
      </c>
      <c r="M14" s="183" t="s">
        <v>52</v>
      </c>
      <c r="N14" s="183" t="s">
        <v>53</v>
      </c>
      <c r="P14" s="1" t="s">
        <v>125</v>
      </c>
      <c r="Q14" s="1">
        <f>(((I16/F35)+C16)*11)</f>
        <v>17</v>
      </c>
    </row>
    <row r="15" spans="1:17" ht="25" thickBot="1" x14ac:dyDescent="0.45">
      <c r="A15" s="336"/>
      <c r="B15" s="336"/>
      <c r="C15" s="179" t="s">
        <v>141</v>
      </c>
      <c r="D15" s="179" t="s">
        <v>142</v>
      </c>
      <c r="E15" s="179" t="s">
        <v>142</v>
      </c>
      <c r="F15" s="179" t="s">
        <v>142</v>
      </c>
      <c r="G15" s="179" t="s">
        <v>142</v>
      </c>
      <c r="H15" s="179" t="s">
        <v>142</v>
      </c>
      <c r="I15" s="183" t="s">
        <v>159</v>
      </c>
      <c r="J15" s="183" t="s">
        <v>159</v>
      </c>
      <c r="K15" s="183" t="s">
        <v>159</v>
      </c>
      <c r="L15" s="183" t="s">
        <v>159</v>
      </c>
      <c r="M15" s="183" t="s">
        <v>159</v>
      </c>
      <c r="N15" s="183" t="s">
        <v>159</v>
      </c>
      <c r="P15" s="1" t="s">
        <v>126</v>
      </c>
    </row>
    <row r="16" spans="1:17" ht="25" thickBot="1" x14ac:dyDescent="0.45">
      <c r="A16" s="335" t="s">
        <v>121</v>
      </c>
      <c r="B16" s="188" t="s">
        <v>125</v>
      </c>
      <c r="C16" s="180">
        <f>5400/3600</f>
        <v>1.5</v>
      </c>
      <c r="D16" s="180"/>
      <c r="E16" s="180">
        <f>900/3600</f>
        <v>0.25</v>
      </c>
      <c r="F16" s="180">
        <f>4320/3600</f>
        <v>1.2</v>
      </c>
      <c r="G16" s="180"/>
      <c r="H16" s="180">
        <f>600/3600</f>
        <v>0.16666666666666666</v>
      </c>
      <c r="I16" s="200">
        <v>0.5</v>
      </c>
      <c r="J16" s="197">
        <v>0.25</v>
      </c>
      <c r="K16" s="197">
        <v>0.5</v>
      </c>
      <c r="L16" s="197">
        <v>0.25</v>
      </c>
      <c r="M16" s="197">
        <v>0.65</v>
      </c>
      <c r="N16" s="197">
        <v>0.2</v>
      </c>
      <c r="P16" s="1" t="s">
        <v>129</v>
      </c>
    </row>
    <row r="17" spans="1:16" ht="25" thickBot="1" x14ac:dyDescent="0.45">
      <c r="A17" s="335"/>
      <c r="B17" s="188" t="s">
        <v>126</v>
      </c>
      <c r="C17" s="180">
        <f>7200/3600</f>
        <v>2</v>
      </c>
      <c r="D17" s="180"/>
      <c r="E17" s="180">
        <f>1000/3600</f>
        <v>0.27777777777777779</v>
      </c>
      <c r="F17" s="180">
        <f>4500/3600</f>
        <v>1.25</v>
      </c>
      <c r="G17" s="180"/>
      <c r="H17" s="180">
        <f t="shared" ref="H17:H31" si="4">600/3600</f>
        <v>0.16666666666666666</v>
      </c>
      <c r="I17" s="200">
        <v>0.5</v>
      </c>
      <c r="J17" s="197">
        <v>0.25</v>
      </c>
      <c r="K17" s="197">
        <v>0.5</v>
      </c>
      <c r="L17" s="197">
        <v>0.25</v>
      </c>
      <c r="M17" s="197">
        <v>0.65</v>
      </c>
      <c r="N17" s="197">
        <v>0.2</v>
      </c>
      <c r="P17" s="1" t="s">
        <v>130</v>
      </c>
    </row>
    <row r="18" spans="1:16" ht="25" thickBot="1" x14ac:dyDescent="0.45">
      <c r="A18" s="335"/>
      <c r="B18" s="188" t="s">
        <v>127</v>
      </c>
      <c r="C18" s="180">
        <f>9000/3600</f>
        <v>2.5</v>
      </c>
      <c r="D18" s="181"/>
      <c r="E18" s="180">
        <f>1200/3600</f>
        <v>0.33333333333333331</v>
      </c>
      <c r="F18" s="180">
        <f>4750/3600</f>
        <v>1.3194444444444444</v>
      </c>
      <c r="G18" s="180"/>
      <c r="H18" s="180">
        <f t="shared" si="4"/>
        <v>0.16666666666666666</v>
      </c>
      <c r="I18" s="200">
        <v>0.5</v>
      </c>
      <c r="J18" s="197">
        <v>0.25</v>
      </c>
      <c r="K18" s="197">
        <v>0.5</v>
      </c>
      <c r="L18" s="197">
        <v>0.25</v>
      </c>
      <c r="M18" s="197">
        <v>0.65</v>
      </c>
      <c r="N18" s="197">
        <v>0.2</v>
      </c>
      <c r="P18" s="1" t="s">
        <v>133</v>
      </c>
    </row>
    <row r="19" spans="1:16" ht="25" thickBot="1" x14ac:dyDescent="0.45">
      <c r="A19" s="335"/>
      <c r="B19" s="188" t="s">
        <v>128</v>
      </c>
      <c r="C19" s="180">
        <f>10800/3600</f>
        <v>3</v>
      </c>
      <c r="D19" s="181"/>
      <c r="E19" s="180">
        <f>1500/3600</f>
        <v>0.41666666666666669</v>
      </c>
      <c r="F19" s="180">
        <f>4900/3600</f>
        <v>1.3611111111111112</v>
      </c>
      <c r="G19" s="180"/>
      <c r="H19" s="180">
        <f t="shared" si="4"/>
        <v>0.16666666666666666</v>
      </c>
      <c r="I19" s="200">
        <v>0.5</v>
      </c>
      <c r="J19" s="197">
        <v>0.25</v>
      </c>
      <c r="K19" s="197">
        <v>0.5</v>
      </c>
      <c r="L19" s="197">
        <v>0.25</v>
      </c>
      <c r="M19" s="197">
        <v>0.65</v>
      </c>
      <c r="N19" s="197">
        <v>0.2</v>
      </c>
      <c r="P19" s="1" t="s">
        <v>134</v>
      </c>
    </row>
    <row r="20" spans="1:16" ht="25" thickBot="1" x14ac:dyDescent="0.45">
      <c r="A20" s="335" t="s">
        <v>122</v>
      </c>
      <c r="B20" s="189" t="s">
        <v>129</v>
      </c>
      <c r="C20" s="180">
        <f>5200/3600</f>
        <v>1.4444444444444444</v>
      </c>
      <c r="D20" s="180"/>
      <c r="E20" s="180"/>
      <c r="F20" s="180">
        <f>1800/3600</f>
        <v>0.5</v>
      </c>
      <c r="G20" s="180"/>
      <c r="H20" s="180">
        <f t="shared" si="4"/>
        <v>0.16666666666666666</v>
      </c>
      <c r="I20" s="200">
        <v>0.45</v>
      </c>
      <c r="J20" s="197">
        <v>0.3</v>
      </c>
      <c r="K20" s="197">
        <v>0.4</v>
      </c>
      <c r="L20" s="197">
        <v>0.35</v>
      </c>
      <c r="M20" s="197">
        <v>0.55000000000000004</v>
      </c>
      <c r="N20" s="197">
        <v>0.2</v>
      </c>
    </row>
    <row r="21" spans="1:16" ht="25" thickBot="1" x14ac:dyDescent="0.45">
      <c r="A21" s="335"/>
      <c r="B21" s="189" t="s">
        <v>130</v>
      </c>
      <c r="C21" s="180">
        <f>6000/3600</f>
        <v>1.6666666666666667</v>
      </c>
      <c r="D21" s="180"/>
      <c r="E21" s="180"/>
      <c r="F21" s="180">
        <f>2000/3600</f>
        <v>0.55555555555555558</v>
      </c>
      <c r="G21" s="180"/>
      <c r="H21" s="180">
        <f t="shared" si="4"/>
        <v>0.16666666666666666</v>
      </c>
      <c r="I21" s="200">
        <v>0.45</v>
      </c>
      <c r="J21" s="197">
        <v>0.3</v>
      </c>
      <c r="K21" s="197">
        <v>0.4</v>
      </c>
      <c r="L21" s="197">
        <v>0.35</v>
      </c>
      <c r="M21" s="197">
        <v>0.55000000000000004</v>
      </c>
      <c r="N21" s="197">
        <v>0.2</v>
      </c>
    </row>
    <row r="22" spans="1:16" ht="25" thickBot="1" x14ac:dyDescent="0.45">
      <c r="A22" s="335"/>
      <c r="B22" s="189" t="s">
        <v>131</v>
      </c>
      <c r="C22" s="180">
        <f>7500/3600</f>
        <v>2.0833333333333335</v>
      </c>
      <c r="D22" s="180"/>
      <c r="E22" s="181"/>
      <c r="F22" s="180">
        <f>2500/3600</f>
        <v>0.69444444444444442</v>
      </c>
      <c r="G22" s="181"/>
      <c r="H22" s="180">
        <f t="shared" si="4"/>
        <v>0.16666666666666666</v>
      </c>
      <c r="I22" s="200">
        <v>0.45</v>
      </c>
      <c r="J22" s="197">
        <v>0.3</v>
      </c>
      <c r="K22" s="197">
        <v>0.4</v>
      </c>
      <c r="L22" s="197">
        <v>0.35</v>
      </c>
      <c r="M22" s="197">
        <v>0.55000000000000004</v>
      </c>
      <c r="N22" s="197">
        <v>0.2</v>
      </c>
    </row>
    <row r="23" spans="1:16" ht="25" thickBot="1" x14ac:dyDescent="0.45">
      <c r="A23" s="335"/>
      <c r="B23" s="188" t="s">
        <v>132</v>
      </c>
      <c r="C23" s="180">
        <f>10000/3600</f>
        <v>2.7777777777777777</v>
      </c>
      <c r="D23" s="180"/>
      <c r="E23" s="181"/>
      <c r="F23" s="180">
        <f>3000/3600</f>
        <v>0.83333333333333337</v>
      </c>
      <c r="G23" s="181"/>
      <c r="H23" s="180">
        <f t="shared" si="4"/>
        <v>0.16666666666666666</v>
      </c>
      <c r="I23" s="200">
        <v>0.45</v>
      </c>
      <c r="J23" s="197">
        <v>0.3</v>
      </c>
      <c r="K23" s="197">
        <v>0.4</v>
      </c>
      <c r="L23" s="197">
        <v>0.35</v>
      </c>
      <c r="M23" s="197">
        <v>0.55000000000000004</v>
      </c>
      <c r="N23" s="197">
        <v>0.2</v>
      </c>
    </row>
    <row r="24" spans="1:16" ht="25" thickBot="1" x14ac:dyDescent="0.45">
      <c r="A24" s="349" t="s">
        <v>123</v>
      </c>
      <c r="B24" s="190" t="s">
        <v>133</v>
      </c>
      <c r="C24" s="180">
        <f>3600/3600</f>
        <v>1</v>
      </c>
      <c r="D24" s="180">
        <f>900/3600</f>
        <v>0.25</v>
      </c>
      <c r="E24" s="180">
        <f>900/3600</f>
        <v>0.25</v>
      </c>
      <c r="F24" s="180">
        <v>0</v>
      </c>
      <c r="G24" s="180">
        <f>3600/3600</f>
        <v>1</v>
      </c>
      <c r="H24" s="180">
        <f t="shared" si="4"/>
        <v>0.16666666666666666</v>
      </c>
      <c r="I24" s="200">
        <v>0.6</v>
      </c>
      <c r="J24" s="197">
        <v>0.25</v>
      </c>
      <c r="K24" s="197">
        <v>0.65</v>
      </c>
      <c r="L24" s="197">
        <v>0.25</v>
      </c>
      <c r="M24" s="197">
        <v>0.65</v>
      </c>
      <c r="N24" s="197">
        <v>0.2</v>
      </c>
    </row>
    <row r="25" spans="1:16" ht="25" thickBot="1" x14ac:dyDescent="0.45">
      <c r="A25" s="349"/>
      <c r="B25" s="190" t="s">
        <v>134</v>
      </c>
      <c r="C25" s="180">
        <f>4000/3600</f>
        <v>1.1111111111111112</v>
      </c>
      <c r="D25" s="180">
        <f>900/3600</f>
        <v>0.25</v>
      </c>
      <c r="E25" s="180">
        <f>1200/3600</f>
        <v>0.33333333333333331</v>
      </c>
      <c r="F25" s="180">
        <v>0</v>
      </c>
      <c r="G25" s="180">
        <f>4200/3600</f>
        <v>1.1666666666666667</v>
      </c>
      <c r="H25" s="180">
        <f t="shared" si="4"/>
        <v>0.16666666666666666</v>
      </c>
      <c r="I25" s="200">
        <v>0.6</v>
      </c>
      <c r="J25" s="197">
        <v>0.25</v>
      </c>
      <c r="K25" s="197">
        <v>0.65</v>
      </c>
      <c r="L25" s="197">
        <v>0.25</v>
      </c>
      <c r="M25" s="197">
        <v>0.65</v>
      </c>
      <c r="N25" s="197">
        <v>0.2</v>
      </c>
    </row>
    <row r="26" spans="1:16" ht="25" thickBot="1" x14ac:dyDescent="0.45">
      <c r="A26" s="349"/>
      <c r="B26" s="190" t="s">
        <v>135</v>
      </c>
      <c r="C26" s="182">
        <f>4500/3600</f>
        <v>1.25</v>
      </c>
      <c r="D26" s="180">
        <f>900/3600</f>
        <v>0.25</v>
      </c>
      <c r="E26" s="182">
        <f>1500/3600</f>
        <v>0.41666666666666669</v>
      </c>
      <c r="F26" s="182">
        <v>0</v>
      </c>
      <c r="G26" s="182">
        <f>4800/3600</f>
        <v>1.3333333333333333</v>
      </c>
      <c r="H26" s="180">
        <f t="shared" si="4"/>
        <v>0.16666666666666666</v>
      </c>
      <c r="I26" s="200">
        <v>0.6</v>
      </c>
      <c r="J26" s="197">
        <v>0.25</v>
      </c>
      <c r="K26" s="197">
        <v>0.65</v>
      </c>
      <c r="L26" s="197">
        <v>0.25</v>
      </c>
      <c r="M26" s="197">
        <v>0.65</v>
      </c>
      <c r="N26" s="197">
        <v>0.2</v>
      </c>
    </row>
    <row r="27" spans="1:16" ht="25" thickBot="1" x14ac:dyDescent="0.45">
      <c r="A27" s="349"/>
      <c r="B27" s="190" t="s">
        <v>136</v>
      </c>
      <c r="C27" s="182">
        <f>6000/3600</f>
        <v>1.6666666666666667</v>
      </c>
      <c r="D27" s="180">
        <f>900/3600</f>
        <v>0.25</v>
      </c>
      <c r="E27" s="182">
        <f>1800/3600</f>
        <v>0.5</v>
      </c>
      <c r="F27" s="182">
        <v>0</v>
      </c>
      <c r="G27" s="182">
        <f>5600/3600</f>
        <v>1.5555555555555556</v>
      </c>
      <c r="H27" s="180">
        <f t="shared" si="4"/>
        <v>0.16666666666666666</v>
      </c>
      <c r="I27" s="200">
        <v>0.6</v>
      </c>
      <c r="J27" s="197">
        <v>0.25</v>
      </c>
      <c r="K27" s="197">
        <v>0.65</v>
      </c>
      <c r="L27" s="197">
        <v>0.25</v>
      </c>
      <c r="M27" s="197">
        <v>0.65</v>
      </c>
      <c r="N27" s="197">
        <v>0.2</v>
      </c>
    </row>
    <row r="28" spans="1:16" ht="25" thickBot="1" x14ac:dyDescent="0.45">
      <c r="A28" s="349" t="s">
        <v>124</v>
      </c>
      <c r="B28" s="191" t="s">
        <v>137</v>
      </c>
      <c r="C28" s="180">
        <f>4200/3600</f>
        <v>1.1666666666666667</v>
      </c>
      <c r="D28" s="180">
        <f>900/3600</f>
        <v>0.25</v>
      </c>
      <c r="E28" s="180">
        <f>900/3600</f>
        <v>0.25</v>
      </c>
      <c r="F28" s="180">
        <f>1800/3600</f>
        <v>0.5</v>
      </c>
      <c r="G28" s="180">
        <f>3800/3600</f>
        <v>1.0555555555555556</v>
      </c>
      <c r="H28" s="180">
        <f t="shared" si="4"/>
        <v>0.16666666666666666</v>
      </c>
      <c r="I28" s="200">
        <v>0.25</v>
      </c>
      <c r="J28" s="197">
        <v>0.42</v>
      </c>
      <c r="K28" s="197">
        <v>0.35</v>
      </c>
      <c r="L28" s="197">
        <v>0.3</v>
      </c>
      <c r="M28" s="197">
        <v>0.3</v>
      </c>
      <c r="N28" s="197">
        <v>0.2</v>
      </c>
    </row>
    <row r="29" spans="1:16" ht="25" thickBot="1" x14ac:dyDescent="0.45">
      <c r="A29" s="349"/>
      <c r="B29" s="191" t="s">
        <v>138</v>
      </c>
      <c r="C29" s="180">
        <f>4800/3600</f>
        <v>1.3333333333333333</v>
      </c>
      <c r="D29" s="180">
        <f>1500/3600</f>
        <v>0.41666666666666669</v>
      </c>
      <c r="E29" s="180">
        <f>1500/3600</f>
        <v>0.41666666666666669</v>
      </c>
      <c r="F29" s="180">
        <f>2000/3600</f>
        <v>0.55555555555555558</v>
      </c>
      <c r="G29" s="180">
        <f>7500/3600</f>
        <v>2.0833333333333335</v>
      </c>
      <c r="H29" s="180">
        <f t="shared" si="4"/>
        <v>0.16666666666666666</v>
      </c>
      <c r="I29" s="200">
        <v>0.25</v>
      </c>
      <c r="J29" s="197">
        <v>0.42</v>
      </c>
      <c r="K29" s="197">
        <v>0.35</v>
      </c>
      <c r="L29" s="197">
        <v>0.3</v>
      </c>
      <c r="M29" s="197">
        <v>0.3</v>
      </c>
      <c r="N29" s="197">
        <v>0.2</v>
      </c>
    </row>
    <row r="30" spans="1:16" ht="25" thickBot="1" x14ac:dyDescent="0.45">
      <c r="A30" s="349"/>
      <c r="B30" s="191" t="s">
        <v>139</v>
      </c>
      <c r="C30" s="180">
        <f>5500/3600</f>
        <v>1.5277777777777777</v>
      </c>
      <c r="D30" s="180">
        <f>2100/3600</f>
        <v>0.58333333333333337</v>
      </c>
      <c r="E30" s="180">
        <f>2100/3600</f>
        <v>0.58333333333333337</v>
      </c>
      <c r="F30" s="180">
        <f>2200/3600</f>
        <v>0.61111111111111116</v>
      </c>
      <c r="G30" s="180">
        <f>12500/3600</f>
        <v>3.4722222222222223</v>
      </c>
      <c r="H30" s="180">
        <f t="shared" si="4"/>
        <v>0.16666666666666666</v>
      </c>
      <c r="I30" s="200">
        <v>0.25</v>
      </c>
      <c r="J30" s="197">
        <v>0.42</v>
      </c>
      <c r="K30" s="197">
        <v>0.35</v>
      </c>
      <c r="L30" s="197">
        <v>0.3</v>
      </c>
      <c r="M30" s="197">
        <v>0.3</v>
      </c>
      <c r="N30" s="197">
        <v>0.2</v>
      </c>
    </row>
    <row r="31" spans="1:16" ht="25" thickBot="1" x14ac:dyDescent="0.45">
      <c r="A31" s="349"/>
      <c r="B31" s="191" t="s">
        <v>140</v>
      </c>
      <c r="C31" s="182">
        <f>6500/3600</f>
        <v>1.8055555555555556</v>
      </c>
      <c r="D31" s="182">
        <f>2700/3600</f>
        <v>0.75</v>
      </c>
      <c r="E31" s="180">
        <f>2700/3600</f>
        <v>0.75</v>
      </c>
      <c r="F31" s="182">
        <f>2400/3600</f>
        <v>0.66666666666666663</v>
      </c>
      <c r="G31" s="180">
        <f>15000/3600</f>
        <v>4.166666666666667</v>
      </c>
      <c r="H31" s="180">
        <f t="shared" si="4"/>
        <v>0.16666666666666666</v>
      </c>
      <c r="I31" s="200">
        <v>0.25</v>
      </c>
      <c r="J31" s="197">
        <v>0.42</v>
      </c>
      <c r="K31" s="197">
        <v>0.35</v>
      </c>
      <c r="L31" s="197">
        <v>0.3</v>
      </c>
      <c r="M31" s="197">
        <v>0.3</v>
      </c>
      <c r="N31" s="197">
        <v>0.2</v>
      </c>
    </row>
    <row r="33" spans="1:13" ht="25" thickBot="1" x14ac:dyDescent="0.45">
      <c r="A33" s="1" t="s">
        <v>150</v>
      </c>
      <c r="D33" s="1" t="s">
        <v>147</v>
      </c>
      <c r="E33" s="1" t="s">
        <v>148</v>
      </c>
    </row>
    <row r="34" spans="1:13" ht="25" thickBot="1" x14ac:dyDescent="0.45">
      <c r="A34" s="184" t="s">
        <v>118</v>
      </c>
      <c r="B34" s="184" t="s">
        <v>119</v>
      </c>
      <c r="C34" s="184" t="s">
        <v>120</v>
      </c>
      <c r="D34" s="185" t="s">
        <v>143</v>
      </c>
      <c r="E34" s="195" t="s">
        <v>31</v>
      </c>
      <c r="F34" s="195" t="s">
        <v>146</v>
      </c>
      <c r="G34" s="195" t="s">
        <v>160</v>
      </c>
      <c r="H34" s="195" t="s">
        <v>161</v>
      </c>
      <c r="I34" s="195" t="s">
        <v>162</v>
      </c>
      <c r="J34" s="195" t="s">
        <v>163</v>
      </c>
      <c r="K34" s="195" t="s">
        <v>164</v>
      </c>
      <c r="L34" s="195" t="s">
        <v>165</v>
      </c>
      <c r="M34" s="197" t="s">
        <v>166</v>
      </c>
    </row>
    <row r="35" spans="1:13" s="26" customFormat="1" ht="25" thickBot="1" x14ac:dyDescent="0.45">
      <c r="A35" s="195">
        <v>1</v>
      </c>
      <c r="B35" s="195" t="s">
        <v>121</v>
      </c>
      <c r="C35" s="195" t="s">
        <v>125</v>
      </c>
      <c r="D35" s="195">
        <v>10</v>
      </c>
      <c r="E35" s="209">
        <f>$E3</f>
        <v>10.204081632653061</v>
      </c>
      <c r="F35" s="210">
        <v>11</v>
      </c>
      <c r="G35" s="209">
        <f>($F$35*C16)/C13</f>
        <v>5.5</v>
      </c>
      <c r="H35" s="209">
        <f t="shared" ref="H35:L35" si="5">($F$35*D16)/D13</f>
        <v>0</v>
      </c>
      <c r="I35" s="209">
        <f t="shared" si="5"/>
        <v>1.375</v>
      </c>
      <c r="J35" s="209">
        <f t="shared" si="5"/>
        <v>6.6</v>
      </c>
      <c r="K35" s="209">
        <f t="shared" si="5"/>
        <v>0</v>
      </c>
      <c r="L35" s="209">
        <f t="shared" si="5"/>
        <v>0.91666666666666663</v>
      </c>
      <c r="M35" s="209">
        <f>SUM(G35:L35)</f>
        <v>14.391666666666666</v>
      </c>
    </row>
    <row r="36" spans="1:13" ht="25" thickBot="1" x14ac:dyDescent="0.45">
      <c r="A36" s="184">
        <v>2</v>
      </c>
      <c r="B36" s="184" t="s">
        <v>121</v>
      </c>
      <c r="C36" s="184" t="s">
        <v>126</v>
      </c>
      <c r="D36" s="184">
        <v>8</v>
      </c>
      <c r="E36" s="186">
        <f t="shared" ref="E36:E40" si="6">$E4</f>
        <v>8.1632653061224492</v>
      </c>
      <c r="F36" s="196">
        <v>9</v>
      </c>
      <c r="G36" s="186">
        <f>($F$36*C17)/C13</f>
        <v>6</v>
      </c>
      <c r="H36" s="186">
        <f t="shared" ref="H36:L36" si="7">($F$36*D17)/D13</f>
        <v>0</v>
      </c>
      <c r="I36" s="186">
        <f t="shared" si="7"/>
        <v>1.25</v>
      </c>
      <c r="J36" s="186">
        <f t="shared" si="7"/>
        <v>5.625</v>
      </c>
      <c r="K36" s="186">
        <f t="shared" si="7"/>
        <v>0</v>
      </c>
      <c r="L36" s="186">
        <f t="shared" si="7"/>
        <v>0.75</v>
      </c>
      <c r="M36" s="186">
        <f t="shared" ref="M36:M40" si="8">SUM(G36:L36)</f>
        <v>13.625</v>
      </c>
    </row>
    <row r="37" spans="1:13" ht="25" thickBot="1" x14ac:dyDescent="0.45">
      <c r="A37" s="184">
        <v>3</v>
      </c>
      <c r="B37" s="184" t="s">
        <v>122</v>
      </c>
      <c r="C37" s="184" t="s">
        <v>129</v>
      </c>
      <c r="D37" s="184">
        <v>20</v>
      </c>
      <c r="E37" s="186">
        <f t="shared" si="6"/>
        <v>20.408163265306122</v>
      </c>
      <c r="F37" s="196">
        <v>21</v>
      </c>
      <c r="G37" s="186">
        <f>($F$37*C20)/C13</f>
        <v>10.111111111111111</v>
      </c>
      <c r="H37" s="186">
        <f t="shared" ref="H37:L37" si="9">($F$37*D20)/D13</f>
        <v>0</v>
      </c>
      <c r="I37" s="186">
        <f t="shared" si="9"/>
        <v>0</v>
      </c>
      <c r="J37" s="186">
        <f t="shared" si="9"/>
        <v>5.25</v>
      </c>
      <c r="K37" s="186">
        <f t="shared" si="9"/>
        <v>0</v>
      </c>
      <c r="L37" s="186">
        <f t="shared" si="9"/>
        <v>1.75</v>
      </c>
      <c r="M37" s="186">
        <f t="shared" si="8"/>
        <v>17.111111111111111</v>
      </c>
    </row>
    <row r="38" spans="1:13" ht="25" thickBot="1" x14ac:dyDescent="0.45">
      <c r="A38" s="184">
        <v>4</v>
      </c>
      <c r="B38" s="184" t="s">
        <v>122</v>
      </c>
      <c r="C38" s="184" t="s">
        <v>130</v>
      </c>
      <c r="D38" s="184">
        <v>5</v>
      </c>
      <c r="E38" s="186">
        <f t="shared" si="6"/>
        <v>5.1020408163265305</v>
      </c>
      <c r="F38" s="196">
        <v>6</v>
      </c>
      <c r="G38" s="186">
        <f>($F$38*C21)/C13</f>
        <v>3.3333333333333335</v>
      </c>
      <c r="H38" s="186">
        <f t="shared" ref="H38:L38" si="10">($F$38*D21)/D13</f>
        <v>0</v>
      </c>
      <c r="I38" s="186">
        <f t="shared" si="10"/>
        <v>0</v>
      </c>
      <c r="J38" s="186">
        <f t="shared" si="10"/>
        <v>1.6666666666666667</v>
      </c>
      <c r="K38" s="186">
        <f t="shared" si="10"/>
        <v>0</v>
      </c>
      <c r="L38" s="186">
        <f t="shared" si="10"/>
        <v>0.5</v>
      </c>
      <c r="M38" s="186">
        <f t="shared" si="8"/>
        <v>5.5</v>
      </c>
    </row>
    <row r="39" spans="1:13" ht="25" thickBot="1" x14ac:dyDescent="0.45">
      <c r="A39" s="184">
        <v>5</v>
      </c>
      <c r="B39" s="184" t="s">
        <v>123</v>
      </c>
      <c r="C39" s="184" t="s">
        <v>133</v>
      </c>
      <c r="D39" s="184">
        <v>6</v>
      </c>
      <c r="E39" s="186">
        <f t="shared" si="6"/>
        <v>6.1224489795918364</v>
      </c>
      <c r="F39" s="196">
        <v>7</v>
      </c>
      <c r="G39" s="186">
        <f>($F$39*C24)/C13</f>
        <v>2.3333333333333335</v>
      </c>
      <c r="H39" s="186">
        <f>($F$39*D24)/D13</f>
        <v>0.875</v>
      </c>
      <c r="I39" s="186">
        <f t="shared" ref="I39:K39" si="11">($F$39*E24)/E13</f>
        <v>0.875</v>
      </c>
      <c r="J39" s="186">
        <f t="shared" si="11"/>
        <v>0</v>
      </c>
      <c r="K39" s="186">
        <f t="shared" si="11"/>
        <v>3.5</v>
      </c>
      <c r="L39" s="186">
        <f>($F$39*H24)/H13</f>
        <v>0.58333333333333326</v>
      </c>
      <c r="M39" s="186">
        <f t="shared" si="8"/>
        <v>8.1666666666666679</v>
      </c>
    </row>
    <row r="40" spans="1:13" ht="25" thickBot="1" x14ac:dyDescent="0.45">
      <c r="A40" s="184">
        <v>6</v>
      </c>
      <c r="B40" s="184" t="s">
        <v>123</v>
      </c>
      <c r="C40" s="184" t="s">
        <v>134</v>
      </c>
      <c r="D40" s="184">
        <v>12</v>
      </c>
      <c r="E40" s="186">
        <f t="shared" si="6"/>
        <v>12.244897959183673</v>
      </c>
      <c r="F40" s="196">
        <v>13</v>
      </c>
      <c r="G40" s="186">
        <f>($F$40*C25)/C13</f>
        <v>4.8148148148148149</v>
      </c>
      <c r="H40" s="186">
        <f t="shared" ref="H40:L40" si="12">($F$40*D25)/D13</f>
        <v>1.625</v>
      </c>
      <c r="I40" s="186">
        <f t="shared" si="12"/>
        <v>2.1666666666666665</v>
      </c>
      <c r="J40" s="186">
        <f t="shared" si="12"/>
        <v>0</v>
      </c>
      <c r="K40" s="186">
        <f t="shared" si="12"/>
        <v>7.5833333333333339</v>
      </c>
      <c r="L40" s="186">
        <f t="shared" si="12"/>
        <v>1.0833333333333333</v>
      </c>
      <c r="M40" s="186">
        <f t="shared" si="8"/>
        <v>17.273148148148149</v>
      </c>
    </row>
    <row r="42" spans="1:13" ht="25" thickBot="1" x14ac:dyDescent="0.45">
      <c r="A42" s="1" t="s">
        <v>174</v>
      </c>
    </row>
    <row r="43" spans="1:13" ht="25" thickBot="1" x14ac:dyDescent="0.45">
      <c r="A43" s="391" t="s">
        <v>177</v>
      </c>
      <c r="B43" s="197"/>
      <c r="C43" s="390" t="s">
        <v>179</v>
      </c>
      <c r="D43" s="390"/>
      <c r="E43" s="390"/>
      <c r="F43" s="390"/>
      <c r="G43" s="390"/>
      <c r="H43" s="390"/>
    </row>
    <row r="44" spans="1:13" ht="25" thickBot="1" x14ac:dyDescent="0.45">
      <c r="A44" s="392"/>
      <c r="B44" s="202" t="s">
        <v>176</v>
      </c>
      <c r="C44" s="391">
        <v>1</v>
      </c>
      <c r="D44" s="391">
        <v>2</v>
      </c>
      <c r="E44" s="391">
        <v>3</v>
      </c>
      <c r="F44" s="391">
        <v>4</v>
      </c>
      <c r="G44" s="391">
        <v>5</v>
      </c>
      <c r="H44" s="391">
        <v>6</v>
      </c>
    </row>
    <row r="45" spans="1:13" ht="25" thickBot="1" x14ac:dyDescent="0.45">
      <c r="A45" s="392"/>
      <c r="B45" s="202" t="s">
        <v>175</v>
      </c>
      <c r="C45" s="393"/>
      <c r="D45" s="393"/>
      <c r="E45" s="393"/>
      <c r="F45" s="393"/>
      <c r="G45" s="393"/>
      <c r="H45" s="393"/>
    </row>
    <row r="46" spans="1:13" ht="25" thickBot="1" x14ac:dyDescent="0.45">
      <c r="A46" s="392"/>
      <c r="B46" s="202">
        <v>1</v>
      </c>
      <c r="C46" s="192" t="s">
        <v>178</v>
      </c>
      <c r="D46" s="192">
        <v>2</v>
      </c>
      <c r="E46" s="192">
        <v>1</v>
      </c>
      <c r="F46" s="192">
        <v>1</v>
      </c>
      <c r="G46" s="192">
        <v>2</v>
      </c>
      <c r="H46" s="192">
        <v>3</v>
      </c>
    </row>
    <row r="47" spans="1:13" ht="25" thickBot="1" x14ac:dyDescent="0.45">
      <c r="A47" s="392"/>
      <c r="B47" s="202">
        <v>2</v>
      </c>
      <c r="C47" s="192">
        <v>2</v>
      </c>
      <c r="D47" s="192" t="s">
        <v>178</v>
      </c>
      <c r="E47" s="192">
        <v>1</v>
      </c>
      <c r="F47" s="192">
        <v>3</v>
      </c>
      <c r="G47" s="192">
        <v>1</v>
      </c>
      <c r="H47" s="192">
        <v>3</v>
      </c>
    </row>
    <row r="48" spans="1:13" ht="25" thickBot="1" x14ac:dyDescent="0.45">
      <c r="A48" s="392"/>
      <c r="B48" s="202">
        <v>3</v>
      </c>
      <c r="C48" s="192">
        <v>1</v>
      </c>
      <c r="D48" s="192">
        <v>1</v>
      </c>
      <c r="E48" s="192" t="s">
        <v>178</v>
      </c>
      <c r="F48" s="192">
        <v>2</v>
      </c>
      <c r="G48" s="192">
        <v>2</v>
      </c>
      <c r="H48" s="192">
        <v>2</v>
      </c>
    </row>
    <row r="49" spans="1:31" ht="25" thickBot="1" x14ac:dyDescent="0.45">
      <c r="A49" s="392"/>
      <c r="B49" s="202">
        <v>4</v>
      </c>
      <c r="C49" s="192">
        <v>1</v>
      </c>
      <c r="D49" s="192">
        <v>3</v>
      </c>
      <c r="E49" s="192">
        <v>2</v>
      </c>
      <c r="F49" s="192" t="s">
        <v>178</v>
      </c>
      <c r="G49" s="192">
        <v>2</v>
      </c>
      <c r="H49" s="192">
        <v>2</v>
      </c>
    </row>
    <row r="50" spans="1:31" ht="25" thickBot="1" x14ac:dyDescent="0.45">
      <c r="A50" s="392"/>
      <c r="B50" s="202">
        <v>5</v>
      </c>
      <c r="C50" s="192">
        <v>2</v>
      </c>
      <c r="D50" s="192">
        <v>1</v>
      </c>
      <c r="E50" s="192">
        <v>2</v>
      </c>
      <c r="F50" s="192">
        <v>2</v>
      </c>
      <c r="G50" s="192" t="s">
        <v>178</v>
      </c>
      <c r="H50" s="192">
        <v>2</v>
      </c>
    </row>
    <row r="51" spans="1:31" ht="25" thickBot="1" x14ac:dyDescent="0.45">
      <c r="A51" s="393"/>
      <c r="B51" s="202">
        <v>6</v>
      </c>
      <c r="C51" s="192">
        <v>3</v>
      </c>
      <c r="D51" s="192">
        <v>3</v>
      </c>
      <c r="E51" s="192">
        <v>2</v>
      </c>
      <c r="F51" s="192">
        <v>2</v>
      </c>
      <c r="G51" s="192">
        <v>2</v>
      </c>
      <c r="H51" s="192" t="s">
        <v>178</v>
      </c>
    </row>
    <row r="53" spans="1:31" ht="25" thickBot="1" x14ac:dyDescent="0.45"/>
    <row r="54" spans="1:31" ht="25" thickBot="1" x14ac:dyDescent="0.45">
      <c r="G54" s="381" t="s">
        <v>181</v>
      </c>
      <c r="H54" s="386"/>
      <c r="I54" s="386"/>
      <c r="J54" s="382"/>
      <c r="K54" s="381" t="s">
        <v>185</v>
      </c>
      <c r="L54" s="386"/>
      <c r="M54" s="386"/>
      <c r="N54" s="382"/>
      <c r="O54" s="381" t="s">
        <v>186</v>
      </c>
      <c r="P54" s="386"/>
      <c r="Q54" s="386"/>
      <c r="R54" s="382"/>
      <c r="S54" s="381" t="s">
        <v>184</v>
      </c>
      <c r="T54" s="386"/>
      <c r="U54" s="386"/>
      <c r="V54" s="382"/>
      <c r="W54" s="381" t="s">
        <v>183</v>
      </c>
      <c r="X54" s="386"/>
      <c r="Y54" s="386"/>
      <c r="Z54" s="382"/>
      <c r="AA54" s="381" t="s">
        <v>182</v>
      </c>
      <c r="AB54" s="386"/>
      <c r="AC54" s="386"/>
      <c r="AD54" s="382"/>
      <c r="AE54" s="383" t="s">
        <v>189</v>
      </c>
    </row>
    <row r="55" spans="1:31" ht="25" thickBot="1" x14ac:dyDescent="0.45">
      <c r="A55" s="192" t="s">
        <v>118</v>
      </c>
      <c r="B55" s="192" t="s">
        <v>119</v>
      </c>
      <c r="C55" s="192" t="s">
        <v>120</v>
      </c>
      <c r="D55" s="185" t="s">
        <v>143</v>
      </c>
      <c r="E55" s="195" t="s">
        <v>31</v>
      </c>
      <c r="F55" s="195" t="s">
        <v>146</v>
      </c>
      <c r="G55" s="381" t="s">
        <v>187</v>
      </c>
      <c r="H55" s="382"/>
      <c r="I55" s="192" t="s">
        <v>188</v>
      </c>
      <c r="J55" s="192" t="s">
        <v>189</v>
      </c>
      <c r="K55" s="381" t="s">
        <v>187</v>
      </c>
      <c r="L55" s="382"/>
      <c r="M55" s="192" t="s">
        <v>188</v>
      </c>
      <c r="N55" s="192" t="s">
        <v>189</v>
      </c>
      <c r="O55" s="381" t="s">
        <v>187</v>
      </c>
      <c r="P55" s="382"/>
      <c r="Q55" s="192" t="s">
        <v>188</v>
      </c>
      <c r="R55" s="192" t="s">
        <v>189</v>
      </c>
      <c r="S55" s="381" t="s">
        <v>187</v>
      </c>
      <c r="T55" s="382"/>
      <c r="U55" s="192" t="s">
        <v>188</v>
      </c>
      <c r="V55" s="192" t="s">
        <v>189</v>
      </c>
      <c r="W55" s="381" t="s">
        <v>187</v>
      </c>
      <c r="X55" s="382"/>
      <c r="Y55" s="192" t="s">
        <v>188</v>
      </c>
      <c r="Z55" s="192" t="s">
        <v>189</v>
      </c>
      <c r="AA55" s="381" t="s">
        <v>187</v>
      </c>
      <c r="AB55" s="382"/>
      <c r="AC55" s="192" t="s">
        <v>188</v>
      </c>
      <c r="AD55" s="192" t="s">
        <v>189</v>
      </c>
      <c r="AE55" s="383"/>
    </row>
    <row r="56" spans="1:31" ht="25" thickBot="1" x14ac:dyDescent="0.45">
      <c r="A56" s="192">
        <v>1</v>
      </c>
      <c r="B56" s="192" t="s">
        <v>121</v>
      </c>
      <c r="C56" s="192" t="s">
        <v>125</v>
      </c>
      <c r="D56" s="192">
        <v>10</v>
      </c>
      <c r="E56" s="186">
        <f>$E24</f>
        <v>0.25</v>
      </c>
      <c r="F56" s="196">
        <v>11</v>
      </c>
      <c r="G56" s="381">
        <f>I16</f>
        <v>0.5</v>
      </c>
      <c r="H56" s="382"/>
      <c r="I56" s="186">
        <f>G35</f>
        <v>5.5</v>
      </c>
      <c r="J56" s="186">
        <f>SUM(G56:I56)</f>
        <v>6</v>
      </c>
      <c r="K56" s="381">
        <v>0</v>
      </c>
      <c r="L56" s="382"/>
      <c r="M56" s="186">
        <f>H35</f>
        <v>0</v>
      </c>
      <c r="N56" s="197">
        <f>SUM(K56:M56)</f>
        <v>0</v>
      </c>
      <c r="O56" s="381">
        <f>K16</f>
        <v>0.5</v>
      </c>
      <c r="P56" s="382"/>
      <c r="Q56" s="186">
        <f>I35</f>
        <v>1.375</v>
      </c>
      <c r="R56" s="186">
        <f>SUM(O56:Q56)</f>
        <v>1.875</v>
      </c>
      <c r="S56" s="381">
        <f>L16</f>
        <v>0.25</v>
      </c>
      <c r="T56" s="382"/>
      <c r="U56" s="186">
        <f>J35</f>
        <v>6.6</v>
      </c>
      <c r="V56" s="186">
        <f>SUM(S56:U56)</f>
        <v>6.85</v>
      </c>
      <c r="W56" s="388">
        <v>0</v>
      </c>
      <c r="X56" s="389"/>
      <c r="Y56" s="186">
        <f>K35</f>
        <v>0</v>
      </c>
      <c r="Z56" s="186">
        <f>SUM(W56:Y56)</f>
        <v>0</v>
      </c>
      <c r="AA56" s="381">
        <f>N16</f>
        <v>0.2</v>
      </c>
      <c r="AB56" s="382"/>
      <c r="AC56" s="186">
        <f>L35</f>
        <v>0.91666666666666663</v>
      </c>
      <c r="AD56" s="186">
        <f>SUM(AA56:AC56)</f>
        <v>1.1166666666666667</v>
      </c>
      <c r="AE56" s="208">
        <f>J56+N56+R56+U56+Y56+AD56</f>
        <v>15.591666666666667</v>
      </c>
    </row>
    <row r="57" spans="1:31" ht="25" thickBot="1" x14ac:dyDescent="0.45">
      <c r="A57" s="192">
        <v>2</v>
      </c>
      <c r="B57" s="192" t="s">
        <v>121</v>
      </c>
      <c r="C57" s="192" t="s">
        <v>126</v>
      </c>
      <c r="D57" s="192">
        <v>8</v>
      </c>
      <c r="E57" s="186">
        <f t="shared" ref="E57:E61" si="13">$E25</f>
        <v>0.33333333333333331</v>
      </c>
      <c r="F57" s="196">
        <v>9</v>
      </c>
      <c r="G57" s="381">
        <f>I17</f>
        <v>0.5</v>
      </c>
      <c r="H57" s="382"/>
      <c r="I57" s="186">
        <f t="shared" ref="I57:I61" si="14">G36</f>
        <v>6</v>
      </c>
      <c r="J57" s="186">
        <f t="shared" ref="J57:J61" si="15">SUM(G57:I57)</f>
        <v>6.5</v>
      </c>
      <c r="K57" s="381">
        <v>0</v>
      </c>
      <c r="L57" s="382"/>
      <c r="M57" s="186">
        <f t="shared" ref="M57:M61" si="16">H36</f>
        <v>0</v>
      </c>
      <c r="N57" s="197">
        <f t="shared" ref="N57:N61" si="17">SUM(K57:M57)</f>
        <v>0</v>
      </c>
      <c r="O57" s="381">
        <f>K17</f>
        <v>0.5</v>
      </c>
      <c r="P57" s="382"/>
      <c r="Q57" s="186">
        <f t="shared" ref="Q57:Q61" si="18">I36</f>
        <v>1.25</v>
      </c>
      <c r="R57" s="186">
        <f t="shared" ref="R57:R61" si="19">SUM(O57:Q57)</f>
        <v>1.75</v>
      </c>
      <c r="S57" s="381">
        <f>L17</f>
        <v>0.25</v>
      </c>
      <c r="T57" s="382"/>
      <c r="U57" s="186">
        <f t="shared" ref="U57:U61" si="20">J36</f>
        <v>5.625</v>
      </c>
      <c r="V57" s="186">
        <f t="shared" ref="V57:V61" si="21">SUM(S57:U57)</f>
        <v>5.875</v>
      </c>
      <c r="W57" s="388">
        <v>0</v>
      </c>
      <c r="X57" s="389"/>
      <c r="Y57" s="186">
        <f t="shared" ref="Y57:Y61" si="22">K36</f>
        <v>0</v>
      </c>
      <c r="Z57" s="186">
        <f t="shared" ref="Z57:Z61" si="23">SUM(W57:Y57)</f>
        <v>0</v>
      </c>
      <c r="AA57" s="381">
        <f>N17</f>
        <v>0.2</v>
      </c>
      <c r="AB57" s="382"/>
      <c r="AC57" s="186">
        <f t="shared" ref="AC57:AC61" si="24">L36</f>
        <v>0.75</v>
      </c>
      <c r="AD57" s="186">
        <f t="shared" ref="AD57:AD60" si="25">SUM(AA57:AC57)</f>
        <v>0.95</v>
      </c>
      <c r="AE57" s="208">
        <f t="shared" ref="AE57:AE61" si="26">J57+N57+R57+U57+Y57+AD57</f>
        <v>14.824999999999999</v>
      </c>
    </row>
    <row r="58" spans="1:31" ht="25" thickBot="1" x14ac:dyDescent="0.45">
      <c r="A58" s="192">
        <v>3</v>
      </c>
      <c r="B58" s="192" t="s">
        <v>122</v>
      </c>
      <c r="C58" s="192" t="s">
        <v>129</v>
      </c>
      <c r="D58" s="192">
        <v>20</v>
      </c>
      <c r="E58" s="186">
        <f t="shared" si="13"/>
        <v>0.41666666666666669</v>
      </c>
      <c r="F58" s="196">
        <v>21</v>
      </c>
      <c r="G58" s="381">
        <f>I20</f>
        <v>0.45</v>
      </c>
      <c r="H58" s="382"/>
      <c r="I58" s="186">
        <f t="shared" si="14"/>
        <v>10.111111111111111</v>
      </c>
      <c r="J58" s="186">
        <f t="shared" si="15"/>
        <v>10.56111111111111</v>
      </c>
      <c r="K58" s="381">
        <v>0</v>
      </c>
      <c r="L58" s="382"/>
      <c r="M58" s="186">
        <f t="shared" si="16"/>
        <v>0</v>
      </c>
      <c r="N58" s="197">
        <f t="shared" si="17"/>
        <v>0</v>
      </c>
      <c r="O58" s="381">
        <v>0</v>
      </c>
      <c r="P58" s="382"/>
      <c r="Q58" s="186">
        <f t="shared" si="18"/>
        <v>0</v>
      </c>
      <c r="R58" s="186">
        <f t="shared" si="19"/>
        <v>0</v>
      </c>
      <c r="S58" s="381">
        <f>L20</f>
        <v>0.35</v>
      </c>
      <c r="T58" s="382"/>
      <c r="U58" s="186">
        <f t="shared" si="20"/>
        <v>5.25</v>
      </c>
      <c r="V58" s="186">
        <f t="shared" si="21"/>
        <v>5.6</v>
      </c>
      <c r="W58" s="381">
        <v>0</v>
      </c>
      <c r="X58" s="382"/>
      <c r="Y58" s="186">
        <f t="shared" si="22"/>
        <v>0</v>
      </c>
      <c r="Z58" s="186">
        <f t="shared" si="23"/>
        <v>0</v>
      </c>
      <c r="AA58" s="381">
        <f>N20</f>
        <v>0.2</v>
      </c>
      <c r="AB58" s="382"/>
      <c r="AC58" s="186">
        <f t="shared" si="24"/>
        <v>1.75</v>
      </c>
      <c r="AD58" s="186">
        <f t="shared" si="25"/>
        <v>1.95</v>
      </c>
      <c r="AE58" s="208">
        <f t="shared" si="26"/>
        <v>17.761111111111109</v>
      </c>
    </row>
    <row r="59" spans="1:31" s="26" customFormat="1" ht="25" thickBot="1" x14ac:dyDescent="0.45">
      <c r="A59" s="195">
        <v>4</v>
      </c>
      <c r="B59" s="195" t="s">
        <v>122</v>
      </c>
      <c r="C59" s="195" t="s">
        <v>130</v>
      </c>
      <c r="D59" s="195">
        <v>5</v>
      </c>
      <c r="E59" s="209">
        <f t="shared" si="13"/>
        <v>0.5</v>
      </c>
      <c r="F59" s="210">
        <v>6</v>
      </c>
      <c r="G59" s="384">
        <f>I21</f>
        <v>0.45</v>
      </c>
      <c r="H59" s="385"/>
      <c r="I59" s="209">
        <f t="shared" si="14"/>
        <v>3.3333333333333335</v>
      </c>
      <c r="J59" s="209">
        <f t="shared" si="15"/>
        <v>3.7833333333333337</v>
      </c>
      <c r="K59" s="384">
        <v>0</v>
      </c>
      <c r="L59" s="385"/>
      <c r="M59" s="209">
        <f t="shared" si="16"/>
        <v>0</v>
      </c>
      <c r="N59" s="212">
        <f t="shared" si="17"/>
        <v>0</v>
      </c>
      <c r="O59" s="384">
        <v>0</v>
      </c>
      <c r="P59" s="385"/>
      <c r="Q59" s="209">
        <f t="shared" si="18"/>
        <v>0</v>
      </c>
      <c r="R59" s="209">
        <f t="shared" si="19"/>
        <v>0</v>
      </c>
      <c r="S59" s="384">
        <f>L21</f>
        <v>0.35</v>
      </c>
      <c r="T59" s="385"/>
      <c r="U59" s="209">
        <f t="shared" si="20"/>
        <v>1.6666666666666667</v>
      </c>
      <c r="V59" s="209">
        <f t="shared" si="21"/>
        <v>2.0166666666666666</v>
      </c>
      <c r="W59" s="384">
        <v>0</v>
      </c>
      <c r="X59" s="385"/>
      <c r="Y59" s="209">
        <f t="shared" si="22"/>
        <v>0</v>
      </c>
      <c r="Z59" s="209">
        <f t="shared" si="23"/>
        <v>0</v>
      </c>
      <c r="AA59" s="384">
        <f>N21</f>
        <v>0.2</v>
      </c>
      <c r="AB59" s="385"/>
      <c r="AC59" s="209">
        <f t="shared" si="24"/>
        <v>0.5</v>
      </c>
      <c r="AD59" s="209">
        <f t="shared" si="25"/>
        <v>0.7</v>
      </c>
      <c r="AE59" s="213">
        <f t="shared" si="26"/>
        <v>6.15</v>
      </c>
    </row>
    <row r="60" spans="1:31" s="26" customFormat="1" ht="25" thickBot="1" x14ac:dyDescent="0.45">
      <c r="A60" s="195">
        <v>5</v>
      </c>
      <c r="B60" s="195" t="s">
        <v>123</v>
      </c>
      <c r="C60" s="195" t="s">
        <v>133</v>
      </c>
      <c r="D60" s="195">
        <v>6</v>
      </c>
      <c r="E60" s="209">
        <f t="shared" si="13"/>
        <v>0.25</v>
      </c>
      <c r="F60" s="210">
        <v>7</v>
      </c>
      <c r="G60" s="384">
        <f>I24</f>
        <v>0.6</v>
      </c>
      <c r="H60" s="385"/>
      <c r="I60" s="209">
        <v>0</v>
      </c>
      <c r="J60" s="209">
        <f t="shared" si="15"/>
        <v>0.6</v>
      </c>
      <c r="K60" s="384">
        <f>J24</f>
        <v>0.25</v>
      </c>
      <c r="L60" s="385"/>
      <c r="M60" s="209">
        <f t="shared" si="16"/>
        <v>0.875</v>
      </c>
      <c r="N60" s="209">
        <f t="shared" si="17"/>
        <v>1.125</v>
      </c>
      <c r="O60" s="384">
        <f>K28</f>
        <v>0.35</v>
      </c>
      <c r="P60" s="385"/>
      <c r="Q60" s="209">
        <f t="shared" si="18"/>
        <v>0.875</v>
      </c>
      <c r="R60" s="209">
        <f t="shared" si="19"/>
        <v>1.2250000000000001</v>
      </c>
      <c r="S60" s="384">
        <v>0</v>
      </c>
      <c r="T60" s="385"/>
      <c r="U60" s="209">
        <f t="shared" si="20"/>
        <v>0</v>
      </c>
      <c r="V60" s="209">
        <f t="shared" si="21"/>
        <v>0</v>
      </c>
      <c r="W60" s="384">
        <f>M24</f>
        <v>0.65</v>
      </c>
      <c r="X60" s="385"/>
      <c r="Y60" s="209">
        <f t="shared" si="22"/>
        <v>3.5</v>
      </c>
      <c r="Z60" s="209">
        <f t="shared" si="23"/>
        <v>4.1500000000000004</v>
      </c>
      <c r="AA60" s="384">
        <f>N24</f>
        <v>0.2</v>
      </c>
      <c r="AB60" s="385"/>
      <c r="AC60" s="209">
        <f t="shared" si="24"/>
        <v>0.58333333333333326</v>
      </c>
      <c r="AD60" s="209">
        <f t="shared" si="25"/>
        <v>0.78333333333333321</v>
      </c>
      <c r="AE60" s="213">
        <f t="shared" si="26"/>
        <v>7.2333333333333334</v>
      </c>
    </row>
    <row r="61" spans="1:31" ht="25" thickBot="1" x14ac:dyDescent="0.45">
      <c r="A61" s="192">
        <v>6</v>
      </c>
      <c r="B61" s="192" t="s">
        <v>123</v>
      </c>
      <c r="C61" s="192" t="s">
        <v>134</v>
      </c>
      <c r="D61" s="192">
        <v>12</v>
      </c>
      <c r="E61" s="186">
        <f t="shared" si="13"/>
        <v>0.41666666666666669</v>
      </c>
      <c r="F61" s="196">
        <v>13</v>
      </c>
      <c r="G61" s="381">
        <f>I25</f>
        <v>0.6</v>
      </c>
      <c r="H61" s="382"/>
      <c r="I61" s="186">
        <f t="shared" si="14"/>
        <v>4.8148148148148149</v>
      </c>
      <c r="J61" s="186">
        <f t="shared" si="15"/>
        <v>5.4148148148148145</v>
      </c>
      <c r="K61" s="381">
        <f>J25</f>
        <v>0.25</v>
      </c>
      <c r="L61" s="382"/>
      <c r="M61" s="186">
        <f t="shared" si="16"/>
        <v>1.625</v>
      </c>
      <c r="N61" s="186">
        <f t="shared" si="17"/>
        <v>1.875</v>
      </c>
      <c r="O61" s="381">
        <f>K29</f>
        <v>0.35</v>
      </c>
      <c r="P61" s="382"/>
      <c r="Q61" s="186">
        <f t="shared" si="18"/>
        <v>2.1666666666666665</v>
      </c>
      <c r="R61" s="186">
        <f t="shared" si="19"/>
        <v>2.5166666666666666</v>
      </c>
      <c r="S61" s="381">
        <v>0</v>
      </c>
      <c r="T61" s="382"/>
      <c r="U61" s="186">
        <f t="shared" si="20"/>
        <v>0</v>
      </c>
      <c r="V61" s="186">
        <f t="shared" si="21"/>
        <v>0</v>
      </c>
      <c r="W61" s="381">
        <f>M25</f>
        <v>0.65</v>
      </c>
      <c r="X61" s="382"/>
      <c r="Y61" s="186">
        <f t="shared" si="22"/>
        <v>7.5833333333333339</v>
      </c>
      <c r="Z61" s="186">
        <f t="shared" si="23"/>
        <v>8.2333333333333343</v>
      </c>
      <c r="AA61" s="381">
        <f>N25</f>
        <v>0.2</v>
      </c>
      <c r="AB61" s="382"/>
      <c r="AC61" s="186">
        <f t="shared" si="24"/>
        <v>1.0833333333333333</v>
      </c>
      <c r="AD61" s="186">
        <f>SUM(AA61:AC61)</f>
        <v>1.2833333333333332</v>
      </c>
      <c r="AE61" s="208">
        <f t="shared" si="26"/>
        <v>18.673148148148144</v>
      </c>
    </row>
    <row r="62" spans="1:31" x14ac:dyDescent="0.4">
      <c r="T62" s="14"/>
      <c r="U62" s="14"/>
      <c r="V62" s="387"/>
      <c r="W62" s="387"/>
      <c r="X62" s="387"/>
    </row>
    <row r="63" spans="1:31" x14ac:dyDescent="0.4">
      <c r="T63" s="14"/>
      <c r="U63" s="14"/>
      <c r="V63" s="205"/>
      <c r="W63" s="205"/>
      <c r="X63" s="205"/>
    </row>
    <row r="64" spans="1:31" x14ac:dyDescent="0.4">
      <c r="T64" s="14"/>
      <c r="U64" s="14"/>
      <c r="V64" s="14"/>
      <c r="W64" s="14"/>
      <c r="X64" s="14"/>
    </row>
    <row r="65" spans="20:24" x14ac:dyDescent="0.4">
      <c r="T65" s="14"/>
      <c r="U65" s="14"/>
      <c r="V65" s="14"/>
      <c r="W65" s="14"/>
      <c r="X65" s="14"/>
    </row>
    <row r="66" spans="20:24" x14ac:dyDescent="0.4">
      <c r="T66" s="14"/>
      <c r="U66" s="14"/>
      <c r="V66" s="14"/>
      <c r="W66" s="14"/>
      <c r="X66" s="14"/>
    </row>
    <row r="67" spans="20:24" x14ac:dyDescent="0.4">
      <c r="T67" s="14"/>
      <c r="U67" s="14"/>
      <c r="V67" s="14"/>
      <c r="W67" s="14"/>
      <c r="X67" s="14"/>
    </row>
    <row r="68" spans="20:24" x14ac:dyDescent="0.4">
      <c r="T68" s="14"/>
      <c r="U68" s="14"/>
      <c r="V68" s="14"/>
      <c r="W68" s="14"/>
      <c r="X68" s="14"/>
    </row>
    <row r="69" spans="20:24" x14ac:dyDescent="0.4">
      <c r="T69" s="14"/>
      <c r="U69" s="14"/>
      <c r="V69" s="14"/>
      <c r="W69" s="14"/>
      <c r="X69" s="14"/>
    </row>
  </sheetData>
  <mergeCells count="66">
    <mergeCell ref="A24:A27"/>
    <mergeCell ref="A28:A31"/>
    <mergeCell ref="C11:H12"/>
    <mergeCell ref="I11:N12"/>
    <mergeCell ref="B11:B15"/>
    <mergeCell ref="A11:A15"/>
    <mergeCell ref="A16:A19"/>
    <mergeCell ref="A20:A23"/>
    <mergeCell ref="C43:H43"/>
    <mergeCell ref="A43:A51"/>
    <mergeCell ref="H44:H45"/>
    <mergeCell ref="G44:G45"/>
    <mergeCell ref="F44:F45"/>
    <mergeCell ref="E44:E45"/>
    <mergeCell ref="D44:D45"/>
    <mergeCell ref="C44:C45"/>
    <mergeCell ref="S54:V54"/>
    <mergeCell ref="V62:X62"/>
    <mergeCell ref="W54:Z54"/>
    <mergeCell ref="W61:X61"/>
    <mergeCell ref="W60:X60"/>
    <mergeCell ref="W59:X59"/>
    <mergeCell ref="W58:X58"/>
    <mergeCell ref="W57:X57"/>
    <mergeCell ref="W56:X56"/>
    <mergeCell ref="W55:X55"/>
    <mergeCell ref="O61:P61"/>
    <mergeCell ref="G54:J54"/>
    <mergeCell ref="K54:N54"/>
    <mergeCell ref="O54:R54"/>
    <mergeCell ref="K61:L61"/>
    <mergeCell ref="K60:L60"/>
    <mergeCell ref="K59:L59"/>
    <mergeCell ref="K58:L58"/>
    <mergeCell ref="K57:L57"/>
    <mergeCell ref="G55:H55"/>
    <mergeCell ref="G61:H61"/>
    <mergeCell ref="G60:H60"/>
    <mergeCell ref="G59:H59"/>
    <mergeCell ref="G58:H58"/>
    <mergeCell ref="G57:H57"/>
    <mergeCell ref="G56:H56"/>
    <mergeCell ref="S57:T57"/>
    <mergeCell ref="S56:T56"/>
    <mergeCell ref="S55:T55"/>
    <mergeCell ref="O60:P60"/>
    <mergeCell ref="O59:P59"/>
    <mergeCell ref="O58:P58"/>
    <mergeCell ref="O57:P57"/>
    <mergeCell ref="O56:P56"/>
    <mergeCell ref="K56:L56"/>
    <mergeCell ref="K55:L55"/>
    <mergeCell ref="AE54:AE55"/>
    <mergeCell ref="AA61:AB61"/>
    <mergeCell ref="AA60:AB60"/>
    <mergeCell ref="AA59:AB59"/>
    <mergeCell ref="AA58:AB58"/>
    <mergeCell ref="AA57:AB57"/>
    <mergeCell ref="AA56:AB56"/>
    <mergeCell ref="AA55:AB55"/>
    <mergeCell ref="AA54:AD54"/>
    <mergeCell ref="O55:P55"/>
    <mergeCell ref="S61:T61"/>
    <mergeCell ref="S60:T60"/>
    <mergeCell ref="S59:T59"/>
    <mergeCell ref="S58:T5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34" workbookViewId="0">
      <selection activeCell="G41" sqref="G41"/>
    </sheetView>
  </sheetViews>
  <sheetFormatPr baseColWidth="10" defaultColWidth="8.83203125" defaultRowHeight="15" x14ac:dyDescent="0.2"/>
  <cols>
    <col min="1" max="1" width="15.1640625" customWidth="1"/>
    <col min="2" max="2" width="14.83203125" customWidth="1"/>
    <col min="3" max="3" width="15.1640625" customWidth="1"/>
    <col min="4" max="4" width="14.33203125" customWidth="1"/>
    <col min="5" max="5" width="14.6640625" customWidth="1"/>
    <col min="6" max="6" width="15.33203125" customWidth="1"/>
    <col min="10" max="10" width="16.1640625" customWidth="1"/>
    <col min="11" max="13" width="15.33203125" customWidth="1"/>
    <col min="14" max="14" width="16.33203125" customWidth="1"/>
    <col min="15" max="15" width="15.33203125" customWidth="1"/>
  </cols>
  <sheetData>
    <row r="1" spans="1:15" x14ac:dyDescent="0.2">
      <c r="A1" t="s">
        <v>248</v>
      </c>
      <c r="K1" t="s">
        <v>251</v>
      </c>
    </row>
    <row r="2" spans="1:15" x14ac:dyDescent="0.2">
      <c r="H2" t="s">
        <v>249</v>
      </c>
      <c r="L2" t="s">
        <v>45</v>
      </c>
      <c r="M2" t="s">
        <v>44</v>
      </c>
      <c r="N2" t="s">
        <v>42</v>
      </c>
      <c r="O2" t="s">
        <v>43</v>
      </c>
    </row>
    <row r="3" spans="1:15" x14ac:dyDescent="0.2">
      <c r="A3" t="str">
        <f>อันใหม่!B16</f>
        <v>A1</v>
      </c>
      <c r="B3" s="266">
        <v>1.5</v>
      </c>
      <c r="C3" s="266">
        <f>อันใหม่!D16</f>
        <v>0</v>
      </c>
      <c r="D3" s="266">
        <f>อันใหม่!E16</f>
        <v>0.25</v>
      </c>
      <c r="E3" s="266">
        <f>อันใหม่!F16</f>
        <v>1.2</v>
      </c>
      <c r="F3" s="266">
        <f>อันใหม่!G16</f>
        <v>0</v>
      </c>
      <c r="G3" s="266">
        <f>อันใหม่!H16</f>
        <v>0.16666666666666666</v>
      </c>
      <c r="H3">
        <v>3.12</v>
      </c>
      <c r="K3" t="str">
        <f t="shared" ref="K3:K8" si="0">A14</f>
        <v>A1</v>
      </c>
      <c r="L3">
        <v>15.83</v>
      </c>
      <c r="M3">
        <v>15.9</v>
      </c>
      <c r="N3">
        <v>15.83</v>
      </c>
      <c r="O3">
        <v>15.85</v>
      </c>
    </row>
    <row r="4" spans="1:15" x14ac:dyDescent="0.2">
      <c r="A4" t="str">
        <f>อันใหม่!B17</f>
        <v>A2</v>
      </c>
      <c r="B4" s="266">
        <f>อันใหม่!C17</f>
        <v>2</v>
      </c>
      <c r="C4" s="266">
        <f>อันใหม่!D17</f>
        <v>0</v>
      </c>
      <c r="D4" s="266">
        <f>อันใหม่!E17</f>
        <v>0.27777777777777779</v>
      </c>
      <c r="E4" s="266">
        <f>อันใหม่!F17</f>
        <v>1.25</v>
      </c>
      <c r="F4" s="266">
        <f>อันใหม่!G17</f>
        <v>0</v>
      </c>
      <c r="G4" s="266">
        <f>อันใหม่!H17</f>
        <v>0.16666666666666666</v>
      </c>
      <c r="H4">
        <v>3.42</v>
      </c>
      <c r="K4" t="str">
        <f t="shared" si="0"/>
        <v>A2</v>
      </c>
      <c r="L4">
        <v>15.56</v>
      </c>
      <c r="M4">
        <v>15.08</v>
      </c>
      <c r="N4">
        <v>15.56</v>
      </c>
      <c r="O4">
        <v>15.56</v>
      </c>
    </row>
    <row r="5" spans="1:15" x14ac:dyDescent="0.2">
      <c r="A5" t="str">
        <f>อันใหม่!B20</f>
        <v>B1</v>
      </c>
      <c r="B5" s="266">
        <f>อันใหม่!C20</f>
        <v>1.4444444444444444</v>
      </c>
      <c r="C5" s="266">
        <f>อันใหม่!D20</f>
        <v>0</v>
      </c>
      <c r="D5" s="266">
        <f>อันใหม่!E20</f>
        <v>0</v>
      </c>
      <c r="E5" s="266">
        <f>อันใหม่!F20</f>
        <v>0.5</v>
      </c>
      <c r="F5" s="266">
        <f>อันใหม่!G20</f>
        <v>0</v>
      </c>
      <c r="G5" s="266">
        <f>อันใหม่!H20</f>
        <v>0.16666666666666666</v>
      </c>
      <c r="H5">
        <v>2.11</v>
      </c>
      <c r="K5" t="str">
        <f t="shared" si="0"/>
        <v>B1</v>
      </c>
      <c r="L5">
        <v>17.760000000000002</v>
      </c>
      <c r="M5">
        <v>17.760000000000002</v>
      </c>
      <c r="N5">
        <v>17.760000000000002</v>
      </c>
      <c r="O5">
        <v>8.85</v>
      </c>
    </row>
    <row r="6" spans="1:15" x14ac:dyDescent="0.2">
      <c r="A6" t="str">
        <f>อันใหม่!B21</f>
        <v>B2</v>
      </c>
      <c r="B6" s="266">
        <f>อันใหม่!C21</f>
        <v>1.6666666666666667</v>
      </c>
      <c r="C6" s="266">
        <f>อันใหม่!D21</f>
        <v>0</v>
      </c>
      <c r="D6" s="266">
        <f>อันใหม่!E21</f>
        <v>0</v>
      </c>
      <c r="E6" s="266">
        <f>อันใหม่!F21</f>
        <v>0.55555555555555558</v>
      </c>
      <c r="F6" s="266">
        <f>อันใหม่!G21</f>
        <v>0</v>
      </c>
      <c r="G6" s="266">
        <f>อันใหม่!H21</f>
        <v>0.16666666666666666</v>
      </c>
      <c r="H6">
        <v>2.4</v>
      </c>
      <c r="K6" t="str">
        <f t="shared" si="0"/>
        <v>B2</v>
      </c>
      <c r="L6">
        <v>9.8800000000000008</v>
      </c>
      <c r="M6">
        <v>6.15</v>
      </c>
      <c r="N6">
        <v>7.9</v>
      </c>
      <c r="O6">
        <v>6.15</v>
      </c>
    </row>
    <row r="7" spans="1:15" x14ac:dyDescent="0.2">
      <c r="A7" t="str">
        <f>อันใหม่!B24</f>
        <v>C1</v>
      </c>
      <c r="B7" s="266">
        <f>อันใหม่!C24</f>
        <v>1</v>
      </c>
      <c r="C7" s="266">
        <f>อันใหม่!D24</f>
        <v>0.25</v>
      </c>
      <c r="D7" s="266">
        <f>อันใหม่!E24</f>
        <v>0.25</v>
      </c>
      <c r="E7" s="266">
        <f>อันใหม่!F24</f>
        <v>0</v>
      </c>
      <c r="F7" s="266">
        <f>อันใหม่!G24</f>
        <v>1</v>
      </c>
      <c r="G7" s="266">
        <f>อันใหม่!H24</f>
        <v>0.16666666666666666</v>
      </c>
      <c r="H7">
        <v>4.2</v>
      </c>
      <c r="K7" t="str">
        <f t="shared" si="0"/>
        <v>C1</v>
      </c>
      <c r="L7">
        <v>7.83</v>
      </c>
      <c r="M7">
        <v>7.83</v>
      </c>
      <c r="N7">
        <v>7.13</v>
      </c>
      <c r="O7">
        <v>7.83</v>
      </c>
    </row>
    <row r="8" spans="1:15" x14ac:dyDescent="0.2">
      <c r="A8" t="str">
        <f>อันใหม่!B25</f>
        <v>C2</v>
      </c>
      <c r="B8" s="266">
        <f>อันใหม่!C25</f>
        <v>1.1111111111111112</v>
      </c>
      <c r="C8" s="266">
        <f>อันใหม่!D25</f>
        <v>0.25</v>
      </c>
      <c r="D8" s="266">
        <f>อันใหม่!E25</f>
        <v>0.33333333333333331</v>
      </c>
      <c r="E8" s="266">
        <f>อันใหม่!F25</f>
        <v>0</v>
      </c>
      <c r="F8" s="266">
        <f>อันใหม่!G25</f>
        <v>1.1666666666666667</v>
      </c>
      <c r="G8" s="266">
        <f>อันใหม่!H25</f>
        <v>0.16666666666666666</v>
      </c>
      <c r="H8">
        <v>4.03</v>
      </c>
      <c r="K8" t="str">
        <f t="shared" si="0"/>
        <v>C2</v>
      </c>
      <c r="L8">
        <v>19.32</v>
      </c>
      <c r="M8">
        <v>20.32</v>
      </c>
      <c r="N8">
        <v>19.32</v>
      </c>
      <c r="O8">
        <v>18.04</v>
      </c>
    </row>
    <row r="9" spans="1:15" x14ac:dyDescent="0.2">
      <c r="A9" t="str">
        <f>อันใหม่!B28</f>
        <v>D1</v>
      </c>
      <c r="B9" s="266">
        <f>อันใหม่!C28</f>
        <v>1.1666666666666667</v>
      </c>
      <c r="C9" s="266">
        <f>อันใหม่!D28</f>
        <v>0.25</v>
      </c>
      <c r="D9" s="266">
        <f>อันใหม่!E28</f>
        <v>0.25</v>
      </c>
      <c r="E9" s="266">
        <f>อันใหม่!F28</f>
        <v>0.5</v>
      </c>
      <c r="F9" s="266">
        <f>อันใหม่!G28</f>
        <v>1.0555555555555556</v>
      </c>
      <c r="G9" s="266">
        <f>อันใหม่!H28</f>
        <v>0.16666666666666666</v>
      </c>
      <c r="H9">
        <v>3.4</v>
      </c>
    </row>
    <row r="10" spans="1:15" x14ac:dyDescent="0.2">
      <c r="A10" t="str">
        <f>อันใหม่!B29</f>
        <v>D2</v>
      </c>
      <c r="B10" s="266">
        <f>อันใหม่!C29</f>
        <v>1.3333333333333333</v>
      </c>
      <c r="C10" s="266">
        <f>อันใหม่!D29</f>
        <v>0.41666666666666669</v>
      </c>
      <c r="D10" s="266">
        <f>อันใหม่!E29</f>
        <v>0.41666666666666669</v>
      </c>
      <c r="E10" s="266">
        <f>อันใหม่!F29</f>
        <v>0.55555555555555558</v>
      </c>
      <c r="F10" s="266">
        <f>อันใหม่!G29</f>
        <v>2.0833333333333335</v>
      </c>
      <c r="G10" s="266">
        <f>อันใหม่!H29</f>
        <v>0.16666666666666666</v>
      </c>
      <c r="H10">
        <v>4.9800000000000004</v>
      </c>
    </row>
    <row r="13" spans="1:15" x14ac:dyDescent="0.2">
      <c r="A13" t="s">
        <v>250</v>
      </c>
      <c r="D13" t="str">
        <f>อันใหม่!F55</f>
        <v>ปริณาณที่ต้องผลิตจริง</v>
      </c>
      <c r="F13" t="s">
        <v>253</v>
      </c>
      <c r="H13" t="s">
        <v>254</v>
      </c>
    </row>
    <row r="14" spans="1:15" x14ac:dyDescent="0.2">
      <c r="A14" t="str">
        <f>A3</f>
        <v>A1</v>
      </c>
      <c r="B14" s="267">
        <v>11</v>
      </c>
      <c r="D14">
        <f>อันใหม่!F56</f>
        <v>11</v>
      </c>
      <c r="F14">
        <v>1</v>
      </c>
      <c r="H14">
        <f>(D14-F14)/D14</f>
        <v>0.90909090909090906</v>
      </c>
      <c r="I14" s="269">
        <v>0.90900000000000003</v>
      </c>
    </row>
    <row r="15" spans="1:15" x14ac:dyDescent="0.2">
      <c r="A15" t="str">
        <f t="shared" ref="A15:A19" si="1">A4</f>
        <v>A2</v>
      </c>
      <c r="B15" s="267">
        <f>อันใหม่!F36</f>
        <v>9</v>
      </c>
      <c r="D15">
        <f>อันใหม่!F57</f>
        <v>9</v>
      </c>
      <c r="F15">
        <v>0</v>
      </c>
      <c r="H15">
        <f t="shared" ref="H15:H19" si="2">(D15-F15)/D15</f>
        <v>1</v>
      </c>
      <c r="I15" s="269">
        <v>1</v>
      </c>
    </row>
    <row r="16" spans="1:15" x14ac:dyDescent="0.2">
      <c r="A16" t="str">
        <f t="shared" si="1"/>
        <v>B1</v>
      </c>
      <c r="B16" s="267">
        <f>อันใหม่!F37</f>
        <v>21</v>
      </c>
      <c r="D16">
        <f>อันใหม่!F58</f>
        <v>21</v>
      </c>
      <c r="F16">
        <v>2</v>
      </c>
      <c r="H16">
        <v>0.90476100000000004</v>
      </c>
      <c r="I16" s="270">
        <v>0.90500000000000003</v>
      </c>
    </row>
    <row r="17" spans="1:15" x14ac:dyDescent="0.2">
      <c r="A17" t="str">
        <f t="shared" si="1"/>
        <v>B2</v>
      </c>
      <c r="B17" s="267">
        <f>อันใหม่!F38</f>
        <v>6</v>
      </c>
      <c r="D17">
        <f>อันใหม่!F59</f>
        <v>6</v>
      </c>
      <c r="F17">
        <v>0</v>
      </c>
      <c r="H17">
        <f t="shared" si="2"/>
        <v>1</v>
      </c>
      <c r="I17" s="269">
        <v>1</v>
      </c>
    </row>
    <row r="18" spans="1:15" x14ac:dyDescent="0.2">
      <c r="A18" t="str">
        <f t="shared" si="1"/>
        <v>C1</v>
      </c>
      <c r="B18" s="267">
        <f>อันใหม่!F39</f>
        <v>7</v>
      </c>
      <c r="D18">
        <f>อันใหม่!F60</f>
        <v>7</v>
      </c>
      <c r="F18">
        <v>1</v>
      </c>
      <c r="H18">
        <f t="shared" si="2"/>
        <v>0.8571428571428571</v>
      </c>
      <c r="I18" s="269">
        <v>0.86</v>
      </c>
    </row>
    <row r="19" spans="1:15" x14ac:dyDescent="0.2">
      <c r="A19" t="str">
        <f t="shared" si="1"/>
        <v>C2</v>
      </c>
      <c r="B19" s="267">
        <f>อันใหม่!F40</f>
        <v>13</v>
      </c>
      <c r="D19">
        <f>อันใหม่!F61</f>
        <v>13</v>
      </c>
      <c r="F19">
        <v>1</v>
      </c>
      <c r="H19">
        <f t="shared" si="2"/>
        <v>0.92307692307692313</v>
      </c>
      <c r="I19" s="271">
        <v>0.92300000000000004</v>
      </c>
    </row>
    <row r="24" spans="1:15" x14ac:dyDescent="0.2">
      <c r="A24" s="272" t="s">
        <v>197</v>
      </c>
      <c r="B24" s="272"/>
      <c r="C24" s="272"/>
      <c r="D24" s="272"/>
      <c r="E24" s="272"/>
      <c r="F24" s="272"/>
      <c r="J24" t="s">
        <v>255</v>
      </c>
    </row>
    <row r="25" spans="1:15" x14ac:dyDescent="0.2">
      <c r="A25" s="272" t="s">
        <v>48</v>
      </c>
      <c r="B25" s="272" t="s">
        <v>49</v>
      </c>
      <c r="C25" s="272" t="s">
        <v>50</v>
      </c>
      <c r="D25" s="272" t="s">
        <v>51</v>
      </c>
      <c r="E25" s="272" t="s">
        <v>52</v>
      </c>
      <c r="F25" s="272" t="s">
        <v>53</v>
      </c>
      <c r="G25" t="s">
        <v>146</v>
      </c>
      <c r="J25" s="272" t="s">
        <v>48</v>
      </c>
      <c r="K25" s="272" t="s">
        <v>49</v>
      </c>
      <c r="L25" s="272" t="s">
        <v>50</v>
      </c>
      <c r="M25" s="272" t="s">
        <v>51</v>
      </c>
      <c r="N25" s="272" t="s">
        <v>52</v>
      </c>
      <c r="O25" s="272" t="s">
        <v>53</v>
      </c>
    </row>
    <row r="26" spans="1:15" x14ac:dyDescent="0.2">
      <c r="A26" s="273">
        <v>0.87512839325018343</v>
      </c>
      <c r="B26" s="273">
        <v>0</v>
      </c>
      <c r="C26" s="273">
        <v>0.87992115119258829</v>
      </c>
      <c r="D26" s="273">
        <v>0.89614412136536015</v>
      </c>
      <c r="E26" s="273">
        <v>0</v>
      </c>
      <c r="F26" s="273">
        <v>0.80102719033232639</v>
      </c>
      <c r="G26">
        <v>11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 s="273">
        <v>0.84080645161290324</v>
      </c>
      <c r="B27" s="273">
        <v>0</v>
      </c>
      <c r="C27" s="273">
        <v>0.96279167640869756</v>
      </c>
      <c r="D27" s="273">
        <v>0.92868008948545844</v>
      </c>
      <c r="E27" s="273">
        <v>0</v>
      </c>
      <c r="F27" s="273">
        <v>0.83424354243542442</v>
      </c>
      <c r="G27">
        <v>9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s="273">
        <v>0.86434535441463856</v>
      </c>
      <c r="B28" s="273">
        <v>0</v>
      </c>
      <c r="C28" s="273">
        <v>0</v>
      </c>
      <c r="D28" s="273">
        <v>0.82644628099173556</v>
      </c>
      <c r="E28" s="273">
        <v>0</v>
      </c>
      <c r="F28" s="273">
        <v>0.77038888211629886</v>
      </c>
      <c r="G28">
        <v>21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">
      <c r="A29" s="273">
        <v>0.90933333333333333</v>
      </c>
      <c r="B29" s="273">
        <v>0</v>
      </c>
      <c r="C29" s="273">
        <v>0</v>
      </c>
      <c r="D29" s="273">
        <v>0.82686208027999542</v>
      </c>
      <c r="E29" s="273">
        <v>0</v>
      </c>
      <c r="F29" s="273">
        <v>0.71663772691396999</v>
      </c>
      <c r="G2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s="273">
        <v>0.98607809847198646</v>
      </c>
      <c r="B30" s="273">
        <v>0.92693543100622744</v>
      </c>
      <c r="C30" s="273">
        <v>0.95960578995996293</v>
      </c>
      <c r="D30" s="273">
        <v>0</v>
      </c>
      <c r="E30" s="273">
        <v>0.98118232367573888</v>
      </c>
      <c r="F30" s="273">
        <v>0.87056253863589539</v>
      </c>
      <c r="G30">
        <v>7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2">
      <c r="A31" s="273">
        <v>0.95597212543554011</v>
      </c>
      <c r="B31" s="273">
        <v>0.89394395078605593</v>
      </c>
      <c r="C31" s="273">
        <v>0.94429080541696375</v>
      </c>
      <c r="D31" s="273">
        <v>0</v>
      </c>
      <c r="E31" s="273">
        <v>0.96319592403890686</v>
      </c>
      <c r="F31" s="273">
        <v>0.66787723785166231</v>
      </c>
      <c r="G31">
        <v>13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</row>
    <row r="32" spans="1:15" x14ac:dyDescent="0.2">
      <c r="B32" s="268"/>
      <c r="C32" s="268"/>
      <c r="D32" s="268"/>
      <c r="E32" s="268"/>
      <c r="F32" s="268"/>
      <c r="G32" s="268"/>
    </row>
    <row r="34" spans="2:15" x14ac:dyDescent="0.2">
      <c r="J34" t="s">
        <v>256</v>
      </c>
    </row>
    <row r="35" spans="2:15" x14ac:dyDescent="0.2">
      <c r="B35" t="s">
        <v>257</v>
      </c>
      <c r="J35" s="272" t="s">
        <v>48</v>
      </c>
      <c r="K35" s="272" t="s">
        <v>49</v>
      </c>
      <c r="L35" s="272" t="s">
        <v>50</v>
      </c>
      <c r="M35" s="272" t="s">
        <v>51</v>
      </c>
      <c r="N35" s="272" t="s">
        <v>52</v>
      </c>
      <c r="O35" s="272" t="s">
        <v>53</v>
      </c>
    </row>
    <row r="36" spans="2:15" x14ac:dyDescent="0.2">
      <c r="B36" t="s">
        <v>48</v>
      </c>
      <c r="C36" s="271">
        <v>0.56330000000000002</v>
      </c>
      <c r="D36">
        <v>0.56330000000000002</v>
      </c>
      <c r="I36" t="s">
        <v>125</v>
      </c>
      <c r="J36" s="160">
        <f>(G26-J26)/G26</f>
        <v>0.90909090909090906</v>
      </c>
      <c r="K36" s="160">
        <v>1</v>
      </c>
      <c r="L36" s="160">
        <v>1</v>
      </c>
      <c r="M36" s="160">
        <v>1</v>
      </c>
      <c r="N36" s="160">
        <v>1</v>
      </c>
      <c r="O36" s="160">
        <v>1</v>
      </c>
    </row>
    <row r="37" spans="2:15" x14ac:dyDescent="0.2">
      <c r="I37" t="s">
        <v>126</v>
      </c>
      <c r="J37" s="160">
        <f>(G27-J27)/G27</f>
        <v>0.88888888888888884</v>
      </c>
      <c r="K37" s="160">
        <v>1</v>
      </c>
      <c r="L37" s="160">
        <v>1</v>
      </c>
      <c r="M37" s="160">
        <v>1</v>
      </c>
      <c r="N37" s="160">
        <v>1</v>
      </c>
      <c r="O37" s="160">
        <v>1</v>
      </c>
    </row>
    <row r="38" spans="2:15" x14ac:dyDescent="0.2">
      <c r="I38" s="275" t="s">
        <v>129</v>
      </c>
      <c r="J38" s="160">
        <f>(G28-J28)/G28</f>
        <v>0.95238095238095233</v>
      </c>
      <c r="K38" s="160">
        <v>1</v>
      </c>
      <c r="L38" s="160">
        <v>1</v>
      </c>
      <c r="M38" s="160">
        <f>(G28-M28)/G28</f>
        <v>0.95238095238095233</v>
      </c>
      <c r="N38" s="160">
        <v>1</v>
      </c>
      <c r="O38" s="160">
        <v>1</v>
      </c>
    </row>
    <row r="39" spans="2:15" x14ac:dyDescent="0.2">
      <c r="B39" t="s">
        <v>49</v>
      </c>
      <c r="C39" s="269">
        <v>0.6</v>
      </c>
      <c r="D39">
        <v>0.6</v>
      </c>
      <c r="I39" s="275" t="s">
        <v>130</v>
      </c>
      <c r="J39" s="160">
        <f>(G29-0)/G29</f>
        <v>1</v>
      </c>
      <c r="K39" s="160">
        <v>1</v>
      </c>
      <c r="L39" s="160">
        <v>1</v>
      </c>
      <c r="M39" s="160">
        <v>1</v>
      </c>
      <c r="N39" s="160">
        <v>1</v>
      </c>
      <c r="O39" s="160">
        <v>1</v>
      </c>
    </row>
    <row r="40" spans="2:15" x14ac:dyDescent="0.2">
      <c r="I40" s="275" t="s">
        <v>133</v>
      </c>
      <c r="J40" s="160">
        <v>1</v>
      </c>
      <c r="K40" s="160">
        <v>1</v>
      </c>
      <c r="L40" s="160">
        <v>1</v>
      </c>
      <c r="M40" s="160">
        <v>1</v>
      </c>
      <c r="N40" s="160">
        <v>1</v>
      </c>
      <c r="O40" s="160">
        <f>(G30-O30)/G30</f>
        <v>0.8571428571428571</v>
      </c>
    </row>
    <row r="41" spans="2:15" x14ac:dyDescent="0.2">
      <c r="B41" t="s">
        <v>50</v>
      </c>
      <c r="C41" s="271">
        <v>0.77500000000000002</v>
      </c>
      <c r="D41">
        <v>0.77500000000000002</v>
      </c>
      <c r="I41" s="275" t="s">
        <v>134</v>
      </c>
      <c r="J41" s="160">
        <v>1</v>
      </c>
      <c r="K41" s="160">
        <v>1</v>
      </c>
      <c r="L41" s="160">
        <v>1</v>
      </c>
      <c r="M41" s="160">
        <v>1</v>
      </c>
      <c r="N41" s="160">
        <v>1</v>
      </c>
      <c r="O41" s="160">
        <f>(G31-O31)/G31</f>
        <v>0.84615384615384615</v>
      </c>
    </row>
    <row r="43" spans="2:15" x14ac:dyDescent="0.2">
      <c r="B43" t="s">
        <v>51</v>
      </c>
      <c r="C43" s="271">
        <v>0.755</v>
      </c>
      <c r="D43">
        <v>0.755</v>
      </c>
    </row>
    <row r="45" spans="2:15" x14ac:dyDescent="0.2">
      <c r="B45" t="s">
        <v>52</v>
      </c>
      <c r="C45" s="271">
        <v>0.76500000000000001</v>
      </c>
      <c r="D45">
        <v>0.76500000000000001</v>
      </c>
    </row>
    <row r="47" spans="2:15" x14ac:dyDescent="0.2">
      <c r="B47" t="s">
        <v>53</v>
      </c>
      <c r="C47" s="271">
        <v>0.67500000000000004</v>
      </c>
      <c r="D47">
        <v>0.67500000000000004</v>
      </c>
    </row>
    <row r="48" spans="2:15" x14ac:dyDescent="0.2">
      <c r="J48" t="s">
        <v>258</v>
      </c>
    </row>
    <row r="49" spans="9:15" x14ac:dyDescent="0.2">
      <c r="J49" s="272" t="s">
        <v>48</v>
      </c>
      <c r="K49" s="272" t="s">
        <v>49</v>
      </c>
      <c r="L49" s="272" t="s">
        <v>50</v>
      </c>
      <c r="M49" s="272" t="s">
        <v>51</v>
      </c>
      <c r="N49" s="272" t="s">
        <v>52</v>
      </c>
      <c r="O49" s="272" t="s">
        <v>53</v>
      </c>
    </row>
    <row r="50" spans="9:15" x14ac:dyDescent="0.2">
      <c r="I50" t="s">
        <v>125</v>
      </c>
      <c r="J50" s="271">
        <v>0.45100000000000001</v>
      </c>
      <c r="K50">
        <v>0</v>
      </c>
      <c r="L50" s="271">
        <v>0.68200000000000005</v>
      </c>
      <c r="M50" s="269">
        <v>0.68</v>
      </c>
      <c r="N50">
        <v>0</v>
      </c>
      <c r="O50" s="269">
        <v>0.54</v>
      </c>
    </row>
    <row r="51" spans="9:15" x14ac:dyDescent="0.2">
      <c r="I51" t="s">
        <v>126</v>
      </c>
      <c r="J51" s="271">
        <v>0.42099999999999999</v>
      </c>
      <c r="K51">
        <v>0</v>
      </c>
      <c r="L51" s="271">
        <v>0.74399999999999999</v>
      </c>
      <c r="M51" s="271">
        <v>0.70199999999999996</v>
      </c>
      <c r="N51">
        <v>0</v>
      </c>
      <c r="O51" s="269">
        <v>0.56000000000000005</v>
      </c>
    </row>
    <row r="52" spans="9:15" x14ac:dyDescent="0.2">
      <c r="I52" s="275" t="s">
        <v>129</v>
      </c>
      <c r="J52" s="269">
        <v>0.46</v>
      </c>
      <c r="K52">
        <v>0</v>
      </c>
      <c r="L52">
        <v>0</v>
      </c>
      <c r="M52" s="271">
        <v>0.59499999999999997</v>
      </c>
      <c r="N52">
        <v>0</v>
      </c>
      <c r="O52" s="269">
        <v>0.52</v>
      </c>
    </row>
    <row r="53" spans="9:15" x14ac:dyDescent="0.2">
      <c r="I53" s="275" t="s">
        <v>130</v>
      </c>
      <c r="J53" s="271">
        <v>0.51259999999999994</v>
      </c>
      <c r="K53">
        <v>0</v>
      </c>
      <c r="L53">
        <v>0</v>
      </c>
      <c r="M53" s="271">
        <v>0.627</v>
      </c>
      <c r="N53">
        <v>0</v>
      </c>
      <c r="O53" s="269">
        <v>0.49</v>
      </c>
    </row>
    <row r="54" spans="9:15" x14ac:dyDescent="0.2">
      <c r="I54" s="275" t="s">
        <v>133</v>
      </c>
      <c r="J54" s="271">
        <v>0.55800000000000005</v>
      </c>
      <c r="K54" s="271">
        <v>0.55800000000000005</v>
      </c>
      <c r="L54" s="271">
        <v>0.74399999999999999</v>
      </c>
      <c r="M54">
        <v>0</v>
      </c>
      <c r="N54" s="269">
        <v>0.75</v>
      </c>
      <c r="O54" s="269">
        <v>0.59</v>
      </c>
    </row>
    <row r="55" spans="9:15" x14ac:dyDescent="0.2">
      <c r="I55" s="275" t="s">
        <v>134</v>
      </c>
      <c r="J55" s="271">
        <v>0.54100000000000004</v>
      </c>
      <c r="K55" s="271">
        <v>0.53400000000000003</v>
      </c>
      <c r="L55" s="271">
        <v>0.72899999999999998</v>
      </c>
      <c r="M55">
        <v>0</v>
      </c>
      <c r="N55" s="271">
        <v>0.73440000000000005</v>
      </c>
      <c r="O55" s="269">
        <v>0.45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"/>
  <sheetViews>
    <sheetView workbookViewId="0">
      <selection activeCell="J25" sqref="J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แผนงานช่วย</vt:lpstr>
      <vt:lpstr>ordeลูกค้า</vt:lpstr>
      <vt:lpstr>ลำดับการผลิต</vt:lpstr>
      <vt:lpstr>Utilization</vt:lpstr>
      <vt:lpstr>Avialiability (2)</vt:lpstr>
      <vt:lpstr>ตารางการจัดลำดับการผลิตแต่ละแบบ</vt:lpstr>
      <vt:lpstr>อันใหม่</vt:lpstr>
      <vt:lpstr>%OEE</vt:lpstr>
      <vt:lpstr>ตารางการจัดลำดับการผลิตแต่ะแบบ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Chukkrit Visitsaktavorn</cp:lastModifiedBy>
  <dcterms:created xsi:type="dcterms:W3CDTF">2017-01-09T19:51:44Z</dcterms:created>
  <dcterms:modified xsi:type="dcterms:W3CDTF">2017-02-20T22:20:01Z</dcterms:modified>
</cp:coreProperties>
</file>