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PROJECTS\P019_JovE_FCCS\Manuscript\Revision\"/>
    </mc:Choice>
  </mc:AlternateContent>
  <bookViews>
    <workbookView xWindow="0" yWindow="0" windowWidth="38400" windowHeight="17700" activeTab="4"/>
  </bookViews>
  <sheets>
    <sheet name="Countrates" sheetId="5" r:id="rId1"/>
    <sheet name="Green" sheetId="2" r:id="rId2"/>
    <sheet name="Red" sheetId="3" r:id="rId3"/>
    <sheet name="DNA" sheetId="4" r:id="rId4"/>
    <sheet name="Cells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4" l="1"/>
  <c r="F15" i="6"/>
  <c r="G16" i="6"/>
  <c r="G15" i="6"/>
  <c r="F16" i="6"/>
  <c r="F28" i="6" l="1"/>
  <c r="F27" i="6"/>
  <c r="E28" i="6"/>
  <c r="E27" i="6"/>
  <c r="E23" i="6"/>
  <c r="E22" i="6"/>
  <c r="E16" i="6"/>
  <c r="E15" i="6"/>
  <c r="M17" i="4"/>
  <c r="O17" i="4" s="1"/>
  <c r="L17" i="4"/>
  <c r="K17" i="4"/>
  <c r="E14" i="6" l="1"/>
  <c r="E13" i="6"/>
  <c r="F7" i="6"/>
  <c r="F6" i="6"/>
  <c r="C28" i="2"/>
  <c r="E7" i="6"/>
  <c r="E6" i="6"/>
  <c r="O45" i="5"/>
  <c r="N45" i="5"/>
  <c r="K45" i="5"/>
  <c r="J45" i="5"/>
  <c r="O44" i="5"/>
  <c r="N44" i="5"/>
  <c r="K43" i="5"/>
  <c r="J43" i="5"/>
  <c r="D38" i="5"/>
  <c r="E38" i="5"/>
  <c r="F38" i="5"/>
  <c r="G38" i="5"/>
  <c r="H38" i="5"/>
  <c r="D39" i="5"/>
  <c r="E39" i="5"/>
  <c r="F39" i="5"/>
  <c r="G39" i="5"/>
  <c r="H39" i="5"/>
  <c r="D40" i="5"/>
  <c r="E40" i="5"/>
  <c r="F40" i="5"/>
  <c r="G40" i="5"/>
  <c r="H40" i="5"/>
  <c r="D41" i="5"/>
  <c r="E41" i="5"/>
  <c r="F41" i="5"/>
  <c r="G41" i="5"/>
  <c r="H41" i="5"/>
  <c r="D42" i="5"/>
  <c r="E42" i="5"/>
  <c r="F42" i="5"/>
  <c r="G42" i="5"/>
  <c r="H42" i="5"/>
  <c r="D43" i="5"/>
  <c r="E43" i="5"/>
  <c r="F43" i="5"/>
  <c r="G43" i="5"/>
  <c r="H43" i="5"/>
  <c r="D44" i="5"/>
  <c r="E44" i="5"/>
  <c r="F44" i="5"/>
  <c r="G44" i="5"/>
  <c r="H44" i="5"/>
  <c r="D45" i="5"/>
  <c r="E45" i="5"/>
  <c r="F45" i="5"/>
  <c r="G45" i="5"/>
  <c r="H45" i="5"/>
  <c r="C45" i="5"/>
  <c r="C44" i="5"/>
  <c r="C43" i="5"/>
  <c r="C42" i="5"/>
  <c r="C41" i="5"/>
  <c r="C40" i="5"/>
  <c r="C39" i="5"/>
  <c r="C38" i="5"/>
  <c r="B45" i="5"/>
  <c r="B44" i="5"/>
  <c r="B43" i="5"/>
  <c r="B42" i="5"/>
  <c r="B41" i="5"/>
  <c r="B40" i="5"/>
  <c r="B39" i="5"/>
  <c r="B38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O23" i="5"/>
  <c r="N23" i="5"/>
  <c r="J24" i="5"/>
  <c r="K24" i="5"/>
  <c r="J25" i="5"/>
  <c r="K25" i="5"/>
  <c r="J26" i="5"/>
  <c r="K26" i="5"/>
  <c r="J27" i="5"/>
  <c r="K27" i="5"/>
  <c r="J28" i="5"/>
  <c r="K28" i="5"/>
  <c r="J29" i="5"/>
  <c r="K29" i="5"/>
  <c r="J30" i="5"/>
  <c r="K30" i="5"/>
  <c r="J31" i="5"/>
  <c r="K31" i="5"/>
  <c r="J32" i="5"/>
  <c r="K32" i="5"/>
  <c r="J33" i="5"/>
  <c r="K33" i="5"/>
  <c r="J34" i="5"/>
  <c r="K34" i="5"/>
  <c r="K23" i="5"/>
  <c r="J23" i="5"/>
  <c r="J17" i="4" l="1"/>
  <c r="O10" i="4"/>
  <c r="O11" i="4"/>
  <c r="K10" i="4"/>
  <c r="K11" i="4"/>
  <c r="M11" i="4"/>
  <c r="I11" i="4"/>
  <c r="M10" i="4"/>
  <c r="I10" i="4"/>
  <c r="C15" i="4"/>
  <c r="C6" i="4"/>
  <c r="L21" i="3" l="1"/>
  <c r="I29" i="3" s="1"/>
  <c r="L22" i="3"/>
  <c r="K21" i="3"/>
  <c r="I27" i="3" s="1"/>
  <c r="J21" i="2"/>
  <c r="J28" i="2" s="1"/>
  <c r="I21" i="2"/>
  <c r="J26" i="2" s="1"/>
  <c r="L21" i="2"/>
  <c r="I29" i="2" s="1"/>
  <c r="L22" i="2"/>
  <c r="K5" i="3"/>
  <c r="K6" i="3"/>
  <c r="M6" i="3" s="1"/>
  <c r="K7" i="3"/>
  <c r="K8" i="3"/>
  <c r="K4" i="3"/>
  <c r="K5" i="2"/>
  <c r="K6" i="2"/>
  <c r="K7" i="2"/>
  <c r="K8" i="2"/>
  <c r="K4" i="2"/>
  <c r="C4" i="2" l="1"/>
  <c r="J22" i="3"/>
  <c r="I22" i="3"/>
  <c r="J21" i="3"/>
  <c r="I21" i="3"/>
  <c r="C15" i="3"/>
  <c r="L11" i="3"/>
  <c r="J11" i="3"/>
  <c r="I11" i="3"/>
  <c r="L10" i="3"/>
  <c r="C27" i="3" s="1"/>
  <c r="J10" i="3"/>
  <c r="I28" i="3" s="1"/>
  <c r="I10" i="3"/>
  <c r="I26" i="3" s="1"/>
  <c r="C6" i="3"/>
  <c r="M5" i="3"/>
  <c r="K11" i="3"/>
  <c r="C4" i="3"/>
  <c r="K10" i="2"/>
  <c r="M5" i="2"/>
  <c r="M6" i="2"/>
  <c r="J22" i="2"/>
  <c r="I22" i="2"/>
  <c r="J29" i="2" l="1"/>
  <c r="K29" i="2" s="1"/>
  <c r="J28" i="3"/>
  <c r="K28" i="3" s="1"/>
  <c r="J29" i="3"/>
  <c r="K29" i="3" s="1"/>
  <c r="J27" i="3"/>
  <c r="J27" i="2"/>
  <c r="J26" i="3"/>
  <c r="M4" i="2"/>
  <c r="K22" i="2"/>
  <c r="K10" i="3"/>
  <c r="C9" i="3"/>
  <c r="C10" i="3" s="1"/>
  <c r="C11" i="3" s="1"/>
  <c r="M4" i="3"/>
  <c r="K22" i="3"/>
  <c r="K21" i="2"/>
  <c r="I27" i="2" s="1"/>
  <c r="J11" i="2"/>
  <c r="I11" i="2"/>
  <c r="J10" i="2"/>
  <c r="I28" i="2" s="1"/>
  <c r="K28" i="2" s="1"/>
  <c r="I10" i="2"/>
  <c r="I26" i="2" s="1"/>
  <c r="K26" i="2" s="1"/>
  <c r="K27" i="2" l="1"/>
  <c r="M27" i="2" s="1"/>
  <c r="C13" i="3"/>
  <c r="P4" i="4"/>
  <c r="K26" i="3"/>
  <c r="K27" i="3"/>
  <c r="C12" i="3"/>
  <c r="C16" i="3" s="1"/>
  <c r="M10" i="3"/>
  <c r="M11" i="3"/>
  <c r="L11" i="2"/>
  <c r="M27" i="3" l="1"/>
  <c r="C17" i="3"/>
  <c r="N5" i="4"/>
  <c r="N4" i="4"/>
  <c r="N7" i="4"/>
  <c r="N6" i="4"/>
  <c r="N8" i="4"/>
  <c r="P10" i="4"/>
  <c r="P11" i="4"/>
  <c r="C28" i="3"/>
  <c r="C29" i="3" s="1"/>
  <c r="C30" i="3" s="1"/>
  <c r="C31" i="3" s="1"/>
  <c r="C32" i="3" s="1"/>
  <c r="L10" i="2"/>
  <c r="C27" i="2" s="1"/>
  <c r="C15" i="2"/>
  <c r="C6" i="2"/>
  <c r="L34" i="5" l="1"/>
  <c r="L30" i="5"/>
  <c r="L32" i="5"/>
  <c r="M34" i="5"/>
  <c r="M30" i="5"/>
  <c r="M32" i="5"/>
  <c r="L33" i="5"/>
  <c r="L29" i="5"/>
  <c r="L31" i="5"/>
  <c r="M33" i="5"/>
  <c r="M29" i="5"/>
  <c r="M31" i="5"/>
  <c r="N11" i="4"/>
  <c r="N10" i="4"/>
  <c r="M10" i="2"/>
  <c r="K11" i="2"/>
  <c r="M11" i="2"/>
  <c r="C9" i="2"/>
  <c r="C10" i="2" s="1"/>
  <c r="C12" i="2" l="1"/>
  <c r="C16" i="2" s="1"/>
  <c r="C11" i="2"/>
  <c r="C13" i="2" l="1"/>
  <c r="L4" i="4"/>
  <c r="J5" i="4"/>
  <c r="C29" i="2"/>
  <c r="C30" i="2" s="1"/>
  <c r="C31" i="2" s="1"/>
  <c r="C32" i="2" s="1"/>
  <c r="J6" i="4"/>
  <c r="J8" i="4"/>
  <c r="J7" i="4"/>
  <c r="J4" i="4"/>
  <c r="C17" i="2"/>
  <c r="J11" i="4" l="1"/>
  <c r="J10" i="4"/>
  <c r="L10" i="4"/>
  <c r="M13" i="4" s="1"/>
  <c r="C3" i="4" s="1"/>
  <c r="C4" i="4" s="1"/>
  <c r="C9" i="4" s="1"/>
  <c r="C10" i="4" s="1"/>
  <c r="L11" i="4"/>
  <c r="C11" i="4" l="1"/>
  <c r="C13" i="4" s="1"/>
  <c r="C12" i="4"/>
  <c r="C16" i="4" s="1"/>
  <c r="C17" i="4" l="1"/>
</calcChain>
</file>

<file path=xl/sharedStrings.xml><?xml version="1.0" encoding="utf-8"?>
<sst xmlns="http://schemas.openxmlformats.org/spreadsheetml/2006/main" count="270" uniqueCount="165">
  <si>
    <t>D</t>
  </si>
  <si>
    <t>s</t>
  </si>
  <si>
    <t>µm²/s</t>
  </si>
  <si>
    <t>m²/s</t>
  </si>
  <si>
    <t>µs</t>
  </si>
  <si>
    <t>m</t>
  </si>
  <si>
    <t>µm</t>
  </si>
  <si>
    <t>V</t>
  </si>
  <si>
    <t>fl</t>
  </si>
  <si>
    <t>1 fl = 1e-15 l</t>
  </si>
  <si>
    <t>m³</t>
  </si>
  <si>
    <t>1000 l = 1 m³</t>
  </si>
  <si>
    <t>Alexa488</t>
  </si>
  <si>
    <t>N</t>
  </si>
  <si>
    <t>1 Mol</t>
  </si>
  <si>
    <t>c</t>
  </si>
  <si>
    <t>number/liter</t>
  </si>
  <si>
    <t>Mol/l</t>
  </si>
  <si>
    <t>mM</t>
  </si>
  <si>
    <t>µM</t>
  </si>
  <si>
    <t>nM</t>
  </si>
  <si>
    <t>Countrates A488</t>
  </si>
  <si>
    <t>Mean</t>
  </si>
  <si>
    <t>stdev</t>
  </si>
  <si>
    <t>Confocal volume</t>
  </si>
  <si>
    <t>Countrate background</t>
  </si>
  <si>
    <t>Literature value</t>
  </si>
  <si>
    <t>sum [kHz]</t>
  </si>
  <si>
    <t>Concentration estimation</t>
  </si>
  <si>
    <t>brightness [kHz/molecule]</t>
  </si>
  <si>
    <t>ch 0 / s [kHz]</t>
  </si>
  <si>
    <t>ch 2 / p [kHz]</t>
  </si>
  <si>
    <t>Fit result - please add!</t>
  </si>
  <si>
    <t>number</t>
  </si>
  <si>
    <t>Countrates A568</t>
  </si>
  <si>
    <t>Green crosstalk into red channel</t>
  </si>
  <si>
    <t>CR [kHz] BG</t>
  </si>
  <si>
    <t>CR [kHz] A488</t>
  </si>
  <si>
    <r>
      <t>CR</t>
    </r>
    <r>
      <rPr>
        <b/>
        <vertAlign val="subscript"/>
        <sz val="11"/>
        <color theme="1"/>
        <rFont val="Calibri"/>
        <family val="2"/>
        <scheme val="minor"/>
      </rPr>
      <t>A488</t>
    </r>
    <r>
      <rPr>
        <b/>
        <sz val="11"/>
        <color theme="1"/>
        <rFont val="Calibri"/>
        <family val="2"/>
        <scheme val="minor"/>
      </rPr>
      <t>-CR</t>
    </r>
    <r>
      <rPr>
        <b/>
        <vertAlign val="subscript"/>
        <sz val="11"/>
        <color theme="1"/>
        <rFont val="Calibri"/>
        <family val="2"/>
        <scheme val="minor"/>
      </rPr>
      <t>BG</t>
    </r>
    <r>
      <rPr>
        <b/>
        <sz val="11"/>
        <color theme="1"/>
        <rFont val="Calibri"/>
        <family val="2"/>
        <scheme val="minor"/>
      </rPr>
      <t xml:space="preserve"> [kHz]</t>
    </r>
  </si>
  <si>
    <t>CR [kHz] A568</t>
  </si>
  <si>
    <r>
      <t>CR</t>
    </r>
    <r>
      <rPr>
        <b/>
        <vertAlign val="subscript"/>
        <sz val="11"/>
        <color theme="1"/>
        <rFont val="Calibri"/>
        <family val="2"/>
        <scheme val="minor"/>
      </rPr>
      <t>A568</t>
    </r>
    <r>
      <rPr>
        <b/>
        <sz val="11"/>
        <color theme="1"/>
        <rFont val="Calibri"/>
        <family val="2"/>
        <scheme val="minor"/>
      </rPr>
      <t>-CR</t>
    </r>
    <r>
      <rPr>
        <b/>
        <vertAlign val="subscript"/>
        <sz val="11"/>
        <color theme="1"/>
        <rFont val="Calibri"/>
        <family val="2"/>
        <scheme val="minor"/>
      </rPr>
      <t>BG</t>
    </r>
    <r>
      <rPr>
        <b/>
        <sz val="11"/>
        <color theme="1"/>
        <rFont val="Calibri"/>
        <family val="2"/>
        <scheme val="minor"/>
      </rPr>
      <t xml:space="preserve"> [kHz]</t>
    </r>
  </si>
  <si>
    <t># Filename</t>
  </si>
  <si>
    <t xml:space="preserve"> Duration [s]</t>
  </si>
  <si>
    <t xml:space="preserve"> CR gs [kHz]</t>
  </si>
  <si>
    <t xml:space="preserve"> CR gp [kHz]</t>
  </si>
  <si>
    <t xml:space="preserve"> CR rs(prompt) [kHz]</t>
  </si>
  <si>
    <t xml:space="preserve"> CR rp (prompt) [kHz] </t>
  </si>
  <si>
    <t xml:space="preserve"> CR rs(delay) [kHz]</t>
  </si>
  <si>
    <t xml:space="preserve"> CR rp (delay) [kHz]</t>
  </si>
  <si>
    <t>1 prompt</t>
  </si>
  <si>
    <t>3 prompt</t>
  </si>
  <si>
    <t>2 prompt</t>
  </si>
  <si>
    <t>0 prompt</t>
  </si>
  <si>
    <t>ch 0 / s [kHz] ddH2O</t>
  </si>
  <si>
    <t>ch 2 / p [kHz] ddH2O</t>
  </si>
  <si>
    <t>ch 1 / s [kHz] A488</t>
  </si>
  <si>
    <t>ch 3 / p [kHz] A488</t>
  </si>
  <si>
    <t>Countrate red channels</t>
  </si>
  <si>
    <t>ch 1 / s [kHz] ddH2O</t>
  </si>
  <si>
    <t>ch 3 / p [kHz] ddH2O</t>
  </si>
  <si>
    <t>ch 1 / s [kHz] prompt</t>
  </si>
  <si>
    <t>ch 3 / p [kHz] prompt</t>
  </si>
  <si>
    <t>ch 1 / s [kHz] delay</t>
  </si>
  <si>
    <t>ch 3 / p [kHz] delay</t>
  </si>
  <si>
    <t>1 Delay</t>
  </si>
  <si>
    <t>1 Prompt</t>
  </si>
  <si>
    <r>
      <t xml:space="preserve">spectral crosstalk [%] </t>
    </r>
    <r>
      <rPr>
        <b/>
        <sz val="11"/>
        <color theme="1"/>
        <rFont val="Calibri"/>
        <family val="2"/>
      </rPr>
      <t>α</t>
    </r>
  </si>
  <si>
    <r>
      <t xml:space="preserve">Direct excitation of A568 by </t>
    </r>
    <r>
      <rPr>
        <b/>
        <sz val="14"/>
        <rFont val="Calibri"/>
        <family val="2"/>
        <scheme val="minor"/>
      </rPr>
      <t>488-laser line</t>
    </r>
  </si>
  <si>
    <r>
      <t xml:space="preserve">direct excitation [%] </t>
    </r>
    <r>
      <rPr>
        <b/>
        <sz val="11"/>
        <color theme="1"/>
        <rFont val="Symbol"/>
        <family val="1"/>
        <charset val="2"/>
      </rPr>
      <t>g</t>
    </r>
  </si>
  <si>
    <t>based on green /red</t>
  </si>
  <si>
    <t>c [nM]</t>
  </si>
  <si>
    <t>Green</t>
  </si>
  <si>
    <t>Red</t>
  </si>
  <si>
    <t>D [µm²/s]</t>
  </si>
  <si>
    <t>td [µs]*</t>
  </si>
  <si>
    <t>*global fitting</t>
  </si>
  <si>
    <t>Green - Red Crosscorrelation</t>
  </si>
  <si>
    <t>Average diffusion coefficient D [µm²/s]:</t>
  </si>
  <si>
    <t>Effective overlapping confocal volume</t>
  </si>
  <si>
    <t>G(0,CCF)</t>
  </si>
  <si>
    <t>AVG cRG [nM]</t>
  </si>
  <si>
    <t>cRG [nM] (g)</t>
  </si>
  <si>
    <t>cRG [nM] (r)</t>
  </si>
  <si>
    <t>\\HC1008\Users\AG Heinze\DATA\FCSSetup\2021\20210420_ SC_eGFP_CT _NT_SNAPsptw\DATA\Untransfected_PIE_cell 1_1.ptu</t>
  </si>
  <si>
    <t>\\HC1008\Users\AG Heinze\DATA\FCSSetup\2021\20210420_ SC_eGFP_CT _NT_SNAPsptw\DATA\Untransfected_PIE_cell 1_2.ptu</t>
  </si>
  <si>
    <t>\\HC1008\Users\AG Heinze\DATA\FCSSetup\2021\20210420_ SC_eGFP_CT _NT_SNAPsptw\DATA\Untransfected_PIE_cell 1_3.ptu</t>
  </si>
  <si>
    <t>\\HC1008\Users\AG Heinze\DATA\FCSSetup\2021\20210420_ SC_eGFP_CT _NT_SNAPsptw\DATA\IRF_EB+KI_PIE_1.ptu</t>
  </si>
  <si>
    <t>\\HC1008\Users\AG Heinze\DATA\FCSSetup\2021\20210420_ SC_eGFP_CT _NT_SNAPsptw\DATA\IRF_EB+KI_PIE_2.ptu</t>
  </si>
  <si>
    <t>\\HC1008\Users\AG Heinze\DATA\FCSSetup\2021\20210420_ SC_eGFP_CT _NT_SNAPsptw\DATA\IRF_EB+KI_PIE_3.ptu</t>
  </si>
  <si>
    <t>\\HC1008\Users\AG Heinze\DATA\FCSSetup\2021\20210420_ SC_eGFP_CT _NT_SNAPsptw\DATA\IRF_PIE_1.ptu</t>
  </si>
  <si>
    <t>\\HC1008\Users\AG Heinze\DATA\FCSSetup\2021\20210420_ SC_eGFP_CT _NT_SNAPsptw\DATA\IRF_PIE_2.ptu</t>
  </si>
  <si>
    <t>\\HC1008\Users\AG Heinze\DATA\FCSSetup\2021\20210420_ SC_eGFP_CT _NT_SNAPsptw\DATA\IRF_PIE_3.ptu</t>
  </si>
  <si>
    <t>\\HC1008\Users\AG Heinze\DATA\FCSSetup\2021\20210420_ SC_eGFP_CT _NT_SNAPsptw\DATA\A488_PIE_1.ptu</t>
  </si>
  <si>
    <t>\\HC1008\Users\AG Heinze\DATA\FCSSetup\2021\20210420_ SC_eGFP_CT _NT_SNAPsptw\DATA\A488_PIE_2.ptu</t>
  </si>
  <si>
    <t>\\HC1008\Users\AG Heinze\DATA\FCSSetup\2021\20210420_ SC_eGFP_CT _NT_SNAPsptw\DATA\A488_PIE_3.ptu</t>
  </si>
  <si>
    <t>\\HC1008\Users\AG Heinze\DATA\FCSSetup\2021\20210420_ SC_eGFP_CT _NT_SNAPsptw\DATA\A568_PIE_1.ptu</t>
  </si>
  <si>
    <t>\\HC1008\Users\AG Heinze\DATA\FCSSetup\2021\20210420_ SC_eGFP_CT _NT_SNAPsptw\DATA\A568_PIE_2.ptu</t>
  </si>
  <si>
    <t>\\HC1008\Users\AG Heinze\DATA\FCSSetup\2021\20210420_ SC_eGFP_CT _NT_SNAPsptw\DATA\A568_PIE_3.ptu</t>
  </si>
  <si>
    <t>\\HC1008\Users\AG Heinze\DATA\FCSSetup\2021\20210420_ SC_eGFP_CT _NT_SNAPsptw\DATA\A488_568_PIE_1.ptu</t>
  </si>
  <si>
    <t>\\HC1008\Users\AG Heinze\DATA\FCSSetup\2021\20210420_ SC_eGFP_CT _NT_SNAPsptw\DATA\A488_568_PIE_2.ptu</t>
  </si>
  <si>
    <t>\\HC1008\Users\AG Heinze\DATA\FCSSetup\2021\20210420_ SC_eGFP_CT _NT_SNAPsptw\DATA\A488_568_PIE_3.ptu</t>
  </si>
  <si>
    <t>\\HC1008\Users\AG Heinze\DATA\FCSSetup\2021\20210420_ SC_eGFP_CT _NT_SNAPsptw\DATA\40BPDNA_A488_568_PIE_1.ptu</t>
  </si>
  <si>
    <t>\\HC1008\Users\AG Heinze\DATA\FCSSetup\2021\20210420_ SC_eGFP_CT _NT_SNAPsptw\DATA\40BPDNA_A488_568_PIE_2.ptu</t>
  </si>
  <si>
    <t>\\HC1008\Users\AG Heinze\DATA\FCSSetup\2021\20210420_ SC_eGFP_CT _NT_SNAPsptw\DATA\40BPDNA_A488_568_PIE_3.ptu</t>
  </si>
  <si>
    <t>\\HC1008\Users\AG Heinze\DATA\FCSSetup\2021\20210420_ SC_eGFP_CT _NT_SNAPsptw\DATA\eGFP_PIE_cell 1_1.ptu</t>
  </si>
  <si>
    <t>\\HC1008\Users\AG Heinze\DATA\FCSSetup\2021\20210420_ SC_eGFP_CT _NT_SNAPsptw\DATA\eGFP_PIE_cell 1_2.ptu</t>
  </si>
  <si>
    <t>\\HC1008\Users\AG Heinze\DATA\FCSSetup\2021\20210420_ SC_eGFP_CT _NT_SNAPsptw\DATA\eGFP_PIE_cell 1_3.ptu</t>
  </si>
  <si>
    <t>\\HC1008\Users\AG Heinze\DATA\FCSSetup\2021\20210420_ SC_eGFP_CT _NT_SNAPsptw\DATA\eGFP_PIE_cell 1_4.ptu</t>
  </si>
  <si>
    <t>\\HC1008\Users\AG Heinze\DATA\FCSSetup\2021\20210420_ SC_eGFP_CT _NT_SNAPsptw\DATA\eGFP_PIE_cell 1_5.ptu</t>
  </si>
  <si>
    <t>\\HC1008\Users\AG Heinze\DATA\FCSSetup\2021\20210420_ SC_eGFP_CT _NT_SNAPsptw\DATA\eGFP_PIE_cell 1_6.ptu</t>
  </si>
  <si>
    <t>\\HC1008\Users\AG Heinze\DATA\FCSSetup\2021\20210420_ SC_eGFP_CT _NT_SNAPsptw\DATA\SNAP only_PIE_cell 2_1.ptu</t>
  </si>
  <si>
    <t>\\HC1008\Users\AG Heinze\DATA\FCSSetup\2021\20210420_ SC_eGFP_CT _NT_SNAPsptw\DATA\SNAP only_PIE_cell 2_2.ptu</t>
  </si>
  <si>
    <t>\\HC1008\Users\AG Heinze\DATA\FCSSetup\2021\20210420_ SC_eGFP_CT _NT_SNAPsptw\DATA\SNAP only_PIE_cell 2_3.ptu</t>
  </si>
  <si>
    <t>\\HC1008\Users\AG Heinze\DATA\FCSSetup\2021\20210420_ SC_eGFP_CT _NT_SNAPsptw\DATA\SNAP only_PIE_cell 2_4.ptu</t>
  </si>
  <si>
    <t>\\HC1008\Users\AG Heinze\DATA\FCSSetup\2021\20210420_ SC_eGFP_CT _NT_SNAPsptw\DATA\NTSNAP_PIE_cell 5_1.ptu</t>
  </si>
  <si>
    <t>\\HC1008\Users\AG Heinze\DATA\FCSSetup\2021\20210420_ SC_eGFP_CT _NT_SNAPsptw\DATA\NTSNAP_PIE_cell 5_2.ptu</t>
  </si>
  <si>
    <t>corrected counts</t>
  </si>
  <si>
    <t>Donly</t>
  </si>
  <si>
    <t>Average countrates</t>
  </si>
  <si>
    <t>Untransfected cell</t>
  </si>
  <si>
    <t>A488</t>
  </si>
  <si>
    <t>A568</t>
  </si>
  <si>
    <t>A488-A568</t>
  </si>
  <si>
    <t>40bp DNA</t>
  </si>
  <si>
    <t>eGFP cell 1</t>
  </si>
  <si>
    <t>SNAP only cell 2</t>
  </si>
  <si>
    <t>NTSNAP cell 5</t>
  </si>
  <si>
    <t>Sample</t>
  </si>
  <si>
    <t>Countrates corrected for background of untransfected cells, crosstalk &amp; direct excitation</t>
  </si>
  <si>
    <t>Single-labeled constructs</t>
  </si>
  <si>
    <t>eGFP</t>
  </si>
  <si>
    <t>SNAP</t>
  </si>
  <si>
    <t>Average countrate [kHz]</t>
  </si>
  <si>
    <t>p</t>
  </si>
  <si>
    <t>Number of molecules</t>
  </si>
  <si>
    <t>Mol. Brightness [kHz/molecule]</t>
  </si>
  <si>
    <t>Double-labeled construct: NT-SNAP &amp; IL3-eGFP</t>
  </si>
  <si>
    <t>Green-prompt</t>
  </si>
  <si>
    <t>Red-delay</t>
  </si>
  <si>
    <t>PIE</t>
  </si>
  <si>
    <t>App. number of molecules</t>
  </si>
  <si>
    <t>Approx. Concentration [nM]</t>
  </si>
  <si>
    <r>
      <t>G</t>
    </r>
    <r>
      <rPr>
        <b/>
        <vertAlign val="subscript"/>
        <sz val="11"/>
        <color rgb="FF006100"/>
        <rFont val="Calibri"/>
        <family val="2"/>
        <scheme val="minor"/>
      </rPr>
      <t>0,CCF</t>
    </r>
    <r>
      <rPr>
        <b/>
        <sz val="11"/>
        <color rgb="FF006100"/>
        <rFont val="Calibri"/>
        <family val="2"/>
        <scheme val="minor"/>
      </rPr>
      <t>/G</t>
    </r>
    <r>
      <rPr>
        <b/>
        <vertAlign val="subscript"/>
        <sz val="11"/>
        <color rgb="FF006100"/>
        <rFont val="Calibri"/>
        <family val="2"/>
        <scheme val="minor"/>
      </rPr>
      <t>0ACFgreen</t>
    </r>
  </si>
  <si>
    <r>
      <t>G</t>
    </r>
    <r>
      <rPr>
        <b/>
        <vertAlign val="subscript"/>
        <sz val="11"/>
        <color rgb="FF660066"/>
        <rFont val="Calibri"/>
        <family val="2"/>
        <scheme val="minor"/>
      </rPr>
      <t>0,CCF</t>
    </r>
    <r>
      <rPr>
        <b/>
        <sz val="11"/>
        <color rgb="FF660066"/>
        <rFont val="Calibri"/>
        <family val="2"/>
        <scheme val="minor"/>
      </rPr>
      <t>/G</t>
    </r>
    <r>
      <rPr>
        <b/>
        <vertAlign val="subscript"/>
        <sz val="11"/>
        <color rgb="FF660066"/>
        <rFont val="Calibri"/>
        <family val="2"/>
        <scheme val="minor"/>
      </rPr>
      <t>0ACFred</t>
    </r>
  </si>
  <si>
    <t>fraction co-diffusion</t>
  </si>
  <si>
    <t>Example calculation:</t>
  </si>
  <si>
    <t>Cell sample shows</t>
  </si>
  <si>
    <t>fraction co-diffusion:</t>
  </si>
  <si>
    <t>%</t>
  </si>
  <si>
    <r>
      <t>G</t>
    </r>
    <r>
      <rPr>
        <vertAlign val="subscript"/>
        <sz val="11"/>
        <color theme="1"/>
        <rFont val="Calibri"/>
        <family val="2"/>
        <scheme val="minor"/>
      </rPr>
      <t>0ACF,green</t>
    </r>
    <r>
      <rPr>
        <sz val="11"/>
        <color theme="1"/>
        <rFont val="Calibri"/>
        <family val="2"/>
        <scheme val="minor"/>
      </rPr>
      <t xml:space="preserve"> =</t>
    </r>
  </si>
  <si>
    <r>
      <t>G</t>
    </r>
    <r>
      <rPr>
        <vertAlign val="subscript"/>
        <sz val="11"/>
        <color theme="1"/>
        <rFont val="Calibri"/>
        <family val="2"/>
        <scheme val="minor"/>
      </rPr>
      <t>0ACF,red</t>
    </r>
    <r>
      <rPr>
        <sz val="11"/>
        <color theme="1"/>
        <rFont val="Calibri"/>
        <family val="2"/>
        <scheme val="minor"/>
      </rPr>
      <t xml:space="preserve"> =</t>
    </r>
  </si>
  <si>
    <r>
      <t>G</t>
    </r>
    <r>
      <rPr>
        <vertAlign val="subscript"/>
        <sz val="11"/>
        <color theme="1"/>
        <rFont val="Calibri"/>
        <family val="2"/>
        <scheme val="minor"/>
      </rPr>
      <t>0CCF</t>
    </r>
    <r>
      <rPr>
        <sz val="11"/>
        <color theme="1"/>
        <rFont val="Calibri"/>
        <family val="2"/>
        <scheme val="minor"/>
      </rPr>
      <t xml:space="preserve"> =</t>
    </r>
  </si>
  <si>
    <r>
      <t>r</t>
    </r>
    <r>
      <rPr>
        <vertAlign val="subscript"/>
        <sz val="11"/>
        <color theme="1"/>
        <rFont val="Calibri"/>
        <family val="2"/>
        <scheme val="minor"/>
      </rPr>
      <t>green,ideal</t>
    </r>
    <r>
      <rPr>
        <sz val="11"/>
        <color theme="1"/>
        <rFont val="Calibri"/>
        <family val="2"/>
        <scheme val="minor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</si>
  <si>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>red,ideal</t>
    </r>
    <r>
      <rPr>
        <sz val="11"/>
        <color theme="1"/>
        <rFont val="Calibri"/>
        <family val="2"/>
        <scheme val="minor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</si>
  <si>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>green,cell</t>
    </r>
    <r>
      <rPr>
        <sz val="11"/>
        <color theme="1"/>
        <rFont val="Calibri"/>
        <family val="2"/>
        <scheme val="minor"/>
      </rPr>
      <t>=</t>
    </r>
  </si>
  <si>
    <r>
      <t>r</t>
    </r>
    <r>
      <rPr>
        <vertAlign val="subscript"/>
        <sz val="11"/>
        <color theme="1"/>
        <rFont val="Calibri"/>
        <family val="2"/>
        <scheme val="minor"/>
      </rPr>
      <t>red,cell</t>
    </r>
    <r>
      <rPr>
        <sz val="11"/>
        <color theme="1"/>
        <rFont val="Calibri"/>
        <family val="2"/>
        <scheme val="minor"/>
      </rPr>
      <t>=</t>
    </r>
  </si>
  <si>
    <r>
      <t>ratio G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(tc)</t>
    </r>
  </si>
  <si>
    <r>
      <t>pi</t>
    </r>
    <r>
      <rPr>
        <b/>
        <vertAlign val="superscript"/>
        <sz val="11"/>
        <color theme="1"/>
        <rFont val="Calibri"/>
        <family val="2"/>
        <scheme val="minor"/>
      </rPr>
      <t>^(3/2)</t>
    </r>
  </si>
  <si>
    <r>
      <t>z</t>
    </r>
    <r>
      <rPr>
        <b/>
        <vertAlign val="subscript"/>
        <sz val="11"/>
        <color rgb="FFFA7D00"/>
        <rFont val="Calibri"/>
        <family val="2"/>
        <scheme val="minor"/>
      </rPr>
      <t>0</t>
    </r>
  </si>
  <si>
    <r>
      <t>w</t>
    </r>
    <r>
      <rPr>
        <b/>
        <vertAlign val="subscript"/>
        <sz val="11"/>
        <color rgb="FFFA7D00"/>
        <rFont val="Calibri"/>
        <family val="2"/>
        <scheme val="minor"/>
      </rPr>
      <t>0</t>
    </r>
  </si>
  <si>
    <r>
      <t>w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</si>
  <si>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t</t>
    </r>
    <r>
      <rPr>
        <b/>
        <vertAlign val="subscript"/>
        <sz val="11"/>
        <color theme="1"/>
        <rFont val="Calibri"/>
        <family val="2"/>
        <scheme val="minor"/>
      </rPr>
      <t>d</t>
    </r>
  </si>
  <si>
    <t>DNA -&gt; 100 % co-diffusion</t>
  </si>
  <si>
    <t>Aonly</t>
  </si>
  <si>
    <t>NTSNAP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</si>
</sst>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2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6100"/>
      <name val="Calibri"/>
      <family val="2"/>
      <scheme val="minor"/>
    </font>
    <font>
      <b/>
      <sz val="14"/>
      <color rgb="FF660066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1"/>
      <color rgb="FF66006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Symbol"/>
      <family val="1"/>
      <charset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660066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vertAlign val="subscript"/>
      <sz val="11"/>
      <color rgb="FF006100"/>
      <name val="Calibri"/>
      <family val="2"/>
      <scheme val="minor"/>
    </font>
    <font>
      <b/>
      <vertAlign val="subscript"/>
      <sz val="11"/>
      <color rgb="FF660066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vertAlign val="subscript"/>
      <sz val="11"/>
      <color rgb="FFFA7D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4"/>
      <color theme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99FF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 style="thin">
        <color rgb="FFB2B2B2"/>
      </bottom>
      <diagonal/>
    </border>
    <border>
      <left/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  <xf numFmtId="0" fontId="5" fillId="4" borderId="1" applyNumberFormat="0" applyAlignment="0" applyProtection="0"/>
    <xf numFmtId="0" fontId="14" fillId="6" borderId="0" applyNumberFormat="0" applyBorder="0" applyAlignment="0" applyProtection="0"/>
    <xf numFmtId="0" fontId="16" fillId="7" borderId="0" applyNumberFormat="0" applyBorder="0" applyAlignment="0" applyProtection="0"/>
    <xf numFmtId="0" fontId="19" fillId="8" borderId="16" applyNumberFormat="0" applyFont="0" applyAlignment="0" applyProtection="0"/>
  </cellStyleXfs>
  <cellXfs count="122">
    <xf numFmtId="0" fontId="0" fillId="0" borderId="0" xfId="0"/>
    <xf numFmtId="2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1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5" fillId="4" borderId="1" xfId="3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3" borderId="1" xfId="2" applyAlignment="1">
      <alignment horizontal="center"/>
    </xf>
    <xf numFmtId="0" fontId="5" fillId="4" borderId="1" xfId="3" applyAlignment="1">
      <alignment horizontal="center"/>
    </xf>
    <xf numFmtId="164" fontId="5" fillId="4" borderId="1" xfId="3" applyNumberFormat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2" borderId="3" xfId="1" applyBorder="1" applyAlignment="1">
      <alignment horizontal="center"/>
    </xf>
    <xf numFmtId="0" fontId="10" fillId="5" borderId="3" xfId="0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4" fillId="3" borderId="1" xfId="2" applyNumberFormat="1" applyAlignment="1">
      <alignment horizont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0" fillId="0" borderId="4" xfId="0" applyBorder="1"/>
    <xf numFmtId="2" fontId="0" fillId="0" borderId="5" xfId="0" applyNumberFormat="1" applyBorder="1"/>
    <xf numFmtId="0" fontId="0" fillId="0" borderId="7" xfId="0" applyBorder="1"/>
    <xf numFmtId="2" fontId="0" fillId="0" borderId="0" xfId="0" applyNumberFormat="1" applyBorder="1"/>
    <xf numFmtId="0" fontId="0" fillId="0" borderId="9" xfId="0" applyBorder="1"/>
    <xf numFmtId="2" fontId="0" fillId="0" borderId="10" xfId="0" applyNumberFormat="1" applyBorder="1"/>
    <xf numFmtId="0" fontId="6" fillId="0" borderId="0" xfId="0" applyFont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0" fillId="0" borderId="2" xfId="0" applyBorder="1"/>
    <xf numFmtId="2" fontId="0" fillId="0" borderId="2" xfId="0" applyNumberFormat="1" applyBorder="1"/>
    <xf numFmtId="0" fontId="15" fillId="0" borderId="1" xfId="2" applyFont="1" applyFill="1" applyAlignment="1">
      <alignment horizontal="center"/>
    </xf>
    <xf numFmtId="2" fontId="3" fillId="2" borderId="5" xfId="1" applyNumberFormat="1" applyBorder="1"/>
    <xf numFmtId="2" fontId="3" fillId="2" borderId="0" xfId="1" applyNumberFormat="1" applyBorder="1"/>
    <xf numFmtId="2" fontId="3" fillId="2" borderId="10" xfId="1" applyNumberFormat="1" applyBorder="1"/>
    <xf numFmtId="2" fontId="16" fillId="7" borderId="5" xfId="5" applyNumberFormat="1" applyBorder="1"/>
    <xf numFmtId="2" fontId="16" fillId="7" borderId="6" xfId="5" applyNumberFormat="1" applyBorder="1"/>
    <xf numFmtId="2" fontId="16" fillId="7" borderId="0" xfId="5" applyNumberFormat="1" applyBorder="1"/>
    <xf numFmtId="2" fontId="16" fillId="7" borderId="8" xfId="5" applyNumberFormat="1" applyBorder="1"/>
    <xf numFmtId="2" fontId="16" fillId="7" borderId="10" xfId="5" applyNumberFormat="1" applyBorder="1"/>
    <xf numFmtId="2" fontId="16" fillId="7" borderId="11" xfId="5" applyNumberFormat="1" applyBorder="1"/>
    <xf numFmtId="2" fontId="14" fillId="6" borderId="5" xfId="4" applyNumberFormat="1" applyBorder="1"/>
    <xf numFmtId="2" fontId="14" fillId="6" borderId="0" xfId="4" applyNumberFormat="1" applyBorder="1"/>
    <xf numFmtId="2" fontId="14" fillId="6" borderId="10" xfId="4" applyNumberFormat="1" applyBorder="1"/>
    <xf numFmtId="0" fontId="17" fillId="2" borderId="2" xfId="1" applyFont="1" applyBorder="1" applyAlignment="1">
      <alignment horizontal="center"/>
    </xf>
    <xf numFmtId="0" fontId="18" fillId="5" borderId="2" xfId="0" applyFont="1" applyFill="1" applyBorder="1" applyAlignment="1">
      <alignment horizontal="center"/>
    </xf>
    <xf numFmtId="0" fontId="0" fillId="0" borderId="13" xfId="0" applyBorder="1"/>
    <xf numFmtId="2" fontId="0" fillId="0" borderId="14" xfId="0" applyNumberFormat="1" applyBorder="1"/>
    <xf numFmtId="2" fontId="3" fillId="2" borderId="14" xfId="1" applyNumberFormat="1" applyBorder="1"/>
    <xf numFmtId="2" fontId="14" fillId="6" borderId="14" xfId="4" applyNumberFormat="1" applyBorder="1"/>
    <xf numFmtId="2" fontId="16" fillId="7" borderId="14" xfId="5" applyNumberFormat="1" applyBorder="1"/>
    <xf numFmtId="2" fontId="16" fillId="7" borderId="15" xfId="5" applyNumberFormat="1" applyBorder="1"/>
    <xf numFmtId="2" fontId="3" fillId="2" borderId="0" xfId="1" applyNumberFormat="1"/>
    <xf numFmtId="0" fontId="14" fillId="6" borderId="0" xfId="4"/>
    <xf numFmtId="2" fontId="16" fillId="7" borderId="0" xfId="5" applyNumberFormat="1"/>
    <xf numFmtId="2" fontId="14" fillId="6" borderId="0" xfId="4" applyNumberFormat="1"/>
    <xf numFmtId="0" fontId="2" fillId="0" borderId="0" xfId="0" applyFont="1" applyAlignment="1">
      <alignment horizontal="center" vertical="center"/>
    </xf>
    <xf numFmtId="0" fontId="21" fillId="9" borderId="0" xfId="0" applyFont="1" applyFill="1"/>
    <xf numFmtId="2" fontId="21" fillId="9" borderId="0" xfId="0" applyNumberFormat="1" applyFont="1" applyFill="1"/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17" fillId="2" borderId="17" xfId="1" applyFont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7" fillId="2" borderId="2" xfId="1" applyFont="1" applyBorder="1"/>
    <xf numFmtId="0" fontId="18" fillId="5" borderId="2" xfId="0" applyFont="1" applyFill="1" applyBorder="1"/>
    <xf numFmtId="0" fontId="0" fillId="8" borderId="30" xfId="6" applyFont="1" applyBorder="1"/>
    <xf numFmtId="0" fontId="0" fillId="8" borderId="31" xfId="6" applyFont="1" applyBorder="1"/>
    <xf numFmtId="0" fontId="0" fillId="8" borderId="32" xfId="6" applyFont="1" applyBorder="1"/>
    <xf numFmtId="0" fontId="0" fillId="8" borderId="16" xfId="6" applyFont="1" applyBorder="1"/>
    <xf numFmtId="0" fontId="0" fillId="8" borderId="33" xfId="6" applyFont="1" applyBorder="1"/>
    <xf numFmtId="0" fontId="0" fillId="8" borderId="37" xfId="6" applyFont="1" applyBorder="1"/>
    <xf numFmtId="0" fontId="0" fillId="8" borderId="38" xfId="6" applyFont="1" applyBorder="1"/>
    <xf numFmtId="0" fontId="2" fillId="0" borderId="22" xfId="0" applyFont="1" applyBorder="1" applyAlignment="1">
      <alignment horizontal="center" vertical="center"/>
    </xf>
    <xf numFmtId="0" fontId="0" fillId="8" borderId="16" xfId="6" applyFont="1" applyBorder="1" applyAlignment="1">
      <alignment horizontal="center"/>
    </xf>
    <xf numFmtId="0" fontId="0" fillId="8" borderId="33" xfId="6" applyFont="1" applyBorder="1" applyAlignment="1">
      <alignment horizontal="center"/>
    </xf>
    <xf numFmtId="0" fontId="0" fillId="8" borderId="32" xfId="6" applyFont="1" applyBorder="1" applyAlignment="1">
      <alignment horizontal="center"/>
    </xf>
    <xf numFmtId="164" fontId="0" fillId="8" borderId="16" xfId="6" applyNumberFormat="1" applyFont="1" applyBorder="1" applyAlignment="1">
      <alignment horizontal="center"/>
    </xf>
    <xf numFmtId="165" fontId="0" fillId="8" borderId="16" xfId="6" applyNumberFormat="1" applyFont="1" applyBorder="1" applyAlignment="1">
      <alignment horizontal="center"/>
    </xf>
    <xf numFmtId="0" fontId="0" fillId="8" borderId="36" xfId="6" applyFont="1" applyBorder="1" applyAlignment="1">
      <alignment horizontal="center"/>
    </xf>
    <xf numFmtId="0" fontId="0" fillId="8" borderId="37" xfId="6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wrapText="1"/>
    </xf>
    <xf numFmtId="0" fontId="7" fillId="2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4" borderId="1" xfId="3" applyAlignment="1">
      <alignment horizontal="center" vertical="center"/>
    </xf>
    <xf numFmtId="0" fontId="8" fillId="5" borderId="12" xfId="1" applyFont="1" applyFill="1" applyBorder="1" applyAlignment="1">
      <alignment horizontal="center"/>
    </xf>
    <xf numFmtId="0" fontId="8" fillId="5" borderId="0" xfId="1" applyFont="1" applyFill="1" applyAlignment="1">
      <alignment horizontal="center"/>
    </xf>
    <xf numFmtId="0" fontId="7" fillId="2" borderId="12" xfId="1" applyFont="1" applyBorder="1" applyAlignment="1">
      <alignment horizontal="center"/>
    </xf>
    <xf numFmtId="0" fontId="8" fillId="5" borderId="12" xfId="0" applyFont="1" applyFill="1" applyBorder="1" applyAlignment="1">
      <alignment horizontal="center"/>
    </xf>
    <xf numFmtId="0" fontId="5" fillId="4" borderId="1" xfId="3" applyAlignment="1">
      <alignment horizontal="center"/>
    </xf>
    <xf numFmtId="0" fontId="28" fillId="11" borderId="0" xfId="4" applyFont="1" applyFill="1" applyAlignment="1">
      <alignment horizontal="center"/>
    </xf>
    <xf numFmtId="0" fontId="28" fillId="11" borderId="12" xfId="4" applyFont="1" applyFill="1" applyBorder="1" applyAlignment="1">
      <alignment horizontal="center"/>
    </xf>
    <xf numFmtId="0" fontId="2" fillId="8" borderId="26" xfId="6" applyFont="1" applyBorder="1" applyAlignment="1">
      <alignment horizontal="center"/>
    </xf>
    <xf numFmtId="0" fontId="2" fillId="8" borderId="35" xfId="6" applyFont="1" applyBorder="1" applyAlignment="1">
      <alignment horizontal="center"/>
    </xf>
    <xf numFmtId="0" fontId="2" fillId="8" borderId="34" xfId="6" applyFont="1" applyBorder="1" applyAlignment="1">
      <alignment horizontal="center"/>
    </xf>
    <xf numFmtId="0" fontId="2" fillId="8" borderId="27" xfId="6" applyFont="1" applyBorder="1" applyAlignment="1">
      <alignment horizontal="center"/>
    </xf>
    <xf numFmtId="0" fontId="2" fillId="8" borderId="28" xfId="6" applyFont="1" applyBorder="1" applyAlignment="1">
      <alignment horizontal="center"/>
    </xf>
    <xf numFmtId="0" fontId="2" fillId="8" borderId="29" xfId="6" applyFont="1" applyBorder="1" applyAlignment="1">
      <alignment horizontal="center"/>
    </xf>
    <xf numFmtId="0" fontId="0" fillId="10" borderId="2" xfId="0" applyFill="1" applyBorder="1" applyAlignment="1">
      <alignment horizontal="center" vertical="center"/>
    </xf>
    <xf numFmtId="0" fontId="27" fillId="11" borderId="2" xfId="4" applyFont="1" applyFill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1" fillId="9" borderId="0" xfId="0" applyFont="1" applyFill="1" applyAlignment="1">
      <alignment horizontal="center"/>
    </xf>
    <xf numFmtId="0" fontId="20" fillId="9" borderId="0" xfId="0" applyFont="1" applyFill="1" applyAlignment="1">
      <alignment horizontal="center"/>
    </xf>
    <xf numFmtId="0" fontId="2" fillId="0" borderId="19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2" fontId="17" fillId="2" borderId="2" xfId="1" applyNumberFormat="1" applyFont="1" applyBorder="1" applyAlignment="1">
      <alignment horizontal="center"/>
    </xf>
    <xf numFmtId="2" fontId="18" fillId="5" borderId="2" xfId="0" applyNumberFormat="1" applyFont="1" applyFill="1" applyBorder="1" applyAlignment="1">
      <alignment horizontal="center"/>
    </xf>
  </cellXfs>
  <cellStyles count="7">
    <cellStyle name="Bad" xfId="5" builtinId="27"/>
    <cellStyle name="Calculation" xfId="3" builtinId="22"/>
    <cellStyle name="Good" xfId="1" builtinId="26"/>
    <cellStyle name="Input" xfId="2" builtinId="20"/>
    <cellStyle name="Neutral" xfId="4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FF99FF"/>
      <color rgb="FF660066"/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723900</xdr:colOff>
      <xdr:row>26</xdr:row>
      <xdr:rowOff>57150</xdr:rowOff>
    </xdr:from>
    <xdr:ext cx="65" cy="172227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6819900" y="51054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762000</xdr:colOff>
      <xdr:row>21</xdr:row>
      <xdr:rowOff>57150</xdr:rowOff>
    </xdr:from>
    <xdr:ext cx="1622880" cy="3658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7620000" y="4191000"/>
              <a:ext cx="1622880" cy="36586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𝑅𝐺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𝐶𝐶𝐹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𝐴𝐶𝐹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𝑔𝑟𝑒𝑒𝑛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𝑔𝑟𝑒𝑒𝑛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feld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7620000" y="4191000"/>
              <a:ext cx="1622880" cy="365869"/>
            </a:xfrm>
            <a:prstGeom prst="rect">
              <a:avLst/>
            </a:prstGeom>
            <a:solidFill>
              <a:schemeClr val="accent6">
                <a:lumMod val="40000"/>
                <a:lumOff val="6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𝐶_𝑅𝐺=𝐺_(0,𝐶𝐶𝐹)/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𝐺_(0,𝐴𝐶𝐹,𝑔𝑟𝑒𝑒𝑛) </a:t>
              </a:r>
              <a:r>
                <a:rPr lang="en-US" sz="1100" b="0" i="0">
                  <a:latin typeface="Cambria Math" panose="02040503050406030204" pitchFamily="18" charset="0"/>
                </a:rPr>
                <a:t>∗𝑐_𝑔𝑟𝑒𝑒𝑛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12</xdr:col>
      <xdr:colOff>180975</xdr:colOff>
      <xdr:row>21</xdr:row>
      <xdr:rowOff>47625</xdr:rowOff>
    </xdr:from>
    <xdr:ext cx="1357551" cy="3595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9401175" y="4181475"/>
              <a:ext cx="1357551" cy="359522"/>
            </a:xfrm>
            <a:prstGeom prst="rect">
              <a:avLst/>
            </a:prstGeom>
            <a:solidFill>
              <a:srgbClr val="FF99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𝑅𝐺</m:t>
                        </m:r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𝐶𝐶𝐹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𝐺</m:t>
                            </m:r>
                          </m:e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0,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𝐴𝐶𝐹𝑟𝑒𝑑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𝑟𝑒𝑑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feld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9401175" y="4181475"/>
              <a:ext cx="1357551" cy="359522"/>
            </a:xfrm>
            <a:prstGeom prst="rect">
              <a:avLst/>
            </a:prstGeom>
            <a:solidFill>
              <a:srgbClr val="FF99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𝐶_𝑅𝐺=𝐺_(0,𝐶𝐶𝐹)/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𝐺_(0,𝐴𝐶𝐹𝑟𝑒𝑑) </a:t>
              </a:r>
              <a:r>
                <a:rPr lang="en-US" sz="1100" b="0" i="0">
                  <a:latin typeface="Cambria Math" panose="02040503050406030204" pitchFamily="18" charset="0"/>
                </a:rPr>
                <a:t>∗𝑐_𝑟𝑒𝑑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45"/>
  <sheetViews>
    <sheetView zoomScale="80" zoomScaleNormal="80" workbookViewId="0">
      <selection activeCell="O55" sqref="O55"/>
    </sheetView>
  </sheetViews>
  <sheetFormatPr defaultColWidth="11.42578125" defaultRowHeight="15" x14ac:dyDescent="0.25"/>
  <cols>
    <col min="1" max="1" width="24.85546875" customWidth="1"/>
    <col min="2" max="2" width="13.42578125" style="24" bestFit="1" customWidth="1"/>
    <col min="3" max="3" width="12.140625" style="24" bestFit="1" customWidth="1"/>
    <col min="4" max="4" width="12.28515625" style="24" bestFit="1" customWidth="1"/>
    <col min="5" max="5" width="20.5703125" style="24" bestFit="1" customWidth="1"/>
    <col min="6" max="6" width="21.7109375" style="24" bestFit="1" customWidth="1"/>
    <col min="7" max="7" width="18.85546875" style="24" bestFit="1" customWidth="1"/>
    <col min="8" max="8" width="19.5703125" style="24" bestFit="1" customWidth="1"/>
    <col min="16" max="16" width="13.42578125" bestFit="1" customWidth="1"/>
  </cols>
  <sheetData>
    <row r="1" spans="1:10" ht="15.75" thickBot="1" x14ac:dyDescent="0.3">
      <c r="A1" s="50" t="s">
        <v>41</v>
      </c>
      <c r="B1" s="51" t="s">
        <v>42</v>
      </c>
      <c r="C1" s="52" t="s">
        <v>43</v>
      </c>
      <c r="D1" s="52" t="s">
        <v>44</v>
      </c>
      <c r="E1" s="53" t="s">
        <v>45</v>
      </c>
      <c r="F1" s="53" t="s">
        <v>46</v>
      </c>
      <c r="G1" s="54" t="s">
        <v>47</v>
      </c>
      <c r="H1" s="55" t="s">
        <v>48</v>
      </c>
      <c r="J1" t="s">
        <v>116</v>
      </c>
    </row>
    <row r="2" spans="1:10" x14ac:dyDescent="0.25">
      <c r="A2" s="25" t="s">
        <v>83</v>
      </c>
      <c r="B2" s="26">
        <v>387.91699999999997</v>
      </c>
      <c r="C2" s="36">
        <v>0.26046293408125898</v>
      </c>
      <c r="D2" s="36">
        <v>0.42716096484557198</v>
      </c>
      <c r="E2" s="45">
        <v>0.54140963144177701</v>
      </c>
      <c r="F2" s="45">
        <v>0.61822503267451501</v>
      </c>
      <c r="G2" s="39">
        <v>0.39069955686396801</v>
      </c>
      <c r="H2" s="40">
        <v>0.38352534176125302</v>
      </c>
    </row>
    <row r="3" spans="1:10" x14ac:dyDescent="0.25">
      <c r="A3" s="27" t="s">
        <v>84</v>
      </c>
      <c r="B3" s="28">
        <v>340.96300000000002</v>
      </c>
      <c r="C3" s="37">
        <v>0.23169082862363299</v>
      </c>
      <c r="D3" s="37">
        <v>0.37757469285523598</v>
      </c>
      <c r="E3" s="46">
        <v>0.52682842419852005</v>
      </c>
      <c r="F3" s="46">
        <v>0.57906576373389396</v>
      </c>
      <c r="G3" s="41">
        <v>0.392810950161747</v>
      </c>
      <c r="H3" s="42">
        <v>0.38262802708798299</v>
      </c>
    </row>
    <row r="4" spans="1:10" ht="15.75" thickBot="1" x14ac:dyDescent="0.3">
      <c r="A4" s="29" t="s">
        <v>85</v>
      </c>
      <c r="B4" s="30">
        <v>253.26400000000001</v>
      </c>
      <c r="C4" s="38">
        <v>0.23708067471097299</v>
      </c>
      <c r="D4" s="38">
        <v>0.39117679575462699</v>
      </c>
      <c r="E4" s="47">
        <v>0.52752068987301703</v>
      </c>
      <c r="F4" s="47">
        <v>0.57148272158696001</v>
      </c>
      <c r="G4" s="43">
        <v>0.39285488660054302</v>
      </c>
      <c r="H4" s="44">
        <v>0.37885368627203198</v>
      </c>
    </row>
    <row r="5" spans="1:10" x14ac:dyDescent="0.25">
      <c r="A5" s="25" t="s">
        <v>86</v>
      </c>
      <c r="B5" s="26">
        <v>27.731999999999999</v>
      </c>
      <c r="C5" s="36">
        <v>14.665693062166399</v>
      </c>
      <c r="D5" s="36">
        <v>30.273546805134799</v>
      </c>
      <c r="E5" s="45">
        <v>35.781696235395898</v>
      </c>
      <c r="F5" s="45">
        <v>69.446235395932504</v>
      </c>
      <c r="G5" s="39">
        <v>3.9835208423481898</v>
      </c>
      <c r="H5" s="40">
        <v>7.5586686859945198</v>
      </c>
    </row>
    <row r="6" spans="1:10" x14ac:dyDescent="0.25">
      <c r="A6" s="27" t="s">
        <v>87</v>
      </c>
      <c r="B6" s="28">
        <v>59.317999999999998</v>
      </c>
      <c r="C6" s="37">
        <v>14.4705654270204</v>
      </c>
      <c r="D6" s="37">
        <v>29.796587882261701</v>
      </c>
      <c r="E6" s="46">
        <v>35.8238477359317</v>
      </c>
      <c r="F6" s="46">
        <v>69.608668532317296</v>
      </c>
      <c r="G6" s="41">
        <v>4.0157625004214497</v>
      </c>
      <c r="H6" s="42">
        <v>7.6457399103138997</v>
      </c>
    </row>
    <row r="7" spans="1:10" x14ac:dyDescent="0.25">
      <c r="A7" s="27" t="s">
        <v>88</v>
      </c>
      <c r="B7" s="28">
        <v>21.172999999999998</v>
      </c>
      <c r="C7" s="37">
        <v>14.3687715486704</v>
      </c>
      <c r="D7" s="37">
        <v>29.562839465356799</v>
      </c>
      <c r="E7" s="46">
        <v>35.519435129646197</v>
      </c>
      <c r="F7" s="46">
        <v>69.119302885750699</v>
      </c>
      <c r="G7" s="41">
        <v>4.0072261842913104</v>
      </c>
      <c r="H7" s="42">
        <v>7.6565909412931497</v>
      </c>
    </row>
    <row r="8" spans="1:10" x14ac:dyDescent="0.25">
      <c r="A8" s="27" t="s">
        <v>89</v>
      </c>
      <c r="B8" s="28">
        <v>19.486999999999998</v>
      </c>
      <c r="C8" s="37">
        <v>76.409555088007394</v>
      </c>
      <c r="D8" s="37">
        <v>118.82121414276099</v>
      </c>
      <c r="E8" s="46">
        <v>107.805665315338</v>
      </c>
      <c r="F8" s="46">
        <v>149.52224559963</v>
      </c>
      <c r="G8" s="41">
        <v>6.0492636116385201</v>
      </c>
      <c r="H8" s="42">
        <v>8.6861497408528692</v>
      </c>
    </row>
    <row r="9" spans="1:10" x14ac:dyDescent="0.25">
      <c r="A9" s="27" t="s">
        <v>90</v>
      </c>
      <c r="B9" s="28">
        <v>9.8079999999999998</v>
      </c>
      <c r="C9" s="37">
        <v>76.755709624795998</v>
      </c>
      <c r="D9" s="37">
        <v>119.069331158238</v>
      </c>
      <c r="E9" s="46">
        <v>106.017638662316</v>
      </c>
      <c r="F9" s="46">
        <v>147.12316476345799</v>
      </c>
      <c r="G9" s="41">
        <v>5.8916190864600297</v>
      </c>
      <c r="H9" s="42">
        <v>8.4174143556280594</v>
      </c>
    </row>
    <row r="10" spans="1:10" ht="15.75" thickBot="1" x14ac:dyDescent="0.3">
      <c r="A10" s="29" t="s">
        <v>91</v>
      </c>
      <c r="B10" s="30">
        <v>16.835999999999999</v>
      </c>
      <c r="C10" s="38">
        <v>77.963292943692096</v>
      </c>
      <c r="D10" s="38">
        <v>121.070503682584</v>
      </c>
      <c r="E10" s="47">
        <v>108.062960323117</v>
      </c>
      <c r="F10" s="47">
        <v>149.74239724399999</v>
      </c>
      <c r="G10" s="43">
        <v>5.9724994060346797</v>
      </c>
      <c r="H10" s="44">
        <v>8.5005345687811804</v>
      </c>
    </row>
    <row r="11" spans="1:10" x14ac:dyDescent="0.25">
      <c r="A11" s="25" t="s">
        <v>92</v>
      </c>
      <c r="B11" s="26">
        <v>60</v>
      </c>
      <c r="C11" s="36">
        <v>31.2240166666666</v>
      </c>
      <c r="D11" s="36">
        <v>31.744983333333298</v>
      </c>
      <c r="E11" s="45">
        <v>5.5285500000000001</v>
      </c>
      <c r="F11" s="45">
        <v>5.0613000000000001</v>
      </c>
      <c r="G11" s="39">
        <v>0.43354999999999999</v>
      </c>
      <c r="H11" s="40">
        <v>0.56833333333333302</v>
      </c>
    </row>
    <row r="12" spans="1:10" x14ac:dyDescent="0.25">
      <c r="A12" s="27" t="s">
        <v>93</v>
      </c>
      <c r="B12" s="28">
        <v>60</v>
      </c>
      <c r="C12" s="37">
        <v>33.65775</v>
      </c>
      <c r="D12" s="37">
        <v>34.108400000000003</v>
      </c>
      <c r="E12" s="46">
        <v>5.8612333333333302</v>
      </c>
      <c r="F12" s="46">
        <v>5.3027666666666597</v>
      </c>
      <c r="G12" s="41">
        <v>0.44435000000000002</v>
      </c>
      <c r="H12" s="42">
        <v>0.56708333333333305</v>
      </c>
    </row>
    <row r="13" spans="1:10" ht="15.75" thickBot="1" x14ac:dyDescent="0.3">
      <c r="A13" s="29" t="s">
        <v>94</v>
      </c>
      <c r="B13" s="30">
        <v>60</v>
      </c>
      <c r="C13" s="38">
        <v>34.681233333333303</v>
      </c>
      <c r="D13" s="38">
        <v>35.191249999999997</v>
      </c>
      <c r="E13" s="47">
        <v>6.0294499999999998</v>
      </c>
      <c r="F13" s="47">
        <v>5.4827166666666596</v>
      </c>
      <c r="G13" s="43">
        <v>0.46575</v>
      </c>
      <c r="H13" s="44">
        <v>0.60709999999999997</v>
      </c>
    </row>
    <row r="14" spans="1:10" x14ac:dyDescent="0.25">
      <c r="A14" s="25" t="s">
        <v>95</v>
      </c>
      <c r="B14" s="26">
        <v>60</v>
      </c>
      <c r="C14" s="36">
        <v>0.95648333333333302</v>
      </c>
      <c r="D14" s="36">
        <v>1.1368499999999999</v>
      </c>
      <c r="E14" s="45">
        <v>5.4140833333333296</v>
      </c>
      <c r="F14" s="45">
        <v>5.3850166666666599</v>
      </c>
      <c r="G14" s="39">
        <v>17.82255</v>
      </c>
      <c r="H14" s="40">
        <v>17.435083333333299</v>
      </c>
    </row>
    <row r="15" spans="1:10" x14ac:dyDescent="0.25">
      <c r="A15" s="27" t="s">
        <v>96</v>
      </c>
      <c r="B15" s="28">
        <v>60</v>
      </c>
      <c r="C15" s="37">
        <v>0.93045</v>
      </c>
      <c r="D15" s="37">
        <v>1.09303333333333</v>
      </c>
      <c r="E15" s="46">
        <v>5.4037833333333296</v>
      </c>
      <c r="F15" s="46">
        <v>5.3977166666666596</v>
      </c>
      <c r="G15" s="41">
        <v>17.811349999999901</v>
      </c>
      <c r="H15" s="42">
        <v>17.493516666666601</v>
      </c>
    </row>
    <row r="16" spans="1:10" ht="15.75" thickBot="1" x14ac:dyDescent="0.3">
      <c r="A16" s="29" t="s">
        <v>97</v>
      </c>
      <c r="B16" s="30">
        <v>60</v>
      </c>
      <c r="C16" s="38">
        <v>0.92211666666666603</v>
      </c>
      <c r="D16" s="38">
        <v>1.0864833333333299</v>
      </c>
      <c r="E16" s="47">
        <v>5.3700999999999999</v>
      </c>
      <c r="F16" s="47">
        <v>5.3561499999999898</v>
      </c>
      <c r="G16" s="43">
        <v>17.7565833333333</v>
      </c>
      <c r="H16" s="44">
        <v>17.4562666666666</v>
      </c>
    </row>
    <row r="17" spans="1:16" x14ac:dyDescent="0.25">
      <c r="A17" s="25" t="s">
        <v>98</v>
      </c>
      <c r="B17" s="26">
        <v>60</v>
      </c>
      <c r="C17" s="36">
        <v>24.690083333333298</v>
      </c>
      <c r="D17" s="36">
        <v>24.6234166666666</v>
      </c>
      <c r="E17" s="45">
        <v>8.7122333333333302</v>
      </c>
      <c r="F17" s="45">
        <v>8.1036166666666603</v>
      </c>
      <c r="G17" s="39">
        <v>18.2600333333333</v>
      </c>
      <c r="H17" s="40">
        <v>18.008683333333298</v>
      </c>
    </row>
    <row r="18" spans="1:16" x14ac:dyDescent="0.25">
      <c r="A18" s="27" t="s">
        <v>99</v>
      </c>
      <c r="B18" s="28">
        <v>60</v>
      </c>
      <c r="C18" s="37">
        <v>24.720866666666598</v>
      </c>
      <c r="D18" s="37">
        <v>24.600016666666601</v>
      </c>
      <c r="E18" s="46">
        <v>8.7022499999999994</v>
      </c>
      <c r="F18" s="46">
        <v>8.1343333333333305</v>
      </c>
      <c r="G18" s="41">
        <v>18.3062</v>
      </c>
      <c r="H18" s="42">
        <v>18.0021666666666</v>
      </c>
    </row>
    <row r="19" spans="1:16" ht="15.75" thickBot="1" x14ac:dyDescent="0.3">
      <c r="A19" s="29" t="s">
        <v>100</v>
      </c>
      <c r="B19" s="30">
        <v>60</v>
      </c>
      <c r="C19" s="38">
        <v>24.897649999999999</v>
      </c>
      <c r="D19" s="38">
        <v>24.775833333333299</v>
      </c>
      <c r="E19" s="47">
        <v>8.7243833333333303</v>
      </c>
      <c r="F19" s="47">
        <v>8.1115166666666596</v>
      </c>
      <c r="G19" s="43">
        <v>18.210099999999901</v>
      </c>
      <c r="H19" s="44">
        <v>17.978916666666599</v>
      </c>
    </row>
    <row r="20" spans="1:16" x14ac:dyDescent="0.25">
      <c r="A20" s="25" t="s">
        <v>101</v>
      </c>
      <c r="B20" s="26">
        <v>60</v>
      </c>
      <c r="C20" s="36">
        <v>40.975566666666602</v>
      </c>
      <c r="D20" s="36">
        <v>42.458433333333303</v>
      </c>
      <c r="E20" s="45">
        <v>10.73645</v>
      </c>
      <c r="F20" s="45">
        <v>10.6983</v>
      </c>
      <c r="G20" s="39">
        <v>25.541599999999999</v>
      </c>
      <c r="H20" s="40">
        <v>30.676449999999999</v>
      </c>
    </row>
    <row r="21" spans="1:16" x14ac:dyDescent="0.25">
      <c r="A21" s="27" t="s">
        <v>102</v>
      </c>
      <c r="B21" s="28">
        <v>60</v>
      </c>
      <c r="C21" s="37">
        <v>40.965633333333301</v>
      </c>
      <c r="D21" s="37">
        <v>42.511899999999997</v>
      </c>
      <c r="E21" s="46">
        <v>10.758283333333299</v>
      </c>
      <c r="F21" s="46">
        <v>10.6845833333333</v>
      </c>
      <c r="G21" s="41">
        <v>25.578383333333299</v>
      </c>
      <c r="H21" s="42">
        <v>30.684466666666601</v>
      </c>
    </row>
    <row r="22" spans="1:16" ht="15.75" thickBot="1" x14ac:dyDescent="0.3">
      <c r="A22" s="29" t="s">
        <v>103</v>
      </c>
      <c r="B22" s="30">
        <v>60</v>
      </c>
      <c r="C22" s="38">
        <v>40.924066666666597</v>
      </c>
      <c r="D22" s="38">
        <v>42.417333333333303</v>
      </c>
      <c r="E22" s="47">
        <v>10.871316666666599</v>
      </c>
      <c r="F22" s="47">
        <v>10.662283333333299</v>
      </c>
      <c r="G22" s="43">
        <v>25.857099999999999</v>
      </c>
      <c r="H22" s="44">
        <v>30.679833333333299</v>
      </c>
    </row>
    <row r="23" spans="1:16" x14ac:dyDescent="0.25">
      <c r="A23" s="25" t="s">
        <v>104</v>
      </c>
      <c r="B23" s="26">
        <v>120</v>
      </c>
      <c r="C23" s="36">
        <v>3.40985</v>
      </c>
      <c r="D23" s="36">
        <v>5.2349583333333296</v>
      </c>
      <c r="E23" s="45">
        <v>0.99684166666666596</v>
      </c>
      <c r="F23" s="45">
        <v>1.54854166666666</v>
      </c>
      <c r="G23" s="39">
        <v>0.71708333333333296</v>
      </c>
      <c r="H23" s="40">
        <v>1.0723833333333299</v>
      </c>
      <c r="J23" s="56">
        <f>C23-AVERAGE($C$2:$C$4)</f>
        <v>3.1667718541947116</v>
      </c>
      <c r="K23" s="56">
        <f>D23-AVERAGE($D$2:$D$4)</f>
        <v>4.8363208488481844</v>
      </c>
      <c r="L23" s="57"/>
      <c r="M23" s="57"/>
      <c r="N23" s="58">
        <f>G23-AVERAGE($G$2:$G$4)</f>
        <v>0.32496153545791368</v>
      </c>
      <c r="O23" s="58">
        <f>H23-AVERAGE($H$2:$H$4)</f>
        <v>0.69071431495957381</v>
      </c>
      <c r="P23" s="87" t="s">
        <v>117</v>
      </c>
    </row>
    <row r="24" spans="1:16" x14ac:dyDescent="0.25">
      <c r="A24" s="27" t="s">
        <v>105</v>
      </c>
      <c r="B24" s="28">
        <v>120</v>
      </c>
      <c r="C24" s="37">
        <v>2.6981666666666602</v>
      </c>
      <c r="D24" s="37">
        <v>4.1251833333333296</v>
      </c>
      <c r="E24" s="46">
        <v>1.00783333333333</v>
      </c>
      <c r="F24" s="46">
        <v>1.4346083333333299</v>
      </c>
      <c r="G24" s="41">
        <v>0.779758333333333</v>
      </c>
      <c r="H24" s="42">
        <v>1.0610333333333299</v>
      </c>
      <c r="J24" s="56">
        <f t="shared" ref="J24:J34" si="0">C24-AVERAGE($C$2:$C$4)</f>
        <v>2.4550885208613717</v>
      </c>
      <c r="K24" s="56">
        <f t="shared" ref="K24:K34" si="1">D24-AVERAGE($D$2:$D$4)</f>
        <v>3.7265458488481844</v>
      </c>
      <c r="L24" s="57"/>
      <c r="M24" s="57"/>
      <c r="N24" s="58">
        <f t="shared" ref="N24:N34" si="2">G24-AVERAGE($G$2:$G$4)</f>
        <v>0.38763653545791371</v>
      </c>
      <c r="O24" s="58">
        <f t="shared" ref="O24:O34" si="3">H24-AVERAGE($H$2:$H$4)</f>
        <v>0.67936431495957383</v>
      </c>
      <c r="P24" s="87"/>
    </row>
    <row r="25" spans="1:16" x14ac:dyDescent="0.25">
      <c r="A25" s="27" t="s">
        <v>106</v>
      </c>
      <c r="B25" s="28">
        <v>120</v>
      </c>
      <c r="C25" s="37">
        <v>2.6266166666666599</v>
      </c>
      <c r="D25" s="37">
        <v>3.8884249999999998</v>
      </c>
      <c r="E25" s="46">
        <v>1.0204916666666599</v>
      </c>
      <c r="F25" s="46">
        <v>1.2962</v>
      </c>
      <c r="G25" s="41">
        <v>0.79391666666666605</v>
      </c>
      <c r="H25" s="42">
        <v>0.91288333333333305</v>
      </c>
      <c r="J25" s="56">
        <f t="shared" si="0"/>
        <v>2.3835385208613715</v>
      </c>
      <c r="K25" s="56">
        <f t="shared" si="1"/>
        <v>3.4897875155148546</v>
      </c>
      <c r="L25" s="57"/>
      <c r="M25" s="57"/>
      <c r="N25" s="58">
        <f t="shared" si="2"/>
        <v>0.40179486879124676</v>
      </c>
      <c r="O25" s="58">
        <f t="shared" si="3"/>
        <v>0.53121431495957694</v>
      </c>
      <c r="P25" s="87"/>
    </row>
    <row r="26" spans="1:16" x14ac:dyDescent="0.25">
      <c r="A26" s="27" t="s">
        <v>107</v>
      </c>
      <c r="B26" s="28">
        <v>120</v>
      </c>
      <c r="C26" s="37">
        <v>1.5175749999999999</v>
      </c>
      <c r="D26" s="37">
        <v>2.3026166666666601</v>
      </c>
      <c r="E26" s="46">
        <v>0.99579999999999902</v>
      </c>
      <c r="F26" s="46">
        <v>1.2328583333333301</v>
      </c>
      <c r="G26" s="41">
        <v>0.84687500000000004</v>
      </c>
      <c r="H26" s="42">
        <v>1.0287166666666601</v>
      </c>
      <c r="J26" s="56">
        <f t="shared" si="0"/>
        <v>1.2744968541947115</v>
      </c>
      <c r="K26" s="56">
        <f t="shared" si="1"/>
        <v>1.9039791821815151</v>
      </c>
      <c r="L26" s="57"/>
      <c r="M26" s="57"/>
      <c r="N26" s="58">
        <f t="shared" si="2"/>
        <v>0.45475320212458076</v>
      </c>
      <c r="O26" s="58">
        <f t="shared" si="3"/>
        <v>0.64704764829290395</v>
      </c>
      <c r="P26" s="87"/>
    </row>
    <row r="27" spans="1:16" x14ac:dyDescent="0.25">
      <c r="A27" s="27" t="s">
        <v>108</v>
      </c>
      <c r="B27" s="28">
        <v>120</v>
      </c>
      <c r="C27" s="37">
        <v>1.2802833333333301</v>
      </c>
      <c r="D27" s="37">
        <v>1.9494416666666601</v>
      </c>
      <c r="E27" s="46">
        <v>0.93819166666666598</v>
      </c>
      <c r="F27" s="46">
        <v>1.1485666666666601</v>
      </c>
      <c r="G27" s="41">
        <v>0.88060833333333299</v>
      </c>
      <c r="H27" s="42">
        <v>1.1032999999999999</v>
      </c>
      <c r="J27" s="56">
        <f t="shared" si="0"/>
        <v>1.0372051875280417</v>
      </c>
      <c r="K27" s="56">
        <f t="shared" si="1"/>
        <v>1.5508041821815151</v>
      </c>
      <c r="L27" s="57"/>
      <c r="M27" s="57"/>
      <c r="N27" s="58">
        <f t="shared" si="2"/>
        <v>0.48848653545791371</v>
      </c>
      <c r="O27" s="58">
        <f t="shared" si="3"/>
        <v>0.72163098162624384</v>
      </c>
      <c r="P27" s="87"/>
    </row>
    <row r="28" spans="1:16" ht="15.75" thickBot="1" x14ac:dyDescent="0.3">
      <c r="A28" s="27" t="s">
        <v>109</v>
      </c>
      <c r="B28" s="28">
        <v>256.85599999999999</v>
      </c>
      <c r="C28" s="37">
        <v>1.16386613511072</v>
      </c>
      <c r="D28" s="37">
        <v>1.7758199146603499</v>
      </c>
      <c r="E28" s="46">
        <v>0.88782819945806202</v>
      </c>
      <c r="F28" s="46">
        <v>1.0232932070887899</v>
      </c>
      <c r="G28" s="41">
        <v>0.83584576572086999</v>
      </c>
      <c r="H28" s="42">
        <v>0.973662285482916</v>
      </c>
      <c r="J28" s="56">
        <f t="shared" si="0"/>
        <v>0.92078798930543171</v>
      </c>
      <c r="K28" s="56">
        <f t="shared" si="1"/>
        <v>1.3771824301752049</v>
      </c>
      <c r="L28" s="57"/>
      <c r="M28" s="57"/>
      <c r="N28" s="58">
        <f t="shared" si="2"/>
        <v>0.44372396784545071</v>
      </c>
      <c r="O28" s="58">
        <f t="shared" si="3"/>
        <v>0.59199326710915989</v>
      </c>
      <c r="P28" s="87"/>
    </row>
    <row r="29" spans="1:16" x14ac:dyDescent="0.25">
      <c r="A29" s="25" t="s">
        <v>110</v>
      </c>
      <c r="B29" s="26">
        <v>180.41800000000001</v>
      </c>
      <c r="C29" s="36">
        <v>2.5139731068961999</v>
      </c>
      <c r="D29" s="36">
        <v>4.7310357059716797</v>
      </c>
      <c r="E29" s="45">
        <v>9.31594962808588</v>
      </c>
      <c r="F29" s="45">
        <v>17.819286323980901</v>
      </c>
      <c r="G29" s="39">
        <v>14.3176900309281</v>
      </c>
      <c r="H29" s="40">
        <v>27.1049507255373</v>
      </c>
      <c r="J29" s="56">
        <f t="shared" si="0"/>
        <v>2.2708949610909115</v>
      </c>
      <c r="K29" s="56">
        <f t="shared" si="1"/>
        <v>4.3323982214865344</v>
      </c>
      <c r="L29" s="59">
        <f>E29-AVERAGE($E$2:$E$4)-(Red!$M$27/100)*G29</f>
        <v>4.4083370539545941</v>
      </c>
      <c r="M29" s="59">
        <f>F29-AVERAGE($F$2:$F$4)-(Red!$M$27/100)*H29</f>
        <v>8.9460304896282725</v>
      </c>
      <c r="N29" s="58">
        <f t="shared" si="2"/>
        <v>13.925568233052681</v>
      </c>
      <c r="O29" s="58">
        <f t="shared" si="3"/>
        <v>26.723281707163544</v>
      </c>
      <c r="P29" s="87" t="s">
        <v>163</v>
      </c>
    </row>
    <row r="30" spans="1:16" x14ac:dyDescent="0.25">
      <c r="A30" s="27" t="s">
        <v>111</v>
      </c>
      <c r="B30" s="28">
        <v>186.65799999999999</v>
      </c>
      <c r="C30" s="37">
        <v>2.7822863204363002</v>
      </c>
      <c r="D30" s="37">
        <v>5.2413129895316501</v>
      </c>
      <c r="E30" s="46">
        <v>10.4968605685263</v>
      </c>
      <c r="F30" s="46">
        <v>19.889718094054299</v>
      </c>
      <c r="G30" s="41">
        <v>17.577194655466101</v>
      </c>
      <c r="H30" s="42">
        <v>33.0666673809855</v>
      </c>
      <c r="J30" s="56">
        <f t="shared" si="0"/>
        <v>2.5392081746310118</v>
      </c>
      <c r="K30" s="56">
        <f t="shared" si="1"/>
        <v>4.8426755050465049</v>
      </c>
      <c r="L30" s="59">
        <f>E30-AVERAGE($E$2:$E$4)-(Red!$M$27/100)*G30</f>
        <v>4.5930962748697164</v>
      </c>
      <c r="M30" s="59">
        <f>F30-AVERAGE($F$2:$F$4)-(Red!$M$27/100)*H30</f>
        <v>9.1944754912401638</v>
      </c>
      <c r="N30" s="58">
        <f t="shared" si="2"/>
        <v>17.185072857590683</v>
      </c>
      <c r="O30" s="58">
        <f t="shared" si="3"/>
        <v>32.684998362611744</v>
      </c>
      <c r="P30" s="87"/>
    </row>
    <row r="31" spans="1:16" x14ac:dyDescent="0.25">
      <c r="A31" s="27" t="s">
        <v>112</v>
      </c>
      <c r="B31" s="28">
        <v>192.61699999999999</v>
      </c>
      <c r="C31" s="37">
        <v>3.6331061121292501</v>
      </c>
      <c r="D31" s="37">
        <v>6.6872965522254004</v>
      </c>
      <c r="E31" s="46">
        <v>13.5679197578614</v>
      </c>
      <c r="F31" s="46">
        <v>25.348608897449299</v>
      </c>
      <c r="G31" s="41">
        <v>24.096860609395801</v>
      </c>
      <c r="H31" s="42">
        <v>44.590913574606603</v>
      </c>
      <c r="J31" s="56">
        <f t="shared" si="0"/>
        <v>3.3900279663239616</v>
      </c>
      <c r="K31" s="56">
        <f t="shared" si="1"/>
        <v>6.2886590677402552</v>
      </c>
      <c r="L31" s="59">
        <f>E31-AVERAGE($E$2:$E$4)-(Red!$M$27/100)*G31</f>
        <v>5.6716513266602524</v>
      </c>
      <c r="M31" s="59">
        <f>F31-AVERAGE($F$2:$F$4)-(Red!$M$27/100)*H31</f>
        <v>11.131390109792145</v>
      </c>
      <c r="N31" s="58">
        <f t="shared" si="2"/>
        <v>23.704738811520382</v>
      </c>
      <c r="O31" s="58">
        <f t="shared" si="3"/>
        <v>44.209244556232846</v>
      </c>
      <c r="P31" s="87"/>
    </row>
    <row r="32" spans="1:16" ht="15.75" thickBot="1" x14ac:dyDescent="0.3">
      <c r="A32" s="29" t="s">
        <v>113</v>
      </c>
      <c r="B32" s="30">
        <v>110.726</v>
      </c>
      <c r="C32" s="38">
        <v>4.4236132435019702</v>
      </c>
      <c r="D32" s="38">
        <v>7.9744594765457002</v>
      </c>
      <c r="E32" s="47">
        <v>16.601466683525</v>
      </c>
      <c r="F32" s="47">
        <v>30.796326066145198</v>
      </c>
      <c r="G32" s="43">
        <v>29.8800913967812</v>
      </c>
      <c r="H32" s="44">
        <v>55.263280530317999</v>
      </c>
      <c r="J32" s="56">
        <f t="shared" si="0"/>
        <v>4.1805350976966817</v>
      </c>
      <c r="K32" s="56">
        <f t="shared" si="1"/>
        <v>7.575821992060555</v>
      </c>
      <c r="L32" s="59">
        <f>E32-AVERAGE($E$2:$E$4)-(Red!$M$27/100)*G32</f>
        <v>6.9377593446149355</v>
      </c>
      <c r="M32" s="59">
        <f>F32-AVERAGE($F$2:$F$4)-(Red!$M$27/100)*H32</f>
        <v>13.317477700084321</v>
      </c>
      <c r="N32" s="58">
        <f t="shared" si="2"/>
        <v>29.487969598905782</v>
      </c>
      <c r="O32" s="58">
        <f t="shared" si="3"/>
        <v>54.881611511944243</v>
      </c>
      <c r="P32" s="87"/>
    </row>
    <row r="33" spans="1:16" x14ac:dyDescent="0.25">
      <c r="A33" s="27" t="s">
        <v>114</v>
      </c>
      <c r="B33" s="28">
        <v>240.25299999999999</v>
      </c>
      <c r="C33" s="37">
        <v>3.32313436252617</v>
      </c>
      <c r="D33" s="37">
        <v>5.26971151244729</v>
      </c>
      <c r="E33" s="46">
        <v>1.21488597436868</v>
      </c>
      <c r="F33" s="46">
        <v>2.3369572908558802</v>
      </c>
      <c r="G33" s="41">
        <v>0.84028087058226097</v>
      </c>
      <c r="H33" s="42">
        <v>1.7151586036386599</v>
      </c>
      <c r="J33" s="56">
        <f t="shared" si="0"/>
        <v>3.0800562167208816</v>
      </c>
      <c r="K33" s="56">
        <f t="shared" si="1"/>
        <v>4.8710740279621447</v>
      </c>
      <c r="L33" s="59">
        <f>E33-AVERAGE($E$2:$E$4)-(Red!$M$27/100)*G33-(Green!$M$27/100)*Countrates!C33</f>
        <v>-0.10928332696221699</v>
      </c>
      <c r="M33" s="59">
        <f>F33-AVERAGE($F$2:$F$4)-(Red!$M$27/100)*H33-(Green!$M$27/100)*Countrates!D33</f>
        <v>0.37409435580350014</v>
      </c>
      <c r="N33" s="58">
        <f t="shared" si="2"/>
        <v>0.44815907270684169</v>
      </c>
      <c r="O33" s="58">
        <f t="shared" si="3"/>
        <v>1.3334895852649038</v>
      </c>
      <c r="P33" s="87" t="s">
        <v>164</v>
      </c>
    </row>
    <row r="34" spans="1:16" ht="15.75" thickBot="1" x14ac:dyDescent="0.3">
      <c r="A34" s="29" t="s">
        <v>115</v>
      </c>
      <c r="B34" s="30">
        <v>78.691999999999993</v>
      </c>
      <c r="C34" s="38">
        <v>3.4865678849184101</v>
      </c>
      <c r="D34" s="38">
        <v>5.2305952320439104</v>
      </c>
      <c r="E34" s="47">
        <v>1.4039673664413099</v>
      </c>
      <c r="F34" s="47">
        <v>2.50856503837747</v>
      </c>
      <c r="G34" s="43">
        <v>1.0099120622172499</v>
      </c>
      <c r="H34" s="44">
        <v>1.9528668733797501</v>
      </c>
      <c r="J34" s="56">
        <f t="shared" si="0"/>
        <v>3.2434897391131217</v>
      </c>
      <c r="K34" s="56">
        <f t="shared" si="1"/>
        <v>4.8319577475587652</v>
      </c>
      <c r="L34" s="59">
        <f>E34-AVERAGE($E$2:$E$4)-(Red!$M$27/100)*G34-(Green!$M$27/100)*Countrates!C34</f>
        <v>1.6227155922058367E-3</v>
      </c>
      <c r="M34" s="59">
        <f>F34-AVERAGE($F$2:$F$4)-(Red!$M$27/100)*H34-(Green!$M$27/100)*Countrates!D34</f>
        <v>0.47935772226187101</v>
      </c>
      <c r="N34" s="58">
        <f t="shared" si="2"/>
        <v>0.61779026434183071</v>
      </c>
      <c r="O34" s="58">
        <f t="shared" si="3"/>
        <v>1.571197855005994</v>
      </c>
      <c r="P34" s="87"/>
    </row>
    <row r="36" spans="1:16" ht="16.5" thickBot="1" x14ac:dyDescent="0.3">
      <c r="A36" s="61" t="s">
        <v>118</v>
      </c>
      <c r="B36" s="62"/>
      <c r="C36" s="62"/>
      <c r="D36" s="62"/>
      <c r="E36" s="62"/>
      <c r="F36" s="62"/>
      <c r="G36" s="62"/>
      <c r="H36" s="62"/>
    </row>
    <row r="37" spans="1:16" ht="15.75" thickBot="1" x14ac:dyDescent="0.3">
      <c r="A37" s="50" t="s">
        <v>127</v>
      </c>
      <c r="B37" s="51" t="s">
        <v>42</v>
      </c>
      <c r="C37" s="52" t="s">
        <v>43</v>
      </c>
      <c r="D37" s="52" t="s">
        <v>44</v>
      </c>
      <c r="E37" s="53" t="s">
        <v>45</v>
      </c>
      <c r="F37" s="53" t="s">
        <v>46</v>
      </c>
      <c r="G37" s="54" t="s">
        <v>47</v>
      </c>
      <c r="H37" s="55" t="s">
        <v>48</v>
      </c>
    </row>
    <row r="38" spans="1:16" x14ac:dyDescent="0.25">
      <c r="A38" t="s">
        <v>119</v>
      </c>
      <c r="B38" s="24">
        <f>SUM(B2:B4)</f>
        <v>982.14400000000001</v>
      </c>
      <c r="C38" s="24">
        <f>AVERAGE(C2:C4)</f>
        <v>0.24307814580528833</v>
      </c>
      <c r="D38" s="24">
        <f t="shared" ref="D38:H38" si="4">AVERAGE(D2:D4)</f>
        <v>0.39863748448514502</v>
      </c>
      <c r="E38" s="24">
        <f t="shared" si="4"/>
        <v>0.53191958183777144</v>
      </c>
      <c r="F38" s="24">
        <f t="shared" si="4"/>
        <v>0.58959117266512295</v>
      </c>
      <c r="G38" s="24">
        <f t="shared" si="4"/>
        <v>0.39212179787541929</v>
      </c>
      <c r="H38" s="24">
        <f t="shared" si="4"/>
        <v>0.38166901837375605</v>
      </c>
    </row>
    <row r="39" spans="1:16" x14ac:dyDescent="0.25">
      <c r="A39" t="s">
        <v>120</v>
      </c>
      <c r="B39" s="24">
        <f>SUM(B11:B13)</f>
        <v>180</v>
      </c>
      <c r="C39" s="24">
        <f>AVERAGE(C11:C13)</f>
        <v>33.187666666666637</v>
      </c>
      <c r="D39" s="24">
        <f t="shared" ref="D39:H39" si="5">AVERAGE(D11:D13)</f>
        <v>33.681544444444434</v>
      </c>
      <c r="E39" s="24">
        <f t="shared" si="5"/>
        <v>5.8064111111111103</v>
      </c>
      <c r="F39" s="24">
        <f t="shared" si="5"/>
        <v>5.2822611111111062</v>
      </c>
      <c r="G39" s="24">
        <f t="shared" si="5"/>
        <v>0.44788333333333336</v>
      </c>
      <c r="H39" s="24">
        <f t="shared" si="5"/>
        <v>0.58083888888888868</v>
      </c>
    </row>
    <row r="40" spans="1:16" x14ac:dyDescent="0.25">
      <c r="A40" t="s">
        <v>121</v>
      </c>
      <c r="B40" s="24">
        <f>SUM(B14:B16)</f>
        <v>180</v>
      </c>
      <c r="C40" s="24">
        <f>AVERAGE(C14:C16)</f>
        <v>0.93634999999999968</v>
      </c>
      <c r="D40" s="24">
        <f t="shared" ref="D40:H40" si="6">AVERAGE(D14:D16)</f>
        <v>1.1054555555555534</v>
      </c>
      <c r="E40" s="24">
        <f t="shared" si="6"/>
        <v>5.3959888888888869</v>
      </c>
      <c r="F40" s="24">
        <f t="shared" si="6"/>
        <v>5.3796277777777695</v>
      </c>
      <c r="G40" s="24">
        <f t="shared" si="6"/>
        <v>17.796827777777732</v>
      </c>
      <c r="H40" s="24">
        <f t="shared" si="6"/>
        <v>17.461622222222168</v>
      </c>
    </row>
    <row r="41" spans="1:16" x14ac:dyDescent="0.25">
      <c r="A41" t="s">
        <v>122</v>
      </c>
      <c r="B41" s="24">
        <f>SUM(B17:B19)</f>
        <v>180</v>
      </c>
      <c r="C41" s="24">
        <f>AVERAGE(C17:C19)</f>
        <v>24.7695333333333</v>
      </c>
      <c r="D41" s="24">
        <f t="shared" ref="D41:H41" si="7">AVERAGE(D17:D19)</f>
        <v>24.666422222222167</v>
      </c>
      <c r="E41" s="24">
        <f t="shared" si="7"/>
        <v>8.7129555555555527</v>
      </c>
      <c r="F41" s="24">
        <f t="shared" si="7"/>
        <v>8.1164888888888829</v>
      </c>
      <c r="G41" s="24">
        <f t="shared" si="7"/>
        <v>18.258777777777734</v>
      </c>
      <c r="H41" s="24">
        <f t="shared" si="7"/>
        <v>17.996588888888834</v>
      </c>
      <c r="J41" s="88" t="s">
        <v>128</v>
      </c>
      <c r="K41" s="88"/>
      <c r="L41" s="88"/>
      <c r="M41" s="88"/>
      <c r="N41" s="88"/>
      <c r="O41" s="88"/>
    </row>
    <row r="42" spans="1:16" x14ac:dyDescent="0.25">
      <c r="A42" t="s">
        <v>123</v>
      </c>
      <c r="B42" s="24">
        <f>SUM(B20:B22)</f>
        <v>180</v>
      </c>
      <c r="C42" s="24">
        <f>AVERAGE(C20:C22)</f>
        <v>40.955088888888831</v>
      </c>
      <c r="D42" s="24">
        <f t="shared" ref="D42:H42" si="8">AVERAGE(D20:D22)</f>
        <v>42.462555555555532</v>
      </c>
      <c r="E42" s="24">
        <f t="shared" si="8"/>
        <v>10.788683333333301</v>
      </c>
      <c r="F42" s="24">
        <f t="shared" si="8"/>
        <v>10.6817222222222</v>
      </c>
      <c r="G42" s="24">
        <f t="shared" si="8"/>
        <v>25.659027777777766</v>
      </c>
      <c r="H42" s="24">
        <f t="shared" si="8"/>
        <v>30.680249999999962</v>
      </c>
      <c r="J42" s="88"/>
      <c r="K42" s="88"/>
      <c r="L42" s="88"/>
      <c r="M42" s="88"/>
      <c r="N42" s="88"/>
      <c r="O42" s="88"/>
    </row>
    <row r="43" spans="1:16" x14ac:dyDescent="0.25">
      <c r="A43" t="s">
        <v>124</v>
      </c>
      <c r="B43" s="24">
        <f>SUM(B23:B28)</f>
        <v>856.85599999999999</v>
      </c>
      <c r="C43" s="24">
        <f>AVERAGE(C23:C28)</f>
        <v>2.1160596336295616</v>
      </c>
      <c r="D43" s="24">
        <f t="shared" ref="D43:H43" si="9">AVERAGE(D23:D28)</f>
        <v>3.212740819110055</v>
      </c>
      <c r="E43" s="24">
        <f t="shared" si="9"/>
        <v>0.97449775546523043</v>
      </c>
      <c r="F43" s="24">
        <f t="shared" si="9"/>
        <v>1.2806780345147952</v>
      </c>
      <c r="G43" s="24">
        <f t="shared" si="9"/>
        <v>0.80901457206458904</v>
      </c>
      <c r="H43" s="24">
        <f t="shared" si="9"/>
        <v>1.0253298253582617</v>
      </c>
      <c r="J43" s="56">
        <f>C43-AVERAGE($C$2:$C$4)</f>
        <v>1.8729814878242732</v>
      </c>
      <c r="K43" s="56">
        <f>D43-AVERAGE($D$2:$D$4)</f>
        <v>2.8141033346249102</v>
      </c>
      <c r="L43" s="57"/>
      <c r="M43" s="57"/>
      <c r="N43" s="58"/>
      <c r="O43" s="58"/>
    </row>
    <row r="44" spans="1:16" x14ac:dyDescent="0.25">
      <c r="A44" t="s">
        <v>125</v>
      </c>
      <c r="B44" s="24">
        <f>SUM(B29:B32)</f>
        <v>670.41899999999998</v>
      </c>
      <c r="C44" s="24">
        <f>AVERAGE(C29:C32)</f>
        <v>3.3382446957409302</v>
      </c>
      <c r="D44" s="24">
        <f t="shared" ref="D44:H44" si="10">AVERAGE(D29:D32)</f>
        <v>6.1585261810686074</v>
      </c>
      <c r="E44" s="24">
        <f t="shared" si="10"/>
        <v>12.495549159499646</v>
      </c>
      <c r="F44" s="24">
        <f t="shared" si="10"/>
        <v>23.463484845407425</v>
      </c>
      <c r="G44" s="24">
        <f t="shared" si="10"/>
        <v>21.467959173142798</v>
      </c>
      <c r="H44" s="24">
        <f t="shared" si="10"/>
        <v>40.00645305286185</v>
      </c>
      <c r="J44" s="56"/>
      <c r="K44" s="56"/>
      <c r="L44" s="59"/>
      <c r="M44" s="59"/>
      <c r="N44" s="58">
        <f t="shared" ref="N44:N45" si="11">G44-AVERAGE($G$2:$G$4)</f>
        <v>21.07583737526738</v>
      </c>
      <c r="O44" s="58">
        <f t="shared" ref="O44:O45" si="12">H44-AVERAGE($H$2:$H$4)</f>
        <v>39.624784034488094</v>
      </c>
    </row>
    <row r="45" spans="1:16" x14ac:dyDescent="0.25">
      <c r="A45" t="s">
        <v>126</v>
      </c>
      <c r="B45" s="24">
        <f>SUM(B33:B34)</f>
        <v>318.94499999999999</v>
      </c>
      <c r="C45" s="24">
        <f>AVERAGE(C33:C34)</f>
        <v>3.40485112372229</v>
      </c>
      <c r="D45" s="24">
        <f t="shared" ref="D45:H45" si="13">AVERAGE(D33:D34)</f>
        <v>5.2501533722456006</v>
      </c>
      <c r="E45" s="24">
        <f t="shared" si="13"/>
        <v>1.3094266704049948</v>
      </c>
      <c r="F45" s="24">
        <f t="shared" si="13"/>
        <v>2.4227611646166753</v>
      </c>
      <c r="G45" s="24">
        <f t="shared" si="13"/>
        <v>0.9250964663997554</v>
      </c>
      <c r="H45" s="24">
        <f t="shared" si="13"/>
        <v>1.8340127385092049</v>
      </c>
      <c r="J45" s="56">
        <f t="shared" ref="J45" si="14">C45-AVERAGE($C$2:$C$4)</f>
        <v>3.1617729779170016</v>
      </c>
      <c r="K45" s="56">
        <f t="shared" ref="K45" si="15">D45-AVERAGE($D$2:$D$4)</f>
        <v>4.8515158877604554</v>
      </c>
      <c r="L45" s="59"/>
      <c r="M45" s="59"/>
      <c r="N45" s="58">
        <f t="shared" si="11"/>
        <v>0.53297466852433617</v>
      </c>
      <c r="O45" s="58">
        <f t="shared" si="12"/>
        <v>1.4523437201354488</v>
      </c>
    </row>
  </sheetData>
  <mergeCells count="4">
    <mergeCell ref="P23:P28"/>
    <mergeCell ref="P29:P32"/>
    <mergeCell ref="P33:P34"/>
    <mergeCell ref="J41:O4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O32"/>
  <sheetViews>
    <sheetView zoomScale="90" zoomScaleNormal="90" workbookViewId="0">
      <selection activeCell="A14" sqref="A14"/>
    </sheetView>
  </sheetViews>
  <sheetFormatPr defaultColWidth="11.42578125" defaultRowHeight="15" x14ac:dyDescent="0.25"/>
  <cols>
    <col min="2" max="2" width="11.42578125" style="3"/>
    <col min="3" max="3" width="12" style="3" bestFit="1" customWidth="1"/>
    <col min="4" max="4" width="12.5703125" style="3" bestFit="1" customWidth="1"/>
    <col min="5" max="5" width="11.42578125" style="3"/>
    <col min="6" max="6" width="12" style="3" bestFit="1" customWidth="1"/>
    <col min="7" max="8" width="11.42578125" style="3"/>
    <col min="9" max="9" width="18.5703125" style="3" bestFit="1" customWidth="1"/>
    <col min="10" max="10" width="18.85546875" style="3" bestFit="1" customWidth="1"/>
    <col min="11" max="11" width="16.140625" style="3" bestFit="1" customWidth="1"/>
    <col min="12" max="12" width="17.140625" style="3" bestFit="1" customWidth="1"/>
    <col min="13" max="13" width="24.7109375" style="3" bestFit="1" customWidth="1"/>
    <col min="14" max="15" width="11.42578125" style="3"/>
  </cols>
  <sheetData>
    <row r="2" spans="2:13" ht="18.75" x14ac:dyDescent="0.3">
      <c r="B2" s="89" t="s">
        <v>24</v>
      </c>
      <c r="C2" s="89"/>
      <c r="D2" s="89"/>
      <c r="E2" s="89"/>
      <c r="F2" s="89"/>
      <c r="H2" s="89" t="s">
        <v>21</v>
      </c>
      <c r="I2" s="89"/>
      <c r="J2" s="89"/>
      <c r="K2" s="89"/>
      <c r="L2" s="89"/>
      <c r="M2" s="89"/>
    </row>
    <row r="3" spans="2:13" x14ac:dyDescent="0.25">
      <c r="B3" s="91" t="s">
        <v>0</v>
      </c>
      <c r="C3" s="13">
        <v>414</v>
      </c>
      <c r="D3" s="13" t="s">
        <v>2</v>
      </c>
      <c r="E3" s="90" t="s">
        <v>26</v>
      </c>
      <c r="F3" s="90"/>
      <c r="I3" s="11" t="s">
        <v>30</v>
      </c>
      <c r="J3" s="11" t="s">
        <v>31</v>
      </c>
      <c r="K3" s="11" t="s">
        <v>27</v>
      </c>
      <c r="L3" s="11" t="s">
        <v>13</v>
      </c>
      <c r="M3" s="11" t="s">
        <v>29</v>
      </c>
    </row>
    <row r="4" spans="2:13" x14ac:dyDescent="0.25">
      <c r="B4" s="91"/>
      <c r="C4" s="3">
        <f>C3*0.000000000001</f>
        <v>4.1399999999999997E-10</v>
      </c>
      <c r="D4" s="3" t="s">
        <v>3</v>
      </c>
      <c r="H4" s="4">
        <v>1</v>
      </c>
      <c r="I4" s="6">
        <v>31.2240166666666</v>
      </c>
      <c r="J4" s="6">
        <v>31.744983333333298</v>
      </c>
      <c r="K4" s="6">
        <f>SUM(I4:J4)</f>
        <v>62.968999999999895</v>
      </c>
      <c r="L4" s="6">
        <v>1.67</v>
      </c>
      <c r="M4" s="6">
        <f>(K4-K15)/L4</f>
        <v>34.395479041916104</v>
      </c>
    </row>
    <row r="5" spans="2:13" x14ac:dyDescent="0.25">
      <c r="B5" s="91" t="s">
        <v>161</v>
      </c>
      <c r="C5" s="13">
        <v>73</v>
      </c>
      <c r="D5" s="13" t="s">
        <v>4</v>
      </c>
      <c r="E5" s="90" t="s">
        <v>32</v>
      </c>
      <c r="F5" s="90"/>
      <c r="H5" s="4">
        <v>2</v>
      </c>
      <c r="I5" s="6">
        <v>33.65775</v>
      </c>
      <c r="J5" s="6">
        <v>34.108400000000003</v>
      </c>
      <c r="K5" s="6">
        <f t="shared" ref="K5:K8" si="0">SUM(I5:J5)</f>
        <v>67.76615000000001</v>
      </c>
      <c r="L5" s="6">
        <v>1.67</v>
      </c>
      <c r="M5" s="6">
        <f t="shared" ref="M5:M6" si="1">(K5-K16)/L5</f>
        <v>37.068812375249507</v>
      </c>
    </row>
    <row r="6" spans="2:13" x14ac:dyDescent="0.25">
      <c r="B6" s="91"/>
      <c r="C6" s="3">
        <f>C5*0.000001</f>
        <v>7.2999999999999999E-5</v>
      </c>
      <c r="D6" s="3" t="s">
        <v>1</v>
      </c>
      <c r="H6" s="4">
        <v>3</v>
      </c>
      <c r="I6" s="6">
        <v>34.681233333333303</v>
      </c>
      <c r="J6" s="6">
        <v>35.191249999999997</v>
      </c>
      <c r="K6" s="6">
        <f t="shared" si="0"/>
        <v>69.872483333333292</v>
      </c>
      <c r="L6" s="6">
        <v>1.67</v>
      </c>
      <c r="M6" s="6">
        <f t="shared" si="1"/>
        <v>38.229361277445086</v>
      </c>
    </row>
    <row r="7" spans="2:13" x14ac:dyDescent="0.25">
      <c r="B7" s="60" t="s">
        <v>1</v>
      </c>
      <c r="C7" s="13">
        <v>9.67</v>
      </c>
      <c r="D7" s="13"/>
      <c r="E7" s="90" t="s">
        <v>32</v>
      </c>
      <c r="F7" s="90"/>
      <c r="H7" s="4">
        <v>4</v>
      </c>
      <c r="I7" s="6"/>
      <c r="J7" s="6"/>
      <c r="K7" s="6">
        <f t="shared" si="0"/>
        <v>0</v>
      </c>
      <c r="L7" s="6"/>
      <c r="M7" s="6"/>
    </row>
    <row r="8" spans="2:13" x14ac:dyDescent="0.25">
      <c r="B8" s="60"/>
      <c r="H8" s="4">
        <v>5</v>
      </c>
      <c r="I8" s="6"/>
      <c r="J8" s="6"/>
      <c r="K8" s="6">
        <f t="shared" si="0"/>
        <v>0</v>
      </c>
      <c r="L8" s="6"/>
      <c r="M8" s="6"/>
    </row>
    <row r="9" spans="2:13" ht="18" x14ac:dyDescent="0.25">
      <c r="B9" s="60" t="s">
        <v>160</v>
      </c>
      <c r="C9" s="3">
        <f>4*C6*C4</f>
        <v>1.2088799999999998E-13</v>
      </c>
    </row>
    <row r="10" spans="2:13" x14ac:dyDescent="0.25">
      <c r="B10" s="92" t="s">
        <v>159</v>
      </c>
      <c r="C10" s="3">
        <f>SQRT(C9)</f>
        <v>3.4768951666681007E-7</v>
      </c>
      <c r="D10" s="3" t="s">
        <v>5</v>
      </c>
      <c r="H10" s="14" t="s">
        <v>22</v>
      </c>
      <c r="I10" s="7">
        <f>AVERAGE(I5:I8)</f>
        <v>34.169491666666651</v>
      </c>
      <c r="J10" s="7">
        <f>AVERAGE(J5:J8)</f>
        <v>34.649825</v>
      </c>
      <c r="K10" s="7">
        <f>AVERAGE(K4:K8)</f>
        <v>40.121526666666639</v>
      </c>
      <c r="L10" s="7">
        <f t="shared" ref="L10" si="2">AVERAGE(L4:L8)</f>
        <v>1.67</v>
      </c>
      <c r="M10" s="7">
        <f>AVERAGE(M4:M8)</f>
        <v>36.564550898203571</v>
      </c>
    </row>
    <row r="11" spans="2:13" x14ac:dyDescent="0.25">
      <c r="B11" s="92"/>
      <c r="C11" s="15">
        <f>C10*1000000</f>
        <v>0.34768951666681008</v>
      </c>
      <c r="D11" s="14" t="s">
        <v>6</v>
      </c>
      <c r="H11" s="14" t="s">
        <v>23</v>
      </c>
      <c r="I11" s="7">
        <f>_xlfn.STDEV.P(I5:I8)</f>
        <v>0.51174166666665144</v>
      </c>
      <c r="J11" s="7">
        <f>_xlfn.STDEV.P(J5:J8)</f>
        <v>0.54142499999999671</v>
      </c>
      <c r="K11" s="7">
        <f>_xlfn.STDEV.P(K4:K8)</f>
        <v>32.835424357450336</v>
      </c>
      <c r="L11" s="7">
        <f>_xlfn.STDEV.P(L4:L8)</f>
        <v>0</v>
      </c>
      <c r="M11" s="7">
        <f>_xlfn.STDEV.P(M4:M8)</f>
        <v>1.60527733365102</v>
      </c>
    </row>
    <row r="12" spans="2:13" x14ac:dyDescent="0.25">
      <c r="B12" s="92" t="s">
        <v>158</v>
      </c>
      <c r="C12" s="3">
        <f>C7*C10</f>
        <v>3.3621576261680535E-6</v>
      </c>
      <c r="D12" s="3" t="s">
        <v>5</v>
      </c>
    </row>
    <row r="13" spans="2:13" ht="18.75" x14ac:dyDescent="0.3">
      <c r="B13" s="92"/>
      <c r="C13" s="15">
        <f>C11*C7</f>
        <v>3.3621576261680537</v>
      </c>
      <c r="D13" s="14" t="s">
        <v>6</v>
      </c>
      <c r="H13" s="89" t="s">
        <v>25</v>
      </c>
      <c r="I13" s="89"/>
      <c r="J13" s="89"/>
      <c r="K13" s="93" t="s">
        <v>57</v>
      </c>
      <c r="L13" s="93"/>
    </row>
    <row r="14" spans="2:13" x14ac:dyDescent="0.25">
      <c r="B14" s="60"/>
      <c r="C14" s="16"/>
      <c r="H14" s="12"/>
      <c r="I14" s="11" t="s">
        <v>53</v>
      </c>
      <c r="J14" s="11" t="s">
        <v>54</v>
      </c>
      <c r="K14" s="11" t="s">
        <v>55</v>
      </c>
      <c r="L14" s="11" t="s">
        <v>56</v>
      </c>
    </row>
    <row r="15" spans="2:13" ht="15" customHeight="1" x14ac:dyDescent="0.25">
      <c r="B15" s="60" t="s">
        <v>157</v>
      </c>
      <c r="C15" s="3">
        <f>PI()^(3/2)</f>
        <v>5.5683279968317088</v>
      </c>
      <c r="H15" s="4">
        <v>1</v>
      </c>
      <c r="I15" s="6">
        <v>0</v>
      </c>
      <c r="J15" s="6">
        <v>0</v>
      </c>
      <c r="K15" s="6">
        <v>5.5285500000000001</v>
      </c>
      <c r="L15" s="6">
        <v>5.0613000000000001</v>
      </c>
    </row>
    <row r="16" spans="2:13" x14ac:dyDescent="0.25">
      <c r="B16" s="92" t="s">
        <v>7</v>
      </c>
      <c r="C16" s="3">
        <f>(PI()^(3/2))*C12*C10*C10</f>
        <v>2.26321635038466E-18</v>
      </c>
      <c r="D16" s="3" t="s">
        <v>10</v>
      </c>
      <c r="H16" s="4">
        <v>2</v>
      </c>
      <c r="I16" s="6">
        <v>0</v>
      </c>
      <c r="J16" s="6">
        <v>0</v>
      </c>
      <c r="K16" s="6">
        <v>5.8612333333333302</v>
      </c>
      <c r="L16" s="6">
        <v>5.3027666666666597</v>
      </c>
    </row>
    <row r="17" spans="2:13" x14ac:dyDescent="0.25">
      <c r="B17" s="92"/>
      <c r="C17" s="15">
        <f>C16/0.000000000000001*1000</f>
        <v>2.2632163503846598</v>
      </c>
      <c r="D17" s="14" t="s">
        <v>8</v>
      </c>
      <c r="E17" s="3" t="s">
        <v>9</v>
      </c>
      <c r="H17" s="4">
        <v>3</v>
      </c>
      <c r="I17" s="6">
        <v>0</v>
      </c>
      <c r="J17" s="6">
        <v>0</v>
      </c>
      <c r="K17" s="6">
        <v>6.0294499999999998</v>
      </c>
      <c r="L17" s="6">
        <v>5.4827166666666596</v>
      </c>
    </row>
    <row r="18" spans="2:13" x14ac:dyDescent="0.25">
      <c r="B18" s="10"/>
      <c r="E18" s="3" t="s">
        <v>11</v>
      </c>
      <c r="H18" s="4">
        <v>4</v>
      </c>
      <c r="I18" s="6"/>
      <c r="J18" s="6"/>
      <c r="K18" s="6"/>
      <c r="L18" s="6"/>
    </row>
    <row r="19" spans="2:13" x14ac:dyDescent="0.25">
      <c r="B19" s="10"/>
      <c r="H19" s="4">
        <v>5</v>
      </c>
      <c r="I19" s="6"/>
      <c r="J19" s="6"/>
      <c r="K19" s="6"/>
      <c r="L19" s="6"/>
    </row>
    <row r="20" spans="2:13" x14ac:dyDescent="0.25">
      <c r="B20" s="9" t="s">
        <v>14</v>
      </c>
      <c r="C20" s="17">
        <v>6.0220000000000003E+23</v>
      </c>
      <c r="I20" s="1"/>
      <c r="J20" s="1"/>
      <c r="K20" s="1"/>
    </row>
    <row r="21" spans="2:13" x14ac:dyDescent="0.25">
      <c r="H21" s="14" t="s">
        <v>22</v>
      </c>
      <c r="I21" s="7">
        <f>AVERAGE(I15:I19)</f>
        <v>0</v>
      </c>
      <c r="J21" s="7">
        <f>AVERAGE(J15:J19)</f>
        <v>0</v>
      </c>
      <c r="K21" s="7">
        <f t="shared" ref="K21:L21" si="3">AVERAGE(K15:K19)</f>
        <v>5.8064111111111103</v>
      </c>
      <c r="L21" s="7">
        <f t="shared" si="3"/>
        <v>5.2822611111111062</v>
      </c>
    </row>
    <row r="22" spans="2:13" x14ac:dyDescent="0.25">
      <c r="H22" s="14" t="s">
        <v>23</v>
      </c>
      <c r="I22" s="7">
        <f>_xlfn.STDEV.P(I16:I19)</f>
        <v>0</v>
      </c>
      <c r="J22" s="7">
        <f>_xlfn.STDEV.P(J16:J19)</f>
        <v>0</v>
      </c>
      <c r="K22" s="7">
        <f>_xlfn.STDEV.P(K15:K19)</f>
        <v>0.20813346605329441</v>
      </c>
      <c r="L22" s="7">
        <f>_xlfn.STDEV.P(L15:L19)</f>
        <v>0.17265256073511911</v>
      </c>
    </row>
    <row r="24" spans="2:13" ht="18.75" x14ac:dyDescent="0.3">
      <c r="B24" s="89" t="s">
        <v>28</v>
      </c>
      <c r="C24" s="89"/>
      <c r="D24" s="89"/>
      <c r="E24" s="89"/>
      <c r="F24" s="89"/>
      <c r="H24" s="89" t="s">
        <v>35</v>
      </c>
      <c r="I24" s="89"/>
      <c r="J24" s="89"/>
      <c r="K24" s="89"/>
      <c r="L24" s="89"/>
      <c r="M24" s="89"/>
    </row>
    <row r="25" spans="2:13" ht="18" x14ac:dyDescent="0.35">
      <c r="I25" s="11" t="s">
        <v>37</v>
      </c>
      <c r="J25" s="11" t="s">
        <v>36</v>
      </c>
      <c r="K25" s="11" t="s">
        <v>38</v>
      </c>
    </row>
    <row r="26" spans="2:13" x14ac:dyDescent="0.25">
      <c r="B26" s="8" t="s">
        <v>12</v>
      </c>
      <c r="F26" s="8"/>
      <c r="H26" s="19" t="s">
        <v>52</v>
      </c>
      <c r="I26" s="6">
        <f>I10</f>
        <v>34.169491666666651</v>
      </c>
      <c r="J26" s="6">
        <f>I21</f>
        <v>0</v>
      </c>
      <c r="K26" s="6">
        <f>I26-J26</f>
        <v>34.169491666666651</v>
      </c>
      <c r="M26" s="2" t="s">
        <v>66</v>
      </c>
    </row>
    <row r="27" spans="2:13" x14ac:dyDescent="0.25">
      <c r="B27" s="9" t="s">
        <v>13</v>
      </c>
      <c r="C27" s="22">
        <f>L10</f>
        <v>1.67</v>
      </c>
      <c r="D27" s="13" t="s">
        <v>33</v>
      </c>
      <c r="E27" s="90" t="s">
        <v>32</v>
      </c>
      <c r="F27" s="90"/>
      <c r="H27" s="20" t="s">
        <v>49</v>
      </c>
      <c r="I27" s="6">
        <f>K21</f>
        <v>5.8064111111111103</v>
      </c>
      <c r="J27" s="6">
        <f>Red!I21</f>
        <v>0</v>
      </c>
      <c r="K27" s="6">
        <f t="shared" ref="K27:K29" si="4">I27-J27</f>
        <v>5.8064111111111103</v>
      </c>
      <c r="M27" s="22">
        <f>((K27+K29)/(K26+K28))*100</f>
        <v>16.1127322375654</v>
      </c>
    </row>
    <row r="28" spans="2:13" x14ac:dyDescent="0.25">
      <c r="B28" s="9" t="s">
        <v>15</v>
      </c>
      <c r="C28" s="3">
        <f>C27/C16/1000</f>
        <v>737887917660264.38</v>
      </c>
      <c r="D28" s="3" t="s">
        <v>16</v>
      </c>
      <c r="H28" s="19" t="s">
        <v>51</v>
      </c>
      <c r="I28" s="6">
        <f>J10</f>
        <v>34.649825</v>
      </c>
      <c r="J28" s="6">
        <f>J21</f>
        <v>0</v>
      </c>
      <c r="K28" s="6">
        <f t="shared" si="4"/>
        <v>34.649825</v>
      </c>
    </row>
    <row r="29" spans="2:13" x14ac:dyDescent="0.25">
      <c r="B29" s="92" t="s">
        <v>15</v>
      </c>
      <c r="C29" s="17">
        <f>C28/C20</f>
        <v>1.2253203547995091E-9</v>
      </c>
      <c r="D29" s="3" t="s">
        <v>17</v>
      </c>
      <c r="F29" s="17"/>
      <c r="H29" s="20" t="s">
        <v>50</v>
      </c>
      <c r="I29" s="6">
        <f>L21</f>
        <v>5.2822611111111062</v>
      </c>
      <c r="J29" s="6">
        <f>Red!J21</f>
        <v>0</v>
      </c>
      <c r="K29" s="6">
        <f t="shared" si="4"/>
        <v>5.2822611111111062</v>
      </c>
    </row>
    <row r="30" spans="2:13" x14ac:dyDescent="0.25">
      <c r="B30" s="92"/>
      <c r="C30" s="17">
        <f>C29*1000</f>
        <v>1.2253203547995092E-6</v>
      </c>
      <c r="D30" s="3" t="s">
        <v>18</v>
      </c>
      <c r="F30" s="17"/>
    </row>
    <row r="31" spans="2:13" x14ac:dyDescent="0.25">
      <c r="B31" s="92"/>
      <c r="C31" s="17">
        <f t="shared" ref="C31:C32" si="5">C30*1000</f>
        <v>1.2253203547995092E-3</v>
      </c>
      <c r="D31" s="3" t="s">
        <v>19</v>
      </c>
      <c r="F31" s="17"/>
    </row>
    <row r="32" spans="2:13" x14ac:dyDescent="0.25">
      <c r="B32" s="92"/>
      <c r="C32" s="7">
        <f t="shared" si="5"/>
        <v>1.2253203547995093</v>
      </c>
      <c r="D32" s="14" t="s">
        <v>20</v>
      </c>
      <c r="F32" s="18"/>
    </row>
  </sheetData>
  <mergeCells count="16">
    <mergeCell ref="E27:F27"/>
    <mergeCell ref="B29:B32"/>
    <mergeCell ref="H24:M24"/>
    <mergeCell ref="B24:F24"/>
    <mergeCell ref="E7:F7"/>
    <mergeCell ref="B16:B17"/>
    <mergeCell ref="B12:B13"/>
    <mergeCell ref="B10:B11"/>
    <mergeCell ref="H13:J13"/>
    <mergeCell ref="K13:L13"/>
    <mergeCell ref="H2:M2"/>
    <mergeCell ref="B2:F2"/>
    <mergeCell ref="E3:F3"/>
    <mergeCell ref="E5:F5"/>
    <mergeCell ref="B3:B4"/>
    <mergeCell ref="B5:B6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B2:N32"/>
  <sheetViews>
    <sheetView zoomScale="90" zoomScaleNormal="90" workbookViewId="0">
      <selection activeCell="B5" sqref="B5:B6"/>
    </sheetView>
  </sheetViews>
  <sheetFormatPr defaultColWidth="11.42578125" defaultRowHeight="15" x14ac:dyDescent="0.25"/>
  <cols>
    <col min="2" max="2" width="11.42578125" style="3"/>
    <col min="3" max="3" width="12" style="3" bestFit="1" customWidth="1"/>
    <col min="4" max="4" width="12.5703125" style="3" bestFit="1" customWidth="1"/>
    <col min="5" max="5" width="11.42578125" style="3"/>
    <col min="6" max="6" width="12" style="3" bestFit="1" customWidth="1"/>
    <col min="7" max="8" width="11.42578125" style="3"/>
    <col min="9" max="9" width="18.5703125" style="3" bestFit="1" customWidth="1"/>
    <col min="10" max="10" width="18.85546875" style="3" bestFit="1" customWidth="1"/>
    <col min="11" max="11" width="19.140625" style="3" bestFit="1" customWidth="1"/>
    <col min="12" max="12" width="19.42578125" style="3" bestFit="1" customWidth="1"/>
    <col min="13" max="13" width="24.7109375" style="3" bestFit="1" customWidth="1"/>
    <col min="14" max="14" width="11.42578125" style="3"/>
  </cols>
  <sheetData>
    <row r="2" spans="2:13" ht="18.75" x14ac:dyDescent="0.3">
      <c r="B2" s="94" t="s">
        <v>24</v>
      </c>
      <c r="C2" s="94"/>
      <c r="D2" s="94"/>
      <c r="E2" s="94"/>
      <c r="F2" s="94"/>
      <c r="H2" s="94" t="s">
        <v>34</v>
      </c>
      <c r="I2" s="94"/>
      <c r="J2" s="94"/>
      <c r="K2" s="94"/>
      <c r="L2" s="94"/>
      <c r="M2" s="94"/>
    </row>
    <row r="3" spans="2:13" x14ac:dyDescent="0.25">
      <c r="B3" s="91" t="s">
        <v>0</v>
      </c>
      <c r="C3" s="13">
        <v>350</v>
      </c>
      <c r="D3" s="13" t="s">
        <v>2</v>
      </c>
      <c r="E3" s="90" t="s">
        <v>26</v>
      </c>
      <c r="F3" s="90"/>
      <c r="I3" s="11" t="s">
        <v>62</v>
      </c>
      <c r="J3" s="11" t="s">
        <v>63</v>
      </c>
      <c r="K3" s="11" t="s">
        <v>27</v>
      </c>
      <c r="L3" s="11" t="s">
        <v>13</v>
      </c>
      <c r="M3" s="11" t="s">
        <v>29</v>
      </c>
    </row>
    <row r="4" spans="2:13" x14ac:dyDescent="0.25">
      <c r="B4" s="91"/>
      <c r="C4" s="3">
        <f>C3*0.000000000001</f>
        <v>3.4999999999999998E-10</v>
      </c>
      <c r="D4" s="3" t="s">
        <v>3</v>
      </c>
      <c r="H4" s="4">
        <v>1</v>
      </c>
      <c r="I4" s="6">
        <v>17.82255</v>
      </c>
      <c r="J4" s="6">
        <v>17.435083333333299</v>
      </c>
      <c r="K4" s="6">
        <f>SUM(I4:J4)</f>
        <v>35.257633333333303</v>
      </c>
      <c r="L4" s="4">
        <v>1.77</v>
      </c>
      <c r="M4" s="6">
        <f>K4/L4</f>
        <v>19.919566854990567</v>
      </c>
    </row>
    <row r="5" spans="2:13" x14ac:dyDescent="0.25">
      <c r="B5" s="91" t="s">
        <v>161</v>
      </c>
      <c r="C5" s="13">
        <v>61</v>
      </c>
      <c r="D5" s="13" t="s">
        <v>4</v>
      </c>
      <c r="E5" s="90" t="s">
        <v>32</v>
      </c>
      <c r="F5" s="90"/>
      <c r="H5" s="4">
        <v>2</v>
      </c>
      <c r="I5" s="6">
        <v>17.811349999999901</v>
      </c>
      <c r="J5" s="6">
        <v>17.493516666666601</v>
      </c>
      <c r="K5" s="6">
        <f t="shared" ref="K5:K8" si="0">SUM(I5:J5)</f>
        <v>35.304866666666499</v>
      </c>
      <c r="L5" s="4">
        <v>1.77</v>
      </c>
      <c r="M5" s="6">
        <f t="shared" ref="M5:M6" si="1">K5/L5</f>
        <v>19.94625235404887</v>
      </c>
    </row>
    <row r="6" spans="2:13" x14ac:dyDescent="0.25">
      <c r="B6" s="91"/>
      <c r="C6" s="3">
        <f>C5*0.000001</f>
        <v>6.0999999999999999E-5</v>
      </c>
      <c r="D6" s="3" t="s">
        <v>1</v>
      </c>
      <c r="H6" s="4">
        <v>3</v>
      </c>
      <c r="I6" s="6">
        <v>17.7565833333333</v>
      </c>
      <c r="J6" s="6">
        <v>17.4562666666666</v>
      </c>
      <c r="K6" s="6">
        <f t="shared" si="0"/>
        <v>35.212849999999904</v>
      </c>
      <c r="L6" s="4">
        <v>1.77</v>
      </c>
      <c r="M6" s="6">
        <f t="shared" si="1"/>
        <v>19.894265536723108</v>
      </c>
    </row>
    <row r="7" spans="2:13" x14ac:dyDescent="0.25">
      <c r="B7" s="60" t="s">
        <v>1</v>
      </c>
      <c r="C7" s="13">
        <v>6.25</v>
      </c>
      <c r="D7" s="13"/>
      <c r="E7" s="90" t="s">
        <v>32</v>
      </c>
      <c r="F7" s="90"/>
      <c r="H7" s="4">
        <v>4</v>
      </c>
      <c r="I7" s="5"/>
      <c r="J7" s="5"/>
      <c r="K7" s="6">
        <f t="shared" si="0"/>
        <v>0</v>
      </c>
      <c r="L7" s="4"/>
      <c r="M7" s="6"/>
    </row>
    <row r="8" spans="2:13" x14ac:dyDescent="0.25">
      <c r="B8" s="60"/>
      <c r="H8" s="4">
        <v>5</v>
      </c>
      <c r="I8" s="5"/>
      <c r="J8" s="5"/>
      <c r="K8" s="6">
        <f t="shared" si="0"/>
        <v>0</v>
      </c>
      <c r="L8" s="4"/>
      <c r="M8" s="6"/>
    </row>
    <row r="9" spans="2:13" ht="18" x14ac:dyDescent="0.25">
      <c r="B9" s="60" t="s">
        <v>160</v>
      </c>
      <c r="C9" s="3">
        <f>4*C6*C4</f>
        <v>8.5399999999999995E-14</v>
      </c>
    </row>
    <row r="10" spans="2:13" x14ac:dyDescent="0.25">
      <c r="B10" s="92" t="s">
        <v>159</v>
      </c>
      <c r="C10" s="3">
        <f>SQRT(C9)</f>
        <v>2.9223278392404915E-7</v>
      </c>
      <c r="D10" s="3" t="s">
        <v>5</v>
      </c>
      <c r="H10" s="14" t="s">
        <v>22</v>
      </c>
      <c r="I10" s="7">
        <f>AVERAGE(I5:I8)</f>
        <v>17.783966666666601</v>
      </c>
      <c r="J10" s="7">
        <f>AVERAGE(J5:J8)</f>
        <v>17.474891666666601</v>
      </c>
      <c r="K10" s="7">
        <f t="shared" ref="K10:L10" si="2">AVERAGE(K4:K8)</f>
        <v>21.155069999999942</v>
      </c>
      <c r="L10" s="7">
        <f t="shared" si="2"/>
        <v>1.7700000000000002</v>
      </c>
      <c r="M10" s="7">
        <f>AVERAGE(M4:M8)</f>
        <v>19.920028248587514</v>
      </c>
    </row>
    <row r="11" spans="2:13" x14ac:dyDescent="0.25">
      <c r="B11" s="92"/>
      <c r="C11" s="15">
        <f>C10*1000000</f>
        <v>0.29223278392404917</v>
      </c>
      <c r="D11" s="14" t="s">
        <v>6</v>
      </c>
      <c r="H11" s="14" t="s">
        <v>23</v>
      </c>
      <c r="I11" s="7">
        <f>_xlfn.STDEV.P(I5:I8)</f>
        <v>2.7383333333300897E-2</v>
      </c>
      <c r="J11" s="7">
        <f>_xlfn.STDEV.P(J5:J8)</f>
        <v>1.8625000000000114E-2</v>
      </c>
      <c r="K11" s="7">
        <f>_xlfn.STDEV.P(K4:K8)</f>
        <v>17.273066839544622</v>
      </c>
      <c r="L11" s="7">
        <f>_xlfn.STDEV.P(L4:L8)</f>
        <v>2.2204460492503131E-16</v>
      </c>
      <c r="M11" s="7">
        <f>_xlfn.STDEV.P(M4:M8)</f>
        <v>2.12260367937433E-2</v>
      </c>
    </row>
    <row r="12" spans="2:13" x14ac:dyDescent="0.25">
      <c r="B12" s="92" t="s">
        <v>158</v>
      </c>
      <c r="C12" s="3">
        <f>C7*C10</f>
        <v>1.8264548995253072E-6</v>
      </c>
      <c r="D12" s="3" t="s">
        <v>5</v>
      </c>
    </row>
    <row r="13" spans="2:13" ht="18.75" x14ac:dyDescent="0.3">
      <c r="B13" s="92"/>
      <c r="C13" s="15">
        <f>C11*C7</f>
        <v>1.8264548995253074</v>
      </c>
      <c r="D13" s="14" t="s">
        <v>6</v>
      </c>
      <c r="H13" s="94" t="s">
        <v>25</v>
      </c>
      <c r="I13" s="94"/>
      <c r="J13" s="94"/>
      <c r="K13" s="94"/>
    </row>
    <row r="14" spans="2:13" x14ac:dyDescent="0.25">
      <c r="B14" s="60"/>
      <c r="C14" s="16"/>
      <c r="H14" s="12"/>
      <c r="I14" s="11" t="s">
        <v>58</v>
      </c>
      <c r="J14" s="11" t="s">
        <v>59</v>
      </c>
      <c r="K14" s="11" t="s">
        <v>60</v>
      </c>
      <c r="L14" s="11" t="s">
        <v>61</v>
      </c>
    </row>
    <row r="15" spans="2:13" ht="15" customHeight="1" x14ac:dyDescent="0.25">
      <c r="B15" s="60" t="s">
        <v>157</v>
      </c>
      <c r="C15" s="3">
        <f>PI()^(3/2)</f>
        <v>5.5683279968317088</v>
      </c>
      <c r="H15" s="4">
        <v>1</v>
      </c>
      <c r="I15" s="21">
        <v>0</v>
      </c>
      <c r="J15" s="6">
        <v>0</v>
      </c>
      <c r="K15" s="6">
        <v>5.4140833333333296</v>
      </c>
      <c r="L15" s="6">
        <v>5.3850166666666599</v>
      </c>
      <c r="M15" s="31"/>
    </row>
    <row r="16" spans="2:13" x14ac:dyDescent="0.25">
      <c r="B16" s="92" t="s">
        <v>7</v>
      </c>
      <c r="C16" s="3">
        <f>(PI()^(3/2))*C12*C10*C10</f>
        <v>8.6854361589885389E-19</v>
      </c>
      <c r="D16" s="3" t="s">
        <v>10</v>
      </c>
      <c r="H16" s="4">
        <v>2</v>
      </c>
      <c r="I16" s="6">
        <v>0</v>
      </c>
      <c r="J16" s="6">
        <v>0</v>
      </c>
      <c r="K16" s="6">
        <v>5.4037833333333296</v>
      </c>
      <c r="L16" s="6">
        <v>5.3977166666666596</v>
      </c>
      <c r="M16" s="31"/>
    </row>
    <row r="17" spans="2:13" x14ac:dyDescent="0.25">
      <c r="B17" s="92"/>
      <c r="C17" s="15">
        <f>C16/0.000000000000001*1000</f>
        <v>0.86854361589885376</v>
      </c>
      <c r="D17" s="14" t="s">
        <v>8</v>
      </c>
      <c r="E17" s="3" t="s">
        <v>9</v>
      </c>
      <c r="H17" s="4">
        <v>3</v>
      </c>
      <c r="I17" s="21">
        <v>0</v>
      </c>
      <c r="J17" s="6">
        <v>0</v>
      </c>
      <c r="K17" s="6">
        <v>5.3700999999999999</v>
      </c>
      <c r="L17" s="6">
        <v>5.3561499999999898</v>
      </c>
      <c r="M17" s="31"/>
    </row>
    <row r="18" spans="2:13" x14ac:dyDescent="0.25">
      <c r="B18" s="10"/>
      <c r="E18" s="3" t="s">
        <v>11</v>
      </c>
      <c r="H18" s="4">
        <v>4</v>
      </c>
      <c r="I18" s="6"/>
      <c r="J18" s="6"/>
      <c r="K18" s="6"/>
      <c r="L18" s="6"/>
    </row>
    <row r="19" spans="2:13" x14ac:dyDescent="0.25">
      <c r="B19" s="10"/>
      <c r="H19" s="4">
        <v>5</v>
      </c>
      <c r="I19" s="6"/>
      <c r="J19" s="6"/>
      <c r="K19" s="6"/>
      <c r="L19" s="6"/>
    </row>
    <row r="20" spans="2:13" x14ac:dyDescent="0.25">
      <c r="B20" s="9" t="s">
        <v>14</v>
      </c>
      <c r="C20" s="17">
        <v>6.0220000000000003E+23</v>
      </c>
      <c r="I20" s="1"/>
      <c r="J20" s="1"/>
      <c r="K20" s="1"/>
    </row>
    <row r="21" spans="2:13" x14ac:dyDescent="0.25">
      <c r="H21" s="14" t="s">
        <v>22</v>
      </c>
      <c r="I21" s="7">
        <f>AVERAGE(I16:I19)</f>
        <v>0</v>
      </c>
      <c r="J21" s="7">
        <f>AVERAGE(J16:J19)</f>
        <v>0</v>
      </c>
      <c r="K21" s="7">
        <f>AVERAGE(K15:K19)</f>
        <v>5.3959888888888869</v>
      </c>
      <c r="L21" s="7">
        <f>AVERAGE(L15:L19)</f>
        <v>5.3796277777777695</v>
      </c>
    </row>
    <row r="22" spans="2:13" x14ac:dyDescent="0.25">
      <c r="H22" s="14" t="s">
        <v>23</v>
      </c>
      <c r="I22" s="7">
        <f>_xlfn.STDEV.P(I16:I19)</f>
        <v>0</v>
      </c>
      <c r="J22" s="7">
        <f>_xlfn.STDEV.P(J16:J19)</f>
        <v>0</v>
      </c>
      <c r="K22" s="7">
        <f>_xlfn.STDEV.P(K15:K19)</f>
        <v>1.8782943076558093E-2</v>
      </c>
      <c r="L22" s="7">
        <f>_xlfn.STDEV.P(L15:L19)</f>
        <v>1.7392087032845591E-2</v>
      </c>
    </row>
    <row r="24" spans="2:13" ht="18.75" x14ac:dyDescent="0.3">
      <c r="B24" s="94" t="s">
        <v>28</v>
      </c>
      <c r="C24" s="94"/>
      <c r="D24" s="94"/>
      <c r="E24" s="94"/>
      <c r="F24" s="94"/>
      <c r="H24" s="94" t="s">
        <v>67</v>
      </c>
      <c r="I24" s="94"/>
      <c r="J24" s="94"/>
      <c r="K24" s="94"/>
      <c r="L24" s="94"/>
      <c r="M24" s="94"/>
    </row>
    <row r="25" spans="2:13" ht="18" x14ac:dyDescent="0.35">
      <c r="I25" s="11" t="s">
        <v>39</v>
      </c>
      <c r="J25" s="11" t="s">
        <v>36</v>
      </c>
      <c r="K25" s="11" t="s">
        <v>40</v>
      </c>
    </row>
    <row r="26" spans="2:13" x14ac:dyDescent="0.25">
      <c r="B26" s="8" t="s">
        <v>12</v>
      </c>
      <c r="F26" s="8"/>
      <c r="H26" s="20" t="s">
        <v>64</v>
      </c>
      <c r="I26" s="6">
        <f>I10</f>
        <v>17.783966666666601</v>
      </c>
      <c r="J26" s="6">
        <f>I21</f>
        <v>0</v>
      </c>
      <c r="K26" s="6">
        <f>I26-J26</f>
        <v>17.783966666666601</v>
      </c>
      <c r="M26" s="2" t="s">
        <v>68</v>
      </c>
    </row>
    <row r="27" spans="2:13" x14ac:dyDescent="0.25">
      <c r="B27" s="9" t="s">
        <v>13</v>
      </c>
      <c r="C27" s="22">
        <f>L10</f>
        <v>1.7700000000000002</v>
      </c>
      <c r="D27" s="13" t="s">
        <v>33</v>
      </c>
      <c r="E27" s="90" t="s">
        <v>32</v>
      </c>
      <c r="F27" s="90"/>
      <c r="H27" s="20" t="s">
        <v>65</v>
      </c>
      <c r="I27" s="6">
        <f>K21</f>
        <v>5.3959888888888869</v>
      </c>
      <c r="J27" s="6">
        <f>I21</f>
        <v>0</v>
      </c>
      <c r="K27" s="6">
        <f t="shared" ref="K27" si="3">I27-J27</f>
        <v>5.3959888888888869</v>
      </c>
      <c r="M27" s="22">
        <f>((K27+K29)/(K26+K28))*100</f>
        <v>30.561445197105403</v>
      </c>
    </row>
    <row r="28" spans="2:13" x14ac:dyDescent="0.25">
      <c r="B28" s="9" t="s">
        <v>15</v>
      </c>
      <c r="C28" s="3">
        <f>C27/C16/1000</f>
        <v>2037894203123272.3</v>
      </c>
      <c r="D28" s="3" t="s">
        <v>16</v>
      </c>
      <c r="H28" s="20" t="s">
        <v>64</v>
      </c>
      <c r="I28" s="6">
        <f>J10</f>
        <v>17.474891666666601</v>
      </c>
      <c r="J28" s="6">
        <f>J21</f>
        <v>0</v>
      </c>
      <c r="K28" s="6">
        <f>I28-J28</f>
        <v>17.474891666666601</v>
      </c>
    </row>
    <row r="29" spans="2:13" x14ac:dyDescent="0.25">
      <c r="B29" s="92" t="s">
        <v>15</v>
      </c>
      <c r="C29" s="17">
        <f>C28/C20</f>
        <v>3.3840820377337631E-9</v>
      </c>
      <c r="D29" s="3" t="s">
        <v>17</v>
      </c>
      <c r="F29" s="17"/>
      <c r="H29" s="20" t="s">
        <v>65</v>
      </c>
      <c r="I29" s="6">
        <f>L21</f>
        <v>5.3796277777777695</v>
      </c>
      <c r="J29" s="6">
        <f>J21</f>
        <v>0</v>
      </c>
      <c r="K29" s="6">
        <f t="shared" ref="K29" si="4">I29-J29</f>
        <v>5.3796277777777695</v>
      </c>
    </row>
    <row r="30" spans="2:13" x14ac:dyDescent="0.25">
      <c r="B30" s="92"/>
      <c r="C30" s="17">
        <f>C29*1000</f>
        <v>3.3840820377337629E-6</v>
      </c>
      <c r="D30" s="3" t="s">
        <v>18</v>
      </c>
      <c r="F30" s="17"/>
    </row>
    <row r="31" spans="2:13" x14ac:dyDescent="0.25">
      <c r="B31" s="92"/>
      <c r="C31" s="17">
        <f t="shared" ref="C31:C32" si="5">C30*1000</f>
        <v>3.3840820377337628E-3</v>
      </c>
      <c r="D31" s="3" t="s">
        <v>19</v>
      </c>
      <c r="F31" s="17"/>
    </row>
    <row r="32" spans="2:13" x14ac:dyDescent="0.25">
      <c r="B32" s="92"/>
      <c r="C32" s="7">
        <f t="shared" si="5"/>
        <v>3.3840820377337626</v>
      </c>
      <c r="D32" s="14" t="s">
        <v>20</v>
      </c>
      <c r="F32" s="18"/>
    </row>
  </sheetData>
  <mergeCells count="15">
    <mergeCell ref="B24:F24"/>
    <mergeCell ref="E27:F27"/>
    <mergeCell ref="B29:B32"/>
    <mergeCell ref="H24:M24"/>
    <mergeCell ref="E7:F7"/>
    <mergeCell ref="B10:B11"/>
    <mergeCell ref="B12:B13"/>
    <mergeCell ref="H13:K13"/>
    <mergeCell ref="B16:B17"/>
    <mergeCell ref="B2:F2"/>
    <mergeCell ref="H2:M2"/>
    <mergeCell ref="B3:B4"/>
    <mergeCell ref="E3:F3"/>
    <mergeCell ref="B5:B6"/>
    <mergeCell ref="E5:F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2:P21"/>
  <sheetViews>
    <sheetView workbookViewId="0">
      <selection activeCell="N17" sqref="N17"/>
    </sheetView>
  </sheetViews>
  <sheetFormatPr defaultColWidth="11.42578125" defaultRowHeight="15" x14ac:dyDescent="0.25"/>
  <cols>
    <col min="10" max="10" width="12" bestFit="1" customWidth="1"/>
    <col min="12" max="12" width="12" bestFit="1" customWidth="1"/>
    <col min="13" max="13" width="13.42578125" bestFit="1" customWidth="1"/>
    <col min="15" max="15" width="13.42578125" bestFit="1" customWidth="1"/>
  </cols>
  <sheetData>
    <row r="2" spans="2:16" ht="18.75" x14ac:dyDescent="0.3">
      <c r="B2" s="98" t="s">
        <v>78</v>
      </c>
      <c r="C2" s="98"/>
      <c r="D2" s="98"/>
      <c r="E2" s="98"/>
      <c r="F2" s="98"/>
      <c r="I2" s="95" t="s">
        <v>71</v>
      </c>
      <c r="J2" s="95"/>
      <c r="K2" s="95"/>
      <c r="L2" s="95"/>
      <c r="M2" s="96" t="s">
        <v>72</v>
      </c>
      <c r="N2" s="96"/>
      <c r="O2" s="96"/>
      <c r="P2" s="96"/>
    </row>
    <row r="3" spans="2:16" x14ac:dyDescent="0.25">
      <c r="B3" s="91" t="s">
        <v>0</v>
      </c>
      <c r="C3" s="22">
        <f>M13</f>
        <v>62.338242158327112</v>
      </c>
      <c r="D3" s="13" t="s">
        <v>2</v>
      </c>
      <c r="E3" s="90" t="s">
        <v>69</v>
      </c>
      <c r="F3" s="90"/>
      <c r="I3" s="13" t="s">
        <v>13</v>
      </c>
      <c r="J3" s="4" t="s">
        <v>70</v>
      </c>
      <c r="K3" s="13" t="s">
        <v>74</v>
      </c>
      <c r="L3" s="4" t="s">
        <v>73</v>
      </c>
      <c r="M3" s="13" t="s">
        <v>13</v>
      </c>
      <c r="N3" s="4" t="s">
        <v>70</v>
      </c>
      <c r="O3" s="13" t="s">
        <v>74</v>
      </c>
      <c r="P3" s="4" t="s">
        <v>73</v>
      </c>
    </row>
    <row r="4" spans="2:16" x14ac:dyDescent="0.25">
      <c r="B4" s="91"/>
      <c r="C4" s="3">
        <f>C3*0.000000000001</f>
        <v>6.2338242158327107E-11</v>
      </c>
      <c r="D4" s="3" t="s">
        <v>3</v>
      </c>
      <c r="E4" s="3"/>
      <c r="F4" s="3"/>
      <c r="H4" s="32">
        <v>2</v>
      </c>
      <c r="I4" s="33">
        <v>4.41</v>
      </c>
      <c r="J4" s="6">
        <f>I4/(Green!$C$16*1000*6.02E+23)*1000000000</f>
        <v>3.2368011984818725</v>
      </c>
      <c r="K4" s="4">
        <v>412</v>
      </c>
      <c r="L4" s="6">
        <f>(Green!$C$11)^2/(4*DNA!K4/1000000)</f>
        <v>73.354368932038838</v>
      </c>
      <c r="M4" s="33">
        <v>4.05</v>
      </c>
      <c r="N4" s="6">
        <f>M4/(Red!$C$16*1000*6.02E+23)*1000000000</f>
        <v>7.745811065421524</v>
      </c>
      <c r="O4" s="4">
        <v>416</v>
      </c>
      <c r="P4" s="6">
        <f>(Red!$C$11)^2/(4*DNA!O4/1000000)</f>
        <v>51.322115384615387</v>
      </c>
    </row>
    <row r="5" spans="2:16" x14ac:dyDescent="0.25">
      <c r="B5" s="91" t="s">
        <v>161</v>
      </c>
      <c r="C5" s="13">
        <v>527</v>
      </c>
      <c r="D5" s="13" t="s">
        <v>4</v>
      </c>
      <c r="E5" s="90" t="s">
        <v>32</v>
      </c>
      <c r="F5" s="90"/>
      <c r="H5" s="32">
        <v>3</v>
      </c>
      <c r="I5" s="33"/>
      <c r="J5" s="6">
        <f>I5/(Green!$C$16*1000*6.02E+23)*1000000000</f>
        <v>0</v>
      </c>
      <c r="K5" s="4"/>
      <c r="L5" s="6"/>
      <c r="M5" s="33"/>
      <c r="N5" s="6">
        <f>M5/(Red!$C$16*1000*6.02E+23)*1000000000</f>
        <v>0</v>
      </c>
      <c r="O5" s="4"/>
      <c r="P5" s="6"/>
    </row>
    <row r="6" spans="2:16" x14ac:dyDescent="0.25">
      <c r="B6" s="91"/>
      <c r="C6" s="3">
        <f>C5*0.000001</f>
        <v>5.2700000000000002E-4</v>
      </c>
      <c r="D6" s="3" t="s">
        <v>1</v>
      </c>
      <c r="E6" s="3"/>
      <c r="F6" s="3"/>
      <c r="H6" s="32">
        <v>4</v>
      </c>
      <c r="I6" s="33"/>
      <c r="J6" s="6">
        <f>I6/(Green!$C$16*1000*6.02E+23)*1000000000</f>
        <v>0</v>
      </c>
      <c r="K6" s="4"/>
      <c r="L6" s="6"/>
      <c r="M6" s="33"/>
      <c r="N6" s="6">
        <f>M6/(Red!$C$16*1000*6.02E+23)*1000000000</f>
        <v>0</v>
      </c>
      <c r="O6" s="4"/>
      <c r="P6" s="6"/>
    </row>
    <row r="7" spans="2:16" x14ac:dyDescent="0.25">
      <c r="B7" s="23" t="s">
        <v>1</v>
      </c>
      <c r="C7" s="13">
        <v>5.29</v>
      </c>
      <c r="D7" s="13"/>
      <c r="E7" s="90" t="s">
        <v>32</v>
      </c>
      <c r="F7" s="90"/>
      <c r="H7" s="32">
        <v>5</v>
      </c>
      <c r="I7" s="33"/>
      <c r="J7" s="6">
        <f>I7/(Green!$C$16*1000*6.02E+23)*1000000000</f>
        <v>0</v>
      </c>
      <c r="K7" s="4"/>
      <c r="L7" s="6"/>
      <c r="M7" s="34"/>
      <c r="N7" s="6">
        <f>M7/(Red!$C$16*1000*6.02E+23)*1000000000</f>
        <v>0</v>
      </c>
      <c r="O7" s="4"/>
      <c r="P7" s="6"/>
    </row>
    <row r="8" spans="2:16" x14ac:dyDescent="0.25">
      <c r="B8" s="23"/>
      <c r="C8" s="3"/>
      <c r="D8" s="3"/>
      <c r="E8" s="3"/>
      <c r="F8" s="3"/>
      <c r="H8" s="32">
        <v>6</v>
      </c>
      <c r="I8" s="33"/>
      <c r="J8" s="6">
        <f>I8/(Green!$C$16*1000*6.02E+23)*1000000000</f>
        <v>0</v>
      </c>
      <c r="K8" s="4"/>
      <c r="L8" s="6"/>
      <c r="M8" s="33"/>
      <c r="N8" s="6">
        <f>M8/(Red!$C$16*1000*6.02E+23)*1000000000</f>
        <v>0</v>
      </c>
      <c r="O8" s="4"/>
      <c r="P8" s="6"/>
    </row>
    <row r="9" spans="2:16" ht="18" x14ac:dyDescent="0.25">
      <c r="B9" s="23" t="s">
        <v>160</v>
      </c>
      <c r="C9" s="3">
        <f>4*C6*C4</f>
        <v>1.3140901446975355E-13</v>
      </c>
      <c r="D9" s="3"/>
      <c r="E9" s="3"/>
      <c r="F9" s="3"/>
    </row>
    <row r="10" spans="2:16" x14ac:dyDescent="0.25">
      <c r="B10" s="92" t="s">
        <v>159</v>
      </c>
      <c r="C10" s="3">
        <f>SQRT(C9)</f>
        <v>3.6250381304167485E-7</v>
      </c>
      <c r="D10" s="3" t="s">
        <v>5</v>
      </c>
      <c r="E10" s="3"/>
      <c r="F10" s="3"/>
      <c r="H10" s="14" t="s">
        <v>22</v>
      </c>
      <c r="I10" s="7" t="e">
        <f>AVERAGE(I5:I8)</f>
        <v>#DIV/0!</v>
      </c>
      <c r="J10" s="7">
        <f>AVERAGE(J5:J8)</f>
        <v>0</v>
      </c>
      <c r="K10" s="7" t="e">
        <f>AVERAGE(K5:K8)</f>
        <v>#DIV/0!</v>
      </c>
      <c r="L10" s="7">
        <f t="shared" ref="L10:M10" si="0">AVERAGE(L4:L8)</f>
        <v>73.354368932038838</v>
      </c>
      <c r="M10" s="7">
        <f t="shared" si="0"/>
        <v>4.05</v>
      </c>
      <c r="N10" s="7">
        <f>AVERAGE(N4:N8)</f>
        <v>1.5491622130843048</v>
      </c>
      <c r="O10" s="7">
        <f>AVERAGE(O4:O8)</f>
        <v>416</v>
      </c>
      <c r="P10" s="7">
        <f>AVERAGE(P4:P8)</f>
        <v>51.322115384615387</v>
      </c>
    </row>
    <row r="11" spans="2:16" x14ac:dyDescent="0.25">
      <c r="B11" s="92"/>
      <c r="C11" s="15">
        <f>C10*1000000</f>
        <v>0.36250381304167484</v>
      </c>
      <c r="D11" s="14" t="s">
        <v>6</v>
      </c>
      <c r="E11" s="3"/>
      <c r="F11" s="3"/>
      <c r="H11" s="14" t="s">
        <v>23</v>
      </c>
      <c r="I11" s="7" t="e">
        <f>_xlfn.STDEV.P(I5:I8)</f>
        <v>#DIV/0!</v>
      </c>
      <c r="J11" s="7">
        <f>_xlfn.STDEV.P(J5:J8)</f>
        <v>0</v>
      </c>
      <c r="K11" s="7" t="e">
        <f>_xlfn.STDEV.P(K5:K8)</f>
        <v>#DIV/0!</v>
      </c>
      <c r="L11" s="7">
        <f>_xlfn.STDEV.P(L4:L8)</f>
        <v>0</v>
      </c>
      <c r="M11" s="7">
        <f>_xlfn.STDEV.P(M4:M8)</f>
        <v>0</v>
      </c>
      <c r="N11" s="7">
        <f>_xlfn.STDEV.P(N4:N8)</f>
        <v>3.09832442616861</v>
      </c>
      <c r="O11" s="7">
        <f>_xlfn.STDEV.P(O4:O8)</f>
        <v>0</v>
      </c>
      <c r="P11" s="7">
        <f>_xlfn.STDEV.P(P4:P8)</f>
        <v>0</v>
      </c>
    </row>
    <row r="12" spans="2:16" x14ac:dyDescent="0.25">
      <c r="B12" s="92" t="s">
        <v>158</v>
      </c>
      <c r="C12" s="3">
        <f>C7*C10</f>
        <v>1.91764517099046E-6</v>
      </c>
      <c r="D12" s="3" t="s">
        <v>5</v>
      </c>
      <c r="E12" s="3"/>
      <c r="F12" s="3"/>
    </row>
    <row r="13" spans="2:16" x14ac:dyDescent="0.25">
      <c r="B13" s="92"/>
      <c r="C13" s="15">
        <f>C11*C7</f>
        <v>1.9176451709904598</v>
      </c>
      <c r="D13" s="14" t="s">
        <v>6</v>
      </c>
      <c r="E13" s="3"/>
      <c r="F13" s="3"/>
      <c r="H13" t="s">
        <v>75</v>
      </c>
      <c r="J13" s="97" t="s">
        <v>77</v>
      </c>
      <c r="K13" s="97"/>
      <c r="L13" s="97"/>
      <c r="M13" s="7">
        <f>AVERAGE(L10,P10)</f>
        <v>62.338242158327112</v>
      </c>
    </row>
    <row r="14" spans="2:16" x14ac:dyDescent="0.25">
      <c r="B14" s="23"/>
      <c r="C14" s="16"/>
      <c r="D14" s="3"/>
      <c r="E14" s="3"/>
      <c r="F14" s="3"/>
    </row>
    <row r="15" spans="2:16" ht="18.75" x14ac:dyDescent="0.3">
      <c r="B15" s="23" t="s">
        <v>157</v>
      </c>
      <c r="C15" s="3">
        <f>PI()^(3/2)</f>
        <v>5.5683279968317088</v>
      </c>
      <c r="D15" s="3"/>
      <c r="E15" s="3"/>
      <c r="F15" s="3"/>
      <c r="I15" s="99" t="s">
        <v>76</v>
      </c>
      <c r="J15" s="99"/>
      <c r="K15" s="99"/>
      <c r="L15" s="99"/>
      <c r="M15" s="99"/>
      <c r="N15" s="99"/>
      <c r="O15" s="99"/>
    </row>
    <row r="16" spans="2:16" ht="18" x14ac:dyDescent="0.35">
      <c r="B16" s="92" t="s">
        <v>7</v>
      </c>
      <c r="C16" s="3">
        <f>(PI()^(3/2))*C12*C10*C10</f>
        <v>1.403195613585841E-18</v>
      </c>
      <c r="D16" s="3" t="s">
        <v>10</v>
      </c>
      <c r="E16" s="3"/>
      <c r="F16" s="3"/>
      <c r="I16" s="35" t="s">
        <v>13</v>
      </c>
      <c r="J16" s="35" t="s">
        <v>79</v>
      </c>
      <c r="K16" s="48" t="s">
        <v>81</v>
      </c>
      <c r="L16" s="70" t="s">
        <v>142</v>
      </c>
      <c r="M16" s="49" t="s">
        <v>82</v>
      </c>
      <c r="N16" s="71" t="s">
        <v>143</v>
      </c>
      <c r="O16" s="33" t="s">
        <v>80</v>
      </c>
    </row>
    <row r="17" spans="2:15" x14ac:dyDescent="0.25">
      <c r="B17" s="92"/>
      <c r="C17" s="15">
        <f>C16/0.000000000000001*1000</f>
        <v>1.4031956135858408</v>
      </c>
      <c r="D17" s="14" t="s">
        <v>8</v>
      </c>
      <c r="E17" s="3" t="s">
        <v>9</v>
      </c>
      <c r="F17" s="3"/>
      <c r="H17" s="32">
        <v>2</v>
      </c>
      <c r="I17" s="4">
        <v>7.9</v>
      </c>
      <c r="J17" s="21">
        <f>1/I17</f>
        <v>0.12658227848101264</v>
      </c>
      <c r="K17" s="6">
        <f>(J17/(1/I4))*J4</f>
        <v>1.8068725677601338</v>
      </c>
      <c r="L17" s="6">
        <f>J17*I4</f>
        <v>0.5582278481012658</v>
      </c>
      <c r="M17" s="6">
        <f>(J17/(1/M4))*N4</f>
        <v>3.9709537740452103</v>
      </c>
      <c r="N17" s="6">
        <f>J17*M4</f>
        <v>0.51265822784810111</v>
      </c>
      <c r="O17" s="6">
        <f>(M17+K17)/2</f>
        <v>2.8889131709026721</v>
      </c>
    </row>
    <row r="18" spans="2:15" x14ac:dyDescent="0.25">
      <c r="B18" s="10"/>
      <c r="C18" s="3"/>
      <c r="D18" s="3"/>
      <c r="E18" s="3" t="s">
        <v>11</v>
      </c>
      <c r="F18" s="3"/>
      <c r="H18" s="32">
        <v>3</v>
      </c>
      <c r="I18" s="4"/>
      <c r="J18" s="21"/>
      <c r="K18" s="6"/>
      <c r="L18" s="6"/>
      <c r="M18" s="6"/>
      <c r="N18" s="6"/>
      <c r="O18" s="6"/>
    </row>
    <row r="19" spans="2:15" x14ac:dyDescent="0.25">
      <c r="H19" s="32">
        <v>4</v>
      </c>
      <c r="I19" s="4"/>
      <c r="J19" s="21"/>
      <c r="K19" s="6"/>
      <c r="L19" s="6"/>
      <c r="M19" s="6"/>
      <c r="N19" s="6"/>
      <c r="O19" s="6"/>
    </row>
    <row r="20" spans="2:15" x14ac:dyDescent="0.25">
      <c r="H20" s="32">
        <v>5</v>
      </c>
      <c r="I20" s="4"/>
      <c r="J20" s="21"/>
      <c r="K20" s="6"/>
      <c r="L20" s="6"/>
      <c r="M20" s="6"/>
      <c r="N20" s="6"/>
      <c r="O20" s="6"/>
    </row>
    <row r="21" spans="2:15" x14ac:dyDescent="0.25">
      <c r="H21" s="32">
        <v>6</v>
      </c>
      <c r="I21" s="4"/>
      <c r="J21" s="21"/>
      <c r="K21" s="6"/>
      <c r="L21" s="6"/>
      <c r="M21" s="6"/>
      <c r="N21" s="6"/>
      <c r="O21" s="6"/>
    </row>
  </sheetData>
  <mergeCells count="13">
    <mergeCell ref="B10:B11"/>
    <mergeCell ref="B12:B13"/>
    <mergeCell ref="B16:B17"/>
    <mergeCell ref="I2:L2"/>
    <mergeCell ref="M2:P2"/>
    <mergeCell ref="J13:L13"/>
    <mergeCell ref="B2:F2"/>
    <mergeCell ref="B3:B4"/>
    <mergeCell ref="E3:F3"/>
    <mergeCell ref="B5:B6"/>
    <mergeCell ref="E5:F5"/>
    <mergeCell ref="E7:F7"/>
    <mergeCell ref="I15:O15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G29"/>
  <sheetViews>
    <sheetView tabSelected="1" workbookViewId="0">
      <selection activeCell="K26" sqref="K26"/>
    </sheetView>
  </sheetViews>
  <sheetFormatPr defaultColWidth="9.140625" defaultRowHeight="15" x14ac:dyDescent="0.25"/>
  <cols>
    <col min="1" max="1" width="13.85546875" bestFit="1" customWidth="1"/>
    <col min="2" max="2" width="13" customWidth="1"/>
    <col min="3" max="3" width="12.140625" customWidth="1"/>
    <col min="4" max="4" width="15.28515625" customWidth="1"/>
    <col min="5" max="5" width="21.28515625" customWidth="1"/>
    <col min="6" max="6" width="18.28515625" customWidth="1"/>
    <col min="7" max="7" width="15.85546875" customWidth="1"/>
  </cols>
  <sheetData>
    <row r="2" spans="1:7" ht="15.75" x14ac:dyDescent="0.25">
      <c r="A2" s="110" t="s">
        <v>129</v>
      </c>
      <c r="B2" s="110"/>
      <c r="C2" s="110"/>
      <c r="D2" s="110"/>
      <c r="E2" s="110"/>
      <c r="F2" s="110"/>
      <c r="G2" s="110"/>
    </row>
    <row r="3" spans="1:7" ht="15.75" thickBot="1" x14ac:dyDescent="0.3"/>
    <row r="4" spans="1:7" x14ac:dyDescent="0.25">
      <c r="A4" s="116" t="s">
        <v>127</v>
      </c>
      <c r="B4" s="109" t="s">
        <v>132</v>
      </c>
      <c r="C4" s="109"/>
      <c r="D4" s="112" t="s">
        <v>134</v>
      </c>
      <c r="E4" s="112" t="s">
        <v>135</v>
      </c>
      <c r="F4" s="114" t="s">
        <v>141</v>
      </c>
    </row>
    <row r="5" spans="1:7" ht="15.75" thickBot="1" x14ac:dyDescent="0.3">
      <c r="A5" s="117"/>
      <c r="B5" s="79" t="s">
        <v>1</v>
      </c>
      <c r="C5" s="79" t="s">
        <v>133</v>
      </c>
      <c r="D5" s="113"/>
      <c r="E5" s="113"/>
      <c r="F5" s="115"/>
    </row>
    <row r="6" spans="1:7" x14ac:dyDescent="0.25">
      <c r="A6" s="68" t="s">
        <v>130</v>
      </c>
      <c r="B6" s="65">
        <v>1.8729814878242732</v>
      </c>
      <c r="C6" s="65">
        <v>2.8141033346249102</v>
      </c>
      <c r="D6" s="64">
        <v>5.86</v>
      </c>
      <c r="E6" s="65">
        <f>(B6+C6)/D6</f>
        <v>0.79984382635651585</v>
      </c>
      <c r="F6" s="65">
        <f>(D6/Green!C16/1000/6.02E+23)*1000*1000*1000</f>
        <v>4.3010555607945067</v>
      </c>
    </row>
    <row r="7" spans="1:7" x14ac:dyDescent="0.25">
      <c r="A7" s="69" t="s">
        <v>131</v>
      </c>
      <c r="B7" s="67">
        <v>21.07583737526738</v>
      </c>
      <c r="C7" s="67">
        <v>39.624784034488094</v>
      </c>
      <c r="D7" s="63">
        <v>35.28</v>
      </c>
      <c r="E7" s="65">
        <f>(B7+C7)/D7</f>
        <v>1.7205391556053138</v>
      </c>
      <c r="F7" s="65">
        <f>(D7/Red!C16/1000/6.02E+23)*1000*1000*1000</f>
        <v>67.474620836560845</v>
      </c>
    </row>
    <row r="9" spans="1:7" x14ac:dyDescent="0.25">
      <c r="A9" s="111" t="s">
        <v>136</v>
      </c>
      <c r="B9" s="111"/>
      <c r="C9" s="111"/>
      <c r="D9" s="111"/>
      <c r="E9" s="111"/>
      <c r="F9" s="111"/>
      <c r="G9" s="111"/>
    </row>
    <row r="10" spans="1:7" ht="15.75" thickBot="1" x14ac:dyDescent="0.3"/>
    <row r="11" spans="1:7" ht="15" customHeight="1" x14ac:dyDescent="0.25">
      <c r="A11" s="116" t="s">
        <v>127</v>
      </c>
      <c r="B11" s="109" t="s">
        <v>132</v>
      </c>
      <c r="C11" s="109"/>
      <c r="D11" s="112" t="s">
        <v>140</v>
      </c>
      <c r="E11" s="112" t="s">
        <v>141</v>
      </c>
      <c r="F11" s="112" t="s">
        <v>156</v>
      </c>
      <c r="G11" s="118" t="s">
        <v>144</v>
      </c>
    </row>
    <row r="12" spans="1:7" ht="15.75" thickBot="1" x14ac:dyDescent="0.3">
      <c r="A12" s="117"/>
      <c r="B12" s="79" t="s">
        <v>1</v>
      </c>
      <c r="C12" s="79" t="s">
        <v>133</v>
      </c>
      <c r="D12" s="113"/>
      <c r="E12" s="113"/>
      <c r="F12" s="113"/>
      <c r="G12" s="119"/>
    </row>
    <row r="13" spans="1:7" x14ac:dyDescent="0.25">
      <c r="A13" s="68" t="s">
        <v>137</v>
      </c>
      <c r="B13" s="65">
        <v>3.1617729779170016</v>
      </c>
      <c r="C13" s="65">
        <v>4.8515158877604554</v>
      </c>
      <c r="D13" s="64">
        <v>7.41</v>
      </c>
      <c r="E13" s="65">
        <f>(C13/Green!C16/1000/6.02E+23)*1000*1000*1000</f>
        <v>3.5608599637090452</v>
      </c>
      <c r="F13" s="106"/>
      <c r="G13" s="106"/>
    </row>
    <row r="14" spans="1:7" x14ac:dyDescent="0.25">
      <c r="A14" s="69" t="s">
        <v>138</v>
      </c>
      <c r="B14" s="66">
        <v>0.53297466852433617</v>
      </c>
      <c r="C14" s="66">
        <v>1.4523437201354488</v>
      </c>
      <c r="D14" s="63">
        <v>12.13</v>
      </c>
      <c r="E14" s="65">
        <f>(C14/Red!C16/1000/6.02E+23)*1000*1000*1000</f>
        <v>2.7776740884495363</v>
      </c>
      <c r="F14" s="106"/>
      <c r="G14" s="106"/>
    </row>
    <row r="15" spans="1:7" x14ac:dyDescent="0.25">
      <c r="A15" s="107" t="s">
        <v>139</v>
      </c>
      <c r="B15" s="106"/>
      <c r="C15" s="106"/>
      <c r="D15" s="108">
        <v>91</v>
      </c>
      <c r="E15" s="65">
        <f>G15*E13</f>
        <v>0.51942184699001726</v>
      </c>
      <c r="F15" s="6">
        <f>D13/D15</f>
        <v>8.1428571428571433E-2</v>
      </c>
      <c r="G15" s="120">
        <f>F15/DNA!L17</f>
        <v>0.1458697764820214</v>
      </c>
    </row>
    <row r="16" spans="1:7" x14ac:dyDescent="0.25">
      <c r="A16" s="107"/>
      <c r="B16" s="106"/>
      <c r="C16" s="106"/>
      <c r="D16" s="108"/>
      <c r="E16" s="65">
        <f>G16*E14</f>
        <v>0.72222541004980012</v>
      </c>
      <c r="F16" s="6">
        <f>D14/D15</f>
        <v>0.13329670329670332</v>
      </c>
      <c r="G16" s="121">
        <f>F16/DNA!N17</f>
        <v>0.26001085334418678</v>
      </c>
    </row>
    <row r="18" spans="1:7" ht="15.75" thickBot="1" x14ac:dyDescent="0.3"/>
    <row r="19" spans="1:7" x14ac:dyDescent="0.25">
      <c r="A19" s="104" t="s">
        <v>145</v>
      </c>
      <c r="B19" s="105"/>
      <c r="C19" s="72"/>
      <c r="D19" s="72"/>
      <c r="E19" s="72"/>
      <c r="F19" s="72"/>
      <c r="G19" s="73"/>
    </row>
    <row r="20" spans="1:7" x14ac:dyDescent="0.25">
      <c r="A20" s="74"/>
      <c r="B20" s="75"/>
      <c r="C20" s="75"/>
      <c r="D20" s="75"/>
      <c r="E20" s="75"/>
      <c r="F20" s="75"/>
      <c r="G20" s="76"/>
    </row>
    <row r="21" spans="1:7" x14ac:dyDescent="0.25">
      <c r="A21" s="102" t="s">
        <v>162</v>
      </c>
      <c r="B21" s="103"/>
      <c r="C21" s="80"/>
      <c r="D21" s="80"/>
      <c r="E21" s="80"/>
      <c r="F21" s="80"/>
      <c r="G21" s="81"/>
    </row>
    <row r="22" spans="1:7" ht="18" x14ac:dyDescent="0.35">
      <c r="A22" s="82" t="s">
        <v>149</v>
      </c>
      <c r="B22" s="80">
        <v>1</v>
      </c>
      <c r="C22" s="80"/>
      <c r="D22" s="80" t="s">
        <v>152</v>
      </c>
      <c r="E22" s="80">
        <f>B24/B22</f>
        <v>0.5</v>
      </c>
      <c r="F22" s="80"/>
      <c r="G22" s="81"/>
    </row>
    <row r="23" spans="1:7" ht="18" x14ac:dyDescent="0.35">
      <c r="A23" s="82" t="s">
        <v>150</v>
      </c>
      <c r="B23" s="80">
        <v>0.8</v>
      </c>
      <c r="C23" s="80"/>
      <c r="D23" s="80" t="s">
        <v>153</v>
      </c>
      <c r="E23" s="80">
        <f>B24/B23</f>
        <v>0.625</v>
      </c>
      <c r="F23" s="80"/>
      <c r="G23" s="81"/>
    </row>
    <row r="24" spans="1:7" ht="18" x14ac:dyDescent="0.35">
      <c r="A24" s="82" t="s">
        <v>151</v>
      </c>
      <c r="B24" s="80">
        <v>0.5</v>
      </c>
      <c r="C24" s="80"/>
      <c r="D24" s="80"/>
      <c r="E24" s="80"/>
      <c r="F24" s="80"/>
      <c r="G24" s="81"/>
    </row>
    <row r="25" spans="1:7" x14ac:dyDescent="0.25">
      <c r="A25" s="82"/>
      <c r="B25" s="80"/>
      <c r="C25" s="80"/>
      <c r="D25" s="80"/>
      <c r="E25" s="80"/>
      <c r="F25" s="80"/>
      <c r="G25" s="81"/>
    </row>
    <row r="26" spans="1:7" x14ac:dyDescent="0.25">
      <c r="A26" s="102" t="s">
        <v>146</v>
      </c>
      <c r="B26" s="103"/>
      <c r="C26" s="80"/>
      <c r="D26" s="80"/>
      <c r="E26" s="80"/>
      <c r="F26" s="100" t="s">
        <v>147</v>
      </c>
      <c r="G26" s="101"/>
    </row>
    <row r="27" spans="1:7" ht="18" x14ac:dyDescent="0.35">
      <c r="A27" s="82" t="s">
        <v>149</v>
      </c>
      <c r="B27" s="80">
        <v>0.12</v>
      </c>
      <c r="C27" s="80"/>
      <c r="D27" s="80" t="s">
        <v>154</v>
      </c>
      <c r="E27" s="83">
        <f>B29/B27</f>
        <v>0.16666666666666669</v>
      </c>
      <c r="F27" s="84">
        <f>E27/E22*100</f>
        <v>33.333333333333336</v>
      </c>
      <c r="G27" s="81" t="s">
        <v>148</v>
      </c>
    </row>
    <row r="28" spans="1:7" ht="18" x14ac:dyDescent="0.35">
      <c r="A28" s="82" t="s">
        <v>150</v>
      </c>
      <c r="B28" s="80">
        <v>0.08</v>
      </c>
      <c r="C28" s="80"/>
      <c r="D28" s="80" t="s">
        <v>155</v>
      </c>
      <c r="E28" s="80">
        <f>B29/B28</f>
        <v>0.25</v>
      </c>
      <c r="F28" s="84">
        <f>E28/E23*100</f>
        <v>40</v>
      </c>
      <c r="G28" s="81" t="s">
        <v>148</v>
      </c>
    </row>
    <row r="29" spans="1:7" ht="18.75" thickBot="1" x14ac:dyDescent="0.4">
      <c r="A29" s="85" t="s">
        <v>151</v>
      </c>
      <c r="B29" s="86">
        <v>0.02</v>
      </c>
      <c r="C29" s="77"/>
      <c r="D29" s="77"/>
      <c r="E29" s="77"/>
      <c r="F29" s="77"/>
      <c r="G29" s="78"/>
    </row>
  </sheetData>
  <mergeCells count="23">
    <mergeCell ref="B4:C4"/>
    <mergeCell ref="A2:G2"/>
    <mergeCell ref="B11:C11"/>
    <mergeCell ref="A9:G9"/>
    <mergeCell ref="D4:D5"/>
    <mergeCell ref="E4:E5"/>
    <mergeCell ref="F4:F5"/>
    <mergeCell ref="A4:A5"/>
    <mergeCell ref="A11:A12"/>
    <mergeCell ref="D11:D12"/>
    <mergeCell ref="G11:G12"/>
    <mergeCell ref="E11:E12"/>
    <mergeCell ref="F11:F12"/>
    <mergeCell ref="F26:G26"/>
    <mergeCell ref="A26:B26"/>
    <mergeCell ref="A19:B19"/>
    <mergeCell ref="A21:B21"/>
    <mergeCell ref="F13:F14"/>
    <mergeCell ref="G13:G14"/>
    <mergeCell ref="A15:A16"/>
    <mergeCell ref="B15:B16"/>
    <mergeCell ref="C15:C16"/>
    <mergeCell ref="D15:D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Countrates</vt:lpstr>
      <vt:lpstr>Green</vt:lpstr>
      <vt:lpstr>Red</vt:lpstr>
      <vt:lpstr>DNA</vt:lpstr>
      <vt:lpstr>Cells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Hemmenk</dc:creator>
  <cp:lastModifiedBy>Hemmenk</cp:lastModifiedBy>
  <dcterms:created xsi:type="dcterms:W3CDTF">2020-07-22T06:04:28Z</dcterms:created>
  <dcterms:modified xsi:type="dcterms:W3CDTF">2021-08-09T12:37:12Z</dcterms:modified>
</cp:coreProperties>
</file>