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ROJECTS\P019_JovE_FCCS\Manuscript\SI\"/>
    </mc:Choice>
  </mc:AlternateContent>
  <bookViews>
    <workbookView xWindow="0" yWindow="0" windowWidth="38400" windowHeight="17700"/>
  </bookViews>
  <sheets>
    <sheet name="Countrates" sheetId="5" r:id="rId1"/>
    <sheet name="Green" sheetId="2" r:id="rId2"/>
    <sheet name="Red" sheetId="3" r:id="rId3"/>
    <sheet name="DN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4" l="1"/>
  <c r="N19" i="4"/>
  <c r="N20" i="4"/>
  <c r="N21" i="4"/>
  <c r="N17" i="4"/>
  <c r="L18" i="4"/>
  <c r="L19" i="4"/>
  <c r="L20" i="4"/>
  <c r="L21" i="4"/>
  <c r="L17" i="4"/>
  <c r="J18" i="4" l="1"/>
  <c r="J19" i="4"/>
  <c r="J20" i="4"/>
  <c r="J21" i="4"/>
  <c r="J17" i="4"/>
  <c r="O10" i="4"/>
  <c r="O11" i="4"/>
  <c r="K10" i="4"/>
  <c r="K11" i="4"/>
  <c r="M11" i="4"/>
  <c r="I11" i="4"/>
  <c r="M10" i="4"/>
  <c r="I10" i="4"/>
  <c r="C15" i="4"/>
  <c r="C6" i="4"/>
  <c r="M27" i="2" l="1"/>
  <c r="K27" i="2"/>
  <c r="K28" i="2"/>
  <c r="K29" i="2"/>
  <c r="J29" i="2"/>
  <c r="J27" i="2"/>
  <c r="I29" i="2"/>
  <c r="I27" i="2"/>
  <c r="C27" i="3"/>
  <c r="M27" i="3"/>
  <c r="J29" i="3"/>
  <c r="J28" i="3"/>
  <c r="K28" i="3" s="1"/>
  <c r="I29" i="3"/>
  <c r="I26" i="3"/>
  <c r="I28" i="3"/>
  <c r="J27" i="3"/>
  <c r="I27" i="3"/>
  <c r="J26" i="3"/>
  <c r="L21" i="3"/>
  <c r="L22" i="3"/>
  <c r="K21" i="3"/>
  <c r="J26" i="2"/>
  <c r="I26" i="2"/>
  <c r="J28" i="2"/>
  <c r="I28" i="2"/>
  <c r="J21" i="2"/>
  <c r="I21" i="2"/>
  <c r="L21" i="2"/>
  <c r="L22" i="2"/>
  <c r="M6" i="3"/>
  <c r="M7" i="3"/>
  <c r="M8" i="3"/>
  <c r="K5" i="3"/>
  <c r="K6" i="3"/>
  <c r="K7" i="3"/>
  <c r="K8" i="3"/>
  <c r="K4" i="3"/>
  <c r="K5" i="2"/>
  <c r="K6" i="2"/>
  <c r="K7" i="2"/>
  <c r="K8" i="2"/>
  <c r="K4" i="2"/>
  <c r="K29" i="3" l="1"/>
  <c r="K26" i="2"/>
  <c r="M8" i="2"/>
  <c r="M7" i="2" l="1"/>
  <c r="C4" i="2" l="1"/>
  <c r="J22" i="3"/>
  <c r="I22" i="3"/>
  <c r="J21" i="3"/>
  <c r="I21" i="3"/>
  <c r="C15" i="3"/>
  <c r="L11" i="3"/>
  <c r="J11" i="3"/>
  <c r="I11" i="3"/>
  <c r="L10" i="3"/>
  <c r="J10" i="3"/>
  <c r="I10" i="3"/>
  <c r="C6" i="3"/>
  <c r="M5" i="3"/>
  <c r="K11" i="3"/>
  <c r="C4" i="3"/>
  <c r="K10" i="2"/>
  <c r="M5" i="2"/>
  <c r="M6" i="2"/>
  <c r="J22" i="2"/>
  <c r="I22" i="2"/>
  <c r="M4" i="2" l="1"/>
  <c r="K22" i="2"/>
  <c r="K10" i="3"/>
  <c r="C9" i="3"/>
  <c r="C10" i="3" s="1"/>
  <c r="C11" i="3" s="1"/>
  <c r="M4" i="3"/>
  <c r="K22" i="3"/>
  <c r="K21" i="2"/>
  <c r="J11" i="2"/>
  <c r="I11" i="2"/>
  <c r="J10" i="2"/>
  <c r="I10" i="2"/>
  <c r="C13" i="3" l="1"/>
  <c r="P4" i="4"/>
  <c r="P7" i="4"/>
  <c r="P6" i="4"/>
  <c r="P5" i="4"/>
  <c r="P8" i="4"/>
  <c r="K26" i="3"/>
  <c r="K27" i="3"/>
  <c r="C12" i="3"/>
  <c r="C16" i="3" s="1"/>
  <c r="M10" i="3"/>
  <c r="M11" i="3"/>
  <c r="L11" i="2"/>
  <c r="C17" i="3" l="1"/>
  <c r="N5" i="4"/>
  <c r="M18" i="4" s="1"/>
  <c r="N8" i="4"/>
  <c r="M21" i="4" s="1"/>
  <c r="N4" i="4"/>
  <c r="N6" i="4"/>
  <c r="M19" i="4" s="1"/>
  <c r="N7" i="4"/>
  <c r="M20" i="4" s="1"/>
  <c r="P11" i="4"/>
  <c r="P10" i="4"/>
  <c r="C28" i="3"/>
  <c r="C29" i="3" s="1"/>
  <c r="C30" i="3" s="1"/>
  <c r="C31" i="3" s="1"/>
  <c r="C32" i="3" s="1"/>
  <c r="L10" i="2"/>
  <c r="C27" i="2" s="1"/>
  <c r="C15" i="2"/>
  <c r="C6" i="2"/>
  <c r="M17" i="4" l="1"/>
  <c r="N11" i="4"/>
  <c r="N10" i="4"/>
  <c r="M10" i="2"/>
  <c r="K11" i="2"/>
  <c r="M11" i="2"/>
  <c r="C9" i="2"/>
  <c r="C10" i="2" s="1"/>
  <c r="C12" i="2" l="1"/>
  <c r="C16" i="2" s="1"/>
  <c r="C11" i="2"/>
  <c r="C13" i="2" l="1"/>
  <c r="L6" i="4"/>
  <c r="L7" i="4"/>
  <c r="L4" i="4"/>
  <c r="L5" i="4"/>
  <c r="L8" i="4"/>
  <c r="J6" i="4"/>
  <c r="K19" i="4" s="1"/>
  <c r="O19" i="4" s="1"/>
  <c r="J4" i="4"/>
  <c r="K17" i="4" s="1"/>
  <c r="O17" i="4" s="1"/>
  <c r="J7" i="4"/>
  <c r="K20" i="4" s="1"/>
  <c r="O20" i="4" s="1"/>
  <c r="C28" i="2"/>
  <c r="C29" i="2" s="1"/>
  <c r="C30" i="2" s="1"/>
  <c r="C31" i="2" s="1"/>
  <c r="C32" i="2" s="1"/>
  <c r="J8" i="4"/>
  <c r="K21" i="4" s="1"/>
  <c r="O21" i="4" s="1"/>
  <c r="J5" i="4"/>
  <c r="C17" i="2"/>
  <c r="L10" i="4" l="1"/>
  <c r="M13" i="4" s="1"/>
  <c r="C3" i="4" s="1"/>
  <c r="C4" i="4" s="1"/>
  <c r="C9" i="4" s="1"/>
  <c r="C10" i="4" s="1"/>
  <c r="L11" i="4"/>
  <c r="J11" i="4"/>
  <c r="K18" i="4"/>
  <c r="O18" i="4" s="1"/>
  <c r="J10" i="4"/>
  <c r="C11" i="4" l="1"/>
  <c r="C13" i="4" s="1"/>
  <c r="C12" i="4"/>
  <c r="C16" i="4" s="1"/>
  <c r="C17" i="4" s="1"/>
</calcChain>
</file>

<file path=xl/sharedStrings.xml><?xml version="1.0" encoding="utf-8"?>
<sst xmlns="http://schemas.openxmlformats.org/spreadsheetml/2006/main" count="196" uniqueCount="110">
  <si>
    <t>D</t>
  </si>
  <si>
    <t>td</t>
  </si>
  <si>
    <t>s</t>
  </si>
  <si>
    <t>w0</t>
  </si>
  <si>
    <t>z0</t>
  </si>
  <si>
    <t>µm²/s</t>
  </si>
  <si>
    <t>m²/s</t>
  </si>
  <si>
    <t>µs</t>
  </si>
  <si>
    <t>m</t>
  </si>
  <si>
    <t>µm</t>
  </si>
  <si>
    <t>V</t>
  </si>
  <si>
    <t>fl</t>
  </si>
  <si>
    <t>1 fl = 1e-15 l</t>
  </si>
  <si>
    <t>pi^(3/2)</t>
  </si>
  <si>
    <t>m³</t>
  </si>
  <si>
    <t>1000 l = 1 m³</t>
  </si>
  <si>
    <t>Alexa488</t>
  </si>
  <si>
    <t>N</t>
  </si>
  <si>
    <t>1 Mol</t>
  </si>
  <si>
    <t>c</t>
  </si>
  <si>
    <t>number/liter</t>
  </si>
  <si>
    <t>Mol/l</t>
  </si>
  <si>
    <t>mM</t>
  </si>
  <si>
    <t>µM</t>
  </si>
  <si>
    <t>nM</t>
  </si>
  <si>
    <t>Countrates A488</t>
  </si>
  <si>
    <t>Mean</t>
  </si>
  <si>
    <t>stdev</t>
  </si>
  <si>
    <t>Confocal volume</t>
  </si>
  <si>
    <t>Countrate background</t>
  </si>
  <si>
    <t>Literature value</t>
  </si>
  <si>
    <t>sum [kHz]</t>
  </si>
  <si>
    <t>Concentration estimation</t>
  </si>
  <si>
    <t>brightness [kHz/molecule]</t>
  </si>
  <si>
    <t>ch 0 / s [kHz]</t>
  </si>
  <si>
    <t>ch 2 / p [kHz]</t>
  </si>
  <si>
    <t>Fit result - please add!</t>
  </si>
  <si>
    <t>number</t>
  </si>
  <si>
    <t>Countrates A568</t>
  </si>
  <si>
    <t>Green crosstalk into red channel</t>
  </si>
  <si>
    <t>CR [kHz] BG</t>
  </si>
  <si>
    <t>CR [kHz] A488</t>
  </si>
  <si>
    <r>
      <t>CR</t>
    </r>
    <r>
      <rPr>
        <b/>
        <vertAlign val="subscript"/>
        <sz val="11"/>
        <color theme="1"/>
        <rFont val="Calibri"/>
        <family val="2"/>
        <scheme val="minor"/>
      </rPr>
      <t>A488</t>
    </r>
    <r>
      <rPr>
        <b/>
        <sz val="11"/>
        <color theme="1"/>
        <rFont val="Calibri"/>
        <family val="2"/>
        <scheme val="minor"/>
      </rPr>
      <t>-CR</t>
    </r>
    <r>
      <rPr>
        <b/>
        <vertAlign val="subscript"/>
        <sz val="11"/>
        <color theme="1"/>
        <rFont val="Calibri"/>
        <family val="2"/>
        <scheme val="minor"/>
      </rPr>
      <t>BG</t>
    </r>
    <r>
      <rPr>
        <b/>
        <sz val="11"/>
        <color theme="1"/>
        <rFont val="Calibri"/>
        <family val="2"/>
        <scheme val="minor"/>
      </rPr>
      <t xml:space="preserve"> [kHz]</t>
    </r>
  </si>
  <si>
    <t>CR [kHz] A568</t>
  </si>
  <si>
    <r>
      <t>CR</t>
    </r>
    <r>
      <rPr>
        <b/>
        <vertAlign val="subscript"/>
        <sz val="11"/>
        <color theme="1"/>
        <rFont val="Calibri"/>
        <family val="2"/>
        <scheme val="minor"/>
      </rPr>
      <t>A568</t>
    </r>
    <r>
      <rPr>
        <b/>
        <sz val="11"/>
        <color theme="1"/>
        <rFont val="Calibri"/>
        <family val="2"/>
        <scheme val="minor"/>
      </rPr>
      <t>-CR</t>
    </r>
    <r>
      <rPr>
        <b/>
        <vertAlign val="subscript"/>
        <sz val="11"/>
        <color theme="1"/>
        <rFont val="Calibri"/>
        <family val="2"/>
        <scheme val="minor"/>
      </rPr>
      <t>BG</t>
    </r>
    <r>
      <rPr>
        <b/>
        <sz val="11"/>
        <color theme="1"/>
        <rFont val="Calibri"/>
        <family val="2"/>
        <scheme val="minor"/>
      </rPr>
      <t xml:space="preserve"> [kHz]</t>
    </r>
  </si>
  <si>
    <t># Filename</t>
  </si>
  <si>
    <t xml:space="preserve"> Duration [s]</t>
  </si>
  <si>
    <t xml:space="preserve"> CR gs [kHz]</t>
  </si>
  <si>
    <t xml:space="preserve"> CR gp [kHz]</t>
  </si>
  <si>
    <t xml:space="preserve"> CR rs(prompt) [kHz]</t>
  </si>
  <si>
    <t xml:space="preserve"> CR rp (prompt) [kHz] </t>
  </si>
  <si>
    <t xml:space="preserve"> CR rs(delay) [kHz]</t>
  </si>
  <si>
    <t xml:space="preserve"> CR rp (delay) [kHz]</t>
  </si>
  <si>
    <t>\\HC1008\Users\AG Heinze\DATA\FCSSetup\2021\20210223_MF_khm_Cal\a488 2nM_02.ptu</t>
  </si>
  <si>
    <t>\\HC1008\Users\AG Heinze\DATA\FCSSetup\2021\20210223_MF_khm_Cal\a488 2nM_03.ptu</t>
  </si>
  <si>
    <t>\\HC1008\Users\AG Heinze\DATA\FCSSetup\2021\20210223_MF_khm_Cal\a488 2nM_04.ptu</t>
  </si>
  <si>
    <t>\\HC1008\Users\AG Heinze\DATA\FCSSetup\2021\20210223_MF_khm_Cal\a488 2nM_05.ptu</t>
  </si>
  <si>
    <t>\\HC1008\Users\AG Heinze\DATA\FCSSetup\2021\20210223_MF_khm_Cal\a488 2nM_06.ptu</t>
  </si>
  <si>
    <t>\\HC1008\Users\AG Heinze\DATA\FCSSetup\2021\20210223_MF_khm_Cal\a568_2 nM_01.ptu</t>
  </si>
  <si>
    <t>\\HC1008\Users\AG Heinze\DATA\FCSSetup\2021\20210223_MF_khm_Cal\a568_2 nM_02.ptu</t>
  </si>
  <si>
    <t>\\HC1008\Users\AG Heinze\DATA\FCSSetup\2021\20210223_MF_khm_Cal\a568_2 nM_03.ptu</t>
  </si>
  <si>
    <t>\\HC1008\Users\AG Heinze\DATA\FCSSetup\2021\20210223_MF_khm_Cal\a568_2 nM_04.ptu</t>
  </si>
  <si>
    <t>\\HC1008\Users\AG Heinze\DATA\FCSSetup\2021\20210223_MF_khm_Cal\a568_2 nM_05.ptu</t>
  </si>
  <si>
    <t>\\HC1008\Users\AG Heinze\DATA\FCSSetup\2021\20210223_MF_khm_Cal\DD_H2O_01.ptu</t>
  </si>
  <si>
    <t>\\HC1008\Users\AG Heinze\DATA\FCSSetup\2021\20210223_MF_khm_Cal\DD_H2O_02.ptu</t>
  </si>
  <si>
    <t>\\HC1008\Users\AG Heinze\DATA\FCSSetup\2021\20210223_MF_khm_Cal\DNA a488 568 10nM_02.ptu</t>
  </si>
  <si>
    <t>\\HC1008\Users\AG Heinze\DATA\FCSSetup\2021\20210223_MF_khm_Cal\DNA a488 568 10nM_03.ptu</t>
  </si>
  <si>
    <t>\\HC1008\Users\AG Heinze\DATA\FCSSetup\2021\20210223_MF_khm_Cal\DNA a488 568 10nM_04.ptu</t>
  </si>
  <si>
    <t>\\HC1008\Users\AG Heinze\DATA\FCSSetup\2021\20210223_MF_khm_Cal\DNA a488 568 10nM_05.ptu</t>
  </si>
  <si>
    <t>\\HC1008\Users\AG Heinze\DATA\FCSSetup\2021\20210223_MF_khm_Cal\DNA a488 568 10nM_06.ptu</t>
  </si>
  <si>
    <t>\\HC1008\Users\AG Heinze\DATA\FCSSetup\2021\20210223_MF_khm_Cal\EB_01.ptu</t>
  </si>
  <si>
    <t>\\HC1008\Users\AG Heinze\DATA\FCSSetup\2021\20210223_MF_khm_Cal\EB_02.ptu</t>
  </si>
  <si>
    <t>1 prompt</t>
  </si>
  <si>
    <t>3 prompt</t>
  </si>
  <si>
    <t>2 prompt</t>
  </si>
  <si>
    <t>0 prompt</t>
  </si>
  <si>
    <t>ch 0 / s [kHz] ddH2O</t>
  </si>
  <si>
    <t>ch 2 / p [kHz] ddH2O</t>
  </si>
  <si>
    <t>ch 1 / s [kHz] A488</t>
  </si>
  <si>
    <t>ch 3 / p [kHz] A488</t>
  </si>
  <si>
    <t>Countrate red channels</t>
  </si>
  <si>
    <t>ch 1 / s [kHz] ddH2O</t>
  </si>
  <si>
    <t>ch 3 / p [kHz] ddH2O</t>
  </si>
  <si>
    <t>ch 1 / s [kHz] prompt</t>
  </si>
  <si>
    <t>ch 3 / p [kHz] prompt</t>
  </si>
  <si>
    <t>ch 1 / s [kHz] delay</t>
  </si>
  <si>
    <t>ch 3 / p [kHz] delay</t>
  </si>
  <si>
    <t>1 Delay</t>
  </si>
  <si>
    <t>1 Prompt</t>
  </si>
  <si>
    <r>
      <t xml:space="preserve">spectral crosstalk [%] </t>
    </r>
    <r>
      <rPr>
        <b/>
        <sz val="11"/>
        <color theme="1"/>
        <rFont val="Calibri"/>
        <family val="2"/>
      </rPr>
      <t>α</t>
    </r>
  </si>
  <si>
    <r>
      <t xml:space="preserve">Direct excitation of A568 by </t>
    </r>
    <r>
      <rPr>
        <b/>
        <sz val="14"/>
        <rFont val="Calibri"/>
        <family val="2"/>
        <scheme val="minor"/>
      </rPr>
      <t>488-laser line</t>
    </r>
  </si>
  <si>
    <r>
      <t xml:space="preserve">direct excitation [%] </t>
    </r>
    <r>
      <rPr>
        <b/>
        <sz val="11"/>
        <color theme="1"/>
        <rFont val="Symbol"/>
        <family val="1"/>
        <charset val="2"/>
      </rPr>
      <t>g</t>
    </r>
  </si>
  <si>
    <t>based on green /red</t>
  </si>
  <si>
    <t>c [nM]</t>
  </si>
  <si>
    <t>Green</t>
  </si>
  <si>
    <t>Red</t>
  </si>
  <si>
    <t>D [µm²/s]</t>
  </si>
  <si>
    <t>td [µs]*</t>
  </si>
  <si>
    <t>*global fitting</t>
  </si>
  <si>
    <t>G(t,CC)</t>
  </si>
  <si>
    <t>Green - Red Crosscorrelation</t>
  </si>
  <si>
    <t>Average diffusion coefficient D [µm²/s]:</t>
  </si>
  <si>
    <t>Effective overlapping confocal volume</t>
  </si>
  <si>
    <t>cRG [nM] (g)</t>
  </si>
  <si>
    <t>cRG [nM] (r)</t>
  </si>
  <si>
    <t>AVG cRG [nM]</t>
  </si>
  <si>
    <t>Napp</t>
  </si>
  <si>
    <r>
      <t>G</t>
    </r>
    <r>
      <rPr>
        <b/>
        <vertAlign val="subscript"/>
        <sz val="11"/>
        <color rgb="FF660066"/>
        <rFont val="Calibri"/>
        <family val="2"/>
        <scheme val="minor"/>
      </rPr>
      <t>0,CCF</t>
    </r>
    <r>
      <rPr>
        <b/>
        <sz val="11"/>
        <color rgb="FF660066"/>
        <rFont val="Calibri"/>
        <family val="2"/>
        <scheme val="minor"/>
      </rPr>
      <t>/G</t>
    </r>
    <r>
      <rPr>
        <b/>
        <vertAlign val="subscript"/>
        <sz val="11"/>
        <color rgb="FF660066"/>
        <rFont val="Calibri"/>
        <family val="2"/>
        <scheme val="minor"/>
      </rPr>
      <t>0ACFred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</si>
  <si>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0,CCF</t>
    </r>
    <r>
      <rPr>
        <b/>
        <sz val="11"/>
        <color rgb="FF006100"/>
        <rFont val="Calibri"/>
        <family val="2"/>
        <scheme val="minor"/>
      </rPr>
      <t>/G</t>
    </r>
    <r>
      <rPr>
        <b/>
        <vertAlign val="subscript"/>
        <sz val="11"/>
        <color rgb="FF006100"/>
        <rFont val="Calibri"/>
        <family val="2"/>
        <scheme val="minor"/>
      </rPr>
      <t>0ACFgreen</t>
    </r>
  </si>
  <si>
    <r>
      <t>w0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</si>
</sst>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660066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66006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660066"/>
      <name val="Calibri"/>
      <family val="2"/>
      <scheme val="minor"/>
    </font>
    <font>
      <b/>
      <vertAlign val="subscript"/>
      <sz val="11"/>
      <color rgb="FF660066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14" fillId="6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4" borderId="1" xfId="3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3" borderId="1" xfId="2" applyAlignment="1">
      <alignment horizontal="center"/>
    </xf>
    <xf numFmtId="0" fontId="5" fillId="4" borderId="1" xfId="3" applyAlignment="1">
      <alignment horizontal="center"/>
    </xf>
    <xf numFmtId="164" fontId="5" fillId="4" borderId="1" xfId="3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2" borderId="3" xfId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4" fillId="3" borderId="1" xfId="2" applyNumberFormat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  <xf numFmtId="0" fontId="6" fillId="0" borderId="0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2" xfId="0" applyBorder="1"/>
    <xf numFmtId="0" fontId="15" fillId="0" borderId="1" xfId="2" applyFont="1" applyFill="1" applyAlignment="1">
      <alignment horizontal="center"/>
    </xf>
    <xf numFmtId="0" fontId="16" fillId="2" borderId="2" xfId="1" applyFont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6" fillId="2" borderId="2" xfId="1" applyFont="1" applyBorder="1"/>
    <xf numFmtId="0" fontId="17" fillId="5" borderId="2" xfId="0" applyFont="1" applyFill="1" applyBorder="1"/>
    <xf numFmtId="0" fontId="6" fillId="0" borderId="0" xfId="0" applyFont="1" applyAlignment="1">
      <alignment horizontal="center"/>
    </xf>
    <xf numFmtId="0" fontId="5" fillId="4" borderId="1" xfId="3" applyAlignment="1">
      <alignment horizontal="center" vertical="center"/>
    </xf>
    <xf numFmtId="0" fontId="7" fillId="2" borderId="0" xfId="1" applyFont="1" applyAlignment="1">
      <alignment horizontal="center"/>
    </xf>
    <xf numFmtId="0" fontId="8" fillId="5" borderId="12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/>
    </xf>
    <xf numFmtId="0" fontId="7" fillId="2" borderId="12" xfId="1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5" fillId="4" borderId="1" xfId="3" applyAlignment="1">
      <alignment horizontal="center"/>
    </xf>
    <xf numFmtId="0" fontId="21" fillId="7" borderId="12" xfId="4" applyFont="1" applyFill="1" applyBorder="1" applyAlignment="1">
      <alignment horizontal="center"/>
    </xf>
    <xf numFmtId="0" fontId="21" fillId="7" borderId="0" xfId="4" applyFont="1" applyFill="1" applyAlignment="1">
      <alignment horizontal="center"/>
    </xf>
  </cellXfs>
  <cellStyles count="5">
    <cellStyle name="Calculation" xfId="3" builtinId="22"/>
    <cellStyle name="Good" xfId="1" builtinId="26"/>
    <cellStyle name="Input" xfId="2" builtinId="20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660066"/>
      <color rgb="FFFF99FF"/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21</xdr:row>
      <xdr:rowOff>57150</xdr:rowOff>
    </xdr:from>
    <xdr:ext cx="1610954" cy="365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7705725" y="4191000"/>
              <a:ext cx="1610954" cy="36586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𝐶𝐶𝐹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𝐴𝐶𝐹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𝑔𝑟𝑒𝑒𝑛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𝑔𝑟𝑒𝑒𝑛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7705725" y="4191000"/>
              <a:ext cx="1610954" cy="36586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𝑐_𝑅𝐺=𝐺_(0,𝐶𝐶𝐹)/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𝐺_(0,𝐴𝐶𝐹,𝑔𝑟𝑒𝑒𝑛) </a:t>
              </a:r>
              <a:r>
                <a:rPr lang="en-US" sz="1100" b="0" i="0">
                  <a:latin typeface="Cambria Math" panose="02040503050406030204" pitchFamily="18" charset="0"/>
                </a:rPr>
                <a:t>∗𝑐_𝑔𝑟𝑒𝑒𝑛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228600</xdr:colOff>
      <xdr:row>21</xdr:row>
      <xdr:rowOff>57150</xdr:rowOff>
    </xdr:from>
    <xdr:ext cx="134562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9591675" y="4191000"/>
              <a:ext cx="1345625" cy="359522"/>
            </a:xfrm>
            <a:prstGeom prst="rect">
              <a:avLst/>
            </a:prstGeom>
            <a:solidFill>
              <a:srgbClr val="FF99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𝐶𝐶𝐹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𝐴𝐶𝐹𝑟𝑒𝑑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9591675" y="4191000"/>
              <a:ext cx="1345625" cy="359522"/>
            </a:xfrm>
            <a:prstGeom prst="rect">
              <a:avLst/>
            </a:prstGeom>
            <a:solidFill>
              <a:srgbClr val="FF99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𝑐_𝑅𝐺=𝐺_(0,𝐶𝐶𝐹)/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𝐺_(0,𝐴𝐶𝐹𝑟𝑒𝑑) </a:t>
              </a:r>
              <a:r>
                <a:rPr lang="en-US" sz="1100" b="0" i="0">
                  <a:latin typeface="Cambria Math" panose="02040503050406030204" pitchFamily="18" charset="0"/>
                </a:rPr>
                <a:t>∗𝑐_𝑟𝑒𝑑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20"/>
  <sheetViews>
    <sheetView tabSelected="1" zoomScale="80" zoomScaleNormal="80" workbookViewId="0">
      <selection activeCell="G50" sqref="G50"/>
    </sheetView>
  </sheetViews>
  <sheetFormatPr defaultColWidth="11.42578125" defaultRowHeight="15" x14ac:dyDescent="0.25"/>
  <cols>
    <col min="1" max="1" width="92.42578125" bestFit="1" customWidth="1"/>
    <col min="2" max="2" width="13.42578125" style="23" bestFit="1" customWidth="1"/>
    <col min="3" max="4" width="11.42578125" style="23"/>
    <col min="5" max="5" width="18.85546875" style="23" bestFit="1" customWidth="1"/>
    <col min="6" max="6" width="20" style="23" bestFit="1" customWidth="1"/>
    <col min="7" max="7" width="17.140625" style="23" bestFit="1" customWidth="1"/>
    <col min="8" max="8" width="17.85546875" style="23" bestFit="1" customWidth="1"/>
  </cols>
  <sheetData>
    <row r="1" spans="1:8" ht="15.75" thickBot="1" x14ac:dyDescent="0.3">
      <c r="A1" t="s">
        <v>45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</row>
    <row r="2" spans="1:8" x14ac:dyDescent="0.25">
      <c r="A2" s="24" t="s">
        <v>53</v>
      </c>
      <c r="B2" s="25">
        <v>300</v>
      </c>
      <c r="C2" s="25">
        <v>5.2703599999999904</v>
      </c>
      <c r="D2" s="25">
        <v>5.3821300000000001</v>
      </c>
      <c r="E2" s="25">
        <v>1.24955333333333</v>
      </c>
      <c r="F2" s="25">
        <v>1.56829666666666</v>
      </c>
      <c r="G2" s="25">
        <v>0.414723333333333</v>
      </c>
      <c r="H2" s="26">
        <v>0.71959333333333297</v>
      </c>
    </row>
    <row r="3" spans="1:8" x14ac:dyDescent="0.25">
      <c r="A3" s="27" t="s">
        <v>54</v>
      </c>
      <c r="B3" s="28">
        <v>300</v>
      </c>
      <c r="C3" s="28">
        <v>5.2573100000000004</v>
      </c>
      <c r="D3" s="28">
        <v>5.3419366666666601</v>
      </c>
      <c r="E3" s="28">
        <v>1.23436666666666</v>
      </c>
      <c r="F3" s="28">
        <v>1.5392733333333299</v>
      </c>
      <c r="G3" s="28">
        <v>0.41161666666666602</v>
      </c>
      <c r="H3" s="29">
        <v>0.71651666666666602</v>
      </c>
    </row>
    <row r="4" spans="1:8" x14ac:dyDescent="0.25">
      <c r="A4" s="27" t="s">
        <v>55</v>
      </c>
      <c r="B4" s="28">
        <v>300</v>
      </c>
      <c r="C4" s="28">
        <v>5.2988</v>
      </c>
      <c r="D4" s="28">
        <v>5.3638633333333301</v>
      </c>
      <c r="E4" s="28">
        <v>1.20021</v>
      </c>
      <c r="F4" s="28">
        <v>1.5215999999999901</v>
      </c>
      <c r="G4" s="28">
        <v>0.38131666666666603</v>
      </c>
      <c r="H4" s="29">
        <v>0.70791666666666597</v>
      </c>
    </row>
    <row r="5" spans="1:8" x14ac:dyDescent="0.25">
      <c r="A5" s="27" t="s">
        <v>56</v>
      </c>
      <c r="B5" s="28">
        <v>300</v>
      </c>
      <c r="C5" s="28">
        <v>5.3014066666666597</v>
      </c>
      <c r="D5" s="28">
        <v>5.3851399999999998</v>
      </c>
      <c r="E5" s="28">
        <v>1.22016666666666</v>
      </c>
      <c r="F5" s="28">
        <v>1.5166299999999999</v>
      </c>
      <c r="G5" s="28">
        <v>0.40204000000000001</v>
      </c>
      <c r="H5" s="29">
        <v>0.71090666666666602</v>
      </c>
    </row>
    <row r="6" spans="1:8" ht="15.75" thickBot="1" x14ac:dyDescent="0.3">
      <c r="A6" s="30" t="s">
        <v>57</v>
      </c>
      <c r="B6" s="31">
        <v>300</v>
      </c>
      <c r="C6" s="31">
        <v>5.3496133333333296</v>
      </c>
      <c r="D6" s="31">
        <v>5.4311333333333298</v>
      </c>
      <c r="E6" s="31">
        <v>1.2308366666666599</v>
      </c>
      <c r="F6" s="31">
        <v>1.52569666666666</v>
      </c>
      <c r="G6" s="31">
        <v>0.412333333333333</v>
      </c>
      <c r="H6" s="32">
        <v>0.70913000000000004</v>
      </c>
    </row>
    <row r="7" spans="1:8" x14ac:dyDescent="0.25">
      <c r="A7" s="24" t="s">
        <v>58</v>
      </c>
      <c r="B7" s="25">
        <v>300</v>
      </c>
      <c r="C7" s="25">
        <v>0.32928333333333298</v>
      </c>
      <c r="D7" s="25">
        <v>0.447413333333333</v>
      </c>
      <c r="E7" s="25">
        <v>2.0057499999999999</v>
      </c>
      <c r="F7" s="25">
        <v>2.46440666666666</v>
      </c>
      <c r="G7" s="25">
        <v>4.55108333333333</v>
      </c>
      <c r="H7" s="26">
        <v>5.1135599999999997</v>
      </c>
    </row>
    <row r="8" spans="1:8" x14ac:dyDescent="0.25">
      <c r="A8" s="27" t="s">
        <v>59</v>
      </c>
      <c r="B8" s="28">
        <v>300</v>
      </c>
      <c r="C8" s="28">
        <v>0.32210333333333302</v>
      </c>
      <c r="D8" s="28">
        <v>0.45195999999999997</v>
      </c>
      <c r="E8" s="28">
        <v>1.9517566666666599</v>
      </c>
      <c r="F8" s="28">
        <v>2.4125433333333302</v>
      </c>
      <c r="G8" s="28">
        <v>4.4315833333333297</v>
      </c>
      <c r="H8" s="29">
        <v>4.9991199999999996</v>
      </c>
    </row>
    <row r="9" spans="1:8" x14ac:dyDescent="0.25">
      <c r="A9" s="27" t="s">
        <v>60</v>
      </c>
      <c r="B9" s="28">
        <v>300</v>
      </c>
      <c r="C9" s="28">
        <v>0.31437999999999999</v>
      </c>
      <c r="D9" s="28">
        <v>0.40947</v>
      </c>
      <c r="E9" s="28">
        <v>1.8769800000000001</v>
      </c>
      <c r="F9" s="28">
        <v>2.3503400000000001</v>
      </c>
      <c r="G9" s="28">
        <v>4.2549566666666596</v>
      </c>
      <c r="H9" s="29">
        <v>4.8288233333333297</v>
      </c>
    </row>
    <row r="10" spans="1:8" x14ac:dyDescent="0.25">
      <c r="A10" s="27" t="s">
        <v>61</v>
      </c>
      <c r="B10" s="28">
        <v>300</v>
      </c>
      <c r="C10" s="28">
        <v>0.30747333333333299</v>
      </c>
      <c r="D10" s="28">
        <v>0.40408999999999901</v>
      </c>
      <c r="E10" s="28">
        <v>1.8491833333333301</v>
      </c>
      <c r="F10" s="28">
        <v>2.32567999999999</v>
      </c>
      <c r="G10" s="28">
        <v>4.17543666666666</v>
      </c>
      <c r="H10" s="29">
        <v>4.7423933333333297</v>
      </c>
    </row>
    <row r="11" spans="1:8" ht="15.75" thickBot="1" x14ac:dyDescent="0.3">
      <c r="A11" s="30" t="s">
        <v>62</v>
      </c>
      <c r="B11" s="31">
        <v>300</v>
      </c>
      <c r="C11" s="31">
        <v>0.30568333333333297</v>
      </c>
      <c r="D11" s="31">
        <v>0.40377333333333298</v>
      </c>
      <c r="E11" s="31">
        <v>1.8278033333333299</v>
      </c>
      <c r="F11" s="31">
        <v>2.2928899999999999</v>
      </c>
      <c r="G11" s="31">
        <v>4.0996899999999998</v>
      </c>
      <c r="H11" s="32">
        <v>4.6598100000000002</v>
      </c>
    </row>
    <row r="12" spans="1:8" x14ac:dyDescent="0.25">
      <c r="A12" s="24" t="s">
        <v>63</v>
      </c>
      <c r="B12" s="25">
        <v>300</v>
      </c>
      <c r="C12" s="25">
        <v>0.125643333333333</v>
      </c>
      <c r="D12" s="25">
        <v>0.232226666666666</v>
      </c>
      <c r="E12" s="25">
        <v>0.47086333333333302</v>
      </c>
      <c r="F12" s="25">
        <v>0.79042333333333303</v>
      </c>
      <c r="G12" s="25">
        <v>0.38986333333333301</v>
      </c>
      <c r="H12" s="26">
        <v>0.69064000000000003</v>
      </c>
    </row>
    <row r="13" spans="1:8" ht="15.75" thickBot="1" x14ac:dyDescent="0.3">
      <c r="A13" s="30" t="s">
        <v>64</v>
      </c>
      <c r="B13" s="31">
        <v>300</v>
      </c>
      <c r="C13" s="31">
        <v>0.12617666666666599</v>
      </c>
      <c r="D13" s="31">
        <v>0.22989333333333301</v>
      </c>
      <c r="E13" s="31">
        <v>0.44039</v>
      </c>
      <c r="F13" s="31">
        <v>0.78901666666666603</v>
      </c>
      <c r="G13" s="31">
        <v>0.359053333333333</v>
      </c>
      <c r="H13" s="32">
        <v>0.68702999999999903</v>
      </c>
    </row>
    <row r="14" spans="1:8" x14ac:dyDescent="0.25">
      <c r="A14" s="24" t="s">
        <v>65</v>
      </c>
      <c r="B14" s="25">
        <v>300</v>
      </c>
      <c r="C14" s="25">
        <v>34.102843333333297</v>
      </c>
      <c r="D14" s="25">
        <v>35.589460000000003</v>
      </c>
      <c r="E14" s="25">
        <v>7.4545133333333302</v>
      </c>
      <c r="F14" s="25">
        <v>8.7894566666666591</v>
      </c>
      <c r="G14" s="25">
        <v>6.0479833333333302</v>
      </c>
      <c r="H14" s="26">
        <v>9.6040266666666607</v>
      </c>
    </row>
    <row r="15" spans="1:8" x14ac:dyDescent="0.25">
      <c r="A15" s="27" t="s">
        <v>66</v>
      </c>
      <c r="B15" s="28">
        <v>300</v>
      </c>
      <c r="C15" s="28">
        <v>41.577860000000001</v>
      </c>
      <c r="D15" s="28">
        <v>43.282463333333297</v>
      </c>
      <c r="E15" s="28">
        <v>8.9822166666666607</v>
      </c>
      <c r="F15" s="28">
        <v>10.523009999999999</v>
      </c>
      <c r="G15" s="28">
        <v>7.4089133333333299</v>
      </c>
      <c r="H15" s="29">
        <v>11.636856666666599</v>
      </c>
    </row>
    <row r="16" spans="1:8" x14ac:dyDescent="0.25">
      <c r="A16" s="27" t="s">
        <v>67</v>
      </c>
      <c r="B16" s="28">
        <v>300</v>
      </c>
      <c r="C16" s="28">
        <v>47.126746666666598</v>
      </c>
      <c r="D16" s="28">
        <v>48.969449999999902</v>
      </c>
      <c r="E16" s="28">
        <v>10.124473333333301</v>
      </c>
      <c r="F16" s="28">
        <v>11.783196666666599</v>
      </c>
      <c r="G16" s="28">
        <v>8.4291233333333295</v>
      </c>
      <c r="H16" s="29">
        <v>13.1260066666666</v>
      </c>
    </row>
    <row r="17" spans="1:8" x14ac:dyDescent="0.25">
      <c r="A17" s="27" t="s">
        <v>68</v>
      </c>
      <c r="B17" s="28">
        <v>300</v>
      </c>
      <c r="C17" s="28">
        <v>50.99577</v>
      </c>
      <c r="D17" s="28">
        <v>52.984549999999999</v>
      </c>
      <c r="E17" s="28">
        <v>10.90573</v>
      </c>
      <c r="F17" s="28">
        <v>12.672143333333301</v>
      </c>
      <c r="G17" s="28">
        <v>9.1509499999999999</v>
      </c>
      <c r="H17" s="29">
        <v>14.228116666666599</v>
      </c>
    </row>
    <row r="18" spans="1:8" ht="15.75" thickBot="1" x14ac:dyDescent="0.3">
      <c r="A18" s="30" t="s">
        <v>69</v>
      </c>
      <c r="B18" s="31">
        <v>300</v>
      </c>
      <c r="C18" s="31">
        <v>50.652223333333303</v>
      </c>
      <c r="D18" s="31">
        <v>52.602886666666599</v>
      </c>
      <c r="E18" s="31">
        <v>10.851240000000001</v>
      </c>
      <c r="F18" s="31">
        <v>12.598706666666599</v>
      </c>
      <c r="G18" s="31">
        <v>9.1582699999999999</v>
      </c>
      <c r="H18" s="32">
        <v>14.1862433333333</v>
      </c>
    </row>
    <row r="19" spans="1:8" x14ac:dyDescent="0.25">
      <c r="A19" s="24" t="s">
        <v>70</v>
      </c>
      <c r="B19" s="25">
        <v>60</v>
      </c>
      <c r="C19" s="25">
        <v>14.506</v>
      </c>
      <c r="D19" s="25">
        <v>22.546766666666599</v>
      </c>
      <c r="E19" s="25">
        <v>12.4803833333333</v>
      </c>
      <c r="F19" s="25">
        <v>19.768549999999902</v>
      </c>
      <c r="G19" s="25">
        <v>0.58046666666666602</v>
      </c>
      <c r="H19" s="26">
        <v>1.0987833333333299</v>
      </c>
    </row>
    <row r="20" spans="1:8" ht="15.75" thickBot="1" x14ac:dyDescent="0.3">
      <c r="A20" s="30" t="s">
        <v>71</v>
      </c>
      <c r="B20" s="31">
        <v>60</v>
      </c>
      <c r="C20" s="31">
        <v>14.5588</v>
      </c>
      <c r="D20" s="31">
        <v>22.571583333333301</v>
      </c>
      <c r="E20" s="31">
        <v>12.5263666666666</v>
      </c>
      <c r="F20" s="31">
        <v>19.812566666666601</v>
      </c>
      <c r="G20" s="31">
        <v>0.58361666666666601</v>
      </c>
      <c r="H20" s="32">
        <v>1.08995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32"/>
  <sheetViews>
    <sheetView workbookViewId="0">
      <selection activeCell="F39" sqref="F39"/>
    </sheetView>
  </sheetViews>
  <sheetFormatPr defaultColWidth="11.42578125" defaultRowHeight="15" x14ac:dyDescent="0.25"/>
  <cols>
    <col min="2" max="2" width="11.42578125" style="3"/>
    <col min="3" max="3" width="12" style="3" bestFit="1" customWidth="1"/>
    <col min="4" max="4" width="12.5703125" style="3" bestFit="1" customWidth="1"/>
    <col min="5" max="5" width="11.42578125" style="3"/>
    <col min="6" max="6" width="12" style="3" bestFit="1" customWidth="1"/>
    <col min="7" max="8" width="11.42578125" style="3"/>
    <col min="9" max="9" width="18.5703125" style="3" bestFit="1" customWidth="1"/>
    <col min="10" max="10" width="18.85546875" style="3" bestFit="1" customWidth="1"/>
    <col min="11" max="11" width="16.140625" style="3" bestFit="1" customWidth="1"/>
    <col min="12" max="12" width="17.140625" style="3" bestFit="1" customWidth="1"/>
    <col min="13" max="13" width="24.7109375" style="3" bestFit="1" customWidth="1"/>
    <col min="14" max="15" width="11.42578125" style="3"/>
  </cols>
  <sheetData>
    <row r="2" spans="2:13" ht="18.75" x14ac:dyDescent="0.3">
      <c r="B2" s="43" t="s">
        <v>28</v>
      </c>
      <c r="C2" s="43"/>
      <c r="D2" s="43"/>
      <c r="E2" s="43"/>
      <c r="F2" s="43"/>
      <c r="H2" s="43" t="s">
        <v>25</v>
      </c>
      <c r="I2" s="43"/>
      <c r="J2" s="43"/>
      <c r="K2" s="43"/>
      <c r="L2" s="43"/>
      <c r="M2" s="43"/>
    </row>
    <row r="3" spans="2:13" x14ac:dyDescent="0.25">
      <c r="B3" s="45" t="s">
        <v>0</v>
      </c>
      <c r="C3" s="12">
        <v>414</v>
      </c>
      <c r="D3" s="12" t="s">
        <v>5</v>
      </c>
      <c r="E3" s="41" t="s">
        <v>30</v>
      </c>
      <c r="F3" s="41"/>
      <c r="I3" s="10" t="s">
        <v>34</v>
      </c>
      <c r="J3" s="10" t="s">
        <v>35</v>
      </c>
      <c r="K3" s="10" t="s">
        <v>31</v>
      </c>
      <c r="L3" s="10" t="s">
        <v>17</v>
      </c>
      <c r="M3" s="10" t="s">
        <v>33</v>
      </c>
    </row>
    <row r="4" spans="2:13" x14ac:dyDescent="0.25">
      <c r="B4" s="45"/>
      <c r="C4" s="3">
        <f>C3*0.000000000001</f>
        <v>4.1399999999999997E-10</v>
      </c>
      <c r="D4" s="3" t="s">
        <v>6</v>
      </c>
      <c r="H4" s="4">
        <v>2</v>
      </c>
      <c r="I4" s="5">
        <v>5.2703599999999904</v>
      </c>
      <c r="J4" s="5">
        <v>5.3821300000000001</v>
      </c>
      <c r="K4" s="5">
        <f>SUM(I4:J4)</f>
        <v>10.65248999999999</v>
      </c>
      <c r="L4" s="20">
        <v>0.76600000000000001</v>
      </c>
      <c r="M4" s="5">
        <f>(K4-K15)/L4</f>
        <v>12.275374238468224</v>
      </c>
    </row>
    <row r="5" spans="2:13" x14ac:dyDescent="0.25">
      <c r="B5" s="45" t="s">
        <v>1</v>
      </c>
      <c r="C5" s="12">
        <v>85.7</v>
      </c>
      <c r="D5" s="12" t="s">
        <v>7</v>
      </c>
      <c r="E5" s="41" t="s">
        <v>36</v>
      </c>
      <c r="F5" s="41"/>
      <c r="H5" s="4">
        <v>3</v>
      </c>
      <c r="I5" s="5">
        <v>5.2573100000000004</v>
      </c>
      <c r="J5" s="5">
        <v>5.3419366666666601</v>
      </c>
      <c r="K5" s="5">
        <f t="shared" ref="K5:K8" si="0">SUM(I5:J5)</f>
        <v>10.59924666666666</v>
      </c>
      <c r="L5" s="20">
        <v>0.753</v>
      </c>
      <c r="M5" s="5">
        <f t="shared" ref="M5:M8" si="1">(K5-K16)/L5</f>
        <v>12.436759628154052</v>
      </c>
    </row>
    <row r="6" spans="2:13" x14ac:dyDescent="0.25">
      <c r="B6" s="45"/>
      <c r="C6" s="3">
        <f>C5*0.000001</f>
        <v>8.5699999999999996E-5</v>
      </c>
      <c r="D6" s="3" t="s">
        <v>2</v>
      </c>
      <c r="H6" s="4">
        <v>4</v>
      </c>
      <c r="I6" s="5">
        <v>5.2988</v>
      </c>
      <c r="J6" s="5">
        <v>5.3638633333333301</v>
      </c>
      <c r="K6" s="5">
        <f t="shared" si="0"/>
        <v>10.662663333333331</v>
      </c>
      <c r="L6" s="20">
        <v>0.75700000000000001</v>
      </c>
      <c r="M6" s="5">
        <f t="shared" si="1"/>
        <v>12.499938353148389</v>
      </c>
    </row>
    <row r="7" spans="2:13" x14ac:dyDescent="0.25">
      <c r="B7" s="8" t="s">
        <v>2</v>
      </c>
      <c r="C7" s="12">
        <v>5.84</v>
      </c>
      <c r="D7" s="12"/>
      <c r="E7" s="41" t="s">
        <v>36</v>
      </c>
      <c r="F7" s="41"/>
      <c r="H7" s="4">
        <v>5</v>
      </c>
      <c r="I7" s="5">
        <v>5.3014066666666597</v>
      </c>
      <c r="J7" s="5">
        <v>5.3851399999999998</v>
      </c>
      <c r="K7" s="5">
        <f t="shared" si="0"/>
        <v>10.68654666666666</v>
      </c>
      <c r="L7" s="20">
        <v>0.748</v>
      </c>
      <c r="M7" s="5">
        <f t="shared" si="1"/>
        <v>12.655588235294116</v>
      </c>
    </row>
    <row r="8" spans="2:13" x14ac:dyDescent="0.25">
      <c r="B8" s="8"/>
      <c r="H8" s="4">
        <v>6</v>
      </c>
      <c r="I8" s="5">
        <v>5.3496133333333296</v>
      </c>
      <c r="J8" s="5">
        <v>5.4311333333333298</v>
      </c>
      <c r="K8" s="5">
        <f t="shared" si="0"/>
        <v>10.780746666666658</v>
      </c>
      <c r="L8" s="20">
        <v>0.75600000000000001</v>
      </c>
      <c r="M8" s="5">
        <f t="shared" si="1"/>
        <v>12.632156084656083</v>
      </c>
    </row>
    <row r="9" spans="2:13" ht="17.25" x14ac:dyDescent="0.25">
      <c r="B9" s="8" t="s">
        <v>109</v>
      </c>
      <c r="C9" s="3">
        <f>4*C6*C4</f>
        <v>1.4191919999999998E-13</v>
      </c>
    </row>
    <row r="10" spans="2:13" x14ac:dyDescent="0.25">
      <c r="B10" s="42" t="s">
        <v>3</v>
      </c>
      <c r="C10" s="3">
        <f>SQRT(C9)</f>
        <v>3.7672164790465649E-7</v>
      </c>
      <c r="D10" s="3" t="s">
        <v>8</v>
      </c>
      <c r="H10" s="13" t="s">
        <v>26</v>
      </c>
      <c r="I10" s="6">
        <f>AVERAGE(I5:I8)</f>
        <v>5.3017824999999972</v>
      </c>
      <c r="J10" s="6">
        <f>AVERAGE(J5:J8)</f>
        <v>5.3805183333333293</v>
      </c>
      <c r="K10" s="6">
        <f>AVERAGE(K4:K8)</f>
        <v>10.676338666666661</v>
      </c>
      <c r="L10" s="6">
        <f t="shared" ref="L10" si="2">AVERAGE(L4:L8)</f>
        <v>0.75600000000000001</v>
      </c>
      <c r="M10" s="6">
        <f>AVERAGE(M4:M8)</f>
        <v>12.499963307944173</v>
      </c>
    </row>
    <row r="11" spans="2:13" x14ac:dyDescent="0.25">
      <c r="B11" s="42"/>
      <c r="C11" s="14">
        <f>C10*1000000</f>
        <v>0.37672164790465651</v>
      </c>
      <c r="D11" s="13" t="s">
        <v>9</v>
      </c>
      <c r="H11" s="13" t="s">
        <v>27</v>
      </c>
      <c r="I11" s="6">
        <f>_xlfn.STDEV.P(I5:I8)</f>
        <v>3.2690321314401173E-2</v>
      </c>
      <c r="J11" s="6">
        <f>_xlfn.STDEV.P(J5:J8)</f>
        <v>3.2974126431020927E-2</v>
      </c>
      <c r="K11" s="6">
        <f>_xlfn.STDEV.P(K4:K8)</f>
        <v>5.9504930611765636E-2</v>
      </c>
      <c r="L11" s="6">
        <f>_xlfn.STDEV.P(L4:L8)</f>
        <v>5.8991524815010556E-3</v>
      </c>
      <c r="M11" s="6">
        <f>_xlfn.STDEV.P(M4:M8)</f>
        <v>0.13865713405180907</v>
      </c>
    </row>
    <row r="12" spans="2:13" x14ac:dyDescent="0.25">
      <c r="B12" s="42" t="s">
        <v>4</v>
      </c>
      <c r="C12" s="3">
        <f>C7*C10</f>
        <v>2.2000544237631939E-6</v>
      </c>
      <c r="D12" s="3" t="s">
        <v>8</v>
      </c>
    </row>
    <row r="13" spans="2:13" ht="18.75" x14ac:dyDescent="0.3">
      <c r="B13" s="42"/>
      <c r="C13" s="14">
        <f>C11*C7</f>
        <v>2.200054423763194</v>
      </c>
      <c r="D13" s="13" t="s">
        <v>9</v>
      </c>
      <c r="H13" s="43" t="s">
        <v>29</v>
      </c>
      <c r="I13" s="43"/>
      <c r="J13" s="43"/>
      <c r="K13" s="44" t="s">
        <v>80</v>
      </c>
      <c r="L13" s="44"/>
    </row>
    <row r="14" spans="2:13" x14ac:dyDescent="0.25">
      <c r="B14" s="8"/>
      <c r="C14" s="15"/>
      <c r="H14" s="11"/>
      <c r="I14" s="10" t="s">
        <v>76</v>
      </c>
      <c r="J14" s="10" t="s">
        <v>77</v>
      </c>
      <c r="K14" s="10" t="s">
        <v>78</v>
      </c>
      <c r="L14" s="10" t="s">
        <v>79</v>
      </c>
    </row>
    <row r="15" spans="2:13" ht="15" customHeight="1" x14ac:dyDescent="0.25">
      <c r="B15" s="8" t="s">
        <v>13</v>
      </c>
      <c r="C15" s="3">
        <f>PI()^(3/2)</f>
        <v>5.5683279968317088</v>
      </c>
      <c r="H15" s="4">
        <v>1</v>
      </c>
      <c r="I15" s="5">
        <v>0.125643333333333</v>
      </c>
      <c r="J15" s="5">
        <v>0.232226666666666</v>
      </c>
      <c r="K15" s="5">
        <v>1.24955333333333</v>
      </c>
      <c r="L15" s="5">
        <v>1.56829666666666</v>
      </c>
    </row>
    <row r="16" spans="2:13" x14ac:dyDescent="0.25">
      <c r="B16" s="42" t="s">
        <v>10</v>
      </c>
      <c r="C16" s="3">
        <f>(PI()^(3/2))*C12*C10*C10</f>
        <v>1.7385988487488485E-18</v>
      </c>
      <c r="D16" s="3" t="s">
        <v>14</v>
      </c>
      <c r="H16" s="4">
        <v>2</v>
      </c>
      <c r="I16" s="5">
        <v>0.12617666666666599</v>
      </c>
      <c r="J16" s="5">
        <v>0.22989333333333301</v>
      </c>
      <c r="K16" s="5">
        <v>1.23436666666666</v>
      </c>
      <c r="L16" s="5">
        <v>1.5392733333333299</v>
      </c>
    </row>
    <row r="17" spans="2:13" x14ac:dyDescent="0.25">
      <c r="B17" s="42"/>
      <c r="C17" s="14">
        <f>C16/0.000000000000001*1000</f>
        <v>1.7385988487488484</v>
      </c>
      <c r="D17" s="13" t="s">
        <v>11</v>
      </c>
      <c r="E17" s="3" t="s">
        <v>12</v>
      </c>
      <c r="H17" s="4">
        <v>3</v>
      </c>
      <c r="I17" s="5"/>
      <c r="J17" s="5"/>
      <c r="K17" s="5">
        <v>1.20021</v>
      </c>
      <c r="L17" s="5">
        <v>1.5215999999999901</v>
      </c>
    </row>
    <row r="18" spans="2:13" x14ac:dyDescent="0.25">
      <c r="B18" s="9"/>
      <c r="E18" s="3" t="s">
        <v>15</v>
      </c>
      <c r="H18" s="4">
        <v>4</v>
      </c>
      <c r="I18" s="5"/>
      <c r="J18" s="5"/>
      <c r="K18" s="5">
        <v>1.22016666666666</v>
      </c>
      <c r="L18" s="5">
        <v>1.5166299999999999</v>
      </c>
    </row>
    <row r="19" spans="2:13" x14ac:dyDescent="0.25">
      <c r="B19" s="9"/>
      <c r="H19" s="4">
        <v>5</v>
      </c>
      <c r="I19" s="5"/>
      <c r="J19" s="5"/>
      <c r="K19" s="5">
        <v>1.2308366666666599</v>
      </c>
      <c r="L19" s="5">
        <v>1.52569666666666</v>
      </c>
    </row>
    <row r="20" spans="2:13" x14ac:dyDescent="0.25">
      <c r="B20" s="8" t="s">
        <v>18</v>
      </c>
      <c r="C20" s="16">
        <v>6.0220000000000003E+23</v>
      </c>
      <c r="I20" s="1"/>
      <c r="J20" s="1"/>
      <c r="K20" s="1"/>
    </row>
    <row r="21" spans="2:13" x14ac:dyDescent="0.25">
      <c r="H21" s="13" t="s">
        <v>26</v>
      </c>
      <c r="I21" s="6">
        <f>AVERAGE(I15:I19)</f>
        <v>0.12590999999999949</v>
      </c>
      <c r="J21" s="6">
        <f>AVERAGE(J15:J19)</f>
        <v>0.23105999999999949</v>
      </c>
      <c r="K21" s="6">
        <f t="shared" ref="K21:L21" si="3">AVERAGE(K15:K19)</f>
        <v>1.2270266666666618</v>
      </c>
      <c r="L21" s="6">
        <f t="shared" si="3"/>
        <v>1.5342993333333284</v>
      </c>
    </row>
    <row r="22" spans="2:13" x14ac:dyDescent="0.25">
      <c r="H22" s="13" t="s">
        <v>27</v>
      </c>
      <c r="I22" s="6">
        <f>_xlfn.STDEV.P(I16:I19)</f>
        <v>0</v>
      </c>
      <c r="J22" s="6">
        <f>_xlfn.STDEV.P(J16:J19)</f>
        <v>0</v>
      </c>
      <c r="K22" s="6">
        <f>_xlfn.STDEV.P(K15:K19)</f>
        <v>1.6383135366723992E-2</v>
      </c>
      <c r="L22" s="6">
        <f>_xlfn.STDEV.P(L15:L19)</f>
        <v>1.8590554758322806E-2</v>
      </c>
    </row>
    <row r="24" spans="2:13" ht="18.75" x14ac:dyDescent="0.3">
      <c r="B24" s="43" t="s">
        <v>32</v>
      </c>
      <c r="C24" s="43"/>
      <c r="D24" s="43"/>
      <c r="E24" s="43"/>
      <c r="F24" s="43"/>
      <c r="H24" s="43" t="s">
        <v>39</v>
      </c>
      <c r="I24" s="43"/>
      <c r="J24" s="43"/>
      <c r="K24" s="43"/>
      <c r="L24" s="43"/>
      <c r="M24" s="43"/>
    </row>
    <row r="25" spans="2:13" ht="18" x14ac:dyDescent="0.35">
      <c r="I25" s="10" t="s">
        <v>41</v>
      </c>
      <c r="J25" s="10" t="s">
        <v>40</v>
      </c>
      <c r="K25" s="10" t="s">
        <v>42</v>
      </c>
    </row>
    <row r="26" spans="2:13" x14ac:dyDescent="0.25">
      <c r="B26" s="7" t="s">
        <v>16</v>
      </c>
      <c r="F26" s="7"/>
      <c r="H26" s="18" t="s">
        <v>75</v>
      </c>
      <c r="I26" s="5">
        <f>I10</f>
        <v>5.3017824999999972</v>
      </c>
      <c r="J26" s="5">
        <f>I21</f>
        <v>0.12590999999999949</v>
      </c>
      <c r="K26" s="5">
        <f>I26-J26</f>
        <v>5.1758724999999979</v>
      </c>
      <c r="M26" s="2" t="s">
        <v>89</v>
      </c>
    </row>
    <row r="27" spans="2:13" x14ac:dyDescent="0.25">
      <c r="B27" s="8" t="s">
        <v>17</v>
      </c>
      <c r="C27" s="21">
        <f>L10</f>
        <v>0.75600000000000001</v>
      </c>
      <c r="D27" s="12" t="s">
        <v>37</v>
      </c>
      <c r="E27" s="41" t="s">
        <v>36</v>
      </c>
      <c r="F27" s="41"/>
      <c r="H27" s="19" t="s">
        <v>72</v>
      </c>
      <c r="I27" s="5">
        <f>K21</f>
        <v>1.2270266666666618</v>
      </c>
      <c r="J27" s="5">
        <f>Red!I21</f>
        <v>0.359053333333333</v>
      </c>
      <c r="K27" s="5">
        <f t="shared" ref="K27:K29" si="4">I27-J27</f>
        <v>0.86797333333332882</v>
      </c>
      <c r="M27" s="21">
        <f>((K27+K29)/(K26+K28))*100</f>
        <v>16.611987493217455</v>
      </c>
    </row>
    <row r="28" spans="2:13" x14ac:dyDescent="0.25">
      <c r="B28" s="8" t="s">
        <v>19</v>
      </c>
      <c r="C28" s="3">
        <f>C27/C16/1000</f>
        <v>434832911884211.69</v>
      </c>
      <c r="D28" s="3" t="s">
        <v>20</v>
      </c>
      <c r="H28" s="18" t="s">
        <v>74</v>
      </c>
      <c r="I28" s="5">
        <f>J10</f>
        <v>5.3805183333333293</v>
      </c>
      <c r="J28" s="5">
        <f>J21</f>
        <v>0.23105999999999949</v>
      </c>
      <c r="K28" s="5">
        <f t="shared" si="4"/>
        <v>5.1494583333333299</v>
      </c>
    </row>
    <row r="29" spans="2:13" x14ac:dyDescent="0.25">
      <c r="B29" s="42" t="s">
        <v>19</v>
      </c>
      <c r="C29" s="16">
        <f>C28/C20</f>
        <v>7.2207391545036814E-10</v>
      </c>
      <c r="D29" s="3" t="s">
        <v>21</v>
      </c>
      <c r="F29" s="16"/>
      <c r="H29" s="19" t="s">
        <v>73</v>
      </c>
      <c r="I29" s="5">
        <f>L21</f>
        <v>1.5342993333333284</v>
      </c>
      <c r="J29" s="5">
        <f>Red!J21</f>
        <v>0.68702999999999903</v>
      </c>
      <c r="K29" s="5">
        <f t="shared" si="4"/>
        <v>0.84726933333332932</v>
      </c>
    </row>
    <row r="30" spans="2:13" x14ac:dyDescent="0.25">
      <c r="B30" s="42"/>
      <c r="C30" s="16">
        <f>C29*1000</f>
        <v>7.2207391545036813E-7</v>
      </c>
      <c r="D30" s="3" t="s">
        <v>22</v>
      </c>
      <c r="F30" s="16"/>
    </row>
    <row r="31" spans="2:13" x14ac:dyDescent="0.25">
      <c r="B31" s="42"/>
      <c r="C31" s="16">
        <f t="shared" ref="C31:C32" si="5">C30*1000</f>
        <v>7.2207391545036812E-4</v>
      </c>
      <c r="D31" s="3" t="s">
        <v>23</v>
      </c>
      <c r="F31" s="16"/>
    </row>
    <row r="32" spans="2:13" x14ac:dyDescent="0.25">
      <c r="B32" s="42"/>
      <c r="C32" s="6">
        <f t="shared" si="5"/>
        <v>0.72207391545036814</v>
      </c>
      <c r="D32" s="13" t="s">
        <v>24</v>
      </c>
      <c r="F32" s="17"/>
    </row>
  </sheetData>
  <mergeCells count="16">
    <mergeCell ref="H2:M2"/>
    <mergeCell ref="B2:F2"/>
    <mergeCell ref="E3:F3"/>
    <mergeCell ref="E5:F5"/>
    <mergeCell ref="B3:B4"/>
    <mergeCell ref="B5:B6"/>
    <mergeCell ref="E27:F27"/>
    <mergeCell ref="B29:B32"/>
    <mergeCell ref="H24:M24"/>
    <mergeCell ref="B24:F24"/>
    <mergeCell ref="E7:F7"/>
    <mergeCell ref="B16:B17"/>
    <mergeCell ref="B12:B13"/>
    <mergeCell ref="B10:B11"/>
    <mergeCell ref="H13:J13"/>
    <mergeCell ref="K13:L1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O32"/>
  <sheetViews>
    <sheetView workbookViewId="0">
      <selection activeCell="H46" sqref="H46"/>
    </sheetView>
  </sheetViews>
  <sheetFormatPr defaultColWidth="11.42578125" defaultRowHeight="15" x14ac:dyDescent="0.25"/>
  <cols>
    <col min="2" max="2" width="11.42578125" style="3"/>
    <col min="3" max="3" width="12" style="3" bestFit="1" customWidth="1"/>
    <col min="4" max="4" width="12.5703125" style="3" bestFit="1" customWidth="1"/>
    <col min="5" max="5" width="11.42578125" style="3"/>
    <col min="6" max="6" width="12" style="3" bestFit="1" customWidth="1"/>
    <col min="7" max="8" width="11.42578125" style="3"/>
    <col min="9" max="9" width="18.5703125" style="3" bestFit="1" customWidth="1"/>
    <col min="10" max="10" width="18.85546875" style="3" bestFit="1" customWidth="1"/>
    <col min="11" max="11" width="19.140625" style="3" bestFit="1" customWidth="1"/>
    <col min="12" max="12" width="19.42578125" style="3" bestFit="1" customWidth="1"/>
    <col min="13" max="13" width="24.7109375" style="3" bestFit="1" customWidth="1"/>
    <col min="14" max="15" width="11.42578125" style="3"/>
  </cols>
  <sheetData>
    <row r="2" spans="2:13" ht="18.75" x14ac:dyDescent="0.3">
      <c r="B2" s="46" t="s">
        <v>28</v>
      </c>
      <c r="C2" s="46"/>
      <c r="D2" s="46"/>
      <c r="E2" s="46"/>
      <c r="F2" s="46"/>
      <c r="H2" s="46" t="s">
        <v>38</v>
      </c>
      <c r="I2" s="46"/>
      <c r="J2" s="46"/>
      <c r="K2" s="46"/>
      <c r="L2" s="46"/>
      <c r="M2" s="46"/>
    </row>
    <row r="3" spans="2:13" x14ac:dyDescent="0.25">
      <c r="B3" s="45" t="s">
        <v>0</v>
      </c>
      <c r="C3" s="12">
        <v>345</v>
      </c>
      <c r="D3" s="12" t="s">
        <v>5</v>
      </c>
      <c r="E3" s="41" t="s">
        <v>30</v>
      </c>
      <c r="F3" s="41"/>
      <c r="I3" s="10" t="s">
        <v>85</v>
      </c>
      <c r="J3" s="10" t="s">
        <v>86</v>
      </c>
      <c r="K3" s="10" t="s">
        <v>31</v>
      </c>
      <c r="L3" s="10" t="s">
        <v>17</v>
      </c>
      <c r="M3" s="10" t="s">
        <v>33</v>
      </c>
    </row>
    <row r="4" spans="2:13" x14ac:dyDescent="0.25">
      <c r="B4" s="45"/>
      <c r="C4" s="3">
        <f>C3*0.000000000001</f>
        <v>3.45E-10</v>
      </c>
      <c r="D4" s="3" t="s">
        <v>6</v>
      </c>
      <c r="H4" s="4">
        <v>1</v>
      </c>
      <c r="I4" s="5">
        <v>4.55108333333333</v>
      </c>
      <c r="J4" s="5">
        <v>5.1135599999999997</v>
      </c>
      <c r="K4" s="5">
        <f>SUM(I4:J4)</f>
        <v>9.6646433333333306</v>
      </c>
      <c r="L4" s="4">
        <v>3.16</v>
      </c>
      <c r="M4" s="5">
        <f>K4/L4</f>
        <v>3.058431434599155</v>
      </c>
    </row>
    <row r="5" spans="2:13" x14ac:dyDescent="0.25">
      <c r="B5" s="45" t="s">
        <v>1</v>
      </c>
      <c r="C5" s="12">
        <v>99.5</v>
      </c>
      <c r="D5" s="12" t="s">
        <v>7</v>
      </c>
      <c r="E5" s="41" t="s">
        <v>36</v>
      </c>
      <c r="F5" s="41"/>
      <c r="H5" s="4">
        <v>2</v>
      </c>
      <c r="I5" s="5">
        <v>4.4315833333333297</v>
      </c>
      <c r="J5" s="5">
        <v>4.9991199999999996</v>
      </c>
      <c r="K5" s="5">
        <f t="shared" ref="K5:K8" si="0">SUM(I5:J5)</f>
        <v>9.4307033333333301</v>
      </c>
      <c r="L5" s="5">
        <v>3.3</v>
      </c>
      <c r="M5" s="5">
        <f t="shared" ref="M5:M8" si="1">K5/L5</f>
        <v>2.857788888888888</v>
      </c>
    </row>
    <row r="6" spans="2:13" x14ac:dyDescent="0.25">
      <c r="B6" s="45"/>
      <c r="C6" s="3">
        <f>C5*0.000001</f>
        <v>9.9499999999999993E-5</v>
      </c>
      <c r="D6" s="3" t="s">
        <v>2</v>
      </c>
      <c r="H6" s="4">
        <v>3</v>
      </c>
      <c r="I6" s="5">
        <v>4.2549566666666596</v>
      </c>
      <c r="J6" s="5">
        <v>4.8288233333333297</v>
      </c>
      <c r="K6" s="5">
        <f t="shared" si="0"/>
        <v>9.0837799999999902</v>
      </c>
      <c r="L6" s="5">
        <v>3.5</v>
      </c>
      <c r="M6" s="5">
        <f t="shared" si="1"/>
        <v>2.5953657142857116</v>
      </c>
    </row>
    <row r="7" spans="2:13" x14ac:dyDescent="0.25">
      <c r="B7" s="8" t="s">
        <v>2</v>
      </c>
      <c r="C7" s="12">
        <v>6.78</v>
      </c>
      <c r="D7" s="12"/>
      <c r="E7" s="41" t="s">
        <v>36</v>
      </c>
      <c r="F7" s="41"/>
      <c r="H7" s="4">
        <v>4</v>
      </c>
      <c r="I7" s="5">
        <v>4.17543666666666</v>
      </c>
      <c r="J7" s="5">
        <v>4.7423933333333297</v>
      </c>
      <c r="K7" s="5">
        <f t="shared" si="0"/>
        <v>8.9178299999999897</v>
      </c>
      <c r="L7" s="4">
        <v>3.59</v>
      </c>
      <c r="M7" s="5">
        <f t="shared" si="1"/>
        <v>2.4840752089136462</v>
      </c>
    </row>
    <row r="8" spans="2:13" x14ac:dyDescent="0.25">
      <c r="B8" s="8"/>
      <c r="H8" s="4">
        <v>5</v>
      </c>
      <c r="I8" s="5">
        <v>4.0996899999999998</v>
      </c>
      <c r="J8" s="5">
        <v>4.6598100000000002</v>
      </c>
      <c r="K8" s="5">
        <f t="shared" si="0"/>
        <v>8.7594999999999992</v>
      </c>
      <c r="L8" s="4">
        <v>3.67</v>
      </c>
      <c r="M8" s="5">
        <f t="shared" si="1"/>
        <v>2.3867847411444139</v>
      </c>
    </row>
    <row r="9" spans="2:13" ht="17.25" x14ac:dyDescent="0.25">
      <c r="B9" s="8" t="s">
        <v>109</v>
      </c>
      <c r="C9" s="3">
        <f>4*C6*C4</f>
        <v>1.3731E-13</v>
      </c>
    </row>
    <row r="10" spans="2:13" x14ac:dyDescent="0.25">
      <c r="B10" s="42" t="s">
        <v>3</v>
      </c>
      <c r="C10" s="3">
        <f>SQRT(C9)</f>
        <v>3.7055363984179131E-7</v>
      </c>
      <c r="D10" s="3" t="s">
        <v>8</v>
      </c>
      <c r="H10" s="13" t="s">
        <v>26</v>
      </c>
      <c r="I10" s="6">
        <f>AVERAGE(I5:I8)</f>
        <v>4.2404166666666621</v>
      </c>
      <c r="J10" s="6">
        <f>AVERAGE(J5:J8)</f>
        <v>4.8075366666666648</v>
      </c>
      <c r="K10" s="6">
        <f t="shared" ref="K10:L10" si="2">AVERAGE(K4:K8)</f>
        <v>9.171291333333329</v>
      </c>
      <c r="L10" s="6">
        <f t="shared" si="2"/>
        <v>3.444</v>
      </c>
      <c r="M10" s="6">
        <f>AVERAGE(M4:M8)</f>
        <v>2.6764891975663625</v>
      </c>
    </row>
    <row r="11" spans="2:13" x14ac:dyDescent="0.25">
      <c r="B11" s="42"/>
      <c r="C11" s="14">
        <f>C10*1000000</f>
        <v>0.37055363984179129</v>
      </c>
      <c r="D11" s="13" t="s">
        <v>9</v>
      </c>
      <c r="H11" s="13" t="s">
        <v>27</v>
      </c>
      <c r="I11" s="6">
        <f>_xlfn.STDEV.P(I5:I8)</f>
        <v>0.12327053698629171</v>
      </c>
      <c r="J11" s="6">
        <f>_xlfn.STDEV.P(J5:J8)</f>
        <v>0.12572203238803373</v>
      </c>
      <c r="K11" s="6">
        <f>_xlfn.STDEV.P(K4:K8)</f>
        <v>0.33231423827857171</v>
      </c>
      <c r="L11" s="6">
        <f>_xlfn.STDEV.P(L4:L8)</f>
        <v>0.1881063528964399</v>
      </c>
      <c r="M11" s="6">
        <f>_xlfn.STDEV.P(M4:M8)</f>
        <v>0.24750041823917282</v>
      </c>
    </row>
    <row r="12" spans="2:13" x14ac:dyDescent="0.25">
      <c r="B12" s="42" t="s">
        <v>4</v>
      </c>
      <c r="C12" s="3">
        <f>C7*C10</f>
        <v>2.5123536781273452E-6</v>
      </c>
      <c r="D12" s="3" t="s">
        <v>8</v>
      </c>
    </row>
    <row r="13" spans="2:13" ht="18.75" x14ac:dyDescent="0.3">
      <c r="B13" s="42"/>
      <c r="C13" s="14">
        <f>C11*C7</f>
        <v>2.512353678127345</v>
      </c>
      <c r="D13" s="13" t="s">
        <v>9</v>
      </c>
      <c r="H13" s="46" t="s">
        <v>29</v>
      </c>
      <c r="I13" s="46"/>
      <c r="J13" s="46"/>
      <c r="K13" s="46"/>
    </row>
    <row r="14" spans="2:13" x14ac:dyDescent="0.25">
      <c r="B14" s="8"/>
      <c r="C14" s="15"/>
      <c r="H14" s="11"/>
      <c r="I14" s="10" t="s">
        <v>81</v>
      </c>
      <c r="J14" s="10" t="s">
        <v>82</v>
      </c>
      <c r="K14" s="10" t="s">
        <v>83</v>
      </c>
      <c r="L14" s="10" t="s">
        <v>84</v>
      </c>
    </row>
    <row r="15" spans="2:13" ht="15" customHeight="1" x14ac:dyDescent="0.25">
      <c r="B15" s="8" t="s">
        <v>13</v>
      </c>
      <c r="C15" s="3">
        <f>PI()^(3/2)</f>
        <v>5.5683279968317088</v>
      </c>
      <c r="H15" s="4">
        <v>1</v>
      </c>
      <c r="I15" s="20">
        <v>0.38986333333333301</v>
      </c>
      <c r="J15" s="5">
        <v>0.69064000000000003</v>
      </c>
      <c r="K15" s="5">
        <v>2.0057499999999999</v>
      </c>
      <c r="L15" s="5">
        <v>2.46440666666666</v>
      </c>
      <c r="M15" s="33"/>
    </row>
    <row r="16" spans="2:13" x14ac:dyDescent="0.25">
      <c r="B16" s="42" t="s">
        <v>10</v>
      </c>
      <c r="C16" s="3">
        <f>(PI()^(3/2))*C12*C10*C10</f>
        <v>1.9209132562591637E-18</v>
      </c>
      <c r="D16" s="3" t="s">
        <v>14</v>
      </c>
      <c r="H16" s="4">
        <v>2</v>
      </c>
      <c r="I16" s="5">
        <v>0.359053333333333</v>
      </c>
      <c r="J16" s="5">
        <v>0.68702999999999903</v>
      </c>
      <c r="K16" s="5">
        <v>1.9517566666666599</v>
      </c>
      <c r="L16" s="5">
        <v>2.4125433333333302</v>
      </c>
      <c r="M16" s="33"/>
    </row>
    <row r="17" spans="2:13" x14ac:dyDescent="0.25">
      <c r="B17" s="42"/>
      <c r="C17" s="14">
        <f>C16/0.000000000000001*1000</f>
        <v>1.9209132562591635</v>
      </c>
      <c r="D17" s="13" t="s">
        <v>11</v>
      </c>
      <c r="E17" s="3" t="s">
        <v>12</v>
      </c>
      <c r="H17" s="4">
        <v>3</v>
      </c>
      <c r="I17" s="20"/>
      <c r="J17" s="5"/>
      <c r="K17" s="5">
        <v>1.8769800000000001</v>
      </c>
      <c r="L17" s="5">
        <v>2.3503400000000001</v>
      </c>
      <c r="M17" s="33"/>
    </row>
    <row r="18" spans="2:13" x14ac:dyDescent="0.25">
      <c r="B18" s="9"/>
      <c r="E18" s="3" t="s">
        <v>15</v>
      </c>
      <c r="H18" s="4">
        <v>4</v>
      </c>
      <c r="I18" s="5"/>
      <c r="J18" s="5"/>
      <c r="K18" s="5">
        <v>1.8491833333333301</v>
      </c>
      <c r="L18" s="5">
        <v>2.32567999999999</v>
      </c>
    </row>
    <row r="19" spans="2:13" x14ac:dyDescent="0.25">
      <c r="B19" s="9"/>
      <c r="H19" s="4">
        <v>5</v>
      </c>
      <c r="I19" s="5"/>
      <c r="J19" s="5"/>
      <c r="K19" s="5">
        <v>1.8278033333333299</v>
      </c>
      <c r="L19" s="5">
        <v>2.2928899999999999</v>
      </c>
    </row>
    <row r="20" spans="2:13" x14ac:dyDescent="0.25">
      <c r="B20" s="8" t="s">
        <v>18</v>
      </c>
      <c r="C20" s="16">
        <v>6.0220000000000003E+23</v>
      </c>
      <c r="I20" s="1"/>
      <c r="J20" s="1"/>
      <c r="K20" s="1"/>
    </row>
    <row r="21" spans="2:13" x14ac:dyDescent="0.25">
      <c r="H21" s="13" t="s">
        <v>26</v>
      </c>
      <c r="I21" s="6">
        <f>AVERAGE(I16:I19)</f>
        <v>0.359053333333333</v>
      </c>
      <c r="J21" s="6">
        <f>AVERAGE(J16:J19)</f>
        <v>0.68702999999999903</v>
      </c>
      <c r="K21" s="6">
        <f>AVERAGE(K15:K19)</f>
        <v>1.9022946666666638</v>
      </c>
      <c r="L21" s="6">
        <f>AVERAGE(L15:L19)</f>
        <v>2.3691719999999963</v>
      </c>
    </row>
    <row r="22" spans="2:13" x14ac:dyDescent="0.25">
      <c r="H22" s="13" t="s">
        <v>27</v>
      </c>
      <c r="I22" s="6">
        <f>_xlfn.STDEV.P(I16:I19)</f>
        <v>0</v>
      </c>
      <c r="J22" s="6">
        <f>_xlfn.STDEV.P(J16:J19)</f>
        <v>0</v>
      </c>
      <c r="K22" s="6">
        <f>_xlfn.STDEV.P(K15:K19)</f>
        <v>6.6573418505854048E-2</v>
      </c>
      <c r="L22" s="6">
        <f>_xlfn.STDEV.P(L15:L19)</f>
        <v>6.1669856659832704E-2</v>
      </c>
    </row>
    <row r="24" spans="2:13" ht="18.75" x14ac:dyDescent="0.3">
      <c r="B24" s="46" t="s">
        <v>32</v>
      </c>
      <c r="C24" s="46"/>
      <c r="D24" s="46"/>
      <c r="E24" s="46"/>
      <c r="F24" s="46"/>
      <c r="H24" s="46" t="s">
        <v>90</v>
      </c>
      <c r="I24" s="46"/>
      <c r="J24" s="46"/>
      <c r="K24" s="46"/>
      <c r="L24" s="46"/>
      <c r="M24" s="46"/>
    </row>
    <row r="25" spans="2:13" ht="18" x14ac:dyDescent="0.35">
      <c r="I25" s="10" t="s">
        <v>43</v>
      </c>
      <c r="J25" s="10" t="s">
        <v>40</v>
      </c>
      <c r="K25" s="10" t="s">
        <v>44</v>
      </c>
    </row>
    <row r="26" spans="2:13" x14ac:dyDescent="0.25">
      <c r="B26" s="7" t="s">
        <v>16</v>
      </c>
      <c r="F26" s="7"/>
      <c r="H26" s="19" t="s">
        <v>87</v>
      </c>
      <c r="I26" s="5">
        <f>I10</f>
        <v>4.2404166666666621</v>
      </c>
      <c r="J26" s="5">
        <f>I21</f>
        <v>0.359053333333333</v>
      </c>
      <c r="K26" s="5">
        <f>I26-J26</f>
        <v>3.8813633333333293</v>
      </c>
      <c r="M26" s="2" t="s">
        <v>91</v>
      </c>
    </row>
    <row r="27" spans="2:13" x14ac:dyDescent="0.25">
      <c r="B27" s="8" t="s">
        <v>17</v>
      </c>
      <c r="C27" s="21">
        <f>L10</f>
        <v>3.444</v>
      </c>
      <c r="D27" s="12" t="s">
        <v>37</v>
      </c>
      <c r="E27" s="41" t="s">
        <v>36</v>
      </c>
      <c r="F27" s="41"/>
      <c r="H27" s="19" t="s">
        <v>88</v>
      </c>
      <c r="I27" s="5">
        <f>K21</f>
        <v>1.9022946666666638</v>
      </c>
      <c r="J27" s="5">
        <f>I21</f>
        <v>0.359053333333333</v>
      </c>
      <c r="K27" s="5">
        <f t="shared" ref="K27" si="3">I27-J27</f>
        <v>1.5432413333333308</v>
      </c>
      <c r="M27" s="21">
        <f>((K27+K29)/(K26+K28))*100</f>
        <v>40.307869702123753</v>
      </c>
    </row>
    <row r="28" spans="2:13" x14ac:dyDescent="0.25">
      <c r="B28" s="8" t="s">
        <v>19</v>
      </c>
      <c r="C28" s="3">
        <f>C27/C16/1000</f>
        <v>1792897200734058.5</v>
      </c>
      <c r="D28" s="3" t="s">
        <v>20</v>
      </c>
      <c r="H28" s="19" t="s">
        <v>87</v>
      </c>
      <c r="I28" s="5">
        <f>J10</f>
        <v>4.8075366666666648</v>
      </c>
      <c r="J28" s="5">
        <f>J21</f>
        <v>0.68702999999999903</v>
      </c>
      <c r="K28" s="5">
        <f>I28-J28</f>
        <v>4.1205066666666657</v>
      </c>
    </row>
    <row r="29" spans="2:13" x14ac:dyDescent="0.25">
      <c r="B29" s="42" t="s">
        <v>19</v>
      </c>
      <c r="C29" s="16">
        <f>C28/C20</f>
        <v>2.9772454346297881E-9</v>
      </c>
      <c r="D29" s="3" t="s">
        <v>21</v>
      </c>
      <c r="F29" s="16"/>
      <c r="H29" s="19" t="s">
        <v>88</v>
      </c>
      <c r="I29" s="5">
        <f>L21</f>
        <v>2.3691719999999963</v>
      </c>
      <c r="J29" s="5">
        <f>J21</f>
        <v>0.68702999999999903</v>
      </c>
      <c r="K29" s="5">
        <f t="shared" ref="K29" si="4">I29-J29</f>
        <v>1.6821419999999971</v>
      </c>
    </row>
    <row r="30" spans="2:13" x14ac:dyDescent="0.25">
      <c r="B30" s="42"/>
      <c r="C30" s="16">
        <f>C29*1000</f>
        <v>2.977245434629788E-6</v>
      </c>
      <c r="D30" s="3" t="s">
        <v>22</v>
      </c>
      <c r="F30" s="16"/>
    </row>
    <row r="31" spans="2:13" x14ac:dyDescent="0.25">
      <c r="B31" s="42"/>
      <c r="C31" s="16">
        <f t="shared" ref="C31:C32" si="5">C30*1000</f>
        <v>2.9772454346297878E-3</v>
      </c>
      <c r="D31" s="3" t="s">
        <v>23</v>
      </c>
      <c r="F31" s="16"/>
    </row>
    <row r="32" spans="2:13" x14ac:dyDescent="0.25">
      <c r="B32" s="42"/>
      <c r="C32" s="6">
        <f t="shared" si="5"/>
        <v>2.9772454346297876</v>
      </c>
      <c r="D32" s="13" t="s">
        <v>24</v>
      </c>
      <c r="F32" s="17"/>
    </row>
  </sheetData>
  <mergeCells count="15">
    <mergeCell ref="B2:F2"/>
    <mergeCell ref="H2:M2"/>
    <mergeCell ref="B3:B4"/>
    <mergeCell ref="E3:F3"/>
    <mergeCell ref="B5:B6"/>
    <mergeCell ref="E5:F5"/>
    <mergeCell ref="B24:F24"/>
    <mergeCell ref="E27:F27"/>
    <mergeCell ref="B29:B32"/>
    <mergeCell ref="H24:M24"/>
    <mergeCell ref="E7:F7"/>
    <mergeCell ref="B10:B11"/>
    <mergeCell ref="B12:B13"/>
    <mergeCell ref="H13:K13"/>
    <mergeCell ref="B16:B17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P21"/>
  <sheetViews>
    <sheetView workbookViewId="0">
      <selection activeCell="F25" sqref="F25"/>
    </sheetView>
  </sheetViews>
  <sheetFormatPr defaultColWidth="11.42578125" defaultRowHeight="15" x14ac:dyDescent="0.25"/>
  <cols>
    <col min="10" max="10" width="12" bestFit="1" customWidth="1"/>
    <col min="12" max="12" width="14.140625" bestFit="1" customWidth="1"/>
    <col min="13" max="13" width="13.28515625" bestFit="1" customWidth="1"/>
    <col min="14" max="14" width="14.140625" bestFit="1" customWidth="1"/>
    <col min="15" max="15" width="13.42578125" bestFit="1" customWidth="1"/>
  </cols>
  <sheetData>
    <row r="2" spans="2:16" ht="18.75" x14ac:dyDescent="0.3">
      <c r="B2" s="51" t="s">
        <v>102</v>
      </c>
      <c r="C2" s="51"/>
      <c r="D2" s="51"/>
      <c r="E2" s="51"/>
      <c r="F2" s="51"/>
      <c r="I2" s="47" t="s">
        <v>94</v>
      </c>
      <c r="J2" s="47"/>
      <c r="K2" s="47"/>
      <c r="L2" s="47"/>
      <c r="M2" s="48" t="s">
        <v>95</v>
      </c>
      <c r="N2" s="48"/>
      <c r="O2" s="48"/>
      <c r="P2" s="48"/>
    </row>
    <row r="3" spans="2:16" x14ac:dyDescent="0.25">
      <c r="B3" s="45" t="s">
        <v>0</v>
      </c>
      <c r="C3" s="21">
        <f>M13</f>
        <v>77.085788660094494</v>
      </c>
      <c r="D3" s="12" t="s">
        <v>5</v>
      </c>
      <c r="E3" s="41" t="s">
        <v>92</v>
      </c>
      <c r="F3" s="41"/>
      <c r="I3" s="12" t="s">
        <v>17</v>
      </c>
      <c r="J3" s="4" t="s">
        <v>93</v>
      </c>
      <c r="K3" s="12" t="s">
        <v>97</v>
      </c>
      <c r="L3" s="4" t="s">
        <v>96</v>
      </c>
      <c r="M3" s="12" t="s">
        <v>17</v>
      </c>
      <c r="N3" s="4" t="s">
        <v>93</v>
      </c>
      <c r="O3" s="12" t="s">
        <v>97</v>
      </c>
      <c r="P3" s="4" t="s">
        <v>96</v>
      </c>
    </row>
    <row r="4" spans="2:16" x14ac:dyDescent="0.25">
      <c r="B4" s="45"/>
      <c r="C4" s="3">
        <f>C3*0.000000000001</f>
        <v>7.7085788660094498E-11</v>
      </c>
      <c r="D4" s="3" t="s">
        <v>6</v>
      </c>
      <c r="E4" s="3"/>
      <c r="F4" s="3"/>
      <c r="H4" s="34">
        <v>2</v>
      </c>
      <c r="I4" s="4">
        <v>11.6</v>
      </c>
      <c r="J4" s="5">
        <f>I4/(Green!$C$16*1000*6.02E+23)*1000000000</f>
        <v>11.083121908138779</v>
      </c>
      <c r="K4" s="4">
        <v>434</v>
      </c>
      <c r="L4" s="5">
        <f>(Green!$C$11)^2/(4*DNA!K4/1000000)</f>
        <v>81.750691244239633</v>
      </c>
      <c r="M4" s="4">
        <v>14.7</v>
      </c>
      <c r="N4" s="5">
        <f>M4/(Red!$C$16*1000*6.02E+23)*1000000000</f>
        <v>12.71197674939066</v>
      </c>
      <c r="O4" s="4">
        <v>474</v>
      </c>
      <c r="P4" s="5">
        <f>(Red!$C$11)^2/(4*DNA!O4/1000000)</f>
        <v>72.420886075949369</v>
      </c>
    </row>
    <row r="5" spans="2:16" x14ac:dyDescent="0.25">
      <c r="B5" s="45" t="s">
        <v>1</v>
      </c>
      <c r="C5" s="12">
        <v>520</v>
      </c>
      <c r="D5" s="12" t="s">
        <v>7</v>
      </c>
      <c r="E5" s="41" t="s">
        <v>36</v>
      </c>
      <c r="F5" s="41"/>
      <c r="H5" s="34">
        <v>3</v>
      </c>
      <c r="I5" s="4">
        <v>8.5299999999999994</v>
      </c>
      <c r="J5" s="5">
        <f>I5/(Green!$C$16*1000*6.02E+23)*1000000000</f>
        <v>8.1499163686572214</v>
      </c>
      <c r="K5" s="4">
        <v>434</v>
      </c>
      <c r="L5" s="5">
        <f>(Green!$C$11)^2/(4*DNA!K5/1000000)</f>
        <v>81.750691244239633</v>
      </c>
      <c r="M5" s="4">
        <v>10.8</v>
      </c>
      <c r="N5" s="5">
        <f>M5/(Red!$C$16*1000*6.02E+23)*1000000000</f>
        <v>9.3394114893482403</v>
      </c>
      <c r="O5" s="4">
        <v>474</v>
      </c>
      <c r="P5" s="5">
        <f>(Red!$C$11)^2/(4*DNA!O5/1000000)</f>
        <v>72.420886075949369</v>
      </c>
    </row>
    <row r="6" spans="2:16" x14ac:dyDescent="0.25">
      <c r="B6" s="45"/>
      <c r="C6" s="3">
        <f>C5*0.000001</f>
        <v>5.1999999999999995E-4</v>
      </c>
      <c r="D6" s="3" t="s">
        <v>2</v>
      </c>
      <c r="E6" s="3"/>
      <c r="F6" s="3"/>
      <c r="H6" s="34">
        <v>4</v>
      </c>
      <c r="I6" s="4">
        <v>7.79</v>
      </c>
      <c r="J6" s="5">
        <f>I6/(Green!$C$16*1000*6.02E+23)*1000000000</f>
        <v>7.442889626241473</v>
      </c>
      <c r="K6" s="4">
        <v>434</v>
      </c>
      <c r="L6" s="5">
        <f>(Green!$C$11)^2/(4*DNA!K6/1000000)</f>
        <v>81.750691244239633</v>
      </c>
      <c r="M6" s="4">
        <v>8.73</v>
      </c>
      <c r="N6" s="5">
        <f>M6/(Red!$C$16*1000*6.02E+23)*1000000000</f>
        <v>7.5493576205564938</v>
      </c>
      <c r="O6" s="4">
        <v>474</v>
      </c>
      <c r="P6" s="5">
        <f>(Red!$C$11)^2/(4*DNA!O6/1000000)</f>
        <v>72.420886075949369</v>
      </c>
    </row>
    <row r="7" spans="2:16" x14ac:dyDescent="0.25">
      <c r="B7" s="22" t="s">
        <v>2</v>
      </c>
      <c r="C7" s="12">
        <v>4.63</v>
      </c>
      <c r="D7" s="12"/>
      <c r="E7" s="41" t="s">
        <v>36</v>
      </c>
      <c r="F7" s="41"/>
      <c r="H7" s="34">
        <v>5</v>
      </c>
      <c r="I7" s="4">
        <v>7.54</v>
      </c>
      <c r="J7" s="5">
        <f>I7/(Green!$C$16*1000*6.02E+23)*1000000000</f>
        <v>7.2040292402902066</v>
      </c>
      <c r="K7" s="4">
        <v>434</v>
      </c>
      <c r="L7" s="5">
        <f>(Green!$C$11)^2/(4*DNA!K7/1000000)</f>
        <v>81.750691244239633</v>
      </c>
      <c r="M7" s="5">
        <v>9.01</v>
      </c>
      <c r="N7" s="5">
        <f>M7/(Red!$C$16*1000*6.02E+23)*1000000000</f>
        <v>7.7914905110210775</v>
      </c>
      <c r="O7" s="4">
        <v>474</v>
      </c>
      <c r="P7" s="5">
        <f>(Red!$C$11)^2/(4*DNA!O7/1000000)</f>
        <v>72.420886075949369</v>
      </c>
    </row>
    <row r="8" spans="2:16" x14ac:dyDescent="0.25">
      <c r="B8" s="22"/>
      <c r="C8" s="3"/>
      <c r="D8" s="3"/>
      <c r="E8" s="3"/>
      <c r="F8" s="3"/>
      <c r="H8" s="34">
        <v>6</v>
      </c>
      <c r="I8" s="4">
        <v>7.61</v>
      </c>
      <c r="J8" s="5">
        <f>I8/(Green!$C$16*1000*6.02E+23)*1000000000</f>
        <v>7.2709101483565615</v>
      </c>
      <c r="K8" s="4">
        <v>434</v>
      </c>
      <c r="L8" s="5">
        <f>(Green!$C$11)^2/(4*DNA!K8/1000000)</f>
        <v>81.750691244239633</v>
      </c>
      <c r="M8" s="4">
        <v>8.94</v>
      </c>
      <c r="N8" s="5">
        <f>M8/(Red!$C$16*1000*6.02E+23)*1000000000</f>
        <v>7.7309572884049311</v>
      </c>
      <c r="O8" s="4">
        <v>474</v>
      </c>
      <c r="P8" s="5">
        <f>(Red!$C$11)^2/(4*DNA!O8/1000000)</f>
        <v>72.420886075949369</v>
      </c>
    </row>
    <row r="9" spans="2:16" ht="17.25" x14ac:dyDescent="0.25">
      <c r="B9" s="22" t="s">
        <v>109</v>
      </c>
      <c r="C9" s="3">
        <f>4*C6*C4</f>
        <v>1.6033844041299653E-13</v>
      </c>
      <c r="D9" s="3"/>
      <c r="E9" s="3"/>
      <c r="F9" s="3"/>
    </row>
    <row r="10" spans="2:16" x14ac:dyDescent="0.25">
      <c r="B10" s="42" t="s">
        <v>3</v>
      </c>
      <c r="C10" s="3">
        <f>SQRT(C9)</f>
        <v>4.0042282703786573E-7</v>
      </c>
      <c r="D10" s="3" t="s">
        <v>8</v>
      </c>
      <c r="E10" s="3"/>
      <c r="F10" s="3"/>
      <c r="H10" s="13" t="s">
        <v>26</v>
      </c>
      <c r="I10" s="6">
        <f>AVERAGE(I5:I8)</f>
        <v>7.8674999999999997</v>
      </c>
      <c r="J10" s="6">
        <f>AVERAGE(J5:J8)</f>
        <v>7.5169363458863661</v>
      </c>
      <c r="K10" s="6">
        <f>AVERAGE(K5:K8)</f>
        <v>434</v>
      </c>
      <c r="L10" s="6">
        <f t="shared" ref="L10:M10" si="0">AVERAGE(L4:L8)</f>
        <v>81.750691244239633</v>
      </c>
      <c r="M10" s="6">
        <f t="shared" si="0"/>
        <v>10.436</v>
      </c>
      <c r="N10" s="6">
        <f>AVERAGE(N4:N8)</f>
        <v>9.0246387317442789</v>
      </c>
      <c r="O10" s="6">
        <f>AVERAGE(O4:O8)</f>
        <v>474</v>
      </c>
      <c r="P10" s="6">
        <f>AVERAGE(P4:P8)</f>
        <v>72.420886075949369</v>
      </c>
    </row>
    <row r="11" spans="2:16" x14ac:dyDescent="0.25">
      <c r="B11" s="42"/>
      <c r="C11" s="14">
        <f>C10*1000000</f>
        <v>0.40042282703786575</v>
      </c>
      <c r="D11" s="13" t="s">
        <v>9</v>
      </c>
      <c r="E11" s="3"/>
      <c r="F11" s="3"/>
      <c r="H11" s="13" t="s">
        <v>27</v>
      </c>
      <c r="I11" s="6">
        <f>_xlfn.STDEV.P(I5:I8)</f>
        <v>0.39321590761310732</v>
      </c>
      <c r="J11" s="6">
        <f>_xlfn.STDEV.P(J5:J8)</f>
        <v>0.37569481381857744</v>
      </c>
      <c r="K11" s="6">
        <f>_xlfn.STDEV.P(K5:K8)</f>
        <v>0</v>
      </c>
      <c r="L11" s="6">
        <f>_xlfn.STDEV.P(L4:L8)</f>
        <v>0</v>
      </c>
      <c r="M11" s="6">
        <f>_xlfn.STDEV.P(M4:M8)</f>
        <v>2.2581461423034632</v>
      </c>
      <c r="N11" s="6">
        <f>_xlfn.STDEV.P(N4:N8)</f>
        <v>1.9527551875978142</v>
      </c>
      <c r="O11" s="6">
        <f>_xlfn.STDEV.P(O4:O8)</f>
        <v>0</v>
      </c>
      <c r="P11" s="6">
        <f>_xlfn.STDEV.P(P4:P8)</f>
        <v>0</v>
      </c>
    </row>
    <row r="12" spans="2:16" x14ac:dyDescent="0.25">
      <c r="B12" s="42" t="s">
        <v>4</v>
      </c>
      <c r="C12" s="3">
        <f>C7*C10</f>
        <v>1.8539576891853182E-6</v>
      </c>
      <c r="D12" s="3" t="s">
        <v>8</v>
      </c>
      <c r="E12" s="3"/>
      <c r="F12" s="3"/>
    </row>
    <row r="13" spans="2:16" x14ac:dyDescent="0.25">
      <c r="B13" s="42"/>
      <c r="C13" s="14">
        <f>C11*C7</f>
        <v>1.8539576891853184</v>
      </c>
      <c r="D13" s="13" t="s">
        <v>9</v>
      </c>
      <c r="E13" s="3"/>
      <c r="F13" s="3"/>
      <c r="H13" t="s">
        <v>98</v>
      </c>
      <c r="J13" s="49" t="s">
        <v>101</v>
      </c>
      <c r="K13" s="49"/>
      <c r="L13" s="49"/>
      <c r="M13" s="6">
        <f>AVERAGE(L10,P10)</f>
        <v>77.085788660094494</v>
      </c>
    </row>
    <row r="14" spans="2:16" x14ac:dyDescent="0.25">
      <c r="B14" s="22"/>
      <c r="C14" s="15"/>
      <c r="D14" s="3"/>
      <c r="E14" s="3"/>
      <c r="F14" s="3"/>
    </row>
    <row r="15" spans="2:16" ht="18.75" x14ac:dyDescent="0.3">
      <c r="B15" s="22" t="s">
        <v>13</v>
      </c>
      <c r="C15" s="3">
        <f>PI()^(3/2)</f>
        <v>5.5683279968317088</v>
      </c>
      <c r="D15" s="3"/>
      <c r="E15" s="3"/>
      <c r="F15" s="3"/>
      <c r="I15" s="50" t="s">
        <v>100</v>
      </c>
      <c r="J15" s="50"/>
      <c r="K15" s="50"/>
      <c r="L15" s="50"/>
      <c r="M15" s="50"/>
      <c r="N15" s="50"/>
      <c r="O15" s="50"/>
    </row>
    <row r="16" spans="2:16" ht="18" x14ac:dyDescent="0.35">
      <c r="B16" s="42" t="s">
        <v>10</v>
      </c>
      <c r="C16" s="3">
        <f>(PI()^(3/2))*C12*C10*C10</f>
        <v>1.6552449917231572E-18</v>
      </c>
      <c r="D16" s="3" t="s">
        <v>14</v>
      </c>
      <c r="E16" s="3"/>
      <c r="F16" s="3"/>
      <c r="I16" s="36" t="s">
        <v>106</v>
      </c>
      <c r="J16" s="36" t="s">
        <v>99</v>
      </c>
      <c r="K16" s="37" t="s">
        <v>103</v>
      </c>
      <c r="L16" s="39" t="s">
        <v>108</v>
      </c>
      <c r="M16" s="38" t="s">
        <v>104</v>
      </c>
      <c r="N16" s="40" t="s">
        <v>107</v>
      </c>
      <c r="O16" s="35" t="s">
        <v>105</v>
      </c>
    </row>
    <row r="17" spans="2:15" x14ac:dyDescent="0.25">
      <c r="B17" s="42"/>
      <c r="C17" s="14">
        <f>C16/0.000000000000001*1000</f>
        <v>1.6552449917231571</v>
      </c>
      <c r="D17" s="13" t="s">
        <v>11</v>
      </c>
      <c r="E17" s="3" t="s">
        <v>12</v>
      </c>
      <c r="F17" s="3"/>
      <c r="H17" s="34">
        <v>2</v>
      </c>
      <c r="I17" s="4">
        <v>20.399999999999999</v>
      </c>
      <c r="J17" s="20">
        <f>1/I17</f>
        <v>4.9019607843137261E-2</v>
      </c>
      <c r="K17" s="5">
        <f>(J17/(1/I4))*J4</f>
        <v>6.3021673595298946</v>
      </c>
      <c r="L17" s="5">
        <f>J17*I4</f>
        <v>0.56862745098039225</v>
      </c>
      <c r="M17" s="5">
        <f>(J17/(1/M4))*N4</f>
        <v>9.1601008929432695</v>
      </c>
      <c r="N17" s="5">
        <f>J17*M4</f>
        <v>0.72058823529411775</v>
      </c>
      <c r="O17" s="5">
        <f>(M17+K17)/2</f>
        <v>7.731134126236582</v>
      </c>
    </row>
    <row r="18" spans="2:15" x14ac:dyDescent="0.25">
      <c r="B18" s="9"/>
      <c r="C18" s="3"/>
      <c r="D18" s="3"/>
      <c r="E18" s="3" t="s">
        <v>15</v>
      </c>
      <c r="F18" s="3"/>
      <c r="H18" s="34">
        <v>3</v>
      </c>
      <c r="I18" s="4">
        <v>15.2</v>
      </c>
      <c r="J18" s="20">
        <f t="shared" ref="J18:J21" si="1">1/I18</f>
        <v>6.5789473684210523E-2</v>
      </c>
      <c r="K18" s="5">
        <f t="shared" ref="K18:K21" si="2">(J18/(1/I5))*J5</f>
        <v>4.5736043832004007</v>
      </c>
      <c r="L18" s="5">
        <f t="shared" ref="L18:L21" si="3">J18*I5</f>
        <v>0.56118421052631573</v>
      </c>
      <c r="M18" s="5">
        <f>(J18/(1/M5))*N5</f>
        <v>6.6358976371684868</v>
      </c>
      <c r="N18" s="5">
        <f t="shared" ref="N18:N21" si="4">J18*M5</f>
        <v>0.71052631578947367</v>
      </c>
      <c r="O18" s="5">
        <f>(M18+K18)/2</f>
        <v>5.6047510101844438</v>
      </c>
    </row>
    <row r="19" spans="2:15" x14ac:dyDescent="0.25">
      <c r="H19" s="34">
        <v>4</v>
      </c>
      <c r="I19" s="4">
        <v>13.6</v>
      </c>
      <c r="J19" s="20">
        <f t="shared" si="1"/>
        <v>7.3529411764705885E-2</v>
      </c>
      <c r="K19" s="5">
        <f t="shared" si="2"/>
        <v>4.2632433962074323</v>
      </c>
      <c r="L19" s="5">
        <f t="shared" si="3"/>
        <v>0.5727941176470589</v>
      </c>
      <c r="M19" s="5">
        <f>(J19/(1/M6))*N6</f>
        <v>4.8460214726072204</v>
      </c>
      <c r="N19" s="5">
        <f t="shared" si="4"/>
        <v>0.6419117647058824</v>
      </c>
      <c r="O19" s="5">
        <f>(M19+K19)/2</f>
        <v>4.5546324344073259</v>
      </c>
    </row>
    <row r="20" spans="2:15" x14ac:dyDescent="0.25">
      <c r="H20" s="34">
        <v>5</v>
      </c>
      <c r="I20" s="4">
        <v>13.5</v>
      </c>
      <c r="J20" s="20">
        <f t="shared" si="1"/>
        <v>7.407407407407407E-2</v>
      </c>
      <c r="K20" s="5">
        <f t="shared" si="2"/>
        <v>4.0235837386509736</v>
      </c>
      <c r="L20" s="5">
        <f t="shared" si="3"/>
        <v>0.55851851851851853</v>
      </c>
      <c r="M20" s="5">
        <f>(J20/(1/M7))*N7</f>
        <v>5.2000984817999925</v>
      </c>
      <c r="N20" s="5">
        <f t="shared" si="4"/>
        <v>0.66740740740740734</v>
      </c>
      <c r="O20" s="5">
        <f>(M20+K20)/2</f>
        <v>4.611841110225483</v>
      </c>
    </row>
    <row r="21" spans="2:15" x14ac:dyDescent="0.25">
      <c r="H21" s="34">
        <v>6</v>
      </c>
      <c r="I21" s="4">
        <v>13.4</v>
      </c>
      <c r="J21" s="20">
        <f t="shared" si="1"/>
        <v>7.4626865671641784E-2</v>
      </c>
      <c r="K21" s="5">
        <f t="shared" si="2"/>
        <v>4.1292258379845839</v>
      </c>
      <c r="L21" s="5">
        <f t="shared" si="3"/>
        <v>0.56791044776119404</v>
      </c>
      <c r="M21" s="5">
        <f>(J21/(1/M8))*N8</f>
        <v>5.1578177730104526</v>
      </c>
      <c r="N21" s="5">
        <f t="shared" si="4"/>
        <v>0.66716417910447756</v>
      </c>
      <c r="O21" s="5">
        <f>(M21+K21)/2</f>
        <v>4.6435218054975183</v>
      </c>
    </row>
  </sheetData>
  <mergeCells count="13">
    <mergeCell ref="B10:B11"/>
    <mergeCell ref="B12:B13"/>
    <mergeCell ref="B16:B17"/>
    <mergeCell ref="I2:L2"/>
    <mergeCell ref="M2:P2"/>
    <mergeCell ref="J13:L13"/>
    <mergeCell ref="B2:F2"/>
    <mergeCell ref="B3:B4"/>
    <mergeCell ref="E3:F3"/>
    <mergeCell ref="B5:B6"/>
    <mergeCell ref="E5:F5"/>
    <mergeCell ref="E7:F7"/>
    <mergeCell ref="I15:O1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Countrates</vt:lpstr>
      <vt:lpstr>Green</vt:lpstr>
      <vt:lpstr>Red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Hemmenk</dc:creator>
  <cp:lastModifiedBy>Hemmenk</cp:lastModifiedBy>
  <dcterms:created xsi:type="dcterms:W3CDTF">2020-07-22T06:04:28Z</dcterms:created>
  <dcterms:modified xsi:type="dcterms:W3CDTF">2021-05-26T10:02:16Z</dcterms:modified>
</cp:coreProperties>
</file>