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 SEMESTRE - CONTADURÍA PÚBLICA\CONTABILIDAD GENERAL\"/>
    </mc:Choice>
  </mc:AlternateContent>
  <xr:revisionPtr revIDLastSave="0" documentId="13_ncr:1_{E7EF119E-6014-4797-A6FD-CAAC2D7BBE1D}" xr6:coauthVersionLast="47" xr6:coauthVersionMax="47" xr10:uidLastSave="{00000000-0000-0000-0000-000000000000}"/>
  <bookViews>
    <workbookView xWindow="-120" yWindow="-120" windowWidth="20730" windowHeight="11160" firstSheet="1" activeTab="4" xr2:uid="{3AE862CF-36A5-4BAE-8333-F21E91987FFF}"/>
  </bookViews>
  <sheets>
    <sheet name="Registros contables " sheetId="1" r:id="rId1"/>
    <sheet name="Mayorización " sheetId="2" r:id="rId2"/>
    <sheet name="Ajustes " sheetId="3" r:id="rId3"/>
    <sheet name="Estado de Resultados " sheetId="5" r:id="rId4"/>
    <sheet name="Estado de s. financiera" sheetId="7" r:id="rId5"/>
    <sheet name="Revelaciones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5" l="1"/>
  <c r="F10" i="5"/>
  <c r="F17" i="5" s="1"/>
  <c r="K17" i="7" s="1"/>
  <c r="E27" i="3"/>
  <c r="G18" i="3" l="1"/>
  <c r="H18" i="3" s="1"/>
  <c r="G16" i="3"/>
  <c r="H16" i="3" s="1"/>
  <c r="H19" i="3" s="1"/>
  <c r="I20" i="2"/>
  <c r="J13" i="2"/>
  <c r="I23" i="2"/>
  <c r="K20" i="2" l="1"/>
  <c r="D48" i="1" l="1"/>
  <c r="E25" i="3" l="1"/>
  <c r="E22" i="3"/>
  <c r="J19" i="2" s="1"/>
  <c r="F8" i="3"/>
  <c r="G8" i="3" s="1"/>
  <c r="F7" i="3"/>
  <c r="G7" i="3" s="1"/>
  <c r="G10" i="2"/>
  <c r="K10" i="2" s="1"/>
  <c r="F16" i="7" s="1"/>
  <c r="K23" i="2"/>
  <c r="H8" i="2"/>
  <c r="H6" i="2"/>
  <c r="H4" i="2"/>
  <c r="C24" i="2"/>
  <c r="D24" i="2"/>
  <c r="E13" i="2"/>
  <c r="F4" i="2"/>
  <c r="E4" i="2"/>
  <c r="F15" i="2"/>
  <c r="H15" i="2" s="1"/>
  <c r="L15" i="2" s="1"/>
  <c r="K16" i="7" s="1"/>
  <c r="K18" i="7" s="1"/>
  <c r="E17" i="2"/>
  <c r="G17" i="2" s="1"/>
  <c r="K17" i="2" s="1"/>
  <c r="E11" i="2"/>
  <c r="E9" i="2"/>
  <c r="G9" i="2" s="1"/>
  <c r="K9" i="2" s="1"/>
  <c r="F17" i="7" s="1"/>
  <c r="E49" i="1"/>
  <c r="E44" i="1"/>
  <c r="E42" i="1"/>
  <c r="D40" i="1"/>
  <c r="D41" i="1" s="1"/>
  <c r="E43" i="1" s="1"/>
  <c r="D36" i="1"/>
  <c r="E37" i="1" s="1"/>
  <c r="F8" i="2" s="1"/>
  <c r="E32" i="1"/>
  <c r="E33" i="1" s="1"/>
  <c r="D28" i="1"/>
  <c r="E26" i="1"/>
  <c r="E27" i="1" s="1"/>
  <c r="J18" i="1"/>
  <c r="E19" i="3" l="1"/>
  <c r="D18" i="3"/>
  <c r="E17" i="3"/>
  <c r="D16" i="3"/>
  <c r="I21" i="2" s="1"/>
  <c r="E31" i="1"/>
  <c r="D38" i="1" s="1"/>
  <c r="E45" i="1"/>
  <c r="F14" i="2" s="1"/>
  <c r="H14" i="2" s="1"/>
  <c r="L14" i="2" s="1"/>
  <c r="K12" i="7" s="1"/>
  <c r="E18" i="2"/>
  <c r="G18" i="2" s="1"/>
  <c r="K18" i="2" s="1"/>
  <c r="F16" i="2"/>
  <c r="H16" i="2" s="1"/>
  <c r="L16" i="2" s="1"/>
  <c r="D29" i="1"/>
  <c r="E14" i="2" s="1"/>
  <c r="E8" i="2"/>
  <c r="G8" i="2" s="1"/>
  <c r="K8" i="2" s="1"/>
  <c r="D46" i="1"/>
  <c r="D47" i="1" s="1"/>
  <c r="D50" i="1" s="1"/>
  <c r="L19" i="2"/>
  <c r="K13" i="7" s="1"/>
  <c r="E30" i="1"/>
  <c r="H11" i="2"/>
  <c r="G4" i="2"/>
  <c r="K4" i="2" s="1"/>
  <c r="D34" i="1"/>
  <c r="E7" i="2" s="1"/>
  <c r="G7" i="2" s="1"/>
  <c r="K7" i="2" s="1"/>
  <c r="F11" i="7" s="1"/>
  <c r="E5" i="2" l="1"/>
  <c r="E51" i="1"/>
  <c r="F6" i="2" s="1"/>
  <c r="F12" i="2"/>
  <c r="J22" i="2"/>
  <c r="I24" i="2"/>
  <c r="K21" i="2"/>
  <c r="D35" i="1"/>
  <c r="E6" i="2" s="1"/>
  <c r="G6" i="2" s="1"/>
  <c r="K6" i="2" s="1"/>
  <c r="F10" i="7" s="1"/>
  <c r="F13" i="2"/>
  <c r="H13" i="2" s="1"/>
  <c r="L13" i="2" s="1"/>
  <c r="K11" i="7" s="1"/>
  <c r="E12" i="2"/>
  <c r="E39" i="1"/>
  <c r="F5" i="2" s="1"/>
  <c r="F24" i="2" s="1"/>
  <c r="L11" i="2"/>
  <c r="F12" i="7"/>
  <c r="F18" i="7" l="1"/>
  <c r="F19" i="7" s="1"/>
  <c r="L22" i="2"/>
  <c r="J24" i="2"/>
  <c r="H12" i="2"/>
  <c r="G5" i="2"/>
  <c r="E24" i="2"/>
  <c r="D65" i="1"/>
  <c r="E65" i="1"/>
  <c r="K9" i="7"/>
  <c r="L12" i="2" l="1"/>
  <c r="H24" i="2"/>
  <c r="K5" i="2"/>
  <c r="G24" i="2"/>
  <c r="K24" i="2" l="1"/>
  <c r="F9" i="7"/>
  <c r="F13" i="7" s="1"/>
  <c r="F20" i="7" s="1"/>
  <c r="K10" i="7"/>
  <c r="K14" i="7" s="1"/>
  <c r="K19" i="7" s="1"/>
  <c r="M19" i="7" s="1"/>
  <c r="L24" i="2"/>
  <c r="N24" i="2" s="1"/>
</calcChain>
</file>

<file path=xl/sharedStrings.xml><?xml version="1.0" encoding="utf-8"?>
<sst xmlns="http://schemas.openxmlformats.org/spreadsheetml/2006/main" count="205" uniqueCount="133">
  <si>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 vincula el socio A y aporta $3.000.000 en un cheque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</si>
  <si>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 vincula el socio B y aporta $3.000.000 en efectivo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</si>
  <si>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Se adquiere equipo de cómputo por $2.500.000 para pagar en 30 días, aplica IVA y retención en la fuente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</si>
  <si>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empresa compra 80 unidades de bolsos para dama a 70.000 unidad pago en 30 días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</si>
  <si>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 la compra anterior la empresa vende 30 unidades a $130.000 c/u. Pago en 30 días.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</si>
  <si>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Vencido el plazo la empresa cancela la factura con cheque de Bancolombia 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</si>
  <si>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 empresa compra 50 unidades de bolsos manos libres para caballeros a 50.000 unidad, a crédito de 30 días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</si>
  <si>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La empresa vende 30 unidades de manos libres a $120.000 unidad a crédito 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</si>
  <si>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El cliente cancela la factura anterior mediante transferencia electrónica 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</si>
  <si>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traslada $1.000.000 del banco de Colombia al banco de Bogotá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</si>
  <si>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deposita en el banco de Colombia $2.000.000 que tenía en efectivo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</si>
  <si>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constituye fondo de caja menor por $300.000 gira cheque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</si>
  <si>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abona capital $500.000 de un préstamo bancario a banco de occidente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</si>
  <si>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cancela retención en la fuente por $300.000 con cheque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</si>
  <si>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 empresa cancela arriendo del local por $1.000.000. gira cheque de banco occidente</t>
    </r>
  </si>
  <si>
    <t>1.</t>
  </si>
  <si>
    <t>CÓDIGO</t>
  </si>
  <si>
    <t>CUENTA</t>
  </si>
  <si>
    <t xml:space="preserve">DEBE </t>
  </si>
  <si>
    <t>HABER</t>
  </si>
  <si>
    <t>CAJA</t>
  </si>
  <si>
    <t>APORTES SOCIALES</t>
  </si>
  <si>
    <t>EQUIPO DE CÓMPUTO</t>
  </si>
  <si>
    <t>RET. FUENTE</t>
  </si>
  <si>
    <t>PROVEEDORES</t>
  </si>
  <si>
    <t>MERCANCÍAS</t>
  </si>
  <si>
    <t>IVA</t>
  </si>
  <si>
    <t>VENTAS</t>
  </si>
  <si>
    <t>IVA POR PGAR</t>
  </si>
  <si>
    <t>CLIENTES</t>
  </si>
  <si>
    <t>COSTO DE VENTAS</t>
  </si>
  <si>
    <t>BANCOS</t>
  </si>
  <si>
    <t>BANCOS DE BOGOTÁ</t>
  </si>
  <si>
    <t>BANCO DE COLOMBIA</t>
  </si>
  <si>
    <t>caja</t>
  </si>
  <si>
    <t>PASIVOS FINANCIER</t>
  </si>
  <si>
    <t>BANCOS OCCIDENTE</t>
  </si>
  <si>
    <t>GASTOS ARRIENDO</t>
  </si>
  <si>
    <t xml:space="preserve">BALANCE DE COMPROBACIÓN </t>
  </si>
  <si>
    <t>CODIGO</t>
  </si>
  <si>
    <t>DEBE</t>
  </si>
  <si>
    <t>MERCANCIAS</t>
  </si>
  <si>
    <t xml:space="preserve"> </t>
  </si>
  <si>
    <t>RETENCIÓN EN LA FUENTE</t>
  </si>
  <si>
    <t>PASIVOS FINANCIEROS</t>
  </si>
  <si>
    <t>RETE. FUENTE POR PAGAR</t>
  </si>
  <si>
    <t>IVA POR PAGAR</t>
  </si>
  <si>
    <t>Saldos iniciales</t>
  </si>
  <si>
    <t>Muebles y Enseres</t>
  </si>
  <si>
    <t xml:space="preserve">Movimiento del mes </t>
  </si>
  <si>
    <t xml:space="preserve">AJUSTES </t>
  </si>
  <si>
    <t>Ajustes</t>
  </si>
  <si>
    <t>Depreciar los activos fijos por el método de línea recta</t>
  </si>
  <si>
    <t>Causar honorarios al revisor fiscal por $500.000 R. fuente 10%</t>
  </si>
  <si>
    <t>Causar servicios públicos: acuecto y alcantanrillado $150.000, energía $80.000</t>
  </si>
  <si>
    <t>muebles y enseres</t>
  </si>
  <si>
    <t>Equipo de cómputo</t>
  </si>
  <si>
    <t xml:space="preserve">Depre = </t>
  </si>
  <si>
    <t xml:space="preserve">COSTO ACTIVO/AÑOS VIDA ÚTIL </t>
  </si>
  <si>
    <t xml:space="preserve">añOS </t>
  </si>
  <si>
    <t xml:space="preserve">VR. AÑO </t>
  </si>
  <si>
    <t>MENSUAL</t>
  </si>
  <si>
    <t xml:space="preserve">Gstos depreciación </t>
  </si>
  <si>
    <t>Depre. Acumulada</t>
  </si>
  <si>
    <t xml:space="preserve">Honorarios </t>
  </si>
  <si>
    <t>Ret. Fuente</t>
  </si>
  <si>
    <t>Costos y gastos por pgar</t>
  </si>
  <si>
    <t>Servicios acueducto</t>
  </si>
  <si>
    <t>Servie. Energía</t>
  </si>
  <si>
    <t>Balance preajustado</t>
  </si>
  <si>
    <t xml:space="preserve">GASTOS ARRIENDO </t>
  </si>
  <si>
    <t>GASTOS DEPRECIACION</t>
  </si>
  <si>
    <t>DEPRECIACIÓN ACUMULADA</t>
  </si>
  <si>
    <t>GASTOS HONORARIOS</t>
  </si>
  <si>
    <t>COSTOS Y GASTOS POR PAGA</t>
  </si>
  <si>
    <t xml:space="preserve">GASTOS SERVICIOS </t>
  </si>
  <si>
    <t>BALANCE AJUSTADO</t>
  </si>
  <si>
    <t xml:space="preserve">CAJA MENOR </t>
  </si>
  <si>
    <t>VALOR</t>
  </si>
  <si>
    <t>anual/12</t>
  </si>
  <si>
    <t>vr. Anual</t>
  </si>
  <si>
    <t>vr.mensual</t>
  </si>
  <si>
    <t>MY ENSERES</t>
  </si>
  <si>
    <t>E. COMPUTO</t>
  </si>
  <si>
    <t>Arrendamientos</t>
  </si>
  <si>
    <t>EMPRESA XY</t>
  </si>
  <si>
    <t xml:space="preserve">NIT NO. </t>
  </si>
  <si>
    <t>Estado de Resultados</t>
  </si>
  <si>
    <t>Del 1 al 30 de …</t>
  </si>
  <si>
    <t>Ingresos Ordinaros</t>
  </si>
  <si>
    <t>Ventas</t>
  </si>
  <si>
    <t>Ganancia bruta</t>
  </si>
  <si>
    <t>(-)Costo de ventas</t>
  </si>
  <si>
    <t>Honorarios</t>
  </si>
  <si>
    <t>Acueducto</t>
  </si>
  <si>
    <t>Energía</t>
  </si>
  <si>
    <t>Depreciaciones</t>
  </si>
  <si>
    <t>ACTIVOS</t>
  </si>
  <si>
    <t xml:space="preserve">ACTIVO CORRIENTE </t>
  </si>
  <si>
    <t>Efectivo y Equivalentes de efectivo</t>
  </si>
  <si>
    <t>Clientes</t>
  </si>
  <si>
    <t>Anticipo Impuestos R.Fuente</t>
  </si>
  <si>
    <t>Mercancías</t>
  </si>
  <si>
    <t xml:space="preserve">Total activo corriente </t>
  </si>
  <si>
    <t>ACTIVO NO CORRIENTE</t>
  </si>
  <si>
    <t>Muebles y enseres</t>
  </si>
  <si>
    <t>Equipo de Cómputo</t>
  </si>
  <si>
    <t>TOTAL ACTIVO NO CORRIENTE</t>
  </si>
  <si>
    <t>Total ACTIVOS</t>
  </si>
  <si>
    <t>PASIVOS</t>
  </si>
  <si>
    <t>PASIVO CORRIENTE</t>
  </si>
  <si>
    <t>Pasivos Financieros</t>
  </si>
  <si>
    <t>Proveedores</t>
  </si>
  <si>
    <t>Retefuente por pagar</t>
  </si>
  <si>
    <t>Iva por pagar</t>
  </si>
  <si>
    <t>Costos y gastos por pagar</t>
  </si>
  <si>
    <t>Total pasivo corriente</t>
  </si>
  <si>
    <t>PATRIMONIO</t>
  </si>
  <si>
    <t>Aportes sociales</t>
  </si>
  <si>
    <t>Utilidad</t>
  </si>
  <si>
    <t xml:space="preserve">Total patrimonio </t>
  </si>
  <si>
    <t>Total pasivo y patrimonio</t>
  </si>
  <si>
    <t xml:space="preserve">Menos Depre. Acumulada </t>
  </si>
  <si>
    <t xml:space="preserve">Gerente </t>
  </si>
  <si>
    <t xml:space="preserve">Contador </t>
  </si>
  <si>
    <t>T.P. No. 55828-T</t>
  </si>
  <si>
    <t xml:space="preserve">Estado de Situación Financiera </t>
  </si>
  <si>
    <t>NIT NO. 800-434 200-2</t>
  </si>
  <si>
    <t>Causar arrendamientos por $1000000</t>
  </si>
  <si>
    <t>Gerente</t>
  </si>
  <si>
    <t xml:space="preserve">T.P. </t>
  </si>
  <si>
    <t>GASTOS DE ADMINISTRACIÓN</t>
  </si>
  <si>
    <t>utilidad antes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</si>
</sst>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656565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 vertical="center" indent="5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0" fontId="0" fillId="2" borderId="1" xfId="0" applyFill="1" applyBorder="1"/>
    <xf numFmtId="164" fontId="0" fillId="2" borderId="1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0" fontId="0" fillId="5" borderId="1" xfId="0" applyFill="1" applyBorder="1"/>
    <xf numFmtId="164" fontId="0" fillId="5" borderId="1" xfId="1" applyNumberFormat="1" applyFont="1" applyFill="1" applyBorder="1"/>
    <xf numFmtId="0" fontId="0" fillId="6" borderId="1" xfId="0" applyFill="1" applyBorder="1"/>
    <xf numFmtId="164" fontId="0" fillId="6" borderId="1" xfId="1" applyNumberFormat="1" applyFont="1" applyFill="1" applyBorder="1"/>
    <xf numFmtId="0" fontId="0" fillId="7" borderId="1" xfId="0" applyFill="1" applyBorder="1"/>
    <xf numFmtId="164" fontId="0" fillId="7" borderId="1" xfId="1" applyNumberFormat="1" applyFont="1" applyFill="1" applyBorder="1"/>
    <xf numFmtId="0" fontId="0" fillId="8" borderId="1" xfId="0" applyFill="1" applyBorder="1"/>
    <xf numFmtId="164" fontId="0" fillId="8" borderId="1" xfId="1" applyNumberFormat="1" applyFont="1" applyFill="1" applyBorder="1"/>
    <xf numFmtId="0" fontId="0" fillId="9" borderId="1" xfId="0" applyFill="1" applyBorder="1"/>
    <xf numFmtId="164" fontId="0" fillId="9" borderId="1" xfId="1" applyNumberFormat="1" applyFont="1" applyFill="1" applyBorder="1"/>
    <xf numFmtId="0" fontId="0" fillId="10" borderId="1" xfId="0" applyFill="1" applyBorder="1"/>
    <xf numFmtId="164" fontId="0" fillId="10" borderId="1" xfId="1" applyNumberFormat="1" applyFont="1" applyFill="1" applyBorder="1"/>
    <xf numFmtId="0" fontId="0" fillId="11" borderId="1" xfId="0" applyFill="1" applyBorder="1"/>
    <xf numFmtId="164" fontId="0" fillId="11" borderId="1" xfId="1" applyNumberFormat="1" applyFont="1" applyFill="1" applyBorder="1"/>
    <xf numFmtId="0" fontId="0" fillId="12" borderId="1" xfId="0" applyFill="1" applyBorder="1"/>
    <xf numFmtId="164" fontId="0" fillId="12" borderId="1" xfId="1" applyNumberFormat="1" applyFont="1" applyFill="1" applyBorder="1"/>
    <xf numFmtId="0" fontId="0" fillId="13" borderId="1" xfId="0" applyFill="1" applyBorder="1"/>
    <xf numFmtId="164" fontId="0" fillId="13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1" applyNumberFormat="1" applyFont="1" applyFill="1" applyBorder="1"/>
    <xf numFmtId="164" fontId="0" fillId="0" borderId="1" xfId="0" applyNumberFormat="1" applyBorder="1"/>
    <xf numFmtId="0" fontId="4" fillId="0" borderId="0" xfId="0" applyFont="1" applyAlignment="1">
      <alignment horizontal="right" vertical="center" wrapText="1" indent="1"/>
    </xf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0" fillId="0" borderId="3" xfId="0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164" fontId="0" fillId="0" borderId="7" xfId="1" applyNumberFormat="1" applyFont="1" applyBorder="1"/>
    <xf numFmtId="0" fontId="2" fillId="0" borderId="0" xfId="0" applyFont="1" applyAlignment="1">
      <alignment horizontal="left"/>
    </xf>
    <xf numFmtId="164" fontId="2" fillId="0" borderId="0" xfId="1" applyNumberFormat="1" applyFont="1" applyBorder="1"/>
    <xf numFmtId="164" fontId="2" fillId="0" borderId="7" xfId="1" applyNumberFormat="1" applyFont="1" applyBorder="1"/>
    <xf numFmtId="164" fontId="0" fillId="0" borderId="8" xfId="1" applyNumberFormat="1" applyFont="1" applyBorder="1"/>
    <xf numFmtId="0" fontId="2" fillId="0" borderId="2" xfId="0" applyFont="1" applyBorder="1"/>
    <xf numFmtId="164" fontId="2" fillId="0" borderId="0" xfId="0" applyNumberFormat="1" applyFont="1"/>
    <xf numFmtId="0" fontId="0" fillId="0" borderId="9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164" fontId="0" fillId="0" borderId="7" xfId="0" applyNumberFormat="1" applyBorder="1"/>
    <xf numFmtId="164" fontId="2" fillId="0" borderId="7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BE9B-4799-47ED-9CFF-C27098567E4C}">
  <dimension ref="A2:J65"/>
  <sheetViews>
    <sheetView topLeftCell="A41" workbookViewId="0">
      <selection activeCell="F59" sqref="F59"/>
    </sheetView>
  </sheetViews>
  <sheetFormatPr baseColWidth="10" defaultRowHeight="15" x14ac:dyDescent="0.25"/>
  <cols>
    <col min="3" max="3" width="19.28515625" customWidth="1"/>
    <col min="4" max="5" width="13.140625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8" spans="1:10" x14ac:dyDescent="0.25">
      <c r="I18">
        <v>2500000</v>
      </c>
      <c r="J18">
        <f>I18*I19</f>
        <v>475000</v>
      </c>
    </row>
    <row r="19" spans="1:10" x14ac:dyDescent="0.25">
      <c r="I19" s="2">
        <v>0.19</v>
      </c>
    </row>
    <row r="20" spans="1:10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I20" s="3">
        <v>2.5000000000000001E-2</v>
      </c>
    </row>
    <row r="21" spans="1:10" x14ac:dyDescent="0.25">
      <c r="A21">
        <v>1</v>
      </c>
      <c r="B21" s="5">
        <v>1101</v>
      </c>
      <c r="C21" s="5" t="s">
        <v>20</v>
      </c>
      <c r="D21" s="6">
        <v>3000000</v>
      </c>
      <c r="E21" s="6"/>
    </row>
    <row r="22" spans="1:10" x14ac:dyDescent="0.25">
      <c r="B22" s="5">
        <v>3115</v>
      </c>
      <c r="C22" s="5" t="s">
        <v>21</v>
      </c>
      <c r="D22" s="6"/>
      <c r="E22" s="6">
        <v>3000000</v>
      </c>
    </row>
    <row r="23" spans="1:10" x14ac:dyDescent="0.25">
      <c r="A23">
        <v>2</v>
      </c>
      <c r="B23" s="7">
        <v>1101</v>
      </c>
      <c r="C23" s="7" t="s">
        <v>20</v>
      </c>
      <c r="D23" s="8">
        <v>3000000</v>
      </c>
      <c r="E23" s="8"/>
    </row>
    <row r="24" spans="1:10" x14ac:dyDescent="0.25">
      <c r="B24" s="7">
        <v>3115</v>
      </c>
      <c r="C24" s="7" t="s">
        <v>21</v>
      </c>
      <c r="D24" s="8"/>
      <c r="E24" s="8">
        <v>3000000</v>
      </c>
    </row>
    <row r="25" spans="1:10" x14ac:dyDescent="0.25">
      <c r="A25">
        <v>3</v>
      </c>
      <c r="B25" s="9"/>
      <c r="C25" s="9" t="s">
        <v>22</v>
      </c>
      <c r="D25" s="10">
        <v>2975000</v>
      </c>
      <c r="E25" s="10"/>
      <c r="G25" s="1" t="s">
        <v>2</v>
      </c>
    </row>
    <row r="26" spans="1:10" x14ac:dyDescent="0.25">
      <c r="B26" s="9">
        <v>2422</v>
      </c>
      <c r="C26" s="9" t="s">
        <v>23</v>
      </c>
      <c r="D26" s="10"/>
      <c r="E26" s="10">
        <f>2500000*2.5%</f>
        <v>62500</v>
      </c>
    </row>
    <row r="27" spans="1:10" x14ac:dyDescent="0.25">
      <c r="B27" s="9"/>
      <c r="C27" s="9" t="s">
        <v>24</v>
      </c>
      <c r="D27" s="10"/>
      <c r="E27" s="10">
        <f>D25-E26</f>
        <v>2912500</v>
      </c>
    </row>
    <row r="28" spans="1:10" x14ac:dyDescent="0.25">
      <c r="A28">
        <v>4</v>
      </c>
      <c r="B28" s="11">
        <v>1408</v>
      </c>
      <c r="C28" s="11" t="s">
        <v>25</v>
      </c>
      <c r="D28" s="12">
        <f>80*70000</f>
        <v>5600000</v>
      </c>
      <c r="E28" s="12"/>
      <c r="G28" s="1" t="s">
        <v>3</v>
      </c>
    </row>
    <row r="29" spans="1:10" x14ac:dyDescent="0.25">
      <c r="B29" s="11">
        <v>2422</v>
      </c>
      <c r="C29" s="11" t="s">
        <v>26</v>
      </c>
      <c r="D29" s="12">
        <f>D28*19%</f>
        <v>1064000</v>
      </c>
      <c r="E29" s="12"/>
    </row>
    <row r="30" spans="1:10" x14ac:dyDescent="0.25">
      <c r="B30" s="11">
        <v>23</v>
      </c>
      <c r="C30" s="11" t="s">
        <v>23</v>
      </c>
      <c r="D30" s="12"/>
      <c r="E30" s="12">
        <f>D28*2.5%</f>
        <v>140000</v>
      </c>
    </row>
    <row r="31" spans="1:10" x14ac:dyDescent="0.25">
      <c r="B31" s="11">
        <v>22</v>
      </c>
      <c r="C31" s="11" t="s">
        <v>24</v>
      </c>
      <c r="D31" s="12"/>
      <c r="E31" s="12">
        <f>D28+D29-E30</f>
        <v>6524000</v>
      </c>
    </row>
    <row r="32" spans="1:10" x14ac:dyDescent="0.25">
      <c r="A32">
        <v>5</v>
      </c>
      <c r="B32" s="13">
        <v>4</v>
      </c>
      <c r="C32" s="13" t="s">
        <v>27</v>
      </c>
      <c r="D32" s="14"/>
      <c r="E32" s="14">
        <f>30*130000</f>
        <v>3900000</v>
      </c>
      <c r="G32" s="1" t="s">
        <v>4</v>
      </c>
    </row>
    <row r="33" spans="1:7" x14ac:dyDescent="0.25">
      <c r="B33" s="13"/>
      <c r="C33" s="13" t="s">
        <v>28</v>
      </c>
      <c r="D33" s="14"/>
      <c r="E33" s="14">
        <f>E32*19%</f>
        <v>741000</v>
      </c>
    </row>
    <row r="34" spans="1:7" x14ac:dyDescent="0.25">
      <c r="B34" s="13">
        <v>1312</v>
      </c>
      <c r="C34" s="13" t="s">
        <v>23</v>
      </c>
      <c r="D34" s="14">
        <f>E32*2.5%</f>
        <v>97500</v>
      </c>
      <c r="E34" s="14"/>
    </row>
    <row r="35" spans="1:7" x14ac:dyDescent="0.25">
      <c r="B35" s="13">
        <v>1301</v>
      </c>
      <c r="C35" s="13" t="s">
        <v>29</v>
      </c>
      <c r="D35" s="14">
        <f>E32+E33-D34</f>
        <v>4543500</v>
      </c>
      <c r="E35" s="14"/>
    </row>
    <row r="36" spans="1:7" x14ac:dyDescent="0.25">
      <c r="B36" s="13">
        <v>61</v>
      </c>
      <c r="C36" s="13" t="s">
        <v>30</v>
      </c>
      <c r="D36" s="14">
        <f>30*70000</f>
        <v>2100000</v>
      </c>
      <c r="E36" s="14"/>
    </row>
    <row r="37" spans="1:7" x14ac:dyDescent="0.25">
      <c r="B37" s="13">
        <v>1408</v>
      </c>
      <c r="C37" s="13" t="s">
        <v>25</v>
      </c>
      <c r="D37" s="14"/>
      <c r="E37" s="14">
        <f>D36</f>
        <v>2100000</v>
      </c>
    </row>
    <row r="38" spans="1:7" x14ac:dyDescent="0.25">
      <c r="A38">
        <v>6</v>
      </c>
      <c r="B38" s="15">
        <v>2205</v>
      </c>
      <c r="C38" s="15" t="s">
        <v>24</v>
      </c>
      <c r="D38" s="16">
        <f>E31</f>
        <v>6524000</v>
      </c>
      <c r="E38" s="16"/>
      <c r="G38" s="1" t="s">
        <v>5</v>
      </c>
    </row>
    <row r="39" spans="1:7" x14ac:dyDescent="0.25">
      <c r="B39" s="15">
        <v>1102</v>
      </c>
      <c r="C39" s="15" t="s">
        <v>31</v>
      </c>
      <c r="D39" s="16"/>
      <c r="E39" s="16">
        <f>D38</f>
        <v>6524000</v>
      </c>
    </row>
    <row r="40" spans="1:7" x14ac:dyDescent="0.25">
      <c r="A40">
        <v>7</v>
      </c>
      <c r="B40" s="17">
        <v>1408</v>
      </c>
      <c r="C40" s="17" t="s">
        <v>25</v>
      </c>
      <c r="D40" s="18">
        <f>50*50000</f>
        <v>2500000</v>
      </c>
      <c r="E40" s="18"/>
      <c r="G40" s="1" t="s">
        <v>6</v>
      </c>
    </row>
    <row r="41" spans="1:7" x14ac:dyDescent="0.25">
      <c r="B41" s="17">
        <v>24</v>
      </c>
      <c r="C41" s="17" t="s">
        <v>26</v>
      </c>
      <c r="D41" s="18">
        <f>D40*19%</f>
        <v>475000</v>
      </c>
      <c r="E41" s="18"/>
    </row>
    <row r="42" spans="1:7" x14ac:dyDescent="0.25">
      <c r="B42" s="17">
        <v>23</v>
      </c>
      <c r="C42" s="17" t="s">
        <v>23</v>
      </c>
      <c r="D42" s="18"/>
      <c r="E42" s="18">
        <f>D40*2.5%</f>
        <v>62500</v>
      </c>
    </row>
    <row r="43" spans="1:7" x14ac:dyDescent="0.25">
      <c r="B43" s="17">
        <v>22</v>
      </c>
      <c r="C43" s="17" t="s">
        <v>24</v>
      </c>
      <c r="D43" s="18"/>
      <c r="E43" s="18">
        <f>D40+D41-E42</f>
        <v>2912500</v>
      </c>
    </row>
    <row r="44" spans="1:7" x14ac:dyDescent="0.25">
      <c r="A44">
        <v>8</v>
      </c>
      <c r="B44" s="19">
        <v>41</v>
      </c>
      <c r="C44" s="19" t="s">
        <v>27</v>
      </c>
      <c r="D44" s="20"/>
      <c r="E44" s="20">
        <f>30*120000</f>
        <v>3600000</v>
      </c>
      <c r="G44" s="1" t="s">
        <v>7</v>
      </c>
    </row>
    <row r="45" spans="1:7" x14ac:dyDescent="0.25">
      <c r="B45" s="19">
        <v>24</v>
      </c>
      <c r="C45" s="19" t="s">
        <v>26</v>
      </c>
      <c r="D45" s="20"/>
      <c r="E45" s="20">
        <f>E44*19%</f>
        <v>684000</v>
      </c>
    </row>
    <row r="46" spans="1:7" x14ac:dyDescent="0.25">
      <c r="B46" s="19">
        <v>13</v>
      </c>
      <c r="C46" s="19" t="s">
        <v>23</v>
      </c>
      <c r="D46" s="20">
        <f>E44*2.5%</f>
        <v>90000</v>
      </c>
      <c r="E46" s="20"/>
    </row>
    <row r="47" spans="1:7" x14ac:dyDescent="0.25">
      <c r="B47" s="19">
        <v>13</v>
      </c>
      <c r="C47" s="19" t="s">
        <v>29</v>
      </c>
      <c r="D47" s="20">
        <f>E44+E45-D46</f>
        <v>4194000</v>
      </c>
      <c r="E47" s="20"/>
    </row>
    <row r="48" spans="1:7" x14ac:dyDescent="0.25">
      <c r="B48" s="19">
        <v>61</v>
      </c>
      <c r="C48" s="19" t="s">
        <v>30</v>
      </c>
      <c r="D48" s="20">
        <f>30*50000</f>
        <v>1500000</v>
      </c>
      <c r="E48" s="20"/>
    </row>
    <row r="49" spans="1:7" x14ac:dyDescent="0.25">
      <c r="B49" s="19">
        <v>1408</v>
      </c>
      <c r="C49" s="19" t="s">
        <v>25</v>
      </c>
      <c r="D49" s="20"/>
      <c r="E49" s="20">
        <f>D48</f>
        <v>1500000</v>
      </c>
    </row>
    <row r="50" spans="1:7" x14ac:dyDescent="0.25">
      <c r="A50">
        <v>9</v>
      </c>
      <c r="B50" s="21">
        <v>1101</v>
      </c>
      <c r="C50" s="21" t="s">
        <v>31</v>
      </c>
      <c r="D50" s="22">
        <f>D47</f>
        <v>4194000</v>
      </c>
      <c r="E50" s="22"/>
      <c r="G50" s="1" t="s">
        <v>8</v>
      </c>
    </row>
    <row r="51" spans="1:7" x14ac:dyDescent="0.25">
      <c r="B51" s="21">
        <v>1301</v>
      </c>
      <c r="C51" s="21" t="s">
        <v>29</v>
      </c>
      <c r="D51" s="22"/>
      <c r="E51" s="22">
        <f>D50</f>
        <v>4194000</v>
      </c>
    </row>
    <row r="52" spans="1:7" x14ac:dyDescent="0.25">
      <c r="A52">
        <v>10</v>
      </c>
      <c r="B52" s="23">
        <v>1102</v>
      </c>
      <c r="C52" s="23" t="s">
        <v>32</v>
      </c>
      <c r="D52" s="24">
        <v>1000000</v>
      </c>
      <c r="E52" s="24"/>
      <c r="G52" s="1" t="s">
        <v>9</v>
      </c>
    </row>
    <row r="53" spans="1:7" x14ac:dyDescent="0.25">
      <c r="B53" s="23"/>
      <c r="C53" s="23" t="s">
        <v>33</v>
      </c>
      <c r="D53" s="24"/>
      <c r="E53" s="24">
        <v>1000000</v>
      </c>
      <c r="G53" s="1" t="s">
        <v>10</v>
      </c>
    </row>
    <row r="54" spans="1:7" x14ac:dyDescent="0.25">
      <c r="A54">
        <v>11</v>
      </c>
      <c r="B54" s="25">
        <v>1102</v>
      </c>
      <c r="C54" s="25" t="s">
        <v>33</v>
      </c>
      <c r="D54" s="26">
        <v>2000000</v>
      </c>
      <c r="E54" s="26"/>
    </row>
    <row r="55" spans="1:7" x14ac:dyDescent="0.25">
      <c r="B55" s="25">
        <v>1101</v>
      </c>
      <c r="C55" s="25" t="s">
        <v>34</v>
      </c>
      <c r="D55" s="26"/>
      <c r="E55" s="26">
        <v>2000000</v>
      </c>
    </row>
    <row r="56" spans="1:7" x14ac:dyDescent="0.25">
      <c r="A56">
        <v>12</v>
      </c>
      <c r="B56" s="27">
        <v>1101</v>
      </c>
      <c r="C56" s="27" t="s">
        <v>20</v>
      </c>
      <c r="D56" s="28">
        <v>300000</v>
      </c>
      <c r="E56" s="28"/>
      <c r="G56" s="1" t="s">
        <v>11</v>
      </c>
    </row>
    <row r="57" spans="1:7" x14ac:dyDescent="0.25">
      <c r="B57" s="27">
        <v>110102</v>
      </c>
      <c r="C57" s="27" t="s">
        <v>77</v>
      </c>
      <c r="D57" s="28"/>
      <c r="E57" s="28"/>
      <c r="G57" s="1"/>
    </row>
    <row r="58" spans="1:7" x14ac:dyDescent="0.25">
      <c r="B58" s="27">
        <v>1102</v>
      </c>
      <c r="C58" s="27" t="s">
        <v>31</v>
      </c>
      <c r="D58" s="28"/>
      <c r="E58" s="28">
        <v>300000</v>
      </c>
    </row>
    <row r="59" spans="1:7" x14ac:dyDescent="0.25">
      <c r="A59">
        <v>13</v>
      </c>
      <c r="B59" s="29">
        <v>21</v>
      </c>
      <c r="C59" s="29" t="s">
        <v>35</v>
      </c>
      <c r="D59" s="30">
        <v>500000</v>
      </c>
      <c r="E59" s="30"/>
      <c r="G59" s="1" t="s">
        <v>12</v>
      </c>
    </row>
    <row r="60" spans="1:7" x14ac:dyDescent="0.25">
      <c r="B60" s="29">
        <v>1102</v>
      </c>
      <c r="C60" s="29" t="s">
        <v>36</v>
      </c>
      <c r="D60" s="30"/>
      <c r="E60" s="30">
        <v>500000</v>
      </c>
    </row>
    <row r="61" spans="1:7" x14ac:dyDescent="0.25">
      <c r="A61">
        <v>14</v>
      </c>
      <c r="B61" s="29">
        <v>23</v>
      </c>
      <c r="C61" s="29" t="s">
        <v>23</v>
      </c>
      <c r="D61" s="30">
        <v>300000</v>
      </c>
      <c r="E61" s="30"/>
      <c r="G61" s="1" t="s">
        <v>13</v>
      </c>
    </row>
    <row r="62" spans="1:7" x14ac:dyDescent="0.25">
      <c r="B62" s="29">
        <v>1102</v>
      </c>
      <c r="C62" s="29" t="s">
        <v>31</v>
      </c>
      <c r="D62" s="30"/>
      <c r="E62" s="30">
        <v>300000</v>
      </c>
    </row>
    <row r="63" spans="1:7" x14ac:dyDescent="0.25">
      <c r="A63">
        <v>15</v>
      </c>
      <c r="B63" s="29">
        <v>51</v>
      </c>
      <c r="C63" s="29" t="s">
        <v>37</v>
      </c>
      <c r="D63" s="30">
        <v>1000000</v>
      </c>
      <c r="E63" s="30"/>
      <c r="G63" s="1" t="s">
        <v>14</v>
      </c>
    </row>
    <row r="64" spans="1:7" x14ac:dyDescent="0.25">
      <c r="B64" s="29"/>
      <c r="C64" s="29" t="s">
        <v>31</v>
      </c>
      <c r="D64" s="30"/>
      <c r="E64" s="30">
        <v>1000000</v>
      </c>
    </row>
    <row r="65" spans="4:5" x14ac:dyDescent="0.25">
      <c r="D65" s="31">
        <f>SUM(D21:D64)</f>
        <v>46957000</v>
      </c>
      <c r="E65" s="31">
        <f>SUM(E21:E64)</f>
        <v>46957000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FC38-569B-42A1-9F77-F8E399766AED}">
  <dimension ref="A1:N31"/>
  <sheetViews>
    <sheetView workbookViewId="0">
      <selection activeCell="A20" sqref="A20"/>
    </sheetView>
  </sheetViews>
  <sheetFormatPr baseColWidth="10" defaultRowHeight="15" x14ac:dyDescent="0.25"/>
  <cols>
    <col min="2" max="2" width="25.85546875" customWidth="1"/>
    <col min="3" max="3" width="14.85546875" customWidth="1"/>
    <col min="4" max="4" width="13" customWidth="1"/>
    <col min="5" max="5" width="13.140625" bestFit="1" customWidth="1"/>
    <col min="6" max="6" width="14.140625" bestFit="1" customWidth="1"/>
  </cols>
  <sheetData>
    <row r="1" spans="1:12" x14ac:dyDescent="0.25">
      <c r="B1" s="37" t="s">
        <v>38</v>
      </c>
    </row>
    <row r="2" spans="1:12" x14ac:dyDescent="0.25">
      <c r="A2" s="29"/>
      <c r="B2" s="29"/>
      <c r="C2" s="57" t="s">
        <v>47</v>
      </c>
      <c r="D2" s="57"/>
      <c r="E2" s="57" t="s">
        <v>49</v>
      </c>
      <c r="F2" s="57"/>
      <c r="G2" s="57" t="s">
        <v>69</v>
      </c>
      <c r="H2" s="57"/>
      <c r="I2" s="57" t="s">
        <v>50</v>
      </c>
      <c r="J2" s="57"/>
      <c r="K2" s="57" t="s">
        <v>76</v>
      </c>
      <c r="L2" s="57"/>
    </row>
    <row r="3" spans="1:12" x14ac:dyDescent="0.25">
      <c r="A3" s="29" t="s">
        <v>39</v>
      </c>
      <c r="B3" s="29" t="s">
        <v>17</v>
      </c>
      <c r="C3" s="54" t="s">
        <v>18</v>
      </c>
      <c r="D3" s="54" t="s">
        <v>19</v>
      </c>
      <c r="E3" s="54" t="s">
        <v>40</v>
      </c>
      <c r="F3" s="54" t="s">
        <v>19</v>
      </c>
      <c r="G3" s="54" t="s">
        <v>40</v>
      </c>
      <c r="H3" s="54" t="s">
        <v>19</v>
      </c>
      <c r="I3" s="54" t="s">
        <v>40</v>
      </c>
      <c r="J3" s="54" t="s">
        <v>19</v>
      </c>
      <c r="K3" s="54" t="s">
        <v>40</v>
      </c>
      <c r="L3" s="54" t="s">
        <v>19</v>
      </c>
    </row>
    <row r="4" spans="1:12" x14ac:dyDescent="0.25">
      <c r="A4" s="29">
        <v>1101</v>
      </c>
      <c r="B4" s="29" t="s">
        <v>20</v>
      </c>
      <c r="C4" s="29"/>
      <c r="D4" s="29"/>
      <c r="E4" s="32">
        <f>'Registros contables '!D21+'Registros contables '!D23+'Registros contables '!D56</f>
        <v>6300000</v>
      </c>
      <c r="F4" s="32">
        <f>'Registros contables '!E55</f>
        <v>2000000</v>
      </c>
      <c r="G4" s="32">
        <f>C4+E4-F4</f>
        <v>4300000</v>
      </c>
      <c r="H4" s="32">
        <f>'Registros contables '!G55</f>
        <v>0</v>
      </c>
      <c r="I4" s="29"/>
      <c r="J4" s="29"/>
      <c r="K4" s="33">
        <f>G4+I4-J4</f>
        <v>4300000</v>
      </c>
      <c r="L4" s="29"/>
    </row>
    <row r="5" spans="1:12" x14ac:dyDescent="0.25">
      <c r="A5" s="29">
        <v>1102</v>
      </c>
      <c r="B5" s="29" t="s">
        <v>31</v>
      </c>
      <c r="C5" s="30">
        <v>3000000</v>
      </c>
      <c r="D5" s="30"/>
      <c r="E5" s="32">
        <f>'Registros contables '!D50+'Registros contables '!D52+'Registros contables '!D54</f>
        <v>7194000</v>
      </c>
      <c r="F5" s="32">
        <f>'Registros contables '!E39+'Registros contables '!E53+'Registros contables '!E58+'Registros contables '!E60+'Registros contables '!E62+'Registros contables '!E64</f>
        <v>9624000</v>
      </c>
      <c r="G5" s="32">
        <f t="shared" ref="G5:G18" si="0">C5+E5-F5</f>
        <v>570000</v>
      </c>
      <c r="H5" s="32"/>
      <c r="I5" s="29"/>
      <c r="J5" s="29"/>
      <c r="K5" s="33">
        <f t="shared" ref="K5:K18" si="1">G5+I5-J5</f>
        <v>570000</v>
      </c>
      <c r="L5" s="29"/>
    </row>
    <row r="6" spans="1:12" x14ac:dyDescent="0.25">
      <c r="A6" s="29">
        <v>13</v>
      </c>
      <c r="B6" s="29" t="s">
        <v>29</v>
      </c>
      <c r="C6" s="30"/>
      <c r="D6" s="30"/>
      <c r="E6" s="32">
        <f>'Registros contables '!D35+'Registros contables '!D47</f>
        <v>8737500</v>
      </c>
      <c r="F6" s="32">
        <f>'Registros contables '!E51</f>
        <v>4194000</v>
      </c>
      <c r="G6" s="32">
        <f>E6-F6</f>
        <v>4543500</v>
      </c>
      <c r="H6" s="32">
        <f>'Registros contables '!G51</f>
        <v>0</v>
      </c>
      <c r="I6" s="29"/>
      <c r="J6" s="29"/>
      <c r="K6" s="33">
        <f t="shared" si="1"/>
        <v>4543500</v>
      </c>
      <c r="L6" s="29"/>
    </row>
    <row r="7" spans="1:12" x14ac:dyDescent="0.25">
      <c r="A7" s="29">
        <v>1312</v>
      </c>
      <c r="B7" s="29" t="s">
        <v>43</v>
      </c>
      <c r="C7" s="30"/>
      <c r="D7" s="30"/>
      <c r="E7" s="32">
        <f>'Registros contables '!D34+'Registros contables '!D46</f>
        <v>187500</v>
      </c>
      <c r="F7" s="32"/>
      <c r="G7" s="32">
        <f t="shared" si="0"/>
        <v>187500</v>
      </c>
      <c r="H7" s="32"/>
      <c r="I7" s="29"/>
      <c r="J7" s="29"/>
      <c r="K7" s="33">
        <f t="shared" si="1"/>
        <v>187500</v>
      </c>
      <c r="L7" s="29"/>
    </row>
    <row r="8" spans="1:12" x14ac:dyDescent="0.25">
      <c r="A8" s="29">
        <v>1408</v>
      </c>
      <c r="B8" s="29" t="s">
        <v>41</v>
      </c>
      <c r="C8" s="30"/>
      <c r="D8" s="30"/>
      <c r="E8" s="32">
        <f>'Registros contables '!D28+'Registros contables '!D40</f>
        <v>8100000</v>
      </c>
      <c r="F8" s="32">
        <f>'Registros contables '!E49+'Registros contables '!E37</f>
        <v>3600000</v>
      </c>
      <c r="G8" s="32">
        <f t="shared" si="0"/>
        <v>4500000</v>
      </c>
      <c r="H8" s="32">
        <f>'Registros contables '!G49+'Registros contables '!G37</f>
        <v>0</v>
      </c>
      <c r="I8" s="29"/>
      <c r="J8" s="29"/>
      <c r="K8" s="33">
        <f t="shared" si="1"/>
        <v>4500000</v>
      </c>
      <c r="L8" s="29"/>
    </row>
    <row r="9" spans="1:12" x14ac:dyDescent="0.25">
      <c r="A9" s="29">
        <v>15</v>
      </c>
      <c r="B9" s="29" t="s">
        <v>22</v>
      </c>
      <c r="C9" s="30"/>
      <c r="D9" s="30"/>
      <c r="E9" s="32">
        <f>'Registros contables '!D25</f>
        <v>2975000</v>
      </c>
      <c r="F9" s="32"/>
      <c r="G9" s="32">
        <f t="shared" si="0"/>
        <v>2975000</v>
      </c>
      <c r="H9" s="32"/>
      <c r="I9" s="29"/>
      <c r="J9" s="29"/>
      <c r="K9" s="33">
        <f t="shared" si="1"/>
        <v>2975000</v>
      </c>
      <c r="L9" s="29"/>
    </row>
    <row r="10" spans="1:12" x14ac:dyDescent="0.25">
      <c r="A10" s="29"/>
      <c r="B10" s="29" t="s">
        <v>48</v>
      </c>
      <c r="C10" s="30">
        <v>3500000</v>
      </c>
      <c r="D10" s="30"/>
      <c r="E10" s="32"/>
      <c r="F10" s="32"/>
      <c r="G10" s="32">
        <f t="shared" si="0"/>
        <v>3500000</v>
      </c>
      <c r="H10" s="32"/>
      <c r="I10" s="29"/>
      <c r="J10" s="29"/>
      <c r="K10" s="33">
        <f t="shared" si="1"/>
        <v>3500000</v>
      </c>
      <c r="L10" s="29"/>
    </row>
    <row r="11" spans="1:12" x14ac:dyDescent="0.25">
      <c r="A11" s="29" t="s">
        <v>42</v>
      </c>
      <c r="B11" s="29" t="s">
        <v>44</v>
      </c>
      <c r="C11" s="30"/>
      <c r="D11" s="30">
        <v>1800000</v>
      </c>
      <c r="E11" s="32">
        <f>'Registros contables '!D59</f>
        <v>500000</v>
      </c>
      <c r="F11" s="32"/>
      <c r="G11" s="32"/>
      <c r="H11" s="32">
        <f>D11-E11</f>
        <v>1300000</v>
      </c>
      <c r="I11" s="29"/>
      <c r="J11" s="29"/>
      <c r="K11" s="33"/>
      <c r="L11" s="33">
        <f>H11+J11-I11</f>
        <v>1300000</v>
      </c>
    </row>
    <row r="12" spans="1:12" x14ac:dyDescent="0.25">
      <c r="A12" s="29"/>
      <c r="B12" s="29" t="s">
        <v>24</v>
      </c>
      <c r="C12" s="30"/>
      <c r="D12" s="30"/>
      <c r="E12" s="32">
        <f>'Registros contables '!D38</f>
        <v>6524000</v>
      </c>
      <c r="F12" s="32">
        <f>'Registros contables '!E27+'Registros contables '!E31+'Registros contables '!E43</f>
        <v>12349000</v>
      </c>
      <c r="G12" s="32"/>
      <c r="H12" s="32">
        <f>D12+F12-E12</f>
        <v>5825000</v>
      </c>
      <c r="I12" s="29"/>
      <c r="J12" s="29"/>
      <c r="K12" s="33"/>
      <c r="L12" s="33">
        <f t="shared" ref="L12:L19" si="2">H12+J12-I12</f>
        <v>5825000</v>
      </c>
    </row>
    <row r="13" spans="1:12" x14ac:dyDescent="0.25">
      <c r="A13" s="29"/>
      <c r="B13" s="29" t="s">
        <v>45</v>
      </c>
      <c r="C13" s="30"/>
      <c r="D13" s="30">
        <v>300000</v>
      </c>
      <c r="E13" s="32">
        <f>'Registros contables '!D61</f>
        <v>300000</v>
      </c>
      <c r="F13" s="32">
        <f>'Registros contables '!E26+'Registros contables '!E30+'Registros contables '!E42+'Registros contables '!A67</f>
        <v>265000</v>
      </c>
      <c r="G13" s="32"/>
      <c r="H13" s="32">
        <f>D13+F13-E13</f>
        <v>265000</v>
      </c>
      <c r="I13" s="29"/>
      <c r="J13" s="30">
        <f>'Ajustes '!E21</f>
        <v>50000</v>
      </c>
      <c r="K13" s="33"/>
      <c r="L13" s="33">
        <f>H13+J13</f>
        <v>315000</v>
      </c>
    </row>
    <row r="14" spans="1:12" x14ac:dyDescent="0.25">
      <c r="A14" s="29"/>
      <c r="B14" s="29" t="s">
        <v>46</v>
      </c>
      <c r="C14" s="30"/>
      <c r="D14" s="30">
        <v>1500000</v>
      </c>
      <c r="E14" s="32">
        <f>'Registros contables '!D29+'Registros contables '!D41</f>
        <v>1539000</v>
      </c>
      <c r="F14" s="32">
        <f>'Registros contables '!E33+'Registros contables '!E45</f>
        <v>1425000</v>
      </c>
      <c r="G14" s="32"/>
      <c r="H14" s="32">
        <f>D14+F14-E14</f>
        <v>1386000</v>
      </c>
      <c r="I14" s="29"/>
      <c r="J14" s="29"/>
      <c r="K14" s="33"/>
      <c r="L14" s="33">
        <f t="shared" si="2"/>
        <v>1386000</v>
      </c>
    </row>
    <row r="15" spans="1:12" x14ac:dyDescent="0.25">
      <c r="A15" s="29"/>
      <c r="B15" s="29" t="s">
        <v>21</v>
      </c>
      <c r="C15" s="30"/>
      <c r="D15" s="30">
        <v>2900000</v>
      </c>
      <c r="E15" s="32"/>
      <c r="F15" s="32">
        <f>'Registros contables '!E22+'Registros contables '!E24</f>
        <v>6000000</v>
      </c>
      <c r="G15" s="32"/>
      <c r="H15" s="32">
        <f t="shared" ref="H15:H16" si="3">D15+F15-E15</f>
        <v>8900000</v>
      </c>
      <c r="I15" s="29"/>
      <c r="J15" s="29"/>
      <c r="K15" s="33"/>
      <c r="L15" s="33">
        <f t="shared" si="2"/>
        <v>8900000</v>
      </c>
    </row>
    <row r="16" spans="1:12" x14ac:dyDescent="0.25">
      <c r="A16" s="29"/>
      <c r="B16" s="29" t="s">
        <v>27</v>
      </c>
      <c r="C16" s="30"/>
      <c r="D16" s="30"/>
      <c r="E16" s="32"/>
      <c r="F16" s="32">
        <f>'Registros contables '!E32+'Registros contables '!E44</f>
        <v>7500000</v>
      </c>
      <c r="G16" s="32"/>
      <c r="H16" s="32">
        <f t="shared" si="3"/>
        <v>7500000</v>
      </c>
      <c r="I16" s="29"/>
      <c r="J16" s="29"/>
      <c r="K16" s="33"/>
      <c r="L16" s="33">
        <f t="shared" si="2"/>
        <v>7500000</v>
      </c>
    </row>
    <row r="17" spans="1:14" x14ac:dyDescent="0.25">
      <c r="A17" s="29"/>
      <c r="B17" s="29" t="s">
        <v>70</v>
      </c>
      <c r="C17" s="30"/>
      <c r="D17" s="30"/>
      <c r="E17" s="32">
        <f>'Registros contables '!D63</f>
        <v>1000000</v>
      </c>
      <c r="F17" s="32"/>
      <c r="G17" s="32">
        <f t="shared" si="0"/>
        <v>1000000</v>
      </c>
      <c r="H17" s="32"/>
      <c r="I17" s="29"/>
      <c r="J17" s="29"/>
      <c r="K17" s="33">
        <f t="shared" si="1"/>
        <v>1000000</v>
      </c>
      <c r="L17" s="33"/>
    </row>
    <row r="18" spans="1:14" x14ac:dyDescent="0.25">
      <c r="A18" s="29"/>
      <c r="B18" s="29" t="s">
        <v>30</v>
      </c>
      <c r="C18" s="30"/>
      <c r="D18" s="30"/>
      <c r="E18" s="32">
        <f>'Registros contables '!D48+'Registros contables '!D36</f>
        <v>3600000</v>
      </c>
      <c r="F18" s="32"/>
      <c r="G18" s="32">
        <f t="shared" si="0"/>
        <v>3600000</v>
      </c>
      <c r="H18" s="32"/>
      <c r="I18" s="29"/>
      <c r="J18" s="29"/>
      <c r="K18" s="33">
        <f t="shared" si="1"/>
        <v>3600000</v>
      </c>
      <c r="L18" s="33"/>
    </row>
    <row r="19" spans="1:14" x14ac:dyDescent="0.25">
      <c r="A19" s="29"/>
      <c r="B19" s="29" t="s">
        <v>74</v>
      </c>
      <c r="C19" s="30"/>
      <c r="D19" s="30"/>
      <c r="E19" s="32"/>
      <c r="F19" s="32"/>
      <c r="G19" s="32"/>
      <c r="H19" s="32"/>
      <c r="I19" s="29"/>
      <c r="J19" s="33">
        <f>'Ajustes '!E22+'Ajustes '!E25+E19</f>
        <v>680000</v>
      </c>
      <c r="K19" s="33"/>
      <c r="L19" s="33">
        <f t="shared" si="2"/>
        <v>680000</v>
      </c>
    </row>
    <row r="20" spans="1:14" x14ac:dyDescent="0.25">
      <c r="A20" s="29"/>
      <c r="B20" s="29" t="s">
        <v>75</v>
      </c>
      <c r="C20" s="30"/>
      <c r="D20" s="30"/>
      <c r="E20" s="32"/>
      <c r="F20" s="32"/>
      <c r="G20" s="32"/>
      <c r="H20" s="32"/>
      <c r="I20" s="30">
        <f>'Ajustes '!D23+'Ajustes '!D24</f>
        <v>230000</v>
      </c>
      <c r="J20" s="29"/>
      <c r="K20" s="33">
        <f>I20-J20</f>
        <v>230000</v>
      </c>
      <c r="L20" s="33"/>
    </row>
    <row r="21" spans="1:14" x14ac:dyDescent="0.25">
      <c r="A21" s="29"/>
      <c r="B21" s="29" t="s">
        <v>71</v>
      </c>
      <c r="C21" s="30"/>
      <c r="D21" s="30"/>
      <c r="E21" s="30"/>
      <c r="F21" s="30"/>
      <c r="G21" s="32"/>
      <c r="H21" s="30"/>
      <c r="I21" s="30">
        <f>'Ajustes '!D16+'Ajustes '!D18</f>
        <v>78750</v>
      </c>
      <c r="J21" s="29"/>
      <c r="K21" s="33">
        <f>I21-J21</f>
        <v>78750</v>
      </c>
      <c r="L21" s="33"/>
    </row>
    <row r="22" spans="1:14" x14ac:dyDescent="0.25">
      <c r="A22" s="29"/>
      <c r="B22" s="29" t="s">
        <v>72</v>
      </c>
      <c r="C22" s="30"/>
      <c r="D22" s="30"/>
      <c r="E22" s="30"/>
      <c r="F22" s="30"/>
      <c r="G22" s="32"/>
      <c r="H22" s="30"/>
      <c r="I22" s="29"/>
      <c r="J22" s="33">
        <f>I21</f>
        <v>78750</v>
      </c>
      <c r="K22" s="33"/>
      <c r="L22" s="33">
        <f>J22</f>
        <v>78750</v>
      </c>
    </row>
    <row r="23" spans="1:14" x14ac:dyDescent="0.25">
      <c r="A23" s="29"/>
      <c r="B23" s="29" t="s">
        <v>73</v>
      </c>
      <c r="C23" s="30"/>
      <c r="D23" s="30"/>
      <c r="E23" s="30"/>
      <c r="F23" s="30"/>
      <c r="G23" s="32"/>
      <c r="H23" s="30"/>
      <c r="I23" s="30">
        <f>'Ajustes '!D20</f>
        <v>500000</v>
      </c>
      <c r="J23" s="29"/>
      <c r="K23" s="33">
        <f t="shared" ref="K23" si="4">G23+I23-J23</f>
        <v>500000</v>
      </c>
      <c r="L23" s="33"/>
    </row>
    <row r="24" spans="1:14" x14ac:dyDescent="0.25">
      <c r="A24" s="29"/>
      <c r="B24" s="29"/>
      <c r="C24" s="30">
        <f>SUM(C5:C23)</f>
        <v>6500000</v>
      </c>
      <c r="D24" s="30">
        <f>SUM(D5:D23)</f>
        <v>6500000</v>
      </c>
      <c r="E24" s="30">
        <f>SUM(E4:E23)</f>
        <v>46957000</v>
      </c>
      <c r="F24" s="30">
        <f>SUM(F4:F23)</f>
        <v>46957000</v>
      </c>
      <c r="G24" s="32">
        <f>SUM(G4:G23)</f>
        <v>25176000</v>
      </c>
      <c r="H24" s="30">
        <f>SUM(H4:H23)</f>
        <v>25176000</v>
      </c>
      <c r="I24" s="33">
        <f>SUM(I13:I23)</f>
        <v>808750</v>
      </c>
      <c r="J24" s="30">
        <f>SUM(J13:J23)</f>
        <v>808750</v>
      </c>
      <c r="K24" s="33">
        <f>SUM(K4:K23)</f>
        <v>25984750</v>
      </c>
      <c r="L24" s="33">
        <f>SUM(L4:L23)</f>
        <v>25984750</v>
      </c>
      <c r="N24" s="31">
        <f>K24-L24</f>
        <v>0</v>
      </c>
    </row>
    <row r="27" spans="1:14" x14ac:dyDescent="0.25">
      <c r="B27" t="s">
        <v>51</v>
      </c>
    </row>
    <row r="28" spans="1:14" x14ac:dyDescent="0.25">
      <c r="B28" t="s">
        <v>52</v>
      </c>
    </row>
    <row r="29" spans="1:14" x14ac:dyDescent="0.25">
      <c r="B29" t="s">
        <v>53</v>
      </c>
    </row>
    <row r="30" spans="1:14" x14ac:dyDescent="0.25">
      <c r="B30" t="s">
        <v>54</v>
      </c>
    </row>
    <row r="31" spans="1:14" x14ac:dyDescent="0.25">
      <c r="B31" t="s">
        <v>128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953B-6CAE-434E-9803-D6CD943B6F2F}">
  <dimension ref="A1:I28"/>
  <sheetViews>
    <sheetView topLeftCell="A10" workbookViewId="0">
      <selection activeCell="H18" sqref="H18"/>
    </sheetView>
  </sheetViews>
  <sheetFormatPr baseColWidth="10" defaultRowHeight="15" x14ac:dyDescent="0.25"/>
  <cols>
    <col min="3" max="3" width="22.85546875" customWidth="1"/>
    <col min="4" max="4" width="13.140625" bestFit="1" customWidth="1"/>
  </cols>
  <sheetData>
    <row r="1" spans="1:9" x14ac:dyDescent="0.25">
      <c r="A1" s="34"/>
    </row>
    <row r="2" spans="1:9" x14ac:dyDescent="0.25">
      <c r="A2" t="s">
        <v>51</v>
      </c>
    </row>
    <row r="3" spans="1:9" x14ac:dyDescent="0.25">
      <c r="A3" t="s">
        <v>52</v>
      </c>
    </row>
    <row r="4" spans="1:9" x14ac:dyDescent="0.25">
      <c r="A4" t="s">
        <v>53</v>
      </c>
    </row>
    <row r="5" spans="1:9" x14ac:dyDescent="0.25">
      <c r="A5" t="s">
        <v>54</v>
      </c>
    </row>
    <row r="6" spans="1:9" x14ac:dyDescent="0.25">
      <c r="E6" t="s">
        <v>59</v>
      </c>
      <c r="F6" t="s">
        <v>60</v>
      </c>
      <c r="G6" t="s">
        <v>61</v>
      </c>
    </row>
    <row r="7" spans="1:9" x14ac:dyDescent="0.25">
      <c r="B7" t="s">
        <v>55</v>
      </c>
      <c r="D7" s="4">
        <v>3500000</v>
      </c>
      <c r="E7">
        <v>10</v>
      </c>
      <c r="F7" s="31">
        <f>D7/10</f>
        <v>350000</v>
      </c>
      <c r="G7" s="31">
        <f>F7/12</f>
        <v>29166.666666666668</v>
      </c>
    </row>
    <row r="8" spans="1:9" x14ac:dyDescent="0.25">
      <c r="B8" t="s">
        <v>56</v>
      </c>
      <c r="D8" s="4">
        <v>2975000</v>
      </c>
      <c r="E8">
        <v>5</v>
      </c>
      <c r="F8" s="31">
        <f>D8/5</f>
        <v>595000</v>
      </c>
      <c r="G8" s="31">
        <f>F8/12</f>
        <v>49583.333333333336</v>
      </c>
    </row>
    <row r="12" spans="1:9" x14ac:dyDescent="0.25">
      <c r="B12" t="s">
        <v>57</v>
      </c>
      <c r="C12" t="s">
        <v>58</v>
      </c>
      <c r="E12" t="s">
        <v>78</v>
      </c>
      <c r="F12" t="s">
        <v>79</v>
      </c>
    </row>
    <row r="15" spans="1:9" x14ac:dyDescent="0.25">
      <c r="B15" s="29" t="s">
        <v>39</v>
      </c>
      <c r="C15" s="29" t="s">
        <v>17</v>
      </c>
      <c r="D15" s="29" t="s">
        <v>40</v>
      </c>
      <c r="E15" s="29" t="s">
        <v>19</v>
      </c>
      <c r="G15" t="s">
        <v>80</v>
      </c>
      <c r="H15" t="s">
        <v>81</v>
      </c>
    </row>
    <row r="16" spans="1:9" x14ac:dyDescent="0.25">
      <c r="B16" s="29">
        <v>511204</v>
      </c>
      <c r="C16" s="29" t="s">
        <v>62</v>
      </c>
      <c r="D16" s="30">
        <f>G8</f>
        <v>49583.333333333336</v>
      </c>
      <c r="E16" s="30"/>
      <c r="G16">
        <f>3500000/10</f>
        <v>350000</v>
      </c>
      <c r="H16" s="36">
        <f>G16/12</f>
        <v>29166.666666666668</v>
      </c>
      <c r="I16" t="s">
        <v>82</v>
      </c>
    </row>
    <row r="17" spans="2:9" x14ac:dyDescent="0.25">
      <c r="B17" s="29">
        <v>150998</v>
      </c>
      <c r="C17" s="29" t="s">
        <v>63</v>
      </c>
      <c r="D17" s="30"/>
      <c r="E17" s="30">
        <f>G8</f>
        <v>49583.333333333336</v>
      </c>
      <c r="H17" s="37"/>
    </row>
    <row r="18" spans="2:9" x14ac:dyDescent="0.25">
      <c r="B18" s="29">
        <v>511203</v>
      </c>
      <c r="C18" s="29" t="s">
        <v>62</v>
      </c>
      <c r="D18" s="30">
        <f>G7</f>
        <v>29166.666666666668</v>
      </c>
      <c r="E18" s="30"/>
      <c r="G18">
        <f>2975000/5</f>
        <v>595000</v>
      </c>
      <c r="H18" s="36">
        <f>G18/12</f>
        <v>49583.333333333336</v>
      </c>
      <c r="I18" t="s">
        <v>83</v>
      </c>
    </row>
    <row r="19" spans="2:9" x14ac:dyDescent="0.25">
      <c r="B19" s="29">
        <v>150898</v>
      </c>
      <c r="C19" s="29" t="s">
        <v>63</v>
      </c>
      <c r="D19" s="30"/>
      <c r="E19" s="30">
        <f>G7</f>
        <v>29166.666666666668</v>
      </c>
      <c r="H19" s="35">
        <f>SUM(H16:H18)</f>
        <v>78750</v>
      </c>
    </row>
    <row r="20" spans="2:9" x14ac:dyDescent="0.25">
      <c r="B20" s="29">
        <v>511010</v>
      </c>
      <c r="C20" s="29" t="s">
        <v>64</v>
      </c>
      <c r="D20" s="30">
        <v>500000</v>
      </c>
      <c r="E20" s="30"/>
    </row>
    <row r="21" spans="2:9" x14ac:dyDescent="0.25">
      <c r="B21" s="29"/>
      <c r="C21" s="29" t="s">
        <v>65</v>
      </c>
      <c r="D21" s="30"/>
      <c r="E21" s="30">
        <v>50000</v>
      </c>
    </row>
    <row r="22" spans="2:9" x14ac:dyDescent="0.25">
      <c r="B22" s="29"/>
      <c r="C22" s="29" t="s">
        <v>66</v>
      </c>
      <c r="D22" s="30"/>
      <c r="E22" s="30">
        <f>D20-E21</f>
        <v>450000</v>
      </c>
    </row>
    <row r="23" spans="2:9" x14ac:dyDescent="0.25">
      <c r="B23" s="29">
        <v>513525</v>
      </c>
      <c r="C23" s="29" t="s">
        <v>67</v>
      </c>
      <c r="D23" s="30">
        <v>150000</v>
      </c>
      <c r="E23" s="30"/>
    </row>
    <row r="24" spans="2:9" x14ac:dyDescent="0.25">
      <c r="B24" s="29">
        <v>513530</v>
      </c>
      <c r="C24" s="29" t="s">
        <v>68</v>
      </c>
      <c r="D24" s="30">
        <v>80000</v>
      </c>
      <c r="E24" s="30"/>
    </row>
    <row r="25" spans="2:9" x14ac:dyDescent="0.25">
      <c r="B25" s="29"/>
      <c r="C25" s="29" t="s">
        <v>66</v>
      </c>
      <c r="D25" s="30"/>
      <c r="E25" s="30">
        <f>D23+D24</f>
        <v>230000</v>
      </c>
    </row>
    <row r="26" spans="2:9" x14ac:dyDescent="0.25">
      <c r="B26" s="29"/>
      <c r="C26" s="29" t="s">
        <v>84</v>
      </c>
      <c r="D26" s="33">
        <v>1000000</v>
      </c>
      <c r="E26" s="29"/>
    </row>
    <row r="27" spans="2:9" x14ac:dyDescent="0.25">
      <c r="B27" s="29"/>
      <c r="C27" s="29" t="s">
        <v>66</v>
      </c>
      <c r="D27" s="29"/>
      <c r="E27" s="33">
        <f>D26</f>
        <v>1000000</v>
      </c>
    </row>
    <row r="28" spans="2:9" x14ac:dyDescent="0.25">
      <c r="B28" s="29"/>
      <c r="C28" s="29"/>
      <c r="D28" s="29"/>
      <c r="E28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4595-E898-4E6D-B9B2-9131F3969A60}">
  <dimension ref="A2:F24"/>
  <sheetViews>
    <sheetView topLeftCell="A20" workbookViewId="0">
      <selection activeCell="A2" sqref="A2:F5"/>
    </sheetView>
  </sheetViews>
  <sheetFormatPr baseColWidth="10" defaultRowHeight="15" x14ac:dyDescent="0.25"/>
  <cols>
    <col min="3" max="3" width="15.42578125" customWidth="1"/>
    <col min="4" max="4" width="6.140625" customWidth="1"/>
    <col min="5" max="5" width="10.7109375" customWidth="1"/>
    <col min="6" max="6" width="22.28515625" customWidth="1"/>
  </cols>
  <sheetData>
    <row r="2" spans="1:6" x14ac:dyDescent="0.25">
      <c r="A2" s="62" t="s">
        <v>85</v>
      </c>
      <c r="B2" s="63"/>
      <c r="C2" s="63"/>
      <c r="D2" s="63"/>
      <c r="E2" s="63"/>
      <c r="F2" s="64"/>
    </row>
    <row r="3" spans="1:6" x14ac:dyDescent="0.25">
      <c r="A3" s="65" t="s">
        <v>86</v>
      </c>
      <c r="B3" s="66"/>
      <c r="C3" s="66"/>
      <c r="D3" s="66"/>
      <c r="E3" s="66"/>
      <c r="F3" s="67"/>
    </row>
    <row r="4" spans="1:6" x14ac:dyDescent="0.25">
      <c r="A4" s="65" t="s">
        <v>87</v>
      </c>
      <c r="B4" s="66"/>
      <c r="C4" s="66"/>
      <c r="D4" s="66"/>
      <c r="E4" s="66"/>
      <c r="F4" s="67"/>
    </row>
    <row r="5" spans="1:6" x14ac:dyDescent="0.25">
      <c r="A5" s="65" t="s">
        <v>88</v>
      </c>
      <c r="B5" s="66"/>
      <c r="C5" s="66"/>
      <c r="D5" s="66"/>
      <c r="E5" s="66"/>
      <c r="F5" s="67"/>
    </row>
    <row r="6" spans="1:6" x14ac:dyDescent="0.25">
      <c r="A6" s="41"/>
      <c r="B6" s="58"/>
      <c r="C6" s="58"/>
      <c r="D6" s="58"/>
      <c r="E6" s="58"/>
      <c r="F6" s="59"/>
    </row>
    <row r="7" spans="1:6" x14ac:dyDescent="0.25">
      <c r="A7" s="41"/>
      <c r="B7" s="60" t="s">
        <v>89</v>
      </c>
      <c r="C7" s="60"/>
      <c r="D7" s="60"/>
      <c r="E7" s="60"/>
      <c r="F7" s="61"/>
    </row>
    <row r="8" spans="1:6" x14ac:dyDescent="0.25">
      <c r="A8" s="41"/>
      <c r="B8" t="s">
        <v>90</v>
      </c>
      <c r="D8" s="44">
        <v>1</v>
      </c>
      <c r="E8" s="40"/>
      <c r="F8" s="45">
        <v>7500000</v>
      </c>
    </row>
    <row r="9" spans="1:6" x14ac:dyDescent="0.25">
      <c r="A9" s="41"/>
      <c r="B9" t="s">
        <v>92</v>
      </c>
      <c r="E9" s="40"/>
      <c r="F9" s="49">
        <v>3600000</v>
      </c>
    </row>
    <row r="10" spans="1:6" x14ac:dyDescent="0.25">
      <c r="A10" s="41"/>
      <c r="B10" t="s">
        <v>91</v>
      </c>
      <c r="E10" s="40"/>
      <c r="F10" s="45">
        <f>F8-F9</f>
        <v>3900000</v>
      </c>
    </row>
    <row r="11" spans="1:6" x14ac:dyDescent="0.25">
      <c r="A11" s="41"/>
      <c r="B11" t="s">
        <v>131</v>
      </c>
      <c r="E11" s="40"/>
      <c r="F11" s="55">
        <f>E12+E13+E14+E15+E16</f>
        <v>1808750</v>
      </c>
    </row>
    <row r="12" spans="1:6" x14ac:dyDescent="0.25">
      <c r="A12" s="41"/>
      <c r="B12" t="s">
        <v>93</v>
      </c>
      <c r="D12" s="44">
        <v>2</v>
      </c>
      <c r="E12" s="40">
        <v>500000</v>
      </c>
      <c r="F12" s="43"/>
    </row>
    <row r="13" spans="1:6" x14ac:dyDescent="0.25">
      <c r="A13" s="41"/>
      <c r="B13" t="s">
        <v>84</v>
      </c>
      <c r="D13" s="44">
        <v>3</v>
      </c>
      <c r="E13" s="40">
        <v>1000000</v>
      </c>
      <c r="F13" s="43"/>
    </row>
    <row r="14" spans="1:6" x14ac:dyDescent="0.25">
      <c r="A14" s="41"/>
      <c r="B14" t="s">
        <v>94</v>
      </c>
      <c r="D14" s="44">
        <v>4</v>
      </c>
      <c r="E14" s="40">
        <v>150000</v>
      </c>
      <c r="F14" s="43"/>
    </row>
    <row r="15" spans="1:6" x14ac:dyDescent="0.25">
      <c r="A15" s="41"/>
      <c r="B15" t="s">
        <v>95</v>
      </c>
      <c r="D15" s="44">
        <v>5</v>
      </c>
      <c r="E15" s="40">
        <v>80000</v>
      </c>
      <c r="F15" s="43"/>
    </row>
    <row r="16" spans="1:6" x14ac:dyDescent="0.25">
      <c r="A16" s="41"/>
      <c r="B16" t="s">
        <v>96</v>
      </c>
      <c r="D16" s="44">
        <v>6</v>
      </c>
      <c r="E16" s="39">
        <v>78750</v>
      </c>
      <c r="F16" s="53"/>
    </row>
    <row r="17" spans="1:6" x14ac:dyDescent="0.25">
      <c r="A17" s="41"/>
      <c r="B17" t="s">
        <v>132</v>
      </c>
      <c r="F17" s="56">
        <f>F10-F11</f>
        <v>2091250</v>
      </c>
    </row>
    <row r="18" spans="1:6" x14ac:dyDescent="0.25">
      <c r="A18" s="41"/>
      <c r="F18" s="43"/>
    </row>
    <row r="19" spans="1:6" x14ac:dyDescent="0.25">
      <c r="A19" s="41"/>
      <c r="F19" s="43"/>
    </row>
    <row r="20" spans="1:6" x14ac:dyDescent="0.25">
      <c r="A20" s="41"/>
      <c r="F20" s="43"/>
    </row>
    <row r="21" spans="1:6" x14ac:dyDescent="0.25">
      <c r="A21" s="41"/>
      <c r="B21" t="s">
        <v>129</v>
      </c>
      <c r="C21" s="38"/>
      <c r="E21" t="s">
        <v>124</v>
      </c>
      <c r="F21" s="53"/>
    </row>
    <row r="22" spans="1:6" x14ac:dyDescent="0.25">
      <c r="A22" s="41"/>
      <c r="E22" t="s">
        <v>130</v>
      </c>
      <c r="F22" s="43"/>
    </row>
    <row r="23" spans="1:6" x14ac:dyDescent="0.25">
      <c r="A23" s="41"/>
      <c r="F23" s="43"/>
    </row>
    <row r="24" spans="1:6" x14ac:dyDescent="0.25">
      <c r="A24" s="52"/>
      <c r="B24" s="38"/>
      <c r="C24" s="38"/>
      <c r="D24" s="38"/>
      <c r="E24" s="38"/>
      <c r="F24" s="53"/>
    </row>
  </sheetData>
  <mergeCells count="6">
    <mergeCell ref="B6:F6"/>
    <mergeCell ref="B7:F7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67CB-8C39-4ED6-9D68-210C141A7303}">
  <dimension ref="B2:M26"/>
  <sheetViews>
    <sheetView tabSelected="1" workbookViewId="0">
      <selection activeCell="H12" sqref="H12"/>
    </sheetView>
  </sheetViews>
  <sheetFormatPr baseColWidth="10" defaultRowHeight="15" x14ac:dyDescent="0.25"/>
  <cols>
    <col min="5" max="5" width="5.85546875" customWidth="1"/>
    <col min="6" max="6" width="13.140625" bestFit="1" customWidth="1"/>
    <col min="7" max="7" width="6.7109375" customWidth="1"/>
    <col min="10" max="10" width="6.28515625" customWidth="1"/>
    <col min="11" max="11" width="14.140625" bestFit="1" customWidth="1"/>
  </cols>
  <sheetData>
    <row r="2" spans="2:11" x14ac:dyDescent="0.25">
      <c r="B2" s="62" t="s">
        <v>85</v>
      </c>
      <c r="C2" s="63"/>
      <c r="D2" s="63"/>
      <c r="E2" s="63"/>
      <c r="F2" s="63"/>
      <c r="G2" s="63"/>
      <c r="H2" s="63"/>
      <c r="I2" s="63"/>
      <c r="J2" s="63"/>
      <c r="K2" s="64"/>
    </row>
    <row r="3" spans="2:11" x14ac:dyDescent="0.25">
      <c r="B3" s="65" t="s">
        <v>127</v>
      </c>
      <c r="C3" s="66"/>
      <c r="D3" s="66"/>
      <c r="E3" s="66"/>
      <c r="F3" s="66"/>
      <c r="G3" s="66"/>
      <c r="H3" s="66"/>
      <c r="I3" s="66"/>
      <c r="J3" s="66"/>
      <c r="K3" s="67"/>
    </row>
    <row r="4" spans="2:11" x14ac:dyDescent="0.25">
      <c r="B4" s="65" t="s">
        <v>126</v>
      </c>
      <c r="C4" s="66"/>
      <c r="D4" s="66"/>
      <c r="E4" s="66"/>
      <c r="F4" s="66"/>
      <c r="G4" s="66"/>
      <c r="H4" s="66"/>
      <c r="I4" s="66"/>
      <c r="J4" s="66"/>
      <c r="K4" s="67"/>
    </row>
    <row r="5" spans="2:11" x14ac:dyDescent="0.25">
      <c r="B5" s="65" t="s">
        <v>88</v>
      </c>
      <c r="C5" s="66"/>
      <c r="D5" s="66"/>
      <c r="E5" s="66"/>
      <c r="F5" s="66"/>
      <c r="G5" s="66"/>
      <c r="H5" s="66"/>
      <c r="I5" s="66"/>
      <c r="J5" s="66"/>
      <c r="K5" s="67"/>
    </row>
    <row r="6" spans="2:11" x14ac:dyDescent="0.25">
      <c r="B6" s="65"/>
      <c r="C6" s="66"/>
      <c r="D6" s="66"/>
      <c r="E6" s="66"/>
      <c r="F6" s="66"/>
      <c r="G6" s="66"/>
      <c r="H6" s="66"/>
      <c r="I6" s="66"/>
      <c r="J6" s="66"/>
      <c r="K6" s="67"/>
    </row>
    <row r="7" spans="2:11" x14ac:dyDescent="0.25">
      <c r="B7" s="65" t="s">
        <v>97</v>
      </c>
      <c r="C7" s="66"/>
      <c r="D7" s="66"/>
      <c r="E7" s="42"/>
      <c r="H7" s="37" t="s">
        <v>109</v>
      </c>
      <c r="I7" s="37"/>
      <c r="J7" s="37"/>
      <c r="K7" s="43"/>
    </row>
    <row r="8" spans="2:11" x14ac:dyDescent="0.25">
      <c r="B8" s="65" t="s">
        <v>98</v>
      </c>
      <c r="C8" s="66"/>
      <c r="D8" s="66"/>
      <c r="E8" s="42"/>
      <c r="H8" s="37" t="s">
        <v>110</v>
      </c>
      <c r="I8" s="37"/>
      <c r="J8" s="37"/>
      <c r="K8" s="43"/>
    </row>
    <row r="9" spans="2:11" x14ac:dyDescent="0.25">
      <c r="B9" s="71" t="s">
        <v>99</v>
      </c>
      <c r="C9" s="60"/>
      <c r="D9" s="60"/>
      <c r="E9" s="44">
        <v>7</v>
      </c>
      <c r="F9" s="40">
        <f>'Mayorización '!K4+'Mayorización '!K5</f>
        <v>4870000</v>
      </c>
      <c r="H9" t="s">
        <v>111</v>
      </c>
      <c r="J9" s="44">
        <v>14</v>
      </c>
      <c r="K9" s="45">
        <f>'Mayorización '!L11</f>
        <v>1300000</v>
      </c>
    </row>
    <row r="10" spans="2:11" x14ac:dyDescent="0.25">
      <c r="B10" s="71" t="s">
        <v>100</v>
      </c>
      <c r="C10" s="60"/>
      <c r="D10" s="60"/>
      <c r="E10" s="44">
        <v>8</v>
      </c>
      <c r="F10" s="40">
        <f>'Mayorización '!K6</f>
        <v>4543500</v>
      </c>
      <c r="H10" t="s">
        <v>112</v>
      </c>
      <c r="J10" s="44">
        <v>15</v>
      </c>
      <c r="K10" s="45">
        <f>'Mayorización '!L12</f>
        <v>5825000</v>
      </c>
    </row>
    <row r="11" spans="2:11" x14ac:dyDescent="0.25">
      <c r="B11" s="71" t="s">
        <v>101</v>
      </c>
      <c r="C11" s="60"/>
      <c r="D11" s="60"/>
      <c r="E11" s="44">
        <v>9</v>
      </c>
      <c r="F11" s="40">
        <f>'Mayorización '!K7</f>
        <v>187500</v>
      </c>
      <c r="H11" t="s">
        <v>113</v>
      </c>
      <c r="J11" s="44">
        <v>16</v>
      </c>
      <c r="K11" s="45">
        <f>'Mayorización '!L13</f>
        <v>315000</v>
      </c>
    </row>
    <row r="12" spans="2:11" x14ac:dyDescent="0.25">
      <c r="B12" s="71" t="s">
        <v>102</v>
      </c>
      <c r="C12" s="60"/>
      <c r="D12" s="60"/>
      <c r="E12" s="44"/>
      <c r="F12" s="39">
        <f>'Mayorización '!K8</f>
        <v>4500000</v>
      </c>
      <c r="H12" t="s">
        <v>114</v>
      </c>
      <c r="J12" s="44"/>
      <c r="K12" s="45">
        <f>'Mayorización '!L14</f>
        <v>1386000</v>
      </c>
    </row>
    <row r="13" spans="2:11" x14ac:dyDescent="0.25">
      <c r="B13" s="68" t="s">
        <v>103</v>
      </c>
      <c r="C13" s="69"/>
      <c r="D13" s="69"/>
      <c r="E13" s="46"/>
      <c r="F13" s="47">
        <f>SUM(F9:F12)</f>
        <v>14101000</v>
      </c>
      <c r="H13" t="s">
        <v>115</v>
      </c>
      <c r="J13" s="44">
        <v>18</v>
      </c>
      <c r="K13" s="45">
        <f>'Mayorización '!L19</f>
        <v>680000</v>
      </c>
    </row>
    <row r="14" spans="2:11" x14ac:dyDescent="0.25">
      <c r="B14" s="70"/>
      <c r="C14" s="58"/>
      <c r="D14" s="58"/>
      <c r="E14" s="58"/>
      <c r="F14" s="58"/>
      <c r="H14" s="37" t="s">
        <v>116</v>
      </c>
      <c r="I14" s="37"/>
      <c r="J14" s="42"/>
      <c r="K14" s="48">
        <f>SUM(K9:K13)</f>
        <v>9506000</v>
      </c>
    </row>
    <row r="15" spans="2:11" x14ac:dyDescent="0.25">
      <c r="B15" s="65" t="s">
        <v>104</v>
      </c>
      <c r="C15" s="66"/>
      <c r="D15" s="66"/>
      <c r="E15" s="42"/>
      <c r="F15" s="40"/>
      <c r="H15" s="37" t="s">
        <v>117</v>
      </c>
      <c r="J15" s="44"/>
      <c r="K15" s="43"/>
    </row>
    <row r="16" spans="2:11" x14ac:dyDescent="0.25">
      <c r="B16" s="71" t="s">
        <v>105</v>
      </c>
      <c r="C16" s="60"/>
      <c r="D16" s="60"/>
      <c r="E16" s="44">
        <v>11</v>
      </c>
      <c r="F16" s="40">
        <f>'Mayorización '!K10</f>
        <v>3500000</v>
      </c>
      <c r="H16" t="s">
        <v>118</v>
      </c>
      <c r="J16" s="44">
        <v>19</v>
      </c>
      <c r="K16" s="45">
        <f>'Mayorización '!L15</f>
        <v>8900000</v>
      </c>
    </row>
    <row r="17" spans="2:13" x14ac:dyDescent="0.25">
      <c r="B17" s="71" t="s">
        <v>106</v>
      </c>
      <c r="C17" s="60"/>
      <c r="D17" s="60"/>
      <c r="E17" s="44">
        <v>12</v>
      </c>
      <c r="F17" s="40">
        <f>'Mayorización '!K9</f>
        <v>2975000</v>
      </c>
      <c r="H17" t="s">
        <v>119</v>
      </c>
      <c r="K17" s="49">
        <f>'Estado de Resultados '!F17</f>
        <v>2091250</v>
      </c>
    </row>
    <row r="18" spans="2:13" x14ac:dyDescent="0.25">
      <c r="B18" s="41" t="s">
        <v>122</v>
      </c>
      <c r="E18" s="44">
        <v>13</v>
      </c>
      <c r="F18" s="40">
        <f>'Mayorización '!J22</f>
        <v>78750</v>
      </c>
      <c r="H18" s="37" t="s">
        <v>120</v>
      </c>
      <c r="I18" s="37"/>
      <c r="J18" s="37"/>
      <c r="K18" s="48">
        <f>K16+K17</f>
        <v>10991250</v>
      </c>
    </row>
    <row r="19" spans="2:13" x14ac:dyDescent="0.25">
      <c r="B19" s="50" t="s">
        <v>107</v>
      </c>
      <c r="C19" s="37"/>
      <c r="D19" s="37"/>
      <c r="E19" s="37"/>
      <c r="F19" s="47">
        <f>F16+F17-F18</f>
        <v>6396250</v>
      </c>
      <c r="H19" s="37" t="s">
        <v>121</v>
      </c>
      <c r="I19" s="37"/>
      <c r="J19" s="37"/>
      <c r="K19" s="48">
        <f>K14+K18</f>
        <v>20497250</v>
      </c>
      <c r="M19" s="31">
        <f>F20-K19</f>
        <v>0</v>
      </c>
    </row>
    <row r="20" spans="2:13" x14ac:dyDescent="0.25">
      <c r="B20" s="68" t="s">
        <v>108</v>
      </c>
      <c r="C20" s="69"/>
      <c r="D20" s="69"/>
      <c r="E20" s="46"/>
      <c r="F20" s="51">
        <f>F13+F19</f>
        <v>20497250</v>
      </c>
      <c r="K20" s="43"/>
    </row>
    <row r="21" spans="2:13" x14ac:dyDescent="0.25">
      <c r="B21" s="41"/>
      <c r="K21" s="43"/>
    </row>
    <row r="22" spans="2:13" x14ac:dyDescent="0.25">
      <c r="B22" s="41"/>
      <c r="K22" s="43"/>
    </row>
    <row r="23" spans="2:13" x14ac:dyDescent="0.25">
      <c r="B23" s="68" t="s">
        <v>123</v>
      </c>
      <c r="C23" s="69"/>
      <c r="D23" s="69"/>
      <c r="E23" s="69"/>
      <c r="F23" s="69"/>
      <c r="H23" s="69" t="s">
        <v>124</v>
      </c>
      <c r="I23" s="69"/>
      <c r="J23" s="69"/>
      <c r="K23" s="72"/>
    </row>
    <row r="24" spans="2:13" x14ac:dyDescent="0.25">
      <c r="B24" s="70"/>
      <c r="C24" s="58"/>
      <c r="D24" s="58"/>
      <c r="E24" s="58"/>
      <c r="F24" s="58"/>
      <c r="H24" s="69" t="s">
        <v>125</v>
      </c>
      <c r="I24" s="69"/>
      <c r="J24" s="69"/>
      <c r="K24" s="72"/>
    </row>
    <row r="25" spans="2:13" x14ac:dyDescent="0.25">
      <c r="B25" s="41"/>
      <c r="K25" s="43"/>
    </row>
    <row r="26" spans="2:13" x14ac:dyDescent="0.25">
      <c r="B26" s="52"/>
      <c r="C26" s="38"/>
      <c r="D26" s="38"/>
      <c r="E26" s="38"/>
      <c r="F26" s="38"/>
      <c r="G26" s="38"/>
      <c r="H26" s="38"/>
      <c r="I26" s="38"/>
      <c r="J26" s="38"/>
      <c r="K26" s="53"/>
    </row>
  </sheetData>
  <mergeCells count="21">
    <mergeCell ref="H24:K24"/>
    <mergeCell ref="B24:F24"/>
    <mergeCell ref="B2:K2"/>
    <mergeCell ref="B3:K3"/>
    <mergeCell ref="B4:K4"/>
    <mergeCell ref="B5:K5"/>
    <mergeCell ref="B6:K6"/>
    <mergeCell ref="B17:D17"/>
    <mergeCell ref="B20:D20"/>
    <mergeCell ref="B15:D15"/>
    <mergeCell ref="B7:D7"/>
    <mergeCell ref="B23:F23"/>
    <mergeCell ref="H23:K23"/>
    <mergeCell ref="B10:D10"/>
    <mergeCell ref="B11:D11"/>
    <mergeCell ref="B12:D12"/>
    <mergeCell ref="B13:D13"/>
    <mergeCell ref="B14:F14"/>
    <mergeCell ref="B16:D16"/>
    <mergeCell ref="B8:D8"/>
    <mergeCell ref="B9:D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33F3-AA08-43A3-BD0B-E383E0C9C5B0}">
  <dimension ref="A1"/>
  <sheetViews>
    <sheetView workbookViewId="0">
      <selection activeCell="C1" sqref="C1"/>
    </sheetView>
  </sheetViews>
  <sheetFormatPr baseColWidth="10" defaultRowHeight="15" x14ac:dyDescent="0.25"/>
  <cols>
    <col min="2" max="2" width="5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Registros contables </vt:lpstr>
      <vt:lpstr>Mayorización </vt:lpstr>
      <vt:lpstr>Ajustes </vt:lpstr>
      <vt:lpstr>Estado de Resultados </vt:lpstr>
      <vt:lpstr>Estado de s. financiera</vt:lpstr>
      <vt:lpstr>Revelaciones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Gutierrez</dc:creator>
  <cp:lastModifiedBy>hp</cp:lastModifiedBy>
  <dcterms:created xsi:type="dcterms:W3CDTF">2022-09-19T03:41:55Z</dcterms:created>
  <dcterms:modified xsi:type="dcterms:W3CDTF">2022-10-20T16:05:04Z</dcterms:modified>
</cp:coreProperties>
</file>