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MATEMÁTICAS FINANCIERAS\"/>
    </mc:Choice>
  </mc:AlternateContent>
  <xr:revisionPtr revIDLastSave="0" documentId="13_ncr:1_{37D657B1-28F7-4915-8843-9A6EFE2AC3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GA 1" sheetId="1" r:id="rId1"/>
    <sheet name="ENTREGA 2" sheetId="2" r:id="rId2"/>
    <sheet name="ENTREGA 3 (PARCIAL)" sheetId="6" r:id="rId3"/>
    <sheet name="ENTREGA 4" sheetId="4" r:id="rId4"/>
    <sheet name="ENTREGA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5" l="1"/>
  <c r="H12" i="5"/>
  <c r="G12" i="5"/>
  <c r="D11" i="5"/>
  <c r="C11" i="5"/>
  <c r="B11" i="5"/>
  <c r="A11" i="5"/>
  <c r="B6" i="5"/>
  <c r="N12" i="5"/>
  <c r="B14" i="1"/>
  <c r="B12" i="1"/>
  <c r="B9" i="1"/>
  <c r="B4" i="5"/>
  <c r="H3" i="5"/>
  <c r="U116" i="5"/>
  <c r="K332" i="5"/>
  <c r="P332" i="5"/>
  <c r="X332" i="5"/>
  <c r="C114" i="5"/>
  <c r="L115" i="5"/>
  <c r="R115" i="5"/>
  <c r="C120" i="5"/>
  <c r="C115" i="5"/>
  <c r="C124" i="5"/>
  <c r="C128" i="5"/>
  <c r="U115" i="5"/>
  <c r="Y115" i="5"/>
  <c r="C127" i="5"/>
  <c r="I116" i="5"/>
  <c r="K116" i="5"/>
  <c r="J116" i="5"/>
  <c r="L116" i="5"/>
  <c r="P116" i="5"/>
  <c r="Q116" i="5"/>
  <c r="O116" i="5"/>
  <c r="R116" i="5"/>
  <c r="D131" i="5"/>
  <c r="E131" i="5"/>
  <c r="F131" i="5"/>
  <c r="V116" i="5"/>
  <c r="X116" i="5"/>
  <c r="W116" i="5"/>
  <c r="Y116" i="5"/>
  <c r="I117" i="5"/>
  <c r="K117" i="5"/>
  <c r="J117" i="5"/>
  <c r="L117" i="5"/>
  <c r="P117" i="5"/>
  <c r="Q117" i="5"/>
  <c r="O117" i="5"/>
  <c r="R117" i="5"/>
  <c r="D132" i="5"/>
  <c r="E132" i="5"/>
  <c r="F132" i="5"/>
  <c r="U117" i="5"/>
  <c r="V117" i="5"/>
  <c r="X117" i="5"/>
  <c r="W117" i="5"/>
  <c r="Y117" i="5"/>
  <c r="I118" i="5"/>
  <c r="K118" i="5"/>
  <c r="J118" i="5"/>
  <c r="L118" i="5"/>
  <c r="P118" i="5"/>
  <c r="Q118" i="5"/>
  <c r="O118" i="5"/>
  <c r="R118" i="5"/>
  <c r="D133" i="5"/>
  <c r="E133" i="5"/>
  <c r="F133" i="5"/>
  <c r="U118" i="5"/>
  <c r="V118" i="5"/>
  <c r="X118" i="5"/>
  <c r="W118" i="5"/>
  <c r="Y118" i="5"/>
  <c r="I119" i="5"/>
  <c r="K119" i="5"/>
  <c r="J119" i="5"/>
  <c r="L119" i="5"/>
  <c r="P119" i="5"/>
  <c r="Q119" i="5"/>
  <c r="O119" i="5"/>
  <c r="R119" i="5"/>
  <c r="D134" i="5"/>
  <c r="E134" i="5"/>
  <c r="F134" i="5"/>
  <c r="U119" i="5"/>
  <c r="V119" i="5"/>
  <c r="X119" i="5"/>
  <c r="W119" i="5"/>
  <c r="Y119" i="5"/>
  <c r="I120" i="5"/>
  <c r="K120" i="5"/>
  <c r="J120" i="5"/>
  <c r="L120" i="5"/>
  <c r="P120" i="5"/>
  <c r="Q120" i="5"/>
  <c r="O120" i="5"/>
  <c r="R120" i="5"/>
  <c r="D135" i="5"/>
  <c r="E135" i="5"/>
  <c r="F135" i="5"/>
  <c r="U120" i="5"/>
  <c r="V120" i="5"/>
  <c r="X120" i="5"/>
  <c r="W120" i="5"/>
  <c r="Y120" i="5"/>
  <c r="I121" i="5"/>
  <c r="K121" i="5"/>
  <c r="J121" i="5"/>
  <c r="L121" i="5"/>
  <c r="P121" i="5"/>
  <c r="Q121" i="5"/>
  <c r="O121" i="5"/>
  <c r="R121" i="5"/>
  <c r="D136" i="5"/>
  <c r="E136" i="5"/>
  <c r="F136" i="5"/>
  <c r="U121" i="5"/>
  <c r="V121" i="5"/>
  <c r="X121" i="5"/>
  <c r="W121" i="5"/>
  <c r="Y121" i="5"/>
  <c r="C121" i="5"/>
  <c r="I122" i="5"/>
  <c r="K122" i="5"/>
  <c r="J122" i="5"/>
  <c r="L122" i="5"/>
  <c r="P122" i="5"/>
  <c r="Q122" i="5"/>
  <c r="O122" i="5"/>
  <c r="R122" i="5"/>
  <c r="D137" i="5"/>
  <c r="E137" i="5"/>
  <c r="F137" i="5"/>
  <c r="U122" i="5"/>
  <c r="V122" i="5"/>
  <c r="X122" i="5"/>
  <c r="W122" i="5"/>
  <c r="Y122" i="5"/>
  <c r="I123" i="5"/>
  <c r="K123" i="5"/>
  <c r="J123" i="5"/>
  <c r="L123" i="5"/>
  <c r="P123" i="5"/>
  <c r="Q123" i="5"/>
  <c r="O123" i="5"/>
  <c r="R123" i="5"/>
  <c r="D138" i="5"/>
  <c r="E138" i="5"/>
  <c r="F138" i="5"/>
  <c r="U123" i="5"/>
  <c r="V123" i="5"/>
  <c r="X123" i="5"/>
  <c r="W123" i="5"/>
  <c r="Y123" i="5"/>
  <c r="I124" i="5"/>
  <c r="K124" i="5"/>
  <c r="J124" i="5"/>
  <c r="L124" i="5"/>
  <c r="P124" i="5"/>
  <c r="Q124" i="5"/>
  <c r="O124" i="5"/>
  <c r="R124" i="5"/>
  <c r="D139" i="5"/>
  <c r="E139" i="5"/>
  <c r="F139" i="5"/>
  <c r="U124" i="5"/>
  <c r="V124" i="5"/>
  <c r="X124" i="5"/>
  <c r="W124" i="5"/>
  <c r="Y124" i="5"/>
  <c r="I125" i="5"/>
  <c r="K125" i="5"/>
  <c r="J125" i="5"/>
  <c r="L125" i="5"/>
  <c r="P125" i="5"/>
  <c r="Q125" i="5"/>
  <c r="O125" i="5"/>
  <c r="R125" i="5"/>
  <c r="D140" i="5"/>
  <c r="E140" i="5"/>
  <c r="F140" i="5"/>
  <c r="U125" i="5"/>
  <c r="V125" i="5"/>
  <c r="X125" i="5"/>
  <c r="W125" i="5"/>
  <c r="Y125" i="5"/>
  <c r="I126" i="5"/>
  <c r="K126" i="5"/>
  <c r="J126" i="5"/>
  <c r="L126" i="5"/>
  <c r="P126" i="5"/>
  <c r="Q126" i="5"/>
  <c r="O126" i="5"/>
  <c r="R126" i="5"/>
  <c r="D141" i="5"/>
  <c r="E141" i="5"/>
  <c r="F141" i="5"/>
  <c r="U126" i="5"/>
  <c r="V126" i="5"/>
  <c r="X126" i="5"/>
  <c r="W126" i="5"/>
  <c r="Y126" i="5"/>
  <c r="I127" i="5"/>
  <c r="K127" i="5"/>
  <c r="J127" i="5"/>
  <c r="L127" i="5"/>
  <c r="P127" i="5"/>
  <c r="Q127" i="5"/>
  <c r="O127" i="5"/>
  <c r="R127" i="5"/>
  <c r="D142" i="5"/>
  <c r="E142" i="5"/>
  <c r="F142" i="5"/>
  <c r="U127" i="5"/>
  <c r="V127" i="5"/>
  <c r="X127" i="5"/>
  <c r="W127" i="5"/>
  <c r="Y127" i="5"/>
  <c r="I128" i="5"/>
  <c r="K128" i="5"/>
  <c r="J128" i="5"/>
  <c r="L128" i="5"/>
  <c r="P128" i="5"/>
  <c r="Q128" i="5"/>
  <c r="O128" i="5"/>
  <c r="R128" i="5"/>
  <c r="D143" i="5"/>
  <c r="E143" i="5"/>
  <c r="F143" i="5"/>
  <c r="U128" i="5"/>
  <c r="V128" i="5"/>
  <c r="X128" i="5"/>
  <c r="W128" i="5"/>
  <c r="Y128" i="5"/>
  <c r="I129" i="5"/>
  <c r="K129" i="5"/>
  <c r="J129" i="5"/>
  <c r="L129" i="5"/>
  <c r="P129" i="5"/>
  <c r="Q129" i="5"/>
  <c r="O129" i="5"/>
  <c r="R129" i="5"/>
  <c r="D144" i="5"/>
  <c r="E144" i="5"/>
  <c r="F144" i="5"/>
  <c r="U129" i="5"/>
  <c r="V129" i="5"/>
  <c r="X129" i="5"/>
  <c r="W129" i="5"/>
  <c r="Y129" i="5"/>
  <c r="I130" i="5"/>
  <c r="K130" i="5"/>
  <c r="J130" i="5"/>
  <c r="L130" i="5"/>
  <c r="P130" i="5"/>
  <c r="Q130" i="5"/>
  <c r="O130" i="5"/>
  <c r="R130" i="5"/>
  <c r="D145" i="5"/>
  <c r="E145" i="5"/>
  <c r="F145" i="5"/>
  <c r="U130" i="5"/>
  <c r="V130" i="5"/>
  <c r="X130" i="5"/>
  <c r="W130" i="5"/>
  <c r="Y130" i="5"/>
  <c r="I131" i="5"/>
  <c r="K131" i="5"/>
  <c r="J131" i="5"/>
  <c r="L131" i="5"/>
  <c r="P131" i="5"/>
  <c r="Q131" i="5"/>
  <c r="O131" i="5"/>
  <c r="R131" i="5"/>
  <c r="D146" i="5"/>
  <c r="E146" i="5"/>
  <c r="F146" i="5"/>
  <c r="U131" i="5"/>
  <c r="V131" i="5"/>
  <c r="X131" i="5"/>
  <c r="W131" i="5"/>
  <c r="Y131" i="5"/>
  <c r="I132" i="5"/>
  <c r="K132" i="5"/>
  <c r="J132" i="5"/>
  <c r="L132" i="5"/>
  <c r="P132" i="5"/>
  <c r="Q132" i="5"/>
  <c r="O132" i="5"/>
  <c r="R132" i="5"/>
  <c r="D147" i="5"/>
  <c r="E147" i="5"/>
  <c r="F147" i="5"/>
  <c r="U132" i="5"/>
  <c r="V132" i="5"/>
  <c r="X132" i="5"/>
  <c r="W132" i="5"/>
  <c r="Y132" i="5"/>
  <c r="I133" i="5"/>
  <c r="K133" i="5"/>
  <c r="J133" i="5"/>
  <c r="L133" i="5"/>
  <c r="P133" i="5"/>
  <c r="Q133" i="5"/>
  <c r="O133" i="5"/>
  <c r="R133" i="5"/>
  <c r="D148" i="5"/>
  <c r="E148" i="5"/>
  <c r="F148" i="5"/>
  <c r="U133" i="5"/>
  <c r="V133" i="5"/>
  <c r="X133" i="5"/>
  <c r="W133" i="5"/>
  <c r="Y133" i="5"/>
  <c r="I134" i="5"/>
  <c r="K134" i="5"/>
  <c r="J134" i="5"/>
  <c r="L134" i="5"/>
  <c r="P134" i="5"/>
  <c r="Q134" i="5"/>
  <c r="O134" i="5"/>
  <c r="R134" i="5"/>
  <c r="D149" i="5"/>
  <c r="E149" i="5"/>
  <c r="F149" i="5"/>
  <c r="U134" i="5"/>
  <c r="V134" i="5"/>
  <c r="X134" i="5"/>
  <c r="W134" i="5"/>
  <c r="Y134" i="5"/>
  <c r="I135" i="5"/>
  <c r="K135" i="5"/>
  <c r="J135" i="5"/>
  <c r="L135" i="5"/>
  <c r="P135" i="5"/>
  <c r="Q135" i="5"/>
  <c r="O135" i="5"/>
  <c r="R135" i="5"/>
  <c r="D150" i="5"/>
  <c r="E150" i="5"/>
  <c r="F150" i="5"/>
  <c r="U135" i="5"/>
  <c r="V135" i="5"/>
  <c r="X135" i="5"/>
  <c r="W135" i="5"/>
  <c r="Y135" i="5"/>
  <c r="I136" i="5"/>
  <c r="K136" i="5"/>
  <c r="J136" i="5"/>
  <c r="L136" i="5"/>
  <c r="P136" i="5"/>
  <c r="Q136" i="5"/>
  <c r="O136" i="5"/>
  <c r="R136" i="5"/>
  <c r="D151" i="5"/>
  <c r="E151" i="5"/>
  <c r="F151" i="5"/>
  <c r="U136" i="5"/>
  <c r="V136" i="5"/>
  <c r="X136" i="5"/>
  <c r="W136" i="5"/>
  <c r="Y136" i="5"/>
  <c r="I137" i="5"/>
  <c r="K137" i="5"/>
  <c r="J137" i="5"/>
  <c r="L137" i="5"/>
  <c r="P137" i="5"/>
  <c r="Q137" i="5"/>
  <c r="O137" i="5"/>
  <c r="R137" i="5"/>
  <c r="D152" i="5"/>
  <c r="E152" i="5"/>
  <c r="F152" i="5"/>
  <c r="U137" i="5"/>
  <c r="V137" i="5"/>
  <c r="X137" i="5"/>
  <c r="W137" i="5"/>
  <c r="Y137" i="5"/>
  <c r="I138" i="5"/>
  <c r="K138" i="5"/>
  <c r="J138" i="5"/>
  <c r="L138" i="5"/>
  <c r="P138" i="5"/>
  <c r="Q138" i="5"/>
  <c r="O138" i="5"/>
  <c r="R138" i="5"/>
  <c r="D153" i="5"/>
  <c r="E153" i="5"/>
  <c r="F153" i="5"/>
  <c r="U138" i="5"/>
  <c r="V138" i="5"/>
  <c r="X138" i="5"/>
  <c r="W138" i="5"/>
  <c r="Y138" i="5"/>
  <c r="I139" i="5"/>
  <c r="K139" i="5"/>
  <c r="J139" i="5"/>
  <c r="L139" i="5"/>
  <c r="P139" i="5"/>
  <c r="Q139" i="5"/>
  <c r="O139" i="5"/>
  <c r="R139" i="5"/>
  <c r="D154" i="5"/>
  <c r="E154" i="5"/>
  <c r="F154" i="5"/>
  <c r="U139" i="5"/>
  <c r="V139" i="5"/>
  <c r="X139" i="5"/>
  <c r="W139" i="5"/>
  <c r="Y139" i="5"/>
  <c r="I140" i="5"/>
  <c r="K140" i="5"/>
  <c r="J140" i="5"/>
  <c r="L140" i="5"/>
  <c r="P140" i="5"/>
  <c r="Q140" i="5"/>
  <c r="O140" i="5"/>
  <c r="R140" i="5"/>
  <c r="D155" i="5"/>
  <c r="E155" i="5"/>
  <c r="F155" i="5"/>
  <c r="U140" i="5"/>
  <c r="V140" i="5"/>
  <c r="X140" i="5"/>
  <c r="W140" i="5"/>
  <c r="Y140" i="5"/>
  <c r="I141" i="5"/>
  <c r="K141" i="5"/>
  <c r="J141" i="5"/>
  <c r="L141" i="5"/>
  <c r="P141" i="5"/>
  <c r="Q141" i="5"/>
  <c r="O141" i="5"/>
  <c r="R141" i="5"/>
  <c r="D156" i="5"/>
  <c r="E156" i="5"/>
  <c r="F156" i="5"/>
  <c r="U141" i="5"/>
  <c r="V141" i="5"/>
  <c r="X141" i="5"/>
  <c r="W141" i="5"/>
  <c r="Y141" i="5"/>
  <c r="I142" i="5"/>
  <c r="K142" i="5"/>
  <c r="J142" i="5"/>
  <c r="L142" i="5"/>
  <c r="P142" i="5"/>
  <c r="Q142" i="5"/>
  <c r="O142" i="5"/>
  <c r="R142" i="5"/>
  <c r="D157" i="5"/>
  <c r="E157" i="5"/>
  <c r="F157" i="5"/>
  <c r="U142" i="5"/>
  <c r="V142" i="5"/>
  <c r="X142" i="5"/>
  <c r="W142" i="5"/>
  <c r="Y142" i="5"/>
  <c r="I143" i="5"/>
  <c r="K143" i="5"/>
  <c r="J143" i="5"/>
  <c r="L143" i="5"/>
  <c r="P143" i="5"/>
  <c r="Q143" i="5"/>
  <c r="O143" i="5"/>
  <c r="R143" i="5"/>
  <c r="D158" i="5"/>
  <c r="E158" i="5"/>
  <c r="F158" i="5"/>
  <c r="U143" i="5"/>
  <c r="V143" i="5"/>
  <c r="X143" i="5"/>
  <c r="W143" i="5"/>
  <c r="Y143" i="5"/>
  <c r="I144" i="5"/>
  <c r="K144" i="5"/>
  <c r="J144" i="5"/>
  <c r="L144" i="5"/>
  <c r="P144" i="5"/>
  <c r="Q144" i="5"/>
  <c r="O144" i="5"/>
  <c r="R144" i="5"/>
  <c r="D159" i="5"/>
  <c r="E159" i="5"/>
  <c r="F159" i="5"/>
  <c r="U144" i="5"/>
  <c r="V144" i="5"/>
  <c r="X144" i="5"/>
  <c r="W144" i="5"/>
  <c r="Y144" i="5"/>
  <c r="I145" i="5"/>
  <c r="K145" i="5"/>
  <c r="J145" i="5"/>
  <c r="L145" i="5"/>
  <c r="P145" i="5"/>
  <c r="Q145" i="5"/>
  <c r="O145" i="5"/>
  <c r="R145" i="5"/>
  <c r="D160" i="5"/>
  <c r="E160" i="5"/>
  <c r="F160" i="5"/>
  <c r="U145" i="5"/>
  <c r="V145" i="5"/>
  <c r="X145" i="5"/>
  <c r="W145" i="5"/>
  <c r="Y145" i="5"/>
  <c r="I146" i="5"/>
  <c r="K146" i="5"/>
  <c r="J146" i="5"/>
  <c r="L146" i="5"/>
  <c r="P146" i="5"/>
  <c r="Q146" i="5"/>
  <c r="O146" i="5"/>
  <c r="R146" i="5"/>
  <c r="D161" i="5"/>
  <c r="E161" i="5"/>
  <c r="F161" i="5"/>
  <c r="U146" i="5"/>
  <c r="V146" i="5"/>
  <c r="X146" i="5"/>
  <c r="W146" i="5"/>
  <c r="Y146" i="5"/>
  <c r="I147" i="5"/>
  <c r="K147" i="5"/>
  <c r="J147" i="5"/>
  <c r="L147" i="5"/>
  <c r="P147" i="5"/>
  <c r="Q147" i="5"/>
  <c r="O147" i="5"/>
  <c r="R147" i="5"/>
  <c r="D162" i="5"/>
  <c r="E162" i="5"/>
  <c r="F162" i="5"/>
  <c r="U147" i="5"/>
  <c r="V147" i="5"/>
  <c r="X147" i="5"/>
  <c r="W147" i="5"/>
  <c r="Y147" i="5"/>
  <c r="I148" i="5"/>
  <c r="K148" i="5"/>
  <c r="J148" i="5"/>
  <c r="L148" i="5"/>
  <c r="P148" i="5"/>
  <c r="Q148" i="5"/>
  <c r="O148" i="5"/>
  <c r="R148" i="5"/>
  <c r="D163" i="5"/>
  <c r="E163" i="5"/>
  <c r="F163" i="5"/>
  <c r="U148" i="5"/>
  <c r="V148" i="5"/>
  <c r="X148" i="5"/>
  <c r="W148" i="5"/>
  <c r="Y148" i="5"/>
  <c r="I149" i="5"/>
  <c r="K149" i="5"/>
  <c r="J149" i="5"/>
  <c r="L149" i="5"/>
  <c r="P149" i="5"/>
  <c r="Q149" i="5"/>
  <c r="O149" i="5"/>
  <c r="R149" i="5"/>
  <c r="D164" i="5"/>
  <c r="E164" i="5"/>
  <c r="F164" i="5"/>
  <c r="U149" i="5"/>
  <c r="V149" i="5"/>
  <c r="X149" i="5"/>
  <c r="W149" i="5"/>
  <c r="Y149" i="5"/>
  <c r="I150" i="5"/>
  <c r="K150" i="5"/>
  <c r="J150" i="5"/>
  <c r="L150" i="5"/>
  <c r="P150" i="5"/>
  <c r="Q150" i="5"/>
  <c r="O150" i="5"/>
  <c r="R150" i="5"/>
  <c r="D165" i="5"/>
  <c r="E165" i="5"/>
  <c r="F165" i="5"/>
  <c r="U150" i="5"/>
  <c r="V150" i="5"/>
  <c r="X150" i="5"/>
  <c r="W150" i="5"/>
  <c r="Y150" i="5"/>
  <c r="I151" i="5"/>
  <c r="K151" i="5"/>
  <c r="J151" i="5"/>
  <c r="L151" i="5"/>
  <c r="P151" i="5"/>
  <c r="Q151" i="5"/>
  <c r="O151" i="5"/>
  <c r="R151" i="5"/>
  <c r="D166" i="5"/>
  <c r="E166" i="5"/>
  <c r="F166" i="5"/>
  <c r="U151" i="5"/>
  <c r="V151" i="5"/>
  <c r="X151" i="5"/>
  <c r="W151" i="5"/>
  <c r="Y151" i="5"/>
  <c r="I152" i="5"/>
  <c r="K152" i="5"/>
  <c r="J152" i="5"/>
  <c r="L152" i="5"/>
  <c r="P152" i="5"/>
  <c r="Q152" i="5"/>
  <c r="O152" i="5"/>
  <c r="R152" i="5"/>
  <c r="D167" i="5"/>
  <c r="E167" i="5"/>
  <c r="F167" i="5"/>
  <c r="U152" i="5"/>
  <c r="V152" i="5"/>
  <c r="X152" i="5"/>
  <c r="W152" i="5"/>
  <c r="Y152" i="5"/>
  <c r="I153" i="5"/>
  <c r="K153" i="5"/>
  <c r="J153" i="5"/>
  <c r="L153" i="5"/>
  <c r="P153" i="5"/>
  <c r="Q153" i="5"/>
  <c r="O153" i="5"/>
  <c r="R153" i="5"/>
  <c r="D168" i="5"/>
  <c r="E168" i="5"/>
  <c r="F168" i="5"/>
  <c r="U153" i="5"/>
  <c r="V153" i="5"/>
  <c r="X153" i="5"/>
  <c r="W153" i="5"/>
  <c r="Y153" i="5"/>
  <c r="I154" i="5"/>
  <c r="K154" i="5"/>
  <c r="J154" i="5"/>
  <c r="L154" i="5"/>
  <c r="P154" i="5"/>
  <c r="Q154" i="5"/>
  <c r="O154" i="5"/>
  <c r="R154" i="5"/>
  <c r="D169" i="5"/>
  <c r="E169" i="5"/>
  <c r="F169" i="5"/>
  <c r="U154" i="5"/>
  <c r="V154" i="5"/>
  <c r="X154" i="5"/>
  <c r="W154" i="5"/>
  <c r="Y154" i="5"/>
  <c r="I155" i="5"/>
  <c r="K155" i="5"/>
  <c r="J155" i="5"/>
  <c r="L155" i="5"/>
  <c r="P155" i="5"/>
  <c r="Q155" i="5"/>
  <c r="O155" i="5"/>
  <c r="R155" i="5"/>
  <c r="D170" i="5"/>
  <c r="E170" i="5"/>
  <c r="F170" i="5"/>
  <c r="U155" i="5"/>
  <c r="V155" i="5"/>
  <c r="X155" i="5"/>
  <c r="W155" i="5"/>
  <c r="Y155" i="5"/>
  <c r="I156" i="5"/>
  <c r="K156" i="5"/>
  <c r="J156" i="5"/>
  <c r="L156" i="5"/>
  <c r="P156" i="5"/>
  <c r="Q156" i="5"/>
  <c r="O156" i="5"/>
  <c r="R156" i="5"/>
  <c r="D171" i="5"/>
  <c r="E171" i="5"/>
  <c r="F171" i="5"/>
  <c r="U156" i="5"/>
  <c r="V156" i="5"/>
  <c r="X156" i="5"/>
  <c r="W156" i="5"/>
  <c r="Y156" i="5"/>
  <c r="I157" i="5"/>
  <c r="K157" i="5"/>
  <c r="J157" i="5"/>
  <c r="L157" i="5"/>
  <c r="P157" i="5"/>
  <c r="Q157" i="5"/>
  <c r="O157" i="5"/>
  <c r="R157" i="5"/>
  <c r="D172" i="5"/>
  <c r="E172" i="5"/>
  <c r="F172" i="5"/>
  <c r="U157" i="5"/>
  <c r="V157" i="5"/>
  <c r="X157" i="5"/>
  <c r="W157" i="5"/>
  <c r="Y157" i="5"/>
  <c r="I158" i="5"/>
  <c r="K158" i="5"/>
  <c r="J158" i="5"/>
  <c r="L158" i="5"/>
  <c r="P158" i="5"/>
  <c r="Q158" i="5"/>
  <c r="O158" i="5"/>
  <c r="R158" i="5"/>
  <c r="D173" i="5"/>
  <c r="E173" i="5"/>
  <c r="F173" i="5"/>
  <c r="U158" i="5"/>
  <c r="V158" i="5"/>
  <c r="X158" i="5"/>
  <c r="W158" i="5"/>
  <c r="Y158" i="5"/>
  <c r="I159" i="5"/>
  <c r="K159" i="5"/>
  <c r="J159" i="5"/>
  <c r="L159" i="5"/>
  <c r="P159" i="5"/>
  <c r="Q159" i="5"/>
  <c r="O159" i="5"/>
  <c r="R159" i="5"/>
  <c r="D174" i="5"/>
  <c r="E174" i="5"/>
  <c r="F174" i="5"/>
  <c r="U159" i="5"/>
  <c r="V159" i="5"/>
  <c r="X159" i="5"/>
  <c r="W159" i="5"/>
  <c r="Y159" i="5"/>
  <c r="I160" i="5"/>
  <c r="K160" i="5"/>
  <c r="J160" i="5"/>
  <c r="L160" i="5"/>
  <c r="P160" i="5"/>
  <c r="Q160" i="5"/>
  <c r="O160" i="5"/>
  <c r="R160" i="5"/>
  <c r="D175" i="5"/>
  <c r="E175" i="5"/>
  <c r="F175" i="5"/>
  <c r="U160" i="5"/>
  <c r="V160" i="5"/>
  <c r="X160" i="5"/>
  <c r="W160" i="5"/>
  <c r="Y160" i="5"/>
  <c r="I161" i="5"/>
  <c r="K161" i="5"/>
  <c r="J161" i="5"/>
  <c r="L161" i="5"/>
  <c r="P161" i="5"/>
  <c r="Q161" i="5"/>
  <c r="O161" i="5"/>
  <c r="R161" i="5"/>
  <c r="D176" i="5"/>
  <c r="E176" i="5"/>
  <c r="F176" i="5"/>
  <c r="U161" i="5"/>
  <c r="V161" i="5"/>
  <c r="X161" i="5"/>
  <c r="W161" i="5"/>
  <c r="Y161" i="5"/>
  <c r="I162" i="5"/>
  <c r="K162" i="5"/>
  <c r="J162" i="5"/>
  <c r="L162" i="5"/>
  <c r="P162" i="5"/>
  <c r="Q162" i="5"/>
  <c r="O162" i="5"/>
  <c r="R162" i="5"/>
  <c r="D177" i="5"/>
  <c r="E177" i="5"/>
  <c r="F177" i="5"/>
  <c r="U162" i="5"/>
  <c r="V162" i="5"/>
  <c r="X162" i="5"/>
  <c r="W162" i="5"/>
  <c r="Y162" i="5"/>
  <c r="I163" i="5"/>
  <c r="K163" i="5"/>
  <c r="J163" i="5"/>
  <c r="L163" i="5"/>
  <c r="P163" i="5"/>
  <c r="Q163" i="5"/>
  <c r="O163" i="5"/>
  <c r="R163" i="5"/>
  <c r="D178" i="5"/>
  <c r="E178" i="5"/>
  <c r="F178" i="5"/>
  <c r="U163" i="5"/>
  <c r="V163" i="5"/>
  <c r="X163" i="5"/>
  <c r="W163" i="5"/>
  <c r="Y163" i="5"/>
  <c r="I164" i="5"/>
  <c r="K164" i="5"/>
  <c r="J164" i="5"/>
  <c r="L164" i="5"/>
  <c r="P164" i="5"/>
  <c r="Q164" i="5"/>
  <c r="O164" i="5"/>
  <c r="R164" i="5"/>
  <c r="D179" i="5"/>
  <c r="E179" i="5"/>
  <c r="F179" i="5"/>
  <c r="U164" i="5"/>
  <c r="V164" i="5"/>
  <c r="X164" i="5"/>
  <c r="W164" i="5"/>
  <c r="Y164" i="5"/>
  <c r="I165" i="5"/>
  <c r="K165" i="5"/>
  <c r="J165" i="5"/>
  <c r="L165" i="5"/>
  <c r="P165" i="5"/>
  <c r="Q165" i="5"/>
  <c r="O165" i="5"/>
  <c r="R165" i="5"/>
  <c r="D180" i="5"/>
  <c r="E180" i="5"/>
  <c r="F180" i="5"/>
  <c r="U165" i="5"/>
  <c r="V165" i="5"/>
  <c r="X165" i="5"/>
  <c r="W165" i="5"/>
  <c r="Y165" i="5"/>
  <c r="I166" i="5"/>
  <c r="K166" i="5"/>
  <c r="J166" i="5"/>
  <c r="L166" i="5"/>
  <c r="P166" i="5"/>
  <c r="Q166" i="5"/>
  <c r="O166" i="5"/>
  <c r="R166" i="5"/>
  <c r="D181" i="5"/>
  <c r="E181" i="5"/>
  <c r="F181" i="5"/>
  <c r="U166" i="5"/>
  <c r="V166" i="5"/>
  <c r="X166" i="5"/>
  <c r="W166" i="5"/>
  <c r="Y166" i="5"/>
  <c r="I167" i="5"/>
  <c r="K167" i="5"/>
  <c r="J167" i="5"/>
  <c r="L167" i="5"/>
  <c r="P167" i="5"/>
  <c r="Q167" i="5"/>
  <c r="O167" i="5"/>
  <c r="R167" i="5"/>
  <c r="D182" i="5"/>
  <c r="E182" i="5"/>
  <c r="F182" i="5"/>
  <c r="U167" i="5"/>
  <c r="V167" i="5"/>
  <c r="X167" i="5"/>
  <c r="W167" i="5"/>
  <c r="Y167" i="5"/>
  <c r="I168" i="5"/>
  <c r="K168" i="5"/>
  <c r="J168" i="5"/>
  <c r="L168" i="5"/>
  <c r="P168" i="5"/>
  <c r="Q168" i="5"/>
  <c r="O168" i="5"/>
  <c r="R168" i="5"/>
  <c r="D183" i="5"/>
  <c r="E183" i="5"/>
  <c r="F183" i="5"/>
  <c r="U168" i="5"/>
  <c r="V168" i="5"/>
  <c r="X168" i="5"/>
  <c r="W168" i="5"/>
  <c r="Y168" i="5"/>
  <c r="I169" i="5"/>
  <c r="K169" i="5"/>
  <c r="J169" i="5"/>
  <c r="L169" i="5"/>
  <c r="P169" i="5"/>
  <c r="Q169" i="5"/>
  <c r="O169" i="5"/>
  <c r="R169" i="5"/>
  <c r="D184" i="5"/>
  <c r="E184" i="5"/>
  <c r="F184" i="5"/>
  <c r="U169" i="5"/>
  <c r="V169" i="5"/>
  <c r="X169" i="5"/>
  <c r="W169" i="5"/>
  <c r="Y169" i="5"/>
  <c r="I170" i="5"/>
  <c r="K170" i="5"/>
  <c r="J170" i="5"/>
  <c r="L170" i="5"/>
  <c r="P170" i="5"/>
  <c r="Q170" i="5"/>
  <c r="O170" i="5"/>
  <c r="R170" i="5"/>
  <c r="D185" i="5"/>
  <c r="E185" i="5"/>
  <c r="F185" i="5"/>
  <c r="U170" i="5"/>
  <c r="V170" i="5"/>
  <c r="X170" i="5"/>
  <c r="W170" i="5"/>
  <c r="Y170" i="5"/>
  <c r="I171" i="5"/>
  <c r="K171" i="5"/>
  <c r="J171" i="5"/>
  <c r="L171" i="5"/>
  <c r="P171" i="5"/>
  <c r="Q171" i="5"/>
  <c r="O171" i="5"/>
  <c r="R171" i="5"/>
  <c r="D186" i="5"/>
  <c r="E186" i="5"/>
  <c r="F186" i="5"/>
  <c r="U171" i="5"/>
  <c r="V171" i="5"/>
  <c r="X171" i="5"/>
  <c r="W171" i="5"/>
  <c r="Y171" i="5"/>
  <c r="I172" i="5"/>
  <c r="K172" i="5"/>
  <c r="J172" i="5"/>
  <c r="L172" i="5"/>
  <c r="P172" i="5"/>
  <c r="Q172" i="5"/>
  <c r="O172" i="5"/>
  <c r="R172" i="5"/>
  <c r="D187" i="5"/>
  <c r="E187" i="5"/>
  <c r="F187" i="5"/>
  <c r="U172" i="5"/>
  <c r="V172" i="5"/>
  <c r="X172" i="5"/>
  <c r="W172" i="5"/>
  <c r="Y172" i="5"/>
  <c r="I173" i="5"/>
  <c r="K173" i="5"/>
  <c r="J173" i="5"/>
  <c r="L173" i="5"/>
  <c r="P173" i="5"/>
  <c r="Q173" i="5"/>
  <c r="O173" i="5"/>
  <c r="R173" i="5"/>
  <c r="D188" i="5"/>
  <c r="E188" i="5"/>
  <c r="F188" i="5"/>
  <c r="U173" i="5"/>
  <c r="V173" i="5"/>
  <c r="X173" i="5"/>
  <c r="W173" i="5"/>
  <c r="Y173" i="5"/>
  <c r="I174" i="5"/>
  <c r="K174" i="5"/>
  <c r="J174" i="5"/>
  <c r="L174" i="5"/>
  <c r="P174" i="5"/>
  <c r="Q174" i="5"/>
  <c r="O174" i="5"/>
  <c r="R174" i="5"/>
  <c r="D189" i="5"/>
  <c r="E189" i="5"/>
  <c r="F189" i="5"/>
  <c r="U174" i="5"/>
  <c r="V174" i="5"/>
  <c r="X174" i="5"/>
  <c r="W174" i="5"/>
  <c r="Y174" i="5"/>
  <c r="I175" i="5"/>
  <c r="K175" i="5"/>
  <c r="J175" i="5"/>
  <c r="L175" i="5"/>
  <c r="P175" i="5"/>
  <c r="Q175" i="5"/>
  <c r="O175" i="5"/>
  <c r="R175" i="5"/>
  <c r="D190" i="5"/>
  <c r="E190" i="5"/>
  <c r="F190" i="5"/>
  <c r="U175" i="5"/>
  <c r="V175" i="5"/>
  <c r="X175" i="5"/>
  <c r="W175" i="5"/>
  <c r="Y175" i="5"/>
  <c r="I176" i="5"/>
  <c r="K176" i="5"/>
  <c r="J176" i="5"/>
  <c r="L176" i="5"/>
  <c r="P176" i="5"/>
  <c r="Q176" i="5"/>
  <c r="O176" i="5"/>
  <c r="R176" i="5"/>
  <c r="D191" i="5"/>
  <c r="E191" i="5"/>
  <c r="F191" i="5"/>
  <c r="U176" i="5"/>
  <c r="V176" i="5"/>
  <c r="X176" i="5"/>
  <c r="W176" i="5"/>
  <c r="Y176" i="5"/>
  <c r="I177" i="5"/>
  <c r="K177" i="5"/>
  <c r="J177" i="5"/>
  <c r="L177" i="5"/>
  <c r="P177" i="5"/>
  <c r="Q177" i="5"/>
  <c r="O177" i="5"/>
  <c r="R177" i="5"/>
  <c r="D192" i="5"/>
  <c r="E192" i="5"/>
  <c r="F192" i="5"/>
  <c r="U177" i="5"/>
  <c r="V177" i="5"/>
  <c r="X177" i="5"/>
  <c r="W177" i="5"/>
  <c r="Y177" i="5"/>
  <c r="I178" i="5"/>
  <c r="K178" i="5"/>
  <c r="J178" i="5"/>
  <c r="L178" i="5"/>
  <c r="P178" i="5"/>
  <c r="Q178" i="5"/>
  <c r="O178" i="5"/>
  <c r="R178" i="5"/>
  <c r="D193" i="5"/>
  <c r="E193" i="5"/>
  <c r="F193" i="5"/>
  <c r="U178" i="5"/>
  <c r="V178" i="5"/>
  <c r="X178" i="5"/>
  <c r="W178" i="5"/>
  <c r="Y178" i="5"/>
  <c r="I179" i="5"/>
  <c r="K179" i="5"/>
  <c r="J179" i="5"/>
  <c r="L179" i="5"/>
  <c r="P179" i="5"/>
  <c r="Q179" i="5"/>
  <c r="O179" i="5"/>
  <c r="R179" i="5"/>
  <c r="D194" i="5"/>
  <c r="E194" i="5"/>
  <c r="F194" i="5"/>
  <c r="U179" i="5"/>
  <c r="V179" i="5"/>
  <c r="X179" i="5"/>
  <c r="W179" i="5"/>
  <c r="Y179" i="5"/>
  <c r="I180" i="5"/>
  <c r="K180" i="5"/>
  <c r="J180" i="5"/>
  <c r="L180" i="5"/>
  <c r="P180" i="5"/>
  <c r="Q180" i="5"/>
  <c r="O180" i="5"/>
  <c r="R180" i="5"/>
  <c r="D195" i="5"/>
  <c r="E195" i="5"/>
  <c r="F195" i="5"/>
  <c r="U180" i="5"/>
  <c r="V180" i="5"/>
  <c r="X180" i="5"/>
  <c r="W180" i="5"/>
  <c r="Y180" i="5"/>
  <c r="I181" i="5"/>
  <c r="K181" i="5"/>
  <c r="J181" i="5"/>
  <c r="L181" i="5"/>
  <c r="P181" i="5"/>
  <c r="Q181" i="5"/>
  <c r="O181" i="5"/>
  <c r="R181" i="5"/>
  <c r="D196" i="5"/>
  <c r="E196" i="5"/>
  <c r="F196" i="5"/>
  <c r="U181" i="5"/>
  <c r="V181" i="5"/>
  <c r="X181" i="5"/>
  <c r="W181" i="5"/>
  <c r="Y181" i="5"/>
  <c r="I182" i="5"/>
  <c r="K182" i="5"/>
  <c r="J182" i="5"/>
  <c r="L182" i="5"/>
  <c r="P182" i="5"/>
  <c r="Q182" i="5"/>
  <c r="O182" i="5"/>
  <c r="R182" i="5"/>
  <c r="D197" i="5"/>
  <c r="E197" i="5"/>
  <c r="F197" i="5"/>
  <c r="U182" i="5"/>
  <c r="V182" i="5"/>
  <c r="X182" i="5"/>
  <c r="W182" i="5"/>
  <c r="Y182" i="5"/>
  <c r="I183" i="5"/>
  <c r="K183" i="5"/>
  <c r="J183" i="5"/>
  <c r="L183" i="5"/>
  <c r="P183" i="5"/>
  <c r="Q183" i="5"/>
  <c r="O183" i="5"/>
  <c r="R183" i="5"/>
  <c r="D198" i="5"/>
  <c r="E198" i="5"/>
  <c r="F198" i="5"/>
  <c r="U183" i="5"/>
  <c r="V183" i="5"/>
  <c r="X183" i="5"/>
  <c r="W183" i="5"/>
  <c r="Y183" i="5"/>
  <c r="I184" i="5"/>
  <c r="K184" i="5"/>
  <c r="J184" i="5"/>
  <c r="L184" i="5"/>
  <c r="P184" i="5"/>
  <c r="Q184" i="5"/>
  <c r="O184" i="5"/>
  <c r="R184" i="5"/>
  <c r="D199" i="5"/>
  <c r="E199" i="5"/>
  <c r="F199" i="5"/>
  <c r="U184" i="5"/>
  <c r="V184" i="5"/>
  <c r="X184" i="5"/>
  <c r="W184" i="5"/>
  <c r="Y184" i="5"/>
  <c r="I185" i="5"/>
  <c r="K185" i="5"/>
  <c r="J185" i="5"/>
  <c r="L185" i="5"/>
  <c r="P185" i="5"/>
  <c r="Q185" i="5"/>
  <c r="O185" i="5"/>
  <c r="R185" i="5"/>
  <c r="D200" i="5"/>
  <c r="E200" i="5"/>
  <c r="F200" i="5"/>
  <c r="U185" i="5"/>
  <c r="V185" i="5"/>
  <c r="X185" i="5"/>
  <c r="W185" i="5"/>
  <c r="Y185" i="5"/>
  <c r="I186" i="5"/>
  <c r="K186" i="5"/>
  <c r="J186" i="5"/>
  <c r="L186" i="5"/>
  <c r="P186" i="5"/>
  <c r="Q186" i="5"/>
  <c r="O186" i="5"/>
  <c r="R186" i="5"/>
  <c r="D201" i="5"/>
  <c r="E201" i="5"/>
  <c r="F201" i="5"/>
  <c r="U186" i="5"/>
  <c r="V186" i="5"/>
  <c r="X186" i="5"/>
  <c r="W186" i="5"/>
  <c r="Y186" i="5"/>
  <c r="I187" i="5"/>
  <c r="K187" i="5"/>
  <c r="J187" i="5"/>
  <c r="L187" i="5"/>
  <c r="P187" i="5"/>
  <c r="Q187" i="5"/>
  <c r="O187" i="5"/>
  <c r="R187" i="5"/>
  <c r="D202" i="5"/>
  <c r="E202" i="5"/>
  <c r="F202" i="5"/>
  <c r="U187" i="5"/>
  <c r="V187" i="5"/>
  <c r="X187" i="5"/>
  <c r="W187" i="5"/>
  <c r="Y187" i="5"/>
  <c r="I188" i="5"/>
  <c r="K188" i="5"/>
  <c r="J188" i="5"/>
  <c r="L188" i="5"/>
  <c r="P188" i="5"/>
  <c r="Q188" i="5"/>
  <c r="O188" i="5"/>
  <c r="R188" i="5"/>
  <c r="D203" i="5"/>
  <c r="E203" i="5"/>
  <c r="F203" i="5"/>
  <c r="U188" i="5"/>
  <c r="V188" i="5"/>
  <c r="X188" i="5"/>
  <c r="W188" i="5"/>
  <c r="Y188" i="5"/>
  <c r="I189" i="5"/>
  <c r="K189" i="5"/>
  <c r="J189" i="5"/>
  <c r="L189" i="5"/>
  <c r="P189" i="5"/>
  <c r="Q189" i="5"/>
  <c r="O189" i="5"/>
  <c r="R189" i="5"/>
  <c r="D204" i="5"/>
  <c r="E204" i="5"/>
  <c r="F204" i="5"/>
  <c r="U189" i="5"/>
  <c r="V189" i="5"/>
  <c r="X189" i="5"/>
  <c r="W189" i="5"/>
  <c r="Y189" i="5"/>
  <c r="I190" i="5"/>
  <c r="K190" i="5"/>
  <c r="J190" i="5"/>
  <c r="L190" i="5"/>
  <c r="P190" i="5"/>
  <c r="Q190" i="5"/>
  <c r="O190" i="5"/>
  <c r="R190" i="5"/>
  <c r="D205" i="5"/>
  <c r="E205" i="5"/>
  <c r="F205" i="5"/>
  <c r="U190" i="5"/>
  <c r="V190" i="5"/>
  <c r="X190" i="5"/>
  <c r="W190" i="5"/>
  <c r="Y190" i="5"/>
  <c r="I191" i="5"/>
  <c r="K191" i="5"/>
  <c r="J191" i="5"/>
  <c r="L191" i="5"/>
  <c r="P191" i="5"/>
  <c r="Q191" i="5"/>
  <c r="O191" i="5"/>
  <c r="R191" i="5"/>
  <c r="D206" i="5"/>
  <c r="E206" i="5"/>
  <c r="F206" i="5"/>
  <c r="U191" i="5"/>
  <c r="V191" i="5"/>
  <c r="X191" i="5"/>
  <c r="W191" i="5"/>
  <c r="Y191" i="5"/>
  <c r="I192" i="5"/>
  <c r="K192" i="5"/>
  <c r="J192" i="5"/>
  <c r="L192" i="5"/>
  <c r="P192" i="5"/>
  <c r="Q192" i="5"/>
  <c r="O192" i="5"/>
  <c r="R192" i="5"/>
  <c r="D207" i="5"/>
  <c r="E207" i="5"/>
  <c r="F207" i="5"/>
  <c r="U192" i="5"/>
  <c r="V192" i="5"/>
  <c r="X192" i="5"/>
  <c r="W192" i="5"/>
  <c r="Y192" i="5"/>
  <c r="I193" i="5"/>
  <c r="K193" i="5"/>
  <c r="J193" i="5"/>
  <c r="L193" i="5"/>
  <c r="P193" i="5"/>
  <c r="Q193" i="5"/>
  <c r="O193" i="5"/>
  <c r="R193" i="5"/>
  <c r="D208" i="5"/>
  <c r="E208" i="5"/>
  <c r="F208" i="5"/>
  <c r="U193" i="5"/>
  <c r="V193" i="5"/>
  <c r="X193" i="5"/>
  <c r="W193" i="5"/>
  <c r="Y193" i="5"/>
  <c r="I194" i="5"/>
  <c r="K194" i="5"/>
  <c r="J194" i="5"/>
  <c r="L194" i="5"/>
  <c r="P194" i="5"/>
  <c r="Q194" i="5"/>
  <c r="O194" i="5"/>
  <c r="R194" i="5"/>
  <c r="D209" i="5"/>
  <c r="E209" i="5"/>
  <c r="F209" i="5"/>
  <c r="U194" i="5"/>
  <c r="V194" i="5"/>
  <c r="X194" i="5"/>
  <c r="W194" i="5"/>
  <c r="Y194" i="5"/>
  <c r="I195" i="5"/>
  <c r="K195" i="5"/>
  <c r="J195" i="5"/>
  <c r="L195" i="5"/>
  <c r="P195" i="5"/>
  <c r="Q195" i="5"/>
  <c r="O195" i="5"/>
  <c r="R195" i="5"/>
  <c r="D210" i="5"/>
  <c r="E210" i="5"/>
  <c r="F210" i="5"/>
  <c r="U195" i="5"/>
  <c r="V195" i="5"/>
  <c r="X195" i="5"/>
  <c r="W195" i="5"/>
  <c r="Y195" i="5"/>
  <c r="I196" i="5"/>
  <c r="K196" i="5"/>
  <c r="J196" i="5"/>
  <c r="L196" i="5"/>
  <c r="P196" i="5"/>
  <c r="Q196" i="5"/>
  <c r="O196" i="5"/>
  <c r="R196" i="5"/>
  <c r="D211" i="5"/>
  <c r="E211" i="5"/>
  <c r="F211" i="5"/>
  <c r="U196" i="5"/>
  <c r="V196" i="5"/>
  <c r="X196" i="5"/>
  <c r="W196" i="5"/>
  <c r="Y196" i="5"/>
  <c r="I197" i="5"/>
  <c r="K197" i="5"/>
  <c r="J197" i="5"/>
  <c r="L197" i="5"/>
  <c r="P197" i="5"/>
  <c r="Q197" i="5"/>
  <c r="O197" i="5"/>
  <c r="R197" i="5"/>
  <c r="D212" i="5"/>
  <c r="E212" i="5"/>
  <c r="F212" i="5"/>
  <c r="U197" i="5"/>
  <c r="V197" i="5"/>
  <c r="X197" i="5"/>
  <c r="W197" i="5"/>
  <c r="Y197" i="5"/>
  <c r="I198" i="5"/>
  <c r="K198" i="5"/>
  <c r="J198" i="5"/>
  <c r="L198" i="5"/>
  <c r="P198" i="5"/>
  <c r="Q198" i="5"/>
  <c r="O198" i="5"/>
  <c r="R198" i="5"/>
  <c r="D213" i="5"/>
  <c r="E213" i="5"/>
  <c r="F213" i="5"/>
  <c r="U198" i="5"/>
  <c r="V198" i="5"/>
  <c r="X198" i="5"/>
  <c r="W198" i="5"/>
  <c r="Y198" i="5"/>
  <c r="I199" i="5"/>
  <c r="K199" i="5"/>
  <c r="J199" i="5"/>
  <c r="L199" i="5"/>
  <c r="P199" i="5"/>
  <c r="Q199" i="5"/>
  <c r="O199" i="5"/>
  <c r="R199" i="5"/>
  <c r="D214" i="5"/>
  <c r="E214" i="5"/>
  <c r="F214" i="5"/>
  <c r="U199" i="5"/>
  <c r="V199" i="5"/>
  <c r="X199" i="5"/>
  <c r="W199" i="5"/>
  <c r="Y199" i="5"/>
  <c r="I200" i="5"/>
  <c r="K200" i="5"/>
  <c r="J200" i="5"/>
  <c r="L200" i="5"/>
  <c r="P200" i="5"/>
  <c r="Q200" i="5"/>
  <c r="O200" i="5"/>
  <c r="R200" i="5"/>
  <c r="D215" i="5"/>
  <c r="E215" i="5"/>
  <c r="F215" i="5"/>
  <c r="U200" i="5"/>
  <c r="V200" i="5"/>
  <c r="X200" i="5"/>
  <c r="W200" i="5"/>
  <c r="Y200" i="5"/>
  <c r="I201" i="5"/>
  <c r="K201" i="5"/>
  <c r="J201" i="5"/>
  <c r="L201" i="5"/>
  <c r="P201" i="5"/>
  <c r="Q201" i="5"/>
  <c r="O201" i="5"/>
  <c r="R201" i="5"/>
  <c r="D216" i="5"/>
  <c r="E216" i="5"/>
  <c r="F216" i="5"/>
  <c r="U201" i="5"/>
  <c r="V201" i="5"/>
  <c r="X201" i="5"/>
  <c r="W201" i="5"/>
  <c r="Y201" i="5"/>
  <c r="I202" i="5"/>
  <c r="K202" i="5"/>
  <c r="J202" i="5"/>
  <c r="L202" i="5"/>
  <c r="P202" i="5"/>
  <c r="Q202" i="5"/>
  <c r="O202" i="5"/>
  <c r="R202" i="5"/>
  <c r="D217" i="5"/>
  <c r="E217" i="5"/>
  <c r="F217" i="5"/>
  <c r="U202" i="5"/>
  <c r="V202" i="5"/>
  <c r="X202" i="5"/>
  <c r="W202" i="5"/>
  <c r="Y202" i="5"/>
  <c r="I203" i="5"/>
  <c r="K203" i="5"/>
  <c r="J203" i="5"/>
  <c r="L203" i="5"/>
  <c r="P203" i="5"/>
  <c r="Q203" i="5"/>
  <c r="O203" i="5"/>
  <c r="R203" i="5"/>
  <c r="D218" i="5"/>
  <c r="E218" i="5"/>
  <c r="F218" i="5"/>
  <c r="U203" i="5"/>
  <c r="V203" i="5"/>
  <c r="X203" i="5"/>
  <c r="W203" i="5"/>
  <c r="Y203" i="5"/>
  <c r="I204" i="5"/>
  <c r="K204" i="5"/>
  <c r="J204" i="5"/>
  <c r="L204" i="5"/>
  <c r="P204" i="5"/>
  <c r="Q204" i="5"/>
  <c r="O204" i="5"/>
  <c r="R204" i="5"/>
  <c r="D219" i="5"/>
  <c r="E219" i="5"/>
  <c r="F219" i="5"/>
  <c r="U204" i="5"/>
  <c r="V204" i="5"/>
  <c r="X204" i="5"/>
  <c r="W204" i="5"/>
  <c r="Y204" i="5"/>
  <c r="I205" i="5"/>
  <c r="K205" i="5"/>
  <c r="J205" i="5"/>
  <c r="L205" i="5"/>
  <c r="P205" i="5"/>
  <c r="Q205" i="5"/>
  <c r="O205" i="5"/>
  <c r="R205" i="5"/>
  <c r="D220" i="5"/>
  <c r="E220" i="5"/>
  <c r="F220" i="5"/>
  <c r="U205" i="5"/>
  <c r="V205" i="5"/>
  <c r="X205" i="5"/>
  <c r="W205" i="5"/>
  <c r="Y205" i="5"/>
  <c r="I206" i="5"/>
  <c r="K206" i="5"/>
  <c r="J206" i="5"/>
  <c r="L206" i="5"/>
  <c r="P206" i="5"/>
  <c r="Q206" i="5"/>
  <c r="O206" i="5"/>
  <c r="R206" i="5"/>
  <c r="D221" i="5"/>
  <c r="E221" i="5"/>
  <c r="F221" i="5"/>
  <c r="U206" i="5"/>
  <c r="V206" i="5"/>
  <c r="X206" i="5"/>
  <c r="W206" i="5"/>
  <c r="Y206" i="5"/>
  <c r="I207" i="5"/>
  <c r="K207" i="5"/>
  <c r="J207" i="5"/>
  <c r="L207" i="5"/>
  <c r="P207" i="5"/>
  <c r="Q207" i="5"/>
  <c r="O207" i="5"/>
  <c r="R207" i="5"/>
  <c r="D222" i="5"/>
  <c r="E222" i="5"/>
  <c r="F222" i="5"/>
  <c r="U207" i="5"/>
  <c r="V207" i="5"/>
  <c r="X207" i="5"/>
  <c r="W207" i="5"/>
  <c r="Y207" i="5"/>
  <c r="I208" i="5"/>
  <c r="K208" i="5"/>
  <c r="J208" i="5"/>
  <c r="L208" i="5"/>
  <c r="P208" i="5"/>
  <c r="Q208" i="5"/>
  <c r="O208" i="5"/>
  <c r="R208" i="5"/>
  <c r="D223" i="5"/>
  <c r="E223" i="5"/>
  <c r="F223" i="5"/>
  <c r="U208" i="5"/>
  <c r="V208" i="5"/>
  <c r="X208" i="5"/>
  <c r="W208" i="5"/>
  <c r="Y208" i="5"/>
  <c r="I209" i="5"/>
  <c r="K209" i="5"/>
  <c r="J209" i="5"/>
  <c r="L209" i="5"/>
  <c r="P209" i="5"/>
  <c r="Q209" i="5"/>
  <c r="O209" i="5"/>
  <c r="R209" i="5"/>
  <c r="D224" i="5"/>
  <c r="E224" i="5"/>
  <c r="F224" i="5"/>
  <c r="U209" i="5"/>
  <c r="V209" i="5"/>
  <c r="X209" i="5"/>
  <c r="W209" i="5"/>
  <c r="Y209" i="5"/>
  <c r="I210" i="5"/>
  <c r="K210" i="5"/>
  <c r="J210" i="5"/>
  <c r="L210" i="5"/>
  <c r="P210" i="5"/>
  <c r="Q210" i="5"/>
  <c r="O210" i="5"/>
  <c r="R210" i="5"/>
  <c r="D225" i="5"/>
  <c r="E225" i="5"/>
  <c r="F225" i="5"/>
  <c r="U210" i="5"/>
  <c r="V210" i="5"/>
  <c r="X210" i="5"/>
  <c r="W210" i="5"/>
  <c r="Y210" i="5"/>
  <c r="I211" i="5"/>
  <c r="K211" i="5"/>
  <c r="J211" i="5"/>
  <c r="L211" i="5"/>
  <c r="P211" i="5"/>
  <c r="Q211" i="5"/>
  <c r="O211" i="5"/>
  <c r="R211" i="5"/>
  <c r="D226" i="5"/>
  <c r="E226" i="5"/>
  <c r="F226" i="5"/>
  <c r="U211" i="5"/>
  <c r="V211" i="5"/>
  <c r="X211" i="5"/>
  <c r="W211" i="5"/>
  <c r="Y211" i="5"/>
  <c r="I212" i="5"/>
  <c r="K212" i="5"/>
  <c r="J212" i="5"/>
  <c r="L212" i="5"/>
  <c r="P212" i="5"/>
  <c r="Q212" i="5"/>
  <c r="O212" i="5"/>
  <c r="R212" i="5"/>
  <c r="D227" i="5"/>
  <c r="E227" i="5"/>
  <c r="F227" i="5"/>
  <c r="U212" i="5"/>
  <c r="V212" i="5"/>
  <c r="X212" i="5"/>
  <c r="W212" i="5"/>
  <c r="Y212" i="5"/>
  <c r="I213" i="5"/>
  <c r="K213" i="5"/>
  <c r="J213" i="5"/>
  <c r="L213" i="5"/>
  <c r="P213" i="5"/>
  <c r="Q213" i="5"/>
  <c r="O213" i="5"/>
  <c r="R213" i="5"/>
  <c r="D228" i="5"/>
  <c r="E228" i="5"/>
  <c r="F228" i="5"/>
  <c r="U213" i="5"/>
  <c r="V213" i="5"/>
  <c r="X213" i="5"/>
  <c r="W213" i="5"/>
  <c r="Y213" i="5"/>
  <c r="I214" i="5"/>
  <c r="K214" i="5"/>
  <c r="J214" i="5"/>
  <c r="L214" i="5"/>
  <c r="P214" i="5"/>
  <c r="Q214" i="5"/>
  <c r="O214" i="5"/>
  <c r="R214" i="5"/>
  <c r="D229" i="5"/>
  <c r="E229" i="5"/>
  <c r="F229" i="5"/>
  <c r="U214" i="5"/>
  <c r="V214" i="5"/>
  <c r="X214" i="5"/>
  <c r="W214" i="5"/>
  <c r="Y214" i="5"/>
  <c r="I215" i="5"/>
  <c r="K215" i="5"/>
  <c r="J215" i="5"/>
  <c r="L215" i="5"/>
  <c r="P215" i="5"/>
  <c r="Q215" i="5"/>
  <c r="O215" i="5"/>
  <c r="R215" i="5"/>
  <c r="D230" i="5"/>
  <c r="E230" i="5"/>
  <c r="F230" i="5"/>
  <c r="U215" i="5"/>
  <c r="V215" i="5"/>
  <c r="X215" i="5"/>
  <c r="W215" i="5"/>
  <c r="Y215" i="5"/>
  <c r="I216" i="5"/>
  <c r="K216" i="5"/>
  <c r="J216" i="5"/>
  <c r="L216" i="5"/>
  <c r="P216" i="5"/>
  <c r="Q216" i="5"/>
  <c r="O216" i="5"/>
  <c r="R216" i="5"/>
  <c r="D231" i="5"/>
  <c r="E231" i="5"/>
  <c r="F231" i="5"/>
  <c r="U216" i="5"/>
  <c r="V216" i="5"/>
  <c r="X216" i="5"/>
  <c r="W216" i="5"/>
  <c r="Y216" i="5"/>
  <c r="I217" i="5"/>
  <c r="K217" i="5"/>
  <c r="J217" i="5"/>
  <c r="L217" i="5"/>
  <c r="P217" i="5"/>
  <c r="Q217" i="5"/>
  <c r="O217" i="5"/>
  <c r="R217" i="5"/>
  <c r="D232" i="5"/>
  <c r="E232" i="5"/>
  <c r="F232" i="5"/>
  <c r="U217" i="5"/>
  <c r="V217" i="5"/>
  <c r="X217" i="5"/>
  <c r="W217" i="5"/>
  <c r="Y217" i="5"/>
  <c r="I218" i="5"/>
  <c r="K218" i="5"/>
  <c r="J218" i="5"/>
  <c r="L218" i="5"/>
  <c r="P218" i="5"/>
  <c r="Q218" i="5"/>
  <c r="O218" i="5"/>
  <c r="R218" i="5"/>
  <c r="D233" i="5"/>
  <c r="E233" i="5"/>
  <c r="F233" i="5"/>
  <c r="U218" i="5"/>
  <c r="V218" i="5"/>
  <c r="X218" i="5"/>
  <c r="W218" i="5"/>
  <c r="Y218" i="5"/>
  <c r="I219" i="5"/>
  <c r="K219" i="5"/>
  <c r="J219" i="5"/>
  <c r="L219" i="5"/>
  <c r="P219" i="5"/>
  <c r="Q219" i="5"/>
  <c r="O219" i="5"/>
  <c r="R219" i="5"/>
  <c r="D234" i="5"/>
  <c r="E234" i="5"/>
  <c r="F234" i="5"/>
  <c r="U219" i="5"/>
  <c r="V219" i="5"/>
  <c r="X219" i="5"/>
  <c r="W219" i="5"/>
  <c r="Y219" i="5"/>
  <c r="I220" i="5"/>
  <c r="K220" i="5"/>
  <c r="J220" i="5"/>
  <c r="L220" i="5"/>
  <c r="P220" i="5"/>
  <c r="Q220" i="5"/>
  <c r="O220" i="5"/>
  <c r="R220" i="5"/>
  <c r="D235" i="5"/>
  <c r="E235" i="5"/>
  <c r="F235" i="5"/>
  <c r="U220" i="5"/>
  <c r="V220" i="5"/>
  <c r="X220" i="5"/>
  <c r="W220" i="5"/>
  <c r="Y220" i="5"/>
  <c r="I221" i="5"/>
  <c r="K221" i="5"/>
  <c r="J221" i="5"/>
  <c r="L221" i="5"/>
  <c r="P221" i="5"/>
  <c r="Q221" i="5"/>
  <c r="O221" i="5"/>
  <c r="R221" i="5"/>
  <c r="D236" i="5"/>
  <c r="E236" i="5"/>
  <c r="F236" i="5"/>
  <c r="U221" i="5"/>
  <c r="V221" i="5"/>
  <c r="X221" i="5"/>
  <c r="W221" i="5"/>
  <c r="Y221" i="5"/>
  <c r="I222" i="5"/>
  <c r="K222" i="5"/>
  <c r="J222" i="5"/>
  <c r="L222" i="5"/>
  <c r="P222" i="5"/>
  <c r="Q222" i="5"/>
  <c r="O222" i="5"/>
  <c r="R222" i="5"/>
  <c r="D237" i="5"/>
  <c r="E237" i="5"/>
  <c r="F237" i="5"/>
  <c r="U222" i="5"/>
  <c r="V222" i="5"/>
  <c r="X222" i="5"/>
  <c r="W222" i="5"/>
  <c r="Y222" i="5"/>
  <c r="I223" i="5"/>
  <c r="K223" i="5"/>
  <c r="J223" i="5"/>
  <c r="L223" i="5"/>
  <c r="P223" i="5"/>
  <c r="Q223" i="5"/>
  <c r="O223" i="5"/>
  <c r="R223" i="5"/>
  <c r="D238" i="5"/>
  <c r="E238" i="5"/>
  <c r="F238" i="5"/>
  <c r="U223" i="5"/>
  <c r="V223" i="5"/>
  <c r="X223" i="5"/>
  <c r="W223" i="5"/>
  <c r="Y223" i="5"/>
  <c r="I224" i="5"/>
  <c r="K224" i="5"/>
  <c r="J224" i="5"/>
  <c r="L224" i="5"/>
  <c r="P224" i="5"/>
  <c r="Q224" i="5"/>
  <c r="O224" i="5"/>
  <c r="R224" i="5"/>
  <c r="D239" i="5"/>
  <c r="E239" i="5"/>
  <c r="F239" i="5"/>
  <c r="U224" i="5"/>
  <c r="V224" i="5"/>
  <c r="X224" i="5"/>
  <c r="W224" i="5"/>
  <c r="Y224" i="5"/>
  <c r="I225" i="5"/>
  <c r="K225" i="5"/>
  <c r="J225" i="5"/>
  <c r="L225" i="5"/>
  <c r="P225" i="5"/>
  <c r="Q225" i="5"/>
  <c r="O225" i="5"/>
  <c r="R225" i="5"/>
  <c r="D240" i="5"/>
  <c r="E240" i="5"/>
  <c r="F240" i="5"/>
  <c r="U225" i="5"/>
  <c r="V225" i="5"/>
  <c r="X225" i="5"/>
  <c r="W225" i="5"/>
  <c r="Y225" i="5"/>
  <c r="I226" i="5"/>
  <c r="K226" i="5"/>
  <c r="J226" i="5"/>
  <c r="L226" i="5"/>
  <c r="P226" i="5"/>
  <c r="Q226" i="5"/>
  <c r="O226" i="5"/>
  <c r="R226" i="5"/>
  <c r="D241" i="5"/>
  <c r="E241" i="5"/>
  <c r="F241" i="5"/>
  <c r="U226" i="5"/>
  <c r="V226" i="5"/>
  <c r="X226" i="5"/>
  <c r="W226" i="5"/>
  <c r="Y226" i="5"/>
  <c r="I227" i="5"/>
  <c r="K227" i="5"/>
  <c r="J227" i="5"/>
  <c r="L227" i="5"/>
  <c r="P227" i="5"/>
  <c r="Q227" i="5"/>
  <c r="O227" i="5"/>
  <c r="R227" i="5"/>
  <c r="D242" i="5"/>
  <c r="E242" i="5"/>
  <c r="F242" i="5"/>
  <c r="U227" i="5"/>
  <c r="V227" i="5"/>
  <c r="X227" i="5"/>
  <c r="W227" i="5"/>
  <c r="Y227" i="5"/>
  <c r="I228" i="5"/>
  <c r="K228" i="5"/>
  <c r="J228" i="5"/>
  <c r="L228" i="5"/>
  <c r="P228" i="5"/>
  <c r="Q228" i="5"/>
  <c r="O228" i="5"/>
  <c r="R228" i="5"/>
  <c r="D243" i="5"/>
  <c r="E243" i="5"/>
  <c r="F243" i="5"/>
  <c r="U228" i="5"/>
  <c r="V228" i="5"/>
  <c r="X228" i="5"/>
  <c r="W228" i="5"/>
  <c r="Y228" i="5"/>
  <c r="I229" i="5"/>
  <c r="K229" i="5"/>
  <c r="J229" i="5"/>
  <c r="L229" i="5"/>
  <c r="P229" i="5"/>
  <c r="Q229" i="5"/>
  <c r="O229" i="5"/>
  <c r="R229" i="5"/>
  <c r="D244" i="5"/>
  <c r="E244" i="5"/>
  <c r="F244" i="5"/>
  <c r="U229" i="5"/>
  <c r="V229" i="5"/>
  <c r="X229" i="5"/>
  <c r="W229" i="5"/>
  <c r="Y229" i="5"/>
  <c r="I230" i="5"/>
  <c r="K230" i="5"/>
  <c r="J230" i="5"/>
  <c r="L230" i="5"/>
  <c r="P230" i="5"/>
  <c r="Q230" i="5"/>
  <c r="O230" i="5"/>
  <c r="R230" i="5"/>
  <c r="D245" i="5"/>
  <c r="E245" i="5"/>
  <c r="F245" i="5"/>
  <c r="U230" i="5"/>
  <c r="V230" i="5"/>
  <c r="X230" i="5"/>
  <c r="W230" i="5"/>
  <c r="Y230" i="5"/>
  <c r="I231" i="5"/>
  <c r="K231" i="5"/>
  <c r="J231" i="5"/>
  <c r="L231" i="5"/>
  <c r="P231" i="5"/>
  <c r="Q231" i="5"/>
  <c r="O231" i="5"/>
  <c r="R231" i="5"/>
  <c r="D246" i="5"/>
  <c r="E246" i="5"/>
  <c r="F246" i="5"/>
  <c r="U231" i="5"/>
  <c r="V231" i="5"/>
  <c r="X231" i="5"/>
  <c r="W231" i="5"/>
  <c r="Y231" i="5"/>
  <c r="I232" i="5"/>
  <c r="K232" i="5"/>
  <c r="J232" i="5"/>
  <c r="L232" i="5"/>
  <c r="P232" i="5"/>
  <c r="Q232" i="5"/>
  <c r="O232" i="5"/>
  <c r="R232" i="5"/>
  <c r="D247" i="5"/>
  <c r="E247" i="5"/>
  <c r="F247" i="5"/>
  <c r="U232" i="5"/>
  <c r="V232" i="5"/>
  <c r="X232" i="5"/>
  <c r="W232" i="5"/>
  <c r="Y232" i="5"/>
  <c r="I233" i="5"/>
  <c r="K233" i="5"/>
  <c r="J233" i="5"/>
  <c r="L233" i="5"/>
  <c r="P233" i="5"/>
  <c r="Q233" i="5"/>
  <c r="O233" i="5"/>
  <c r="R233" i="5"/>
  <c r="D248" i="5"/>
  <c r="E248" i="5"/>
  <c r="F248" i="5"/>
  <c r="U233" i="5"/>
  <c r="V233" i="5"/>
  <c r="X233" i="5"/>
  <c r="W233" i="5"/>
  <c r="Y233" i="5"/>
  <c r="I234" i="5"/>
  <c r="K234" i="5"/>
  <c r="J234" i="5"/>
  <c r="L234" i="5"/>
  <c r="P234" i="5"/>
  <c r="Q234" i="5"/>
  <c r="O234" i="5"/>
  <c r="R234" i="5"/>
  <c r="D249" i="5"/>
  <c r="E249" i="5"/>
  <c r="F249" i="5"/>
  <c r="U234" i="5"/>
  <c r="V234" i="5"/>
  <c r="X234" i="5"/>
  <c r="W234" i="5"/>
  <c r="Y234" i="5"/>
  <c r="I235" i="5"/>
  <c r="K235" i="5"/>
  <c r="J235" i="5"/>
  <c r="L235" i="5"/>
  <c r="P235" i="5"/>
  <c r="Q235" i="5"/>
  <c r="O235" i="5"/>
  <c r="R235" i="5"/>
  <c r="D250" i="5"/>
  <c r="E250" i="5"/>
  <c r="F250" i="5"/>
  <c r="U235" i="5"/>
  <c r="V235" i="5"/>
  <c r="X235" i="5"/>
  <c r="W235" i="5"/>
  <c r="Y235" i="5"/>
  <c r="I236" i="5"/>
  <c r="K236" i="5"/>
  <c r="J236" i="5"/>
  <c r="L236" i="5"/>
  <c r="P236" i="5"/>
  <c r="Q236" i="5"/>
  <c r="O236" i="5"/>
  <c r="R236" i="5"/>
  <c r="D251" i="5"/>
  <c r="E251" i="5"/>
  <c r="F251" i="5"/>
  <c r="U236" i="5"/>
  <c r="V236" i="5"/>
  <c r="X236" i="5"/>
  <c r="W236" i="5"/>
  <c r="Y236" i="5"/>
  <c r="I237" i="5"/>
  <c r="K237" i="5"/>
  <c r="J237" i="5"/>
  <c r="L237" i="5"/>
  <c r="P237" i="5"/>
  <c r="Q237" i="5"/>
  <c r="O237" i="5"/>
  <c r="R237" i="5"/>
  <c r="D252" i="5"/>
  <c r="E252" i="5"/>
  <c r="F252" i="5"/>
  <c r="U237" i="5"/>
  <c r="V237" i="5"/>
  <c r="X237" i="5"/>
  <c r="W237" i="5"/>
  <c r="Y237" i="5"/>
  <c r="I238" i="5"/>
  <c r="K238" i="5"/>
  <c r="J238" i="5"/>
  <c r="L238" i="5"/>
  <c r="P238" i="5"/>
  <c r="Q238" i="5"/>
  <c r="O238" i="5"/>
  <c r="R238" i="5"/>
  <c r="D253" i="5"/>
  <c r="E253" i="5"/>
  <c r="F253" i="5"/>
  <c r="U238" i="5"/>
  <c r="V238" i="5"/>
  <c r="X238" i="5"/>
  <c r="W238" i="5"/>
  <c r="Y238" i="5"/>
  <c r="I239" i="5"/>
  <c r="K239" i="5"/>
  <c r="J239" i="5"/>
  <c r="L239" i="5"/>
  <c r="P239" i="5"/>
  <c r="Q239" i="5"/>
  <c r="O239" i="5"/>
  <c r="R239" i="5"/>
  <c r="D254" i="5"/>
  <c r="E254" i="5"/>
  <c r="F254" i="5"/>
  <c r="U239" i="5"/>
  <c r="V239" i="5"/>
  <c r="X239" i="5"/>
  <c r="W239" i="5"/>
  <c r="Y239" i="5"/>
  <c r="I240" i="5"/>
  <c r="K240" i="5"/>
  <c r="J240" i="5"/>
  <c r="L240" i="5"/>
  <c r="P240" i="5"/>
  <c r="Q240" i="5"/>
  <c r="O240" i="5"/>
  <c r="R240" i="5"/>
  <c r="D255" i="5"/>
  <c r="E255" i="5"/>
  <c r="F255" i="5"/>
  <c r="U240" i="5"/>
  <c r="V240" i="5"/>
  <c r="X240" i="5"/>
  <c r="W240" i="5"/>
  <c r="Y240" i="5"/>
  <c r="I241" i="5"/>
  <c r="K241" i="5"/>
  <c r="J241" i="5"/>
  <c r="L241" i="5"/>
  <c r="P241" i="5"/>
  <c r="Q241" i="5"/>
  <c r="O241" i="5"/>
  <c r="R241" i="5"/>
  <c r="D256" i="5"/>
  <c r="E256" i="5"/>
  <c r="F256" i="5"/>
  <c r="U241" i="5"/>
  <c r="V241" i="5"/>
  <c r="X241" i="5"/>
  <c r="W241" i="5"/>
  <c r="Y241" i="5"/>
  <c r="I242" i="5"/>
  <c r="K242" i="5"/>
  <c r="J242" i="5"/>
  <c r="L242" i="5"/>
  <c r="P242" i="5"/>
  <c r="Q242" i="5"/>
  <c r="O242" i="5"/>
  <c r="R242" i="5"/>
  <c r="D257" i="5"/>
  <c r="E257" i="5"/>
  <c r="F257" i="5"/>
  <c r="U242" i="5"/>
  <c r="V242" i="5"/>
  <c r="X242" i="5"/>
  <c r="W242" i="5"/>
  <c r="Y242" i="5"/>
  <c r="I243" i="5"/>
  <c r="K243" i="5"/>
  <c r="J243" i="5"/>
  <c r="L243" i="5"/>
  <c r="P243" i="5"/>
  <c r="Q243" i="5"/>
  <c r="O243" i="5"/>
  <c r="R243" i="5"/>
  <c r="D258" i="5"/>
  <c r="E258" i="5"/>
  <c r="F258" i="5"/>
  <c r="U243" i="5"/>
  <c r="V243" i="5"/>
  <c r="X243" i="5"/>
  <c r="W243" i="5"/>
  <c r="Y243" i="5"/>
  <c r="I244" i="5"/>
  <c r="K244" i="5"/>
  <c r="J244" i="5"/>
  <c r="L244" i="5"/>
  <c r="P244" i="5"/>
  <c r="Q244" i="5"/>
  <c r="O244" i="5"/>
  <c r="R244" i="5"/>
  <c r="D259" i="5"/>
  <c r="E259" i="5"/>
  <c r="F259" i="5"/>
  <c r="U244" i="5"/>
  <c r="V244" i="5"/>
  <c r="X244" i="5"/>
  <c r="W244" i="5"/>
  <c r="Y244" i="5"/>
  <c r="I245" i="5"/>
  <c r="K245" i="5"/>
  <c r="J245" i="5"/>
  <c r="L245" i="5"/>
  <c r="P245" i="5"/>
  <c r="Q245" i="5"/>
  <c r="O245" i="5"/>
  <c r="R245" i="5"/>
  <c r="D260" i="5"/>
  <c r="E260" i="5"/>
  <c r="F260" i="5"/>
  <c r="U245" i="5"/>
  <c r="V245" i="5"/>
  <c r="X245" i="5"/>
  <c r="W245" i="5"/>
  <c r="Y245" i="5"/>
  <c r="I246" i="5"/>
  <c r="K246" i="5"/>
  <c r="J246" i="5"/>
  <c r="L246" i="5"/>
  <c r="P246" i="5"/>
  <c r="Q246" i="5"/>
  <c r="O246" i="5"/>
  <c r="R246" i="5"/>
  <c r="D261" i="5"/>
  <c r="E261" i="5"/>
  <c r="F261" i="5"/>
  <c r="U246" i="5"/>
  <c r="V246" i="5"/>
  <c r="X246" i="5"/>
  <c r="W246" i="5"/>
  <c r="Y246" i="5"/>
  <c r="I247" i="5"/>
  <c r="K247" i="5"/>
  <c r="J247" i="5"/>
  <c r="L247" i="5"/>
  <c r="P247" i="5"/>
  <c r="Q247" i="5"/>
  <c r="O247" i="5"/>
  <c r="R247" i="5"/>
  <c r="D262" i="5"/>
  <c r="E262" i="5"/>
  <c r="F262" i="5"/>
  <c r="U247" i="5"/>
  <c r="V247" i="5"/>
  <c r="X247" i="5"/>
  <c r="W247" i="5"/>
  <c r="Y247" i="5"/>
  <c r="I248" i="5"/>
  <c r="K248" i="5"/>
  <c r="J248" i="5"/>
  <c r="L248" i="5"/>
  <c r="P248" i="5"/>
  <c r="Q248" i="5"/>
  <c r="O248" i="5"/>
  <c r="R248" i="5"/>
  <c r="D263" i="5"/>
  <c r="E263" i="5"/>
  <c r="F263" i="5"/>
  <c r="U248" i="5"/>
  <c r="V248" i="5"/>
  <c r="X248" i="5"/>
  <c r="W248" i="5"/>
  <c r="Y248" i="5"/>
  <c r="I249" i="5"/>
  <c r="K249" i="5"/>
  <c r="J249" i="5"/>
  <c r="L249" i="5"/>
  <c r="P249" i="5"/>
  <c r="Q249" i="5"/>
  <c r="O249" i="5"/>
  <c r="R249" i="5"/>
  <c r="D264" i="5"/>
  <c r="E264" i="5"/>
  <c r="F264" i="5"/>
  <c r="U249" i="5"/>
  <c r="V249" i="5"/>
  <c r="X249" i="5"/>
  <c r="W249" i="5"/>
  <c r="Y249" i="5"/>
  <c r="I250" i="5"/>
  <c r="K250" i="5"/>
  <c r="J250" i="5"/>
  <c r="L250" i="5"/>
  <c r="P250" i="5"/>
  <c r="Q250" i="5"/>
  <c r="O250" i="5"/>
  <c r="R250" i="5"/>
  <c r="D265" i="5"/>
  <c r="E265" i="5"/>
  <c r="F265" i="5"/>
  <c r="U250" i="5"/>
  <c r="V250" i="5"/>
  <c r="X250" i="5"/>
  <c r="W250" i="5"/>
  <c r="Y250" i="5"/>
  <c r="I251" i="5"/>
  <c r="K251" i="5"/>
  <c r="J251" i="5"/>
  <c r="L251" i="5"/>
  <c r="P251" i="5"/>
  <c r="Q251" i="5"/>
  <c r="O251" i="5"/>
  <c r="R251" i="5"/>
  <c r="D266" i="5"/>
  <c r="E266" i="5"/>
  <c r="F266" i="5"/>
  <c r="U251" i="5"/>
  <c r="V251" i="5"/>
  <c r="X251" i="5"/>
  <c r="W251" i="5"/>
  <c r="Y251" i="5"/>
  <c r="I252" i="5"/>
  <c r="K252" i="5"/>
  <c r="J252" i="5"/>
  <c r="L252" i="5"/>
  <c r="P252" i="5"/>
  <c r="Q252" i="5"/>
  <c r="O252" i="5"/>
  <c r="R252" i="5"/>
  <c r="D267" i="5"/>
  <c r="E267" i="5"/>
  <c r="F267" i="5"/>
  <c r="U252" i="5"/>
  <c r="V252" i="5"/>
  <c r="X252" i="5"/>
  <c r="W252" i="5"/>
  <c r="Y252" i="5"/>
  <c r="I253" i="5"/>
  <c r="K253" i="5"/>
  <c r="J253" i="5"/>
  <c r="L253" i="5"/>
  <c r="P253" i="5"/>
  <c r="Q253" i="5"/>
  <c r="O253" i="5"/>
  <c r="R253" i="5"/>
  <c r="D268" i="5"/>
  <c r="E268" i="5"/>
  <c r="F268" i="5"/>
  <c r="U253" i="5"/>
  <c r="V253" i="5"/>
  <c r="X253" i="5"/>
  <c r="W253" i="5"/>
  <c r="Y253" i="5"/>
  <c r="I254" i="5"/>
  <c r="K254" i="5"/>
  <c r="J254" i="5"/>
  <c r="L254" i="5"/>
  <c r="P254" i="5"/>
  <c r="Q254" i="5"/>
  <c r="O254" i="5"/>
  <c r="R254" i="5"/>
  <c r="D269" i="5"/>
  <c r="E269" i="5"/>
  <c r="F269" i="5"/>
  <c r="U254" i="5"/>
  <c r="V254" i="5"/>
  <c r="X254" i="5"/>
  <c r="W254" i="5"/>
  <c r="Y254" i="5"/>
  <c r="I255" i="5"/>
  <c r="K255" i="5"/>
  <c r="J255" i="5"/>
  <c r="L255" i="5"/>
  <c r="P255" i="5"/>
  <c r="Q255" i="5"/>
  <c r="O255" i="5"/>
  <c r="R255" i="5"/>
  <c r="D270" i="5"/>
  <c r="E270" i="5"/>
  <c r="F270" i="5"/>
  <c r="U255" i="5"/>
  <c r="V255" i="5"/>
  <c r="X255" i="5"/>
  <c r="W255" i="5"/>
  <c r="Y255" i="5"/>
  <c r="I256" i="5"/>
  <c r="K256" i="5"/>
  <c r="J256" i="5"/>
  <c r="L256" i="5"/>
  <c r="P256" i="5"/>
  <c r="Q256" i="5"/>
  <c r="O256" i="5"/>
  <c r="R256" i="5"/>
  <c r="D271" i="5"/>
  <c r="E271" i="5"/>
  <c r="F271" i="5"/>
  <c r="U256" i="5"/>
  <c r="V256" i="5"/>
  <c r="X256" i="5"/>
  <c r="W256" i="5"/>
  <c r="Y256" i="5"/>
  <c r="I257" i="5"/>
  <c r="K257" i="5"/>
  <c r="J257" i="5"/>
  <c r="L257" i="5"/>
  <c r="P257" i="5"/>
  <c r="Q257" i="5"/>
  <c r="O257" i="5"/>
  <c r="R257" i="5"/>
  <c r="D272" i="5"/>
  <c r="E272" i="5"/>
  <c r="F272" i="5"/>
  <c r="U257" i="5"/>
  <c r="V257" i="5"/>
  <c r="X257" i="5"/>
  <c r="W257" i="5"/>
  <c r="Y257" i="5"/>
  <c r="I258" i="5"/>
  <c r="K258" i="5"/>
  <c r="J258" i="5"/>
  <c r="L258" i="5"/>
  <c r="P258" i="5"/>
  <c r="Q258" i="5"/>
  <c r="O258" i="5"/>
  <c r="R258" i="5"/>
  <c r="D273" i="5"/>
  <c r="E273" i="5"/>
  <c r="F273" i="5"/>
  <c r="U258" i="5"/>
  <c r="V258" i="5"/>
  <c r="X258" i="5"/>
  <c r="W258" i="5"/>
  <c r="Y258" i="5"/>
  <c r="I259" i="5"/>
  <c r="K259" i="5"/>
  <c r="J259" i="5"/>
  <c r="L259" i="5"/>
  <c r="P259" i="5"/>
  <c r="Q259" i="5"/>
  <c r="O259" i="5"/>
  <c r="R259" i="5"/>
  <c r="D274" i="5"/>
  <c r="E274" i="5"/>
  <c r="F274" i="5"/>
  <c r="U259" i="5"/>
  <c r="V259" i="5"/>
  <c r="X259" i="5"/>
  <c r="W259" i="5"/>
  <c r="Y259" i="5"/>
  <c r="I260" i="5"/>
  <c r="K260" i="5"/>
  <c r="J260" i="5"/>
  <c r="L260" i="5"/>
  <c r="P260" i="5"/>
  <c r="Q260" i="5"/>
  <c r="O260" i="5"/>
  <c r="R260" i="5"/>
  <c r="D275" i="5"/>
  <c r="E275" i="5"/>
  <c r="F275" i="5"/>
  <c r="U260" i="5"/>
  <c r="V260" i="5"/>
  <c r="X260" i="5"/>
  <c r="W260" i="5"/>
  <c r="Y260" i="5"/>
  <c r="I261" i="5"/>
  <c r="K261" i="5"/>
  <c r="J261" i="5"/>
  <c r="L261" i="5"/>
  <c r="P261" i="5"/>
  <c r="Q261" i="5"/>
  <c r="O261" i="5"/>
  <c r="R261" i="5"/>
  <c r="D276" i="5"/>
  <c r="E276" i="5"/>
  <c r="F276" i="5"/>
  <c r="U261" i="5"/>
  <c r="V261" i="5"/>
  <c r="X261" i="5"/>
  <c r="W261" i="5"/>
  <c r="Y261" i="5"/>
  <c r="I262" i="5"/>
  <c r="K262" i="5"/>
  <c r="J262" i="5"/>
  <c r="L262" i="5"/>
  <c r="P262" i="5"/>
  <c r="Q262" i="5"/>
  <c r="O262" i="5"/>
  <c r="R262" i="5"/>
  <c r="D277" i="5"/>
  <c r="E277" i="5"/>
  <c r="F277" i="5"/>
  <c r="U262" i="5"/>
  <c r="V262" i="5"/>
  <c r="X262" i="5"/>
  <c r="W262" i="5"/>
  <c r="Y262" i="5"/>
  <c r="I263" i="5"/>
  <c r="K263" i="5"/>
  <c r="J263" i="5"/>
  <c r="L263" i="5"/>
  <c r="P263" i="5"/>
  <c r="Q263" i="5"/>
  <c r="O263" i="5"/>
  <c r="R263" i="5"/>
  <c r="D278" i="5"/>
  <c r="E278" i="5"/>
  <c r="F278" i="5"/>
  <c r="U263" i="5"/>
  <c r="V263" i="5"/>
  <c r="X263" i="5"/>
  <c r="W263" i="5"/>
  <c r="Y263" i="5"/>
  <c r="I264" i="5"/>
  <c r="K264" i="5"/>
  <c r="J264" i="5"/>
  <c r="L264" i="5"/>
  <c r="P264" i="5"/>
  <c r="Q264" i="5"/>
  <c r="O264" i="5"/>
  <c r="R264" i="5"/>
  <c r="D279" i="5"/>
  <c r="E279" i="5"/>
  <c r="F279" i="5"/>
  <c r="U264" i="5"/>
  <c r="V264" i="5"/>
  <c r="X264" i="5"/>
  <c r="W264" i="5"/>
  <c r="Y264" i="5"/>
  <c r="I265" i="5"/>
  <c r="K265" i="5"/>
  <c r="J265" i="5"/>
  <c r="L265" i="5"/>
  <c r="P265" i="5"/>
  <c r="Q265" i="5"/>
  <c r="O265" i="5"/>
  <c r="R265" i="5"/>
  <c r="D280" i="5"/>
  <c r="E280" i="5"/>
  <c r="F280" i="5"/>
  <c r="U265" i="5"/>
  <c r="V265" i="5"/>
  <c r="X265" i="5"/>
  <c r="W265" i="5"/>
  <c r="Y265" i="5"/>
  <c r="I266" i="5"/>
  <c r="K266" i="5"/>
  <c r="J266" i="5"/>
  <c r="L266" i="5"/>
  <c r="P266" i="5"/>
  <c r="Q266" i="5"/>
  <c r="O266" i="5"/>
  <c r="R266" i="5"/>
  <c r="D281" i="5"/>
  <c r="E281" i="5"/>
  <c r="F281" i="5"/>
  <c r="U266" i="5"/>
  <c r="W266" i="5"/>
  <c r="X266" i="5"/>
  <c r="V266" i="5"/>
  <c r="Y266" i="5"/>
  <c r="I267" i="5"/>
  <c r="K267" i="5"/>
  <c r="J267" i="5"/>
  <c r="L267" i="5"/>
  <c r="P267" i="5"/>
  <c r="Q267" i="5"/>
  <c r="O267" i="5"/>
  <c r="R267" i="5"/>
  <c r="D282" i="5"/>
  <c r="E282" i="5"/>
  <c r="F282" i="5"/>
  <c r="U267" i="5"/>
  <c r="I268" i="5"/>
  <c r="K268" i="5"/>
  <c r="J268" i="5"/>
  <c r="L268" i="5"/>
  <c r="P268" i="5"/>
  <c r="Q268" i="5"/>
  <c r="O268" i="5"/>
  <c r="R268" i="5"/>
  <c r="D283" i="5"/>
  <c r="E283" i="5"/>
  <c r="F283" i="5"/>
  <c r="U268" i="5"/>
  <c r="I269" i="5"/>
  <c r="K269" i="5"/>
  <c r="J269" i="5"/>
  <c r="L269" i="5"/>
  <c r="P269" i="5"/>
  <c r="Q269" i="5"/>
  <c r="O269" i="5"/>
  <c r="R269" i="5"/>
  <c r="D284" i="5"/>
  <c r="E284" i="5"/>
  <c r="F284" i="5"/>
  <c r="U269" i="5"/>
  <c r="I270" i="5"/>
  <c r="K270" i="5"/>
  <c r="J270" i="5"/>
  <c r="L270" i="5"/>
  <c r="P270" i="5"/>
  <c r="Q270" i="5"/>
  <c r="O270" i="5"/>
  <c r="R270" i="5"/>
  <c r="D285" i="5"/>
  <c r="E285" i="5"/>
  <c r="F285" i="5"/>
  <c r="U270" i="5"/>
  <c r="I271" i="5"/>
  <c r="K271" i="5"/>
  <c r="J271" i="5"/>
  <c r="L271" i="5"/>
  <c r="P271" i="5"/>
  <c r="Q271" i="5"/>
  <c r="O271" i="5"/>
  <c r="R271" i="5"/>
  <c r="D286" i="5"/>
  <c r="E286" i="5"/>
  <c r="F286" i="5"/>
  <c r="U271" i="5"/>
  <c r="I272" i="5"/>
  <c r="K272" i="5"/>
  <c r="J272" i="5"/>
  <c r="L272" i="5"/>
  <c r="P272" i="5"/>
  <c r="Q272" i="5"/>
  <c r="O272" i="5"/>
  <c r="R272" i="5"/>
  <c r="D287" i="5"/>
  <c r="E287" i="5"/>
  <c r="F287" i="5"/>
  <c r="U272" i="5"/>
  <c r="I273" i="5"/>
  <c r="K273" i="5"/>
  <c r="J273" i="5"/>
  <c r="L273" i="5"/>
  <c r="P273" i="5"/>
  <c r="Q273" i="5"/>
  <c r="O273" i="5"/>
  <c r="R273" i="5"/>
  <c r="D288" i="5"/>
  <c r="E288" i="5"/>
  <c r="F288" i="5"/>
  <c r="U273" i="5"/>
  <c r="I274" i="5"/>
  <c r="K274" i="5"/>
  <c r="J274" i="5"/>
  <c r="L274" i="5"/>
  <c r="P274" i="5"/>
  <c r="Q274" i="5"/>
  <c r="O274" i="5"/>
  <c r="R274" i="5"/>
  <c r="D289" i="5"/>
  <c r="E289" i="5"/>
  <c r="F289" i="5"/>
  <c r="U274" i="5"/>
  <c r="I275" i="5"/>
  <c r="K275" i="5"/>
  <c r="J275" i="5"/>
  <c r="L275" i="5"/>
  <c r="P275" i="5"/>
  <c r="Q275" i="5"/>
  <c r="O275" i="5"/>
  <c r="R275" i="5"/>
  <c r="D290" i="5"/>
  <c r="E290" i="5"/>
  <c r="F290" i="5"/>
  <c r="U275" i="5"/>
  <c r="I276" i="5"/>
  <c r="K276" i="5"/>
  <c r="J276" i="5"/>
  <c r="L276" i="5"/>
  <c r="P276" i="5"/>
  <c r="Q276" i="5"/>
  <c r="O276" i="5"/>
  <c r="R276" i="5"/>
  <c r="D291" i="5"/>
  <c r="E291" i="5"/>
  <c r="F291" i="5"/>
  <c r="U276" i="5"/>
  <c r="I277" i="5"/>
  <c r="K277" i="5"/>
  <c r="J277" i="5"/>
  <c r="L277" i="5"/>
  <c r="P277" i="5"/>
  <c r="Q277" i="5"/>
  <c r="O277" i="5"/>
  <c r="R277" i="5"/>
  <c r="D292" i="5"/>
  <c r="E292" i="5"/>
  <c r="F292" i="5"/>
  <c r="U277" i="5"/>
  <c r="I278" i="5"/>
  <c r="K278" i="5"/>
  <c r="J278" i="5"/>
  <c r="L278" i="5"/>
  <c r="P278" i="5"/>
  <c r="Q278" i="5"/>
  <c r="O278" i="5"/>
  <c r="R278" i="5"/>
  <c r="D293" i="5"/>
  <c r="E293" i="5"/>
  <c r="F293" i="5"/>
  <c r="U278" i="5"/>
  <c r="I279" i="5"/>
  <c r="K279" i="5"/>
  <c r="J279" i="5"/>
  <c r="L279" i="5"/>
  <c r="P279" i="5"/>
  <c r="Q279" i="5"/>
  <c r="O279" i="5"/>
  <c r="R279" i="5"/>
  <c r="D294" i="5"/>
  <c r="E294" i="5"/>
  <c r="F294" i="5"/>
  <c r="U279" i="5"/>
  <c r="I280" i="5"/>
  <c r="K280" i="5"/>
  <c r="J280" i="5"/>
  <c r="L280" i="5"/>
  <c r="P280" i="5"/>
  <c r="Q280" i="5"/>
  <c r="O280" i="5"/>
  <c r="R280" i="5"/>
  <c r="D295" i="5"/>
  <c r="E295" i="5"/>
  <c r="F295" i="5"/>
  <c r="U280" i="5"/>
  <c r="I281" i="5"/>
  <c r="K281" i="5"/>
  <c r="J281" i="5"/>
  <c r="L281" i="5"/>
  <c r="P281" i="5"/>
  <c r="Q281" i="5"/>
  <c r="O281" i="5"/>
  <c r="R281" i="5"/>
  <c r="D296" i="5"/>
  <c r="E296" i="5"/>
  <c r="F296" i="5"/>
  <c r="U281" i="5"/>
  <c r="I282" i="5"/>
  <c r="K282" i="5"/>
  <c r="J282" i="5"/>
  <c r="L282" i="5"/>
  <c r="P282" i="5"/>
  <c r="Q282" i="5"/>
  <c r="O282" i="5"/>
  <c r="R282" i="5"/>
  <c r="D297" i="5"/>
  <c r="E297" i="5"/>
  <c r="F297" i="5"/>
  <c r="U282" i="5"/>
  <c r="I283" i="5"/>
  <c r="K283" i="5"/>
  <c r="J283" i="5"/>
  <c r="L283" i="5"/>
  <c r="P283" i="5"/>
  <c r="Q283" i="5"/>
  <c r="O283" i="5"/>
  <c r="R283" i="5"/>
  <c r="D298" i="5"/>
  <c r="E298" i="5"/>
  <c r="F298" i="5"/>
  <c r="U283" i="5"/>
  <c r="I284" i="5"/>
  <c r="K284" i="5"/>
  <c r="J284" i="5"/>
  <c r="L284" i="5"/>
  <c r="P284" i="5"/>
  <c r="Q284" i="5"/>
  <c r="O284" i="5"/>
  <c r="R284" i="5"/>
  <c r="D299" i="5"/>
  <c r="E299" i="5"/>
  <c r="F299" i="5"/>
  <c r="U284" i="5"/>
  <c r="I285" i="5"/>
  <c r="K285" i="5"/>
  <c r="J285" i="5"/>
  <c r="L285" i="5"/>
  <c r="P285" i="5"/>
  <c r="Q285" i="5"/>
  <c r="O285" i="5"/>
  <c r="R285" i="5"/>
  <c r="D300" i="5"/>
  <c r="E300" i="5"/>
  <c r="F300" i="5"/>
  <c r="U285" i="5"/>
  <c r="I286" i="5"/>
  <c r="K286" i="5"/>
  <c r="J286" i="5"/>
  <c r="L286" i="5"/>
  <c r="P286" i="5"/>
  <c r="Q286" i="5"/>
  <c r="O286" i="5"/>
  <c r="R286" i="5"/>
  <c r="D301" i="5"/>
  <c r="E301" i="5"/>
  <c r="F301" i="5"/>
  <c r="U286" i="5"/>
  <c r="I287" i="5"/>
  <c r="K287" i="5"/>
  <c r="J287" i="5"/>
  <c r="L287" i="5"/>
  <c r="P287" i="5"/>
  <c r="Q287" i="5"/>
  <c r="O287" i="5"/>
  <c r="R287" i="5"/>
  <c r="D302" i="5"/>
  <c r="E302" i="5"/>
  <c r="F302" i="5"/>
  <c r="U287" i="5"/>
  <c r="I288" i="5"/>
  <c r="K288" i="5"/>
  <c r="J288" i="5"/>
  <c r="L288" i="5"/>
  <c r="P288" i="5"/>
  <c r="Q288" i="5"/>
  <c r="O288" i="5"/>
  <c r="R288" i="5"/>
  <c r="D303" i="5"/>
  <c r="E303" i="5"/>
  <c r="F303" i="5"/>
  <c r="U288" i="5"/>
  <c r="I289" i="5"/>
  <c r="K289" i="5"/>
  <c r="J289" i="5"/>
  <c r="L289" i="5"/>
  <c r="P289" i="5"/>
  <c r="Q289" i="5"/>
  <c r="O289" i="5"/>
  <c r="R289" i="5"/>
  <c r="D304" i="5"/>
  <c r="E304" i="5"/>
  <c r="F304" i="5"/>
  <c r="U289" i="5"/>
  <c r="I290" i="5"/>
  <c r="K290" i="5"/>
  <c r="J290" i="5"/>
  <c r="L290" i="5"/>
  <c r="P290" i="5"/>
  <c r="Q290" i="5"/>
  <c r="O290" i="5"/>
  <c r="R290" i="5"/>
  <c r="D305" i="5"/>
  <c r="E305" i="5"/>
  <c r="F305" i="5"/>
  <c r="U290" i="5"/>
  <c r="I291" i="5"/>
  <c r="K291" i="5"/>
  <c r="J291" i="5"/>
  <c r="L291" i="5"/>
  <c r="P291" i="5"/>
  <c r="Q291" i="5"/>
  <c r="O291" i="5"/>
  <c r="R291" i="5"/>
  <c r="D306" i="5"/>
  <c r="E306" i="5"/>
  <c r="F306" i="5"/>
  <c r="U291" i="5"/>
  <c r="I292" i="5"/>
  <c r="K292" i="5"/>
  <c r="J292" i="5"/>
  <c r="L292" i="5"/>
  <c r="P292" i="5"/>
  <c r="Q292" i="5"/>
  <c r="O292" i="5"/>
  <c r="R292" i="5"/>
  <c r="D307" i="5"/>
  <c r="E307" i="5"/>
  <c r="F307" i="5"/>
  <c r="U292" i="5"/>
  <c r="I293" i="5"/>
  <c r="K293" i="5"/>
  <c r="J293" i="5"/>
  <c r="L293" i="5"/>
  <c r="P293" i="5"/>
  <c r="Q293" i="5"/>
  <c r="O293" i="5"/>
  <c r="R293" i="5"/>
  <c r="D308" i="5"/>
  <c r="E308" i="5"/>
  <c r="F308" i="5"/>
  <c r="U293" i="5"/>
  <c r="I294" i="5"/>
  <c r="K294" i="5"/>
  <c r="J294" i="5"/>
  <c r="L294" i="5"/>
  <c r="P294" i="5"/>
  <c r="Q294" i="5"/>
  <c r="O294" i="5"/>
  <c r="R294" i="5"/>
  <c r="D309" i="5"/>
  <c r="E309" i="5"/>
  <c r="F309" i="5"/>
  <c r="U294" i="5"/>
  <c r="I295" i="5"/>
  <c r="K295" i="5"/>
  <c r="J295" i="5"/>
  <c r="L295" i="5"/>
  <c r="P295" i="5"/>
  <c r="Q295" i="5"/>
  <c r="O295" i="5"/>
  <c r="R295" i="5"/>
  <c r="D310" i="5"/>
  <c r="E310" i="5"/>
  <c r="F310" i="5"/>
  <c r="U295" i="5"/>
  <c r="I296" i="5"/>
  <c r="K296" i="5"/>
  <c r="J296" i="5"/>
  <c r="L296" i="5"/>
  <c r="P296" i="5"/>
  <c r="Q296" i="5"/>
  <c r="O296" i="5"/>
  <c r="R296" i="5"/>
  <c r="D311" i="5"/>
  <c r="E311" i="5"/>
  <c r="F311" i="5"/>
  <c r="U296" i="5"/>
  <c r="I297" i="5"/>
  <c r="K297" i="5"/>
  <c r="J297" i="5"/>
  <c r="L297" i="5"/>
  <c r="P297" i="5"/>
  <c r="Q297" i="5"/>
  <c r="O297" i="5"/>
  <c r="R297" i="5"/>
  <c r="D312" i="5"/>
  <c r="E312" i="5"/>
  <c r="F312" i="5"/>
  <c r="U297" i="5"/>
  <c r="I298" i="5"/>
  <c r="K298" i="5"/>
  <c r="J298" i="5"/>
  <c r="L298" i="5"/>
  <c r="P298" i="5"/>
  <c r="Q298" i="5"/>
  <c r="O298" i="5"/>
  <c r="R298" i="5"/>
  <c r="D313" i="5"/>
  <c r="E313" i="5"/>
  <c r="F313" i="5"/>
  <c r="U298" i="5"/>
  <c r="I299" i="5"/>
  <c r="K299" i="5"/>
  <c r="J299" i="5"/>
  <c r="L299" i="5"/>
  <c r="P299" i="5"/>
  <c r="Q299" i="5"/>
  <c r="O299" i="5"/>
  <c r="R299" i="5"/>
  <c r="D314" i="5"/>
  <c r="E314" i="5"/>
  <c r="F314" i="5"/>
  <c r="U299" i="5"/>
  <c r="I300" i="5"/>
  <c r="K300" i="5"/>
  <c r="J300" i="5"/>
  <c r="L300" i="5"/>
  <c r="P300" i="5"/>
  <c r="Q300" i="5"/>
  <c r="O300" i="5"/>
  <c r="R300" i="5"/>
  <c r="D315" i="5"/>
  <c r="E315" i="5"/>
  <c r="F315" i="5"/>
  <c r="U300" i="5"/>
  <c r="I301" i="5"/>
  <c r="K301" i="5"/>
  <c r="J301" i="5"/>
  <c r="L301" i="5"/>
  <c r="P301" i="5"/>
  <c r="Q301" i="5"/>
  <c r="O301" i="5"/>
  <c r="R301" i="5"/>
  <c r="D316" i="5"/>
  <c r="E316" i="5"/>
  <c r="F316" i="5"/>
  <c r="U301" i="5"/>
  <c r="I302" i="5"/>
  <c r="K302" i="5"/>
  <c r="J302" i="5"/>
  <c r="L302" i="5"/>
  <c r="P302" i="5"/>
  <c r="Q302" i="5"/>
  <c r="O302" i="5"/>
  <c r="R302" i="5"/>
  <c r="D317" i="5"/>
  <c r="E317" i="5"/>
  <c r="F317" i="5"/>
  <c r="U302" i="5"/>
  <c r="I303" i="5"/>
  <c r="K303" i="5"/>
  <c r="J303" i="5"/>
  <c r="L303" i="5"/>
  <c r="P303" i="5"/>
  <c r="Q303" i="5"/>
  <c r="O303" i="5"/>
  <c r="R303" i="5"/>
  <c r="D318" i="5"/>
  <c r="E318" i="5"/>
  <c r="F318" i="5"/>
  <c r="U303" i="5"/>
  <c r="I304" i="5"/>
  <c r="K304" i="5"/>
  <c r="J304" i="5"/>
  <c r="L304" i="5"/>
  <c r="P304" i="5"/>
  <c r="Q304" i="5"/>
  <c r="O304" i="5"/>
  <c r="R304" i="5"/>
  <c r="D319" i="5"/>
  <c r="E319" i="5"/>
  <c r="F319" i="5"/>
  <c r="U304" i="5"/>
  <c r="I305" i="5"/>
  <c r="K305" i="5"/>
  <c r="J305" i="5"/>
  <c r="L305" i="5"/>
  <c r="P305" i="5"/>
  <c r="Q305" i="5"/>
  <c r="O305" i="5"/>
  <c r="R305" i="5"/>
  <c r="D320" i="5"/>
  <c r="E320" i="5"/>
  <c r="F320" i="5"/>
  <c r="U305" i="5"/>
  <c r="I306" i="5"/>
  <c r="K306" i="5"/>
  <c r="J306" i="5"/>
  <c r="L306" i="5"/>
  <c r="P306" i="5"/>
  <c r="Q306" i="5"/>
  <c r="O306" i="5"/>
  <c r="R306" i="5"/>
  <c r="D321" i="5"/>
  <c r="E321" i="5"/>
  <c r="F321" i="5"/>
  <c r="U306" i="5"/>
  <c r="I307" i="5"/>
  <c r="K307" i="5"/>
  <c r="J307" i="5"/>
  <c r="L307" i="5"/>
  <c r="P307" i="5"/>
  <c r="Q307" i="5"/>
  <c r="O307" i="5"/>
  <c r="R307" i="5"/>
  <c r="D322" i="5"/>
  <c r="E322" i="5"/>
  <c r="F322" i="5"/>
  <c r="U307" i="5"/>
  <c r="I308" i="5"/>
  <c r="K308" i="5"/>
  <c r="J308" i="5"/>
  <c r="L308" i="5"/>
  <c r="P308" i="5"/>
  <c r="Q308" i="5"/>
  <c r="O308" i="5"/>
  <c r="R308" i="5"/>
  <c r="D323" i="5"/>
  <c r="E323" i="5"/>
  <c r="F323" i="5"/>
  <c r="U308" i="5"/>
  <c r="I309" i="5"/>
  <c r="K309" i="5"/>
  <c r="J309" i="5"/>
  <c r="L309" i="5"/>
  <c r="P309" i="5"/>
  <c r="Q309" i="5"/>
  <c r="O309" i="5"/>
  <c r="R309" i="5"/>
  <c r="D324" i="5"/>
  <c r="E324" i="5"/>
  <c r="F324" i="5"/>
  <c r="U309" i="5"/>
  <c r="I310" i="5"/>
  <c r="K310" i="5"/>
  <c r="J310" i="5"/>
  <c r="L310" i="5"/>
  <c r="P310" i="5"/>
  <c r="Q310" i="5"/>
  <c r="O310" i="5"/>
  <c r="R310" i="5"/>
  <c r="D325" i="5"/>
  <c r="E325" i="5"/>
  <c r="F325" i="5"/>
  <c r="U310" i="5"/>
  <c r="I311" i="5"/>
  <c r="K311" i="5"/>
  <c r="J311" i="5"/>
  <c r="L311" i="5"/>
  <c r="P311" i="5"/>
  <c r="Q311" i="5"/>
  <c r="O311" i="5"/>
  <c r="R311" i="5"/>
  <c r="D326" i="5"/>
  <c r="E326" i="5"/>
  <c r="F326" i="5"/>
  <c r="U311" i="5"/>
  <c r="I312" i="5"/>
  <c r="K312" i="5"/>
  <c r="J312" i="5"/>
  <c r="L312" i="5"/>
  <c r="P312" i="5"/>
  <c r="Q312" i="5"/>
  <c r="O312" i="5"/>
  <c r="R312" i="5"/>
  <c r="D327" i="5"/>
  <c r="E327" i="5"/>
  <c r="F327" i="5"/>
  <c r="U312" i="5"/>
  <c r="I313" i="5"/>
  <c r="K313" i="5"/>
  <c r="J313" i="5"/>
  <c r="L313" i="5"/>
  <c r="P313" i="5"/>
  <c r="Q313" i="5"/>
  <c r="O313" i="5"/>
  <c r="R313" i="5"/>
  <c r="D328" i="5"/>
  <c r="E328" i="5"/>
  <c r="F328" i="5"/>
  <c r="U313" i="5"/>
  <c r="I314" i="5"/>
  <c r="K314" i="5"/>
  <c r="J314" i="5"/>
  <c r="L314" i="5"/>
  <c r="P314" i="5"/>
  <c r="Q314" i="5"/>
  <c r="O314" i="5"/>
  <c r="R314" i="5"/>
  <c r="D329" i="5"/>
  <c r="E329" i="5"/>
  <c r="F329" i="5"/>
  <c r="U314" i="5"/>
  <c r="I315" i="5"/>
  <c r="K315" i="5"/>
  <c r="J315" i="5"/>
  <c r="L315" i="5"/>
  <c r="P315" i="5"/>
  <c r="Q315" i="5"/>
  <c r="O315" i="5"/>
  <c r="R315" i="5"/>
  <c r="D330" i="5"/>
  <c r="E330" i="5"/>
  <c r="F330" i="5"/>
  <c r="U315" i="5"/>
  <c r="I316" i="5"/>
  <c r="K316" i="5"/>
  <c r="J316" i="5"/>
  <c r="L316" i="5"/>
  <c r="P316" i="5"/>
  <c r="Q316" i="5"/>
  <c r="O316" i="5"/>
  <c r="R316" i="5"/>
  <c r="D331" i="5"/>
  <c r="E331" i="5"/>
  <c r="F331" i="5"/>
  <c r="U316" i="5"/>
  <c r="I317" i="5"/>
  <c r="K317" i="5"/>
  <c r="J317" i="5"/>
  <c r="L317" i="5"/>
  <c r="P317" i="5"/>
  <c r="Q317" i="5"/>
  <c r="O317" i="5"/>
  <c r="R317" i="5"/>
  <c r="D332" i="5"/>
  <c r="E332" i="5"/>
  <c r="F332" i="5"/>
  <c r="U317" i="5"/>
  <c r="I318" i="5"/>
  <c r="K318" i="5"/>
  <c r="J318" i="5"/>
  <c r="L318" i="5"/>
  <c r="P318" i="5"/>
  <c r="Q318" i="5"/>
  <c r="O318" i="5"/>
  <c r="R318" i="5"/>
  <c r="D333" i="5"/>
  <c r="E333" i="5"/>
  <c r="F333" i="5"/>
  <c r="U318" i="5"/>
  <c r="I319" i="5"/>
  <c r="K319" i="5"/>
  <c r="J319" i="5"/>
  <c r="L319" i="5"/>
  <c r="P319" i="5"/>
  <c r="Q319" i="5"/>
  <c r="O319" i="5"/>
  <c r="R319" i="5"/>
  <c r="D334" i="5"/>
  <c r="E334" i="5"/>
  <c r="F334" i="5"/>
  <c r="U319" i="5"/>
  <c r="I320" i="5"/>
  <c r="K320" i="5"/>
  <c r="J320" i="5"/>
  <c r="L320" i="5"/>
  <c r="P320" i="5"/>
  <c r="Q320" i="5"/>
  <c r="O320" i="5"/>
  <c r="R320" i="5"/>
  <c r="D335" i="5"/>
  <c r="E335" i="5"/>
  <c r="F335" i="5"/>
  <c r="U320" i="5"/>
  <c r="I321" i="5"/>
  <c r="K321" i="5"/>
  <c r="J321" i="5"/>
  <c r="L321" i="5"/>
  <c r="P321" i="5"/>
  <c r="Q321" i="5"/>
  <c r="O321" i="5"/>
  <c r="R321" i="5"/>
  <c r="D336" i="5"/>
  <c r="E336" i="5"/>
  <c r="F336" i="5"/>
  <c r="U321" i="5"/>
  <c r="I322" i="5"/>
  <c r="K322" i="5"/>
  <c r="J322" i="5"/>
  <c r="L322" i="5"/>
  <c r="P322" i="5"/>
  <c r="Q322" i="5"/>
  <c r="O322" i="5"/>
  <c r="R322" i="5"/>
  <c r="D337" i="5"/>
  <c r="E337" i="5"/>
  <c r="F337" i="5"/>
  <c r="U322" i="5"/>
  <c r="I323" i="5"/>
  <c r="K323" i="5"/>
  <c r="J323" i="5"/>
  <c r="L323" i="5"/>
  <c r="P323" i="5"/>
  <c r="Q323" i="5"/>
  <c r="O323" i="5"/>
  <c r="R323" i="5"/>
  <c r="D338" i="5"/>
  <c r="E338" i="5"/>
  <c r="F338" i="5"/>
  <c r="U323" i="5"/>
  <c r="I324" i="5"/>
  <c r="K324" i="5"/>
  <c r="J324" i="5"/>
  <c r="L324" i="5"/>
  <c r="P324" i="5"/>
  <c r="Q324" i="5"/>
  <c r="O324" i="5"/>
  <c r="R324" i="5"/>
  <c r="D339" i="5"/>
  <c r="E339" i="5"/>
  <c r="F339" i="5"/>
  <c r="U324" i="5"/>
  <c r="I325" i="5"/>
  <c r="K325" i="5"/>
  <c r="J325" i="5"/>
  <c r="L325" i="5"/>
  <c r="P325" i="5"/>
  <c r="Q325" i="5"/>
  <c r="O325" i="5"/>
  <c r="R325" i="5"/>
  <c r="D340" i="5"/>
  <c r="E340" i="5"/>
  <c r="F340" i="5"/>
  <c r="U325" i="5"/>
  <c r="I326" i="5"/>
  <c r="K326" i="5"/>
  <c r="J326" i="5"/>
  <c r="L326" i="5"/>
  <c r="P326" i="5"/>
  <c r="Q326" i="5"/>
  <c r="O326" i="5"/>
  <c r="R326" i="5"/>
  <c r="D341" i="5"/>
  <c r="E341" i="5"/>
  <c r="F341" i="5"/>
  <c r="U326" i="5"/>
  <c r="I327" i="5"/>
  <c r="K327" i="5"/>
  <c r="J327" i="5"/>
  <c r="L327" i="5"/>
  <c r="P327" i="5"/>
  <c r="Q327" i="5"/>
  <c r="O327" i="5"/>
  <c r="R327" i="5"/>
  <c r="D342" i="5"/>
  <c r="E342" i="5"/>
  <c r="F342" i="5"/>
  <c r="U327" i="5"/>
  <c r="I328" i="5"/>
  <c r="K328" i="5"/>
  <c r="J328" i="5"/>
  <c r="L328" i="5"/>
  <c r="P328" i="5"/>
  <c r="Q328" i="5"/>
  <c r="O328" i="5"/>
  <c r="R328" i="5"/>
  <c r="D343" i="5"/>
  <c r="E343" i="5"/>
  <c r="F343" i="5"/>
  <c r="U328" i="5"/>
  <c r="I329" i="5"/>
  <c r="K329" i="5"/>
  <c r="J329" i="5"/>
  <c r="L329" i="5"/>
  <c r="P329" i="5"/>
  <c r="Q329" i="5"/>
  <c r="O329" i="5"/>
  <c r="R329" i="5"/>
  <c r="D344" i="5"/>
  <c r="E344" i="5"/>
  <c r="F344" i="5"/>
  <c r="U329" i="5"/>
  <c r="I330" i="5"/>
  <c r="K330" i="5"/>
  <c r="J330" i="5"/>
  <c r="L330" i="5"/>
  <c r="P330" i="5"/>
  <c r="Q330" i="5"/>
  <c r="O330" i="5"/>
  <c r="R330" i="5"/>
  <c r="D345" i="5"/>
  <c r="E345" i="5"/>
  <c r="F345" i="5"/>
  <c r="U330" i="5"/>
  <c r="I331" i="5"/>
  <c r="K331" i="5"/>
  <c r="J331" i="5"/>
  <c r="L331" i="5"/>
  <c r="P331" i="5"/>
  <c r="Q331" i="5"/>
  <c r="O331" i="5"/>
  <c r="R331" i="5"/>
  <c r="D346" i="5"/>
  <c r="E346" i="5"/>
  <c r="F346" i="5"/>
  <c r="U331" i="5"/>
  <c r="B31" i="4"/>
  <c r="B34" i="4"/>
  <c r="B35" i="4"/>
  <c r="D35" i="4"/>
  <c r="B40" i="4"/>
  <c r="D40" i="4"/>
  <c r="B41" i="4"/>
  <c r="D53" i="4"/>
  <c r="C46" i="4"/>
  <c r="D46" i="4"/>
  <c r="F46" i="4"/>
  <c r="E46" i="4"/>
  <c r="C47" i="4"/>
  <c r="D47" i="4"/>
  <c r="F47" i="4"/>
  <c r="E47" i="4"/>
  <c r="C48" i="4"/>
  <c r="D48" i="4"/>
  <c r="F48" i="4"/>
  <c r="E48" i="4"/>
  <c r="C49" i="4"/>
  <c r="D49" i="4"/>
  <c r="F49" i="4"/>
  <c r="E49" i="4"/>
  <c r="C50" i="4"/>
  <c r="D50" i="4"/>
  <c r="F50" i="4"/>
  <c r="E50" i="4"/>
  <c r="C51" i="4"/>
  <c r="D51" i="4"/>
  <c r="F51" i="4"/>
  <c r="E51" i="4"/>
  <c r="C52" i="4"/>
  <c r="D52" i="4"/>
  <c r="F52" i="4"/>
  <c r="E52" i="4"/>
  <c r="C53" i="4"/>
  <c r="F53" i="4"/>
  <c r="E53" i="4"/>
  <c r="C57" i="4"/>
  <c r="B8" i="6"/>
  <c r="B10" i="6"/>
  <c r="B12" i="6"/>
  <c r="D19" i="6"/>
  <c r="C19" i="6"/>
  <c r="D24" i="6"/>
  <c r="C24" i="6"/>
  <c r="D23" i="6"/>
  <c r="C23" i="6"/>
  <c r="D22" i="6"/>
  <c r="C22" i="6"/>
  <c r="D21" i="6"/>
  <c r="C21" i="6"/>
  <c r="D20" i="6"/>
  <c r="C20" i="6"/>
  <c r="D18" i="6"/>
  <c r="C18" i="6"/>
  <c r="B14" i="6"/>
  <c r="B90" i="2"/>
  <c r="B89" i="2"/>
  <c r="D81" i="2"/>
  <c r="E81" i="2"/>
  <c r="I81" i="2"/>
  <c r="B84" i="2"/>
  <c r="B85" i="2"/>
  <c r="J81" i="2"/>
  <c r="K81" i="2"/>
  <c r="D82" i="2"/>
  <c r="E82" i="2"/>
  <c r="I82" i="2"/>
  <c r="J82" i="2"/>
  <c r="K82" i="2"/>
  <c r="E83" i="2"/>
  <c r="G83" i="2"/>
  <c r="I83" i="2"/>
  <c r="J83" i="2"/>
  <c r="K83" i="2"/>
  <c r="I84" i="2"/>
  <c r="J84" i="2"/>
  <c r="K84" i="2"/>
  <c r="K85" i="2"/>
  <c r="H84" i="2"/>
  <c r="H83" i="2"/>
  <c r="H82" i="2"/>
  <c r="G82" i="2"/>
  <c r="H81" i="2"/>
  <c r="B55" i="2"/>
  <c r="B54" i="2"/>
  <c r="D46" i="2"/>
  <c r="E46" i="2"/>
  <c r="G46" i="2"/>
  <c r="B49" i="2"/>
  <c r="B50" i="2"/>
  <c r="H46" i="2"/>
  <c r="I46" i="2"/>
  <c r="D47" i="2"/>
  <c r="G47" i="2"/>
  <c r="H47" i="2"/>
  <c r="I47" i="2"/>
  <c r="D48" i="2"/>
  <c r="E48" i="2"/>
  <c r="G48" i="2"/>
  <c r="H48" i="2"/>
  <c r="I48" i="2"/>
  <c r="G49" i="2"/>
  <c r="H49" i="2"/>
  <c r="I49" i="2"/>
  <c r="I50" i="2"/>
  <c r="F49" i="2"/>
  <c r="F48" i="2"/>
  <c r="F47" i="2"/>
  <c r="F46" i="2"/>
  <c r="B25" i="2"/>
  <c r="B23" i="2"/>
  <c r="C17" i="2"/>
  <c r="D17" i="2"/>
  <c r="D18" i="2"/>
  <c r="B52" i="1"/>
  <c r="B51" i="1"/>
  <c r="D43" i="1"/>
  <c r="E43" i="1"/>
  <c r="F43" i="1"/>
  <c r="G43" i="1"/>
  <c r="B46" i="1"/>
  <c r="B47" i="1"/>
  <c r="H43" i="1"/>
  <c r="I43" i="1"/>
  <c r="D44" i="1"/>
  <c r="F44" i="1"/>
  <c r="G44" i="1"/>
  <c r="H44" i="1"/>
  <c r="I44" i="1"/>
  <c r="D45" i="1"/>
  <c r="E45" i="1"/>
  <c r="F45" i="1"/>
  <c r="G45" i="1"/>
  <c r="I45" i="1"/>
  <c r="F46" i="1"/>
  <c r="G46" i="1"/>
  <c r="H46" i="1"/>
  <c r="I46" i="1"/>
  <c r="I47" i="1"/>
  <c r="D18" i="1"/>
  <c r="D19" i="1"/>
  <c r="B26" i="1"/>
  <c r="B24" i="1"/>
  <c r="W11" i="5"/>
  <c r="V12" i="5"/>
  <c r="C15" i="5"/>
  <c r="D15" i="5" s="1"/>
  <c r="N13" i="5"/>
  <c r="P11" i="5"/>
  <c r="P12" i="5"/>
  <c r="N14" i="5"/>
  <c r="P13" i="5"/>
  <c r="N15" i="5"/>
  <c r="P14" i="5"/>
  <c r="N16" i="5"/>
  <c r="P15" i="5"/>
  <c r="N17" i="5"/>
  <c r="P16" i="5"/>
  <c r="N18" i="5"/>
  <c r="P17" i="5"/>
  <c r="N19" i="5"/>
  <c r="P18" i="5"/>
  <c r="N20" i="5"/>
  <c r="P19" i="5"/>
  <c r="N21" i="5"/>
  <c r="P20" i="5"/>
  <c r="N22" i="5"/>
  <c r="P21" i="5"/>
  <c r="N23" i="5"/>
  <c r="P22" i="5"/>
  <c r="N24" i="5"/>
  <c r="P23" i="5"/>
  <c r="N25" i="5"/>
  <c r="P24" i="5"/>
  <c r="N26" i="5"/>
  <c r="P25" i="5"/>
  <c r="N27" i="5"/>
  <c r="P26" i="5"/>
  <c r="N28" i="5"/>
  <c r="P27" i="5"/>
  <c r="N29" i="5"/>
  <c r="P28" i="5"/>
  <c r="N30" i="5"/>
  <c r="P29" i="5"/>
  <c r="N31" i="5"/>
  <c r="P30" i="5"/>
  <c r="N32" i="5"/>
  <c r="P31" i="5"/>
  <c r="N33" i="5"/>
  <c r="P32" i="5"/>
  <c r="N34" i="5"/>
  <c r="P33" i="5"/>
  <c r="N35" i="5"/>
  <c r="P34" i="5"/>
  <c r="N36" i="5"/>
  <c r="P35" i="5"/>
  <c r="N37" i="5"/>
  <c r="P36" i="5"/>
  <c r="N38" i="5"/>
  <c r="P37" i="5"/>
  <c r="N39" i="5"/>
  <c r="P38" i="5"/>
  <c r="N40" i="5"/>
  <c r="P39" i="5"/>
  <c r="N41" i="5"/>
  <c r="P40" i="5"/>
  <c r="N42" i="5"/>
  <c r="P41" i="5"/>
  <c r="N43" i="5"/>
  <c r="P42" i="5"/>
  <c r="N44" i="5"/>
  <c r="P43" i="5"/>
  <c r="N45" i="5"/>
  <c r="P44" i="5"/>
  <c r="N46" i="5"/>
  <c r="P45" i="5"/>
  <c r="N47" i="5"/>
  <c r="P46" i="5"/>
  <c r="N48" i="5"/>
  <c r="P47" i="5"/>
  <c r="N49" i="5"/>
  <c r="P48" i="5"/>
  <c r="N50" i="5"/>
  <c r="P49" i="5"/>
  <c r="N51" i="5"/>
  <c r="P50" i="5"/>
  <c r="N52" i="5"/>
  <c r="P51" i="5"/>
  <c r="N53" i="5"/>
  <c r="P52" i="5"/>
  <c r="N54" i="5"/>
  <c r="P53" i="5"/>
  <c r="N55" i="5"/>
  <c r="P54" i="5"/>
  <c r="N56" i="5"/>
  <c r="P55" i="5"/>
  <c r="N57" i="5"/>
  <c r="P56" i="5"/>
  <c r="N58" i="5"/>
  <c r="P57" i="5"/>
  <c r="N59" i="5"/>
  <c r="P58" i="5"/>
  <c r="N60" i="5"/>
  <c r="P59" i="5"/>
  <c r="N61" i="5"/>
  <c r="P60" i="5"/>
  <c r="N62" i="5"/>
  <c r="P61" i="5"/>
  <c r="N63" i="5"/>
  <c r="P62" i="5"/>
  <c r="N64" i="5"/>
  <c r="P63" i="5"/>
  <c r="N65" i="5"/>
  <c r="P64" i="5"/>
  <c r="N66" i="5"/>
  <c r="P65" i="5"/>
  <c r="N67" i="5"/>
  <c r="P66" i="5"/>
  <c r="N68" i="5"/>
  <c r="P67" i="5"/>
  <c r="N69" i="5"/>
  <c r="P68" i="5"/>
  <c r="N70" i="5"/>
  <c r="P69" i="5"/>
  <c r="N71" i="5"/>
  <c r="P70" i="5"/>
  <c r="N72" i="5"/>
  <c r="P71" i="5"/>
  <c r="N73" i="5"/>
  <c r="P72" i="5"/>
  <c r="N74" i="5"/>
  <c r="P73" i="5"/>
  <c r="N75" i="5"/>
  <c r="P74" i="5"/>
  <c r="N76" i="5"/>
  <c r="P75" i="5"/>
  <c r="N77" i="5"/>
  <c r="P76" i="5"/>
  <c r="N78" i="5"/>
  <c r="P77" i="5"/>
  <c r="N79" i="5"/>
  <c r="P78" i="5"/>
  <c r="N80" i="5"/>
  <c r="P79" i="5"/>
  <c r="N81" i="5"/>
  <c r="P80" i="5"/>
  <c r="N82" i="5"/>
  <c r="P81" i="5"/>
  <c r="N83" i="5"/>
  <c r="P82" i="5"/>
  <c r="N84" i="5"/>
  <c r="P83" i="5"/>
  <c r="N85" i="5"/>
  <c r="P84" i="5"/>
  <c r="N86" i="5"/>
  <c r="P85" i="5"/>
  <c r="N87" i="5"/>
  <c r="P86" i="5"/>
  <c r="N88" i="5"/>
  <c r="P87" i="5"/>
  <c r="N89" i="5"/>
  <c r="P88" i="5"/>
  <c r="N90" i="5"/>
  <c r="P89" i="5"/>
  <c r="N91" i="5"/>
  <c r="P90" i="5"/>
  <c r="N92" i="5"/>
  <c r="P91" i="5"/>
  <c r="N93" i="5"/>
  <c r="P92" i="5"/>
  <c r="N94" i="5"/>
  <c r="P93" i="5"/>
  <c r="N95" i="5"/>
  <c r="P94" i="5"/>
  <c r="N96" i="5"/>
  <c r="P95" i="5"/>
  <c r="N97" i="5"/>
  <c r="P96" i="5"/>
  <c r="N98" i="5"/>
  <c r="P97" i="5"/>
  <c r="N99" i="5"/>
  <c r="P98" i="5"/>
  <c r="N100" i="5"/>
  <c r="P99" i="5"/>
  <c r="N101" i="5"/>
  <c r="P100" i="5"/>
  <c r="N102" i="5"/>
  <c r="P101" i="5"/>
  <c r="N103" i="5"/>
  <c r="P102" i="5"/>
  <c r="N104" i="5"/>
  <c r="P103" i="5"/>
  <c r="N105" i="5"/>
  <c r="P104" i="5"/>
  <c r="N106" i="5"/>
  <c r="P105" i="5"/>
  <c r="N107" i="5"/>
  <c r="P106" i="5"/>
  <c r="J11" i="5"/>
  <c r="C109" i="5"/>
  <c r="D109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20" i="5"/>
  <c r="D20" i="5" s="1"/>
  <c r="C16" i="5"/>
  <c r="D16" i="5" s="1"/>
  <c r="C17" i="5"/>
  <c r="D17" i="5" s="1"/>
  <c r="C18" i="5"/>
  <c r="D18" i="5" s="1"/>
  <c r="C19" i="5"/>
  <c r="D19" i="5" s="1"/>
  <c r="B3" i="4"/>
  <c r="B5" i="4"/>
  <c r="B9" i="4"/>
  <c r="C11" i="4"/>
  <c r="D27" i="4"/>
  <c r="D22" i="4"/>
  <c r="B15" i="4"/>
  <c r="B16" i="4"/>
  <c r="D25" i="4"/>
  <c r="D21" i="4"/>
  <c r="F21" i="4"/>
  <c r="E21" i="4"/>
  <c r="D24" i="4"/>
  <c r="F24" i="4"/>
  <c r="E24" i="4"/>
  <c r="F22" i="4"/>
  <c r="E22" i="4"/>
  <c r="D23" i="4"/>
  <c r="F23" i="4"/>
  <c r="E23" i="4"/>
  <c r="F25" i="4"/>
  <c r="E25" i="4"/>
  <c r="D26" i="4"/>
  <c r="F26" i="4"/>
  <c r="E26" i="4"/>
  <c r="F27" i="4"/>
  <c r="E27" i="4"/>
  <c r="C23" i="4"/>
  <c r="C26" i="4"/>
  <c r="C25" i="4"/>
  <c r="C24" i="4"/>
  <c r="C22" i="4"/>
  <c r="C21" i="4"/>
  <c r="C27" i="4"/>
  <c r="B39" i="2"/>
  <c r="C31" i="2"/>
  <c r="C32" i="2"/>
  <c r="D31" i="2"/>
  <c r="D32" i="2"/>
  <c r="B68" i="2"/>
  <c r="C60" i="2"/>
  <c r="B2" i="1"/>
  <c r="C32" i="1"/>
  <c r="C33" i="1"/>
  <c r="D32" i="1"/>
  <c r="E32" i="1"/>
  <c r="C12" i="1"/>
  <c r="D60" i="2"/>
  <c r="A63" i="2"/>
  <c r="B65" i="2"/>
  <c r="C61" i="2"/>
  <c r="B66" i="2"/>
  <c r="G63" i="2"/>
  <c r="D62" i="2"/>
  <c r="G62" i="2"/>
  <c r="F67" i="2"/>
  <c r="F70" i="2"/>
  <c r="G70" i="2"/>
  <c r="D61" i="2"/>
  <c r="G61" i="2"/>
  <c r="G60" i="2"/>
  <c r="C63" i="2"/>
  <c r="F60" i="2"/>
  <c r="F61" i="2"/>
  <c r="F62" i="2"/>
  <c r="F63" i="2"/>
  <c r="C62" i="2"/>
  <c r="E31" i="2"/>
  <c r="C34" i="2"/>
  <c r="F31" i="2"/>
  <c r="A34" i="2"/>
  <c r="B36" i="2"/>
  <c r="B37" i="2"/>
  <c r="G31" i="2"/>
  <c r="H31" i="2"/>
  <c r="C9" i="2"/>
  <c r="B13" i="2"/>
  <c r="C13" i="2"/>
  <c r="C35" i="1"/>
  <c r="F32" i="1"/>
  <c r="F33" i="1"/>
  <c r="G35" i="1"/>
  <c r="A35" i="1"/>
  <c r="B37" i="1"/>
  <c r="B38" i="1"/>
  <c r="D33" i="1"/>
  <c r="D34" i="1"/>
  <c r="G34" i="1"/>
  <c r="G33" i="1"/>
  <c r="G32" i="1"/>
  <c r="E33" i="1"/>
  <c r="H33" i="1"/>
  <c r="H32" i="1"/>
  <c r="C34" i="1"/>
  <c r="F73" i="2"/>
  <c r="G73" i="2"/>
  <c r="G76" i="2"/>
  <c r="E61" i="2"/>
  <c r="H61" i="2"/>
  <c r="E60" i="2"/>
  <c r="H60" i="2"/>
  <c r="E62" i="2"/>
  <c r="H62" i="2"/>
  <c r="E63" i="2"/>
  <c r="H63" i="2"/>
  <c r="H64" i="2"/>
  <c r="D33" i="2"/>
  <c r="G33" i="2"/>
  <c r="C33" i="2"/>
  <c r="E33" i="2"/>
  <c r="F32" i="2"/>
  <c r="F33" i="2"/>
  <c r="H33" i="2"/>
  <c r="E32" i="2"/>
  <c r="G32" i="2"/>
  <c r="H32" i="2"/>
  <c r="E34" i="2"/>
  <c r="F34" i="2"/>
  <c r="G34" i="2"/>
  <c r="H34" i="2"/>
  <c r="H35" i="2"/>
  <c r="E34" i="1"/>
  <c r="F34" i="1"/>
  <c r="H34" i="1"/>
  <c r="E35" i="1"/>
  <c r="F35" i="1"/>
  <c r="H35" i="1"/>
  <c r="H36" i="1"/>
  <c r="B4" i="2"/>
  <c r="B5" i="5"/>
  <c r="P107" i="5"/>
  <c r="H5" i="5" l="1"/>
  <c r="O12" i="5"/>
  <c r="M12" i="5" s="1"/>
  <c r="C14" i="5"/>
  <c r="D14" i="5" s="1"/>
  <c r="O14" i="5"/>
  <c r="M14" i="5" s="1"/>
  <c r="O16" i="5"/>
  <c r="M16" i="5" s="1"/>
  <c r="O18" i="5"/>
  <c r="M18" i="5" s="1"/>
  <c r="O20" i="5"/>
  <c r="M20" i="5" s="1"/>
  <c r="O22" i="5"/>
  <c r="M22" i="5" s="1"/>
  <c r="O24" i="5"/>
  <c r="M24" i="5" s="1"/>
  <c r="O26" i="5"/>
  <c r="M26" i="5" s="1"/>
  <c r="O28" i="5"/>
  <c r="M28" i="5" s="1"/>
  <c r="O30" i="5"/>
  <c r="M30" i="5" s="1"/>
  <c r="O32" i="5"/>
  <c r="M32" i="5" s="1"/>
  <c r="O34" i="5"/>
  <c r="M34" i="5" s="1"/>
  <c r="O36" i="5"/>
  <c r="M36" i="5" s="1"/>
  <c r="O38" i="5"/>
  <c r="M38" i="5" s="1"/>
  <c r="O40" i="5"/>
  <c r="M40" i="5" s="1"/>
  <c r="O42" i="5"/>
  <c r="M42" i="5" s="1"/>
  <c r="O44" i="5"/>
  <c r="M44" i="5" s="1"/>
  <c r="O46" i="5"/>
  <c r="M46" i="5" s="1"/>
  <c r="O48" i="5"/>
  <c r="M48" i="5" s="1"/>
  <c r="O50" i="5"/>
  <c r="M50" i="5" s="1"/>
  <c r="O52" i="5"/>
  <c r="M52" i="5" s="1"/>
  <c r="O54" i="5"/>
  <c r="M54" i="5" s="1"/>
  <c r="O56" i="5"/>
  <c r="M56" i="5" s="1"/>
  <c r="O58" i="5"/>
  <c r="M58" i="5" s="1"/>
  <c r="O60" i="5"/>
  <c r="M60" i="5" s="1"/>
  <c r="O62" i="5"/>
  <c r="M62" i="5" s="1"/>
  <c r="O64" i="5"/>
  <c r="M64" i="5" s="1"/>
  <c r="O66" i="5"/>
  <c r="M66" i="5" s="1"/>
  <c r="O68" i="5"/>
  <c r="M68" i="5" s="1"/>
  <c r="O70" i="5"/>
  <c r="M70" i="5" s="1"/>
  <c r="O72" i="5"/>
  <c r="M72" i="5" s="1"/>
  <c r="O74" i="5"/>
  <c r="M74" i="5" s="1"/>
  <c r="O76" i="5"/>
  <c r="M76" i="5" s="1"/>
  <c r="O78" i="5"/>
  <c r="M78" i="5" s="1"/>
  <c r="O80" i="5"/>
  <c r="M80" i="5" s="1"/>
  <c r="O82" i="5"/>
  <c r="M82" i="5" s="1"/>
  <c r="O84" i="5"/>
  <c r="M84" i="5" s="1"/>
  <c r="O86" i="5"/>
  <c r="M86" i="5" s="1"/>
  <c r="O88" i="5"/>
  <c r="M88" i="5" s="1"/>
  <c r="O90" i="5"/>
  <c r="M90" i="5" s="1"/>
  <c r="O92" i="5"/>
  <c r="M92" i="5" s="1"/>
  <c r="O94" i="5"/>
  <c r="M94" i="5" s="1"/>
  <c r="O96" i="5"/>
  <c r="M96" i="5" s="1"/>
  <c r="O98" i="5"/>
  <c r="M98" i="5" s="1"/>
  <c r="O100" i="5"/>
  <c r="M100" i="5" s="1"/>
  <c r="O102" i="5"/>
  <c r="M102" i="5" s="1"/>
  <c r="O104" i="5"/>
  <c r="M104" i="5" s="1"/>
  <c r="O106" i="5"/>
  <c r="M106" i="5" s="1"/>
  <c r="S11" i="5"/>
  <c r="O13" i="5"/>
  <c r="M13" i="5" s="1"/>
  <c r="O15" i="5"/>
  <c r="M15" i="5" s="1"/>
  <c r="O17" i="5"/>
  <c r="M17" i="5" s="1"/>
  <c r="O19" i="5"/>
  <c r="M19" i="5" s="1"/>
  <c r="O21" i="5"/>
  <c r="M21" i="5" s="1"/>
  <c r="O23" i="5"/>
  <c r="M23" i="5" s="1"/>
  <c r="O25" i="5"/>
  <c r="M25" i="5" s="1"/>
  <c r="O27" i="5"/>
  <c r="M27" i="5" s="1"/>
  <c r="O29" i="5"/>
  <c r="M29" i="5" s="1"/>
  <c r="O31" i="5"/>
  <c r="M31" i="5" s="1"/>
  <c r="O33" i="5"/>
  <c r="M33" i="5" s="1"/>
  <c r="O35" i="5"/>
  <c r="M35" i="5" s="1"/>
  <c r="O37" i="5"/>
  <c r="M37" i="5" s="1"/>
  <c r="O39" i="5"/>
  <c r="M39" i="5" s="1"/>
  <c r="O41" i="5"/>
  <c r="M41" i="5" s="1"/>
  <c r="O43" i="5"/>
  <c r="M43" i="5" s="1"/>
  <c r="O45" i="5"/>
  <c r="M45" i="5" s="1"/>
  <c r="O47" i="5"/>
  <c r="M47" i="5" s="1"/>
  <c r="O49" i="5"/>
  <c r="M49" i="5" s="1"/>
  <c r="O51" i="5"/>
  <c r="M51" i="5" s="1"/>
  <c r="O53" i="5"/>
  <c r="M53" i="5" s="1"/>
  <c r="O55" i="5"/>
  <c r="M55" i="5" s="1"/>
  <c r="O57" i="5"/>
  <c r="M57" i="5" s="1"/>
  <c r="O59" i="5"/>
  <c r="M59" i="5" s="1"/>
  <c r="O61" i="5"/>
  <c r="M61" i="5" s="1"/>
  <c r="O63" i="5"/>
  <c r="M63" i="5" s="1"/>
  <c r="O65" i="5"/>
  <c r="M65" i="5" s="1"/>
  <c r="O67" i="5"/>
  <c r="M67" i="5" s="1"/>
  <c r="O69" i="5"/>
  <c r="M69" i="5" s="1"/>
  <c r="O71" i="5"/>
  <c r="M71" i="5" s="1"/>
  <c r="O73" i="5"/>
  <c r="M73" i="5" s="1"/>
  <c r="O75" i="5"/>
  <c r="M75" i="5" s="1"/>
  <c r="O77" i="5"/>
  <c r="M77" i="5" s="1"/>
  <c r="O79" i="5"/>
  <c r="M79" i="5" s="1"/>
  <c r="O81" i="5"/>
  <c r="M81" i="5" s="1"/>
  <c r="O83" i="5"/>
  <c r="M83" i="5" s="1"/>
  <c r="O85" i="5"/>
  <c r="M85" i="5" s="1"/>
  <c r="O87" i="5"/>
  <c r="M87" i="5" s="1"/>
  <c r="O89" i="5"/>
  <c r="M89" i="5" s="1"/>
  <c r="O91" i="5"/>
  <c r="M91" i="5" s="1"/>
  <c r="O93" i="5"/>
  <c r="M93" i="5" s="1"/>
  <c r="O95" i="5"/>
  <c r="M95" i="5" s="1"/>
  <c r="O97" i="5"/>
  <c r="M97" i="5" s="1"/>
  <c r="O99" i="5"/>
  <c r="M99" i="5" s="1"/>
  <c r="O101" i="5"/>
  <c r="M101" i="5" s="1"/>
  <c r="O103" i="5"/>
  <c r="M103" i="5" s="1"/>
  <c r="O105" i="5"/>
  <c r="M105" i="5" s="1"/>
  <c r="O107" i="5"/>
  <c r="M107" i="5" s="1"/>
  <c r="T12" i="5" l="1"/>
  <c r="U12" i="5" s="1"/>
  <c r="W12" i="5" s="1"/>
  <c r="T21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T89" i="5"/>
  <c r="T91" i="5"/>
  <c r="T93" i="5"/>
  <c r="T95" i="5"/>
  <c r="T97" i="5"/>
  <c r="T27" i="5"/>
  <c r="T13" i="5"/>
  <c r="T16" i="5"/>
  <c r="T25" i="5"/>
  <c r="T30" i="5"/>
  <c r="T32" i="5"/>
  <c r="T34" i="5"/>
  <c r="T36" i="5"/>
  <c r="T38" i="5"/>
  <c r="T40" i="5"/>
  <c r="T42" i="5"/>
  <c r="T44" i="5"/>
  <c r="T46" i="5"/>
  <c r="T48" i="5"/>
  <c r="T50" i="5"/>
  <c r="T52" i="5"/>
  <c r="T54" i="5"/>
  <c r="T56" i="5"/>
  <c r="T58" i="5"/>
  <c r="T60" i="5"/>
  <c r="T62" i="5"/>
  <c r="T64" i="5"/>
  <c r="T66" i="5"/>
  <c r="T68" i="5"/>
  <c r="T70" i="5"/>
  <c r="T72" i="5"/>
  <c r="T74" i="5"/>
  <c r="T76" i="5"/>
  <c r="T78" i="5"/>
  <c r="T80" i="5"/>
  <c r="T82" i="5"/>
  <c r="T84" i="5"/>
  <c r="T86" i="5"/>
  <c r="T88" i="5"/>
  <c r="T90" i="5"/>
  <c r="T92" i="5"/>
  <c r="T94" i="5"/>
  <c r="T96" i="5"/>
  <c r="T98" i="5"/>
  <c r="T28" i="5"/>
  <c r="T17" i="5"/>
  <c r="T23" i="5"/>
  <c r="T20" i="5"/>
  <c r="T18" i="5"/>
  <c r="T24" i="5"/>
  <c r="T19" i="5"/>
  <c r="T14" i="5"/>
  <c r="T26" i="5"/>
  <c r="T22" i="5"/>
  <c r="T15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91" i="5"/>
  <c r="G81" i="5"/>
  <c r="G95" i="5"/>
  <c r="G77" i="5"/>
  <c r="G99" i="5"/>
  <c r="G83" i="5"/>
  <c r="G93" i="5"/>
  <c r="G87" i="5"/>
  <c r="G79" i="5"/>
  <c r="G103" i="5"/>
  <c r="G101" i="5"/>
  <c r="G107" i="5"/>
  <c r="G89" i="5"/>
  <c r="G97" i="5"/>
  <c r="G105" i="5"/>
  <c r="J12" i="5"/>
  <c r="G85" i="5"/>
  <c r="O108" i="5"/>
  <c r="I13" i="5" l="1"/>
  <c r="H13" i="5" s="1"/>
  <c r="J13" i="5" s="1"/>
  <c r="V13" i="5"/>
  <c r="U13" i="5" s="1"/>
  <c r="W13" i="5" s="1"/>
  <c r="I14" i="5" l="1"/>
  <c r="H14" i="5" s="1"/>
  <c r="J14" i="5" s="1"/>
  <c r="V14" i="5"/>
  <c r="U14" i="5" s="1"/>
  <c r="W14" i="5" s="1"/>
  <c r="I15" i="5" l="1"/>
  <c r="V15" i="5"/>
  <c r="U15" i="5" l="1"/>
  <c r="W15" i="5" s="1"/>
  <c r="H15" i="5"/>
  <c r="J15" i="5" s="1"/>
  <c r="V16" i="5" l="1"/>
  <c r="I16" i="5"/>
  <c r="H16" i="5" s="1"/>
  <c r="J16" i="5" s="1"/>
  <c r="I17" i="5" l="1"/>
  <c r="H17" i="5" s="1"/>
  <c r="J17" i="5" s="1"/>
  <c r="U16" i="5"/>
  <c r="W16" i="5" s="1"/>
  <c r="I18" i="5" l="1"/>
  <c r="H18" i="5" s="1"/>
  <c r="J18" i="5" s="1"/>
  <c r="V17" i="5"/>
  <c r="I19" i="5" l="1"/>
  <c r="H19" i="5" s="1"/>
  <c r="J19" i="5" s="1"/>
  <c r="U17" i="5"/>
  <c r="W17" i="5" s="1"/>
  <c r="I20" i="5" l="1"/>
  <c r="H20" i="5" s="1"/>
  <c r="J20" i="5" s="1"/>
  <c r="V18" i="5"/>
  <c r="U18" i="5" s="1"/>
  <c r="W18" i="5" s="1"/>
  <c r="V19" i="5" l="1"/>
  <c r="U19" i="5" s="1"/>
  <c r="W19" i="5" s="1"/>
  <c r="I21" i="5"/>
  <c r="H21" i="5" s="1"/>
  <c r="J21" i="5" s="1"/>
  <c r="V20" i="5" l="1"/>
  <c r="U20" i="5" s="1"/>
  <c r="W20" i="5" s="1"/>
  <c r="I22" i="5"/>
  <c r="H22" i="5" s="1"/>
  <c r="J22" i="5" s="1"/>
  <c r="I23" i="5" l="1"/>
  <c r="H23" i="5" s="1"/>
  <c r="J23" i="5" s="1"/>
  <c r="V21" i="5"/>
  <c r="U21" i="5" s="1"/>
  <c r="W21" i="5" s="1"/>
  <c r="V22" i="5" l="1"/>
  <c r="U22" i="5" s="1"/>
  <c r="W22" i="5" s="1"/>
  <c r="I24" i="5"/>
  <c r="H24" i="5" s="1"/>
  <c r="J24" i="5" s="1"/>
  <c r="I25" i="5" l="1"/>
  <c r="H25" i="5" s="1"/>
  <c r="J25" i="5" s="1"/>
  <c r="V23" i="5"/>
  <c r="U23" i="5" s="1"/>
  <c r="W23" i="5" s="1"/>
  <c r="I26" i="5" l="1"/>
  <c r="H26" i="5" s="1"/>
  <c r="J26" i="5" s="1"/>
  <c r="V24" i="5"/>
  <c r="U24" i="5" s="1"/>
  <c r="W24" i="5" s="1"/>
  <c r="V25" i="5" l="1"/>
  <c r="U25" i="5" s="1"/>
  <c r="W25" i="5" s="1"/>
  <c r="I27" i="5"/>
  <c r="H27" i="5" s="1"/>
  <c r="J27" i="5" s="1"/>
  <c r="I28" i="5" l="1"/>
  <c r="H28" i="5" s="1"/>
  <c r="J28" i="5" s="1"/>
  <c r="V26" i="5"/>
  <c r="U26" i="5" s="1"/>
  <c r="W26" i="5" s="1"/>
  <c r="V27" i="5" l="1"/>
  <c r="U27" i="5" s="1"/>
  <c r="W27" i="5" s="1"/>
  <c r="I29" i="5"/>
  <c r="H29" i="5" s="1"/>
  <c r="J29" i="5" s="1"/>
  <c r="V28" i="5" l="1"/>
  <c r="U28" i="5" s="1"/>
  <c r="W28" i="5" s="1"/>
  <c r="I30" i="5"/>
  <c r="H30" i="5" s="1"/>
  <c r="J30" i="5" s="1"/>
  <c r="I31" i="5" l="1"/>
  <c r="H31" i="5" s="1"/>
  <c r="J31" i="5" s="1"/>
  <c r="V29" i="5"/>
  <c r="U29" i="5" s="1"/>
  <c r="W29" i="5" s="1"/>
  <c r="V30" i="5" l="1"/>
  <c r="U30" i="5" s="1"/>
  <c r="W30" i="5" s="1"/>
  <c r="I32" i="5"/>
  <c r="H32" i="5" s="1"/>
  <c r="J32" i="5" s="1"/>
  <c r="V31" i="5" l="1"/>
  <c r="U31" i="5" s="1"/>
  <c r="W31" i="5" s="1"/>
  <c r="I33" i="5"/>
  <c r="H33" i="5" s="1"/>
  <c r="J33" i="5" s="1"/>
  <c r="V32" i="5" l="1"/>
  <c r="U32" i="5" s="1"/>
  <c r="W32" i="5" s="1"/>
  <c r="I34" i="5"/>
  <c r="H34" i="5" s="1"/>
  <c r="J34" i="5" s="1"/>
  <c r="V33" i="5" l="1"/>
  <c r="U33" i="5" s="1"/>
  <c r="W33" i="5" s="1"/>
  <c r="I35" i="5"/>
  <c r="H35" i="5" s="1"/>
  <c r="J35" i="5" s="1"/>
  <c r="V34" i="5" l="1"/>
  <c r="U34" i="5" s="1"/>
  <c r="W34" i="5" s="1"/>
  <c r="I36" i="5"/>
  <c r="H36" i="5" s="1"/>
  <c r="J36" i="5" s="1"/>
  <c r="V35" i="5" l="1"/>
  <c r="U35" i="5" s="1"/>
  <c r="W35" i="5" s="1"/>
  <c r="I37" i="5"/>
  <c r="H37" i="5" s="1"/>
  <c r="J37" i="5" s="1"/>
  <c r="V36" i="5" l="1"/>
  <c r="U36" i="5" s="1"/>
  <c r="W36" i="5" s="1"/>
  <c r="I38" i="5"/>
  <c r="H38" i="5" s="1"/>
  <c r="J38" i="5" s="1"/>
  <c r="V37" i="5" l="1"/>
  <c r="U37" i="5" s="1"/>
  <c r="W37" i="5" s="1"/>
  <c r="I39" i="5"/>
  <c r="H39" i="5" s="1"/>
  <c r="J39" i="5" s="1"/>
  <c r="V38" i="5" l="1"/>
  <c r="U38" i="5" s="1"/>
  <c r="W38" i="5" s="1"/>
  <c r="I40" i="5"/>
  <c r="H40" i="5" s="1"/>
  <c r="J40" i="5" s="1"/>
  <c r="V39" i="5" l="1"/>
  <c r="U39" i="5" s="1"/>
  <c r="W39" i="5" s="1"/>
  <c r="I41" i="5"/>
  <c r="H41" i="5" s="1"/>
  <c r="J41" i="5" s="1"/>
  <c r="I42" i="5" l="1"/>
  <c r="H42" i="5" s="1"/>
  <c r="J42" i="5" s="1"/>
  <c r="V40" i="5"/>
  <c r="U40" i="5" s="1"/>
  <c r="W40" i="5" s="1"/>
  <c r="V41" i="5" l="1"/>
  <c r="U41" i="5" s="1"/>
  <c r="W41" i="5" s="1"/>
  <c r="I43" i="5"/>
  <c r="H43" i="5" s="1"/>
  <c r="J43" i="5" s="1"/>
  <c r="V42" i="5" l="1"/>
  <c r="U42" i="5" s="1"/>
  <c r="W42" i="5" s="1"/>
  <c r="I44" i="5"/>
  <c r="H44" i="5" s="1"/>
  <c r="J44" i="5" s="1"/>
  <c r="I45" i="5" l="1"/>
  <c r="H45" i="5" s="1"/>
  <c r="J45" i="5" s="1"/>
  <c r="V43" i="5"/>
  <c r="U43" i="5" s="1"/>
  <c r="W43" i="5" s="1"/>
  <c r="V44" i="5" l="1"/>
  <c r="U44" i="5" s="1"/>
  <c r="W44" i="5" s="1"/>
  <c r="I46" i="5"/>
  <c r="H46" i="5" s="1"/>
  <c r="J46" i="5" s="1"/>
  <c r="I47" i="5" l="1"/>
  <c r="H47" i="5" s="1"/>
  <c r="J47" i="5" s="1"/>
  <c r="V45" i="5"/>
  <c r="U45" i="5" s="1"/>
  <c r="W45" i="5" s="1"/>
  <c r="V46" i="5" l="1"/>
  <c r="U46" i="5" s="1"/>
  <c r="W46" i="5" s="1"/>
  <c r="I48" i="5"/>
  <c r="H48" i="5" s="1"/>
  <c r="J48" i="5" s="1"/>
  <c r="V47" i="5" l="1"/>
  <c r="U47" i="5" s="1"/>
  <c r="W47" i="5" s="1"/>
  <c r="I49" i="5"/>
  <c r="H49" i="5" s="1"/>
  <c r="J49" i="5" s="1"/>
  <c r="I50" i="5" l="1"/>
  <c r="H50" i="5" s="1"/>
  <c r="J50" i="5" s="1"/>
  <c r="V48" i="5"/>
  <c r="U48" i="5" s="1"/>
  <c r="W48" i="5" s="1"/>
  <c r="V49" i="5" l="1"/>
  <c r="U49" i="5" s="1"/>
  <c r="W49" i="5" s="1"/>
  <c r="I51" i="5"/>
  <c r="H51" i="5" s="1"/>
  <c r="J51" i="5" s="1"/>
  <c r="V50" i="5" l="1"/>
  <c r="U50" i="5" s="1"/>
  <c r="W50" i="5" s="1"/>
  <c r="I52" i="5"/>
  <c r="H52" i="5" s="1"/>
  <c r="J52" i="5" s="1"/>
  <c r="I53" i="5" l="1"/>
  <c r="H53" i="5" s="1"/>
  <c r="J53" i="5" s="1"/>
  <c r="V51" i="5"/>
  <c r="U51" i="5" s="1"/>
  <c r="W51" i="5" s="1"/>
  <c r="V52" i="5" l="1"/>
  <c r="U52" i="5" s="1"/>
  <c r="W52" i="5" s="1"/>
  <c r="I54" i="5"/>
  <c r="H54" i="5" s="1"/>
  <c r="J54" i="5" s="1"/>
  <c r="V53" i="5" l="1"/>
  <c r="U53" i="5" s="1"/>
  <c r="W53" i="5" s="1"/>
  <c r="I55" i="5"/>
  <c r="H55" i="5" s="1"/>
  <c r="J55" i="5" s="1"/>
  <c r="V54" i="5" l="1"/>
  <c r="U54" i="5" s="1"/>
  <c r="W54" i="5" s="1"/>
  <c r="I56" i="5"/>
  <c r="H56" i="5" s="1"/>
  <c r="J56" i="5" s="1"/>
  <c r="V55" i="5" l="1"/>
  <c r="U55" i="5" s="1"/>
  <c r="W55" i="5" s="1"/>
  <c r="I57" i="5"/>
  <c r="H57" i="5" s="1"/>
  <c r="J57" i="5" s="1"/>
  <c r="I58" i="5" l="1"/>
  <c r="H58" i="5" s="1"/>
  <c r="J58" i="5" s="1"/>
  <c r="V56" i="5"/>
  <c r="U56" i="5" s="1"/>
  <c r="W56" i="5" s="1"/>
  <c r="V57" i="5" l="1"/>
  <c r="U57" i="5" s="1"/>
  <c r="W57" i="5" s="1"/>
  <c r="I59" i="5"/>
  <c r="H59" i="5" s="1"/>
  <c r="J59" i="5" s="1"/>
  <c r="V58" i="5" l="1"/>
  <c r="U58" i="5" s="1"/>
  <c r="W58" i="5" s="1"/>
  <c r="I60" i="5"/>
  <c r="H60" i="5" s="1"/>
  <c r="J60" i="5" s="1"/>
  <c r="I61" i="5" l="1"/>
  <c r="H61" i="5" s="1"/>
  <c r="J61" i="5" s="1"/>
  <c r="V59" i="5"/>
  <c r="U59" i="5" s="1"/>
  <c r="W59" i="5" s="1"/>
  <c r="V60" i="5" l="1"/>
  <c r="U60" i="5" s="1"/>
  <c r="W60" i="5" s="1"/>
  <c r="I62" i="5"/>
  <c r="H62" i="5" s="1"/>
  <c r="J62" i="5" s="1"/>
  <c r="V61" i="5" l="1"/>
  <c r="U61" i="5" s="1"/>
  <c r="W61" i="5" s="1"/>
  <c r="I63" i="5"/>
  <c r="H63" i="5" s="1"/>
  <c r="J63" i="5" s="1"/>
  <c r="I64" i="5" l="1"/>
  <c r="H64" i="5" s="1"/>
  <c r="J64" i="5" s="1"/>
  <c r="V62" i="5"/>
  <c r="U62" i="5" s="1"/>
  <c r="W62" i="5" s="1"/>
  <c r="V63" i="5" l="1"/>
  <c r="U63" i="5" s="1"/>
  <c r="W63" i="5" s="1"/>
  <c r="I65" i="5"/>
  <c r="H65" i="5" s="1"/>
  <c r="J65" i="5" s="1"/>
  <c r="I66" i="5" l="1"/>
  <c r="H66" i="5" s="1"/>
  <c r="J66" i="5" s="1"/>
  <c r="V64" i="5"/>
  <c r="U64" i="5" s="1"/>
  <c r="W64" i="5" s="1"/>
  <c r="I67" i="5" l="1"/>
  <c r="H67" i="5" s="1"/>
  <c r="J67" i="5" s="1"/>
  <c r="V65" i="5"/>
  <c r="U65" i="5" s="1"/>
  <c r="W65" i="5" s="1"/>
  <c r="V66" i="5" l="1"/>
  <c r="U66" i="5" s="1"/>
  <c r="W66" i="5" s="1"/>
  <c r="I68" i="5"/>
  <c r="H68" i="5" s="1"/>
  <c r="J68" i="5" s="1"/>
  <c r="I69" i="5" l="1"/>
  <c r="H69" i="5" s="1"/>
  <c r="J69" i="5" s="1"/>
  <c r="V67" i="5"/>
  <c r="U67" i="5" s="1"/>
  <c r="W67" i="5" s="1"/>
  <c r="V68" i="5" l="1"/>
  <c r="U68" i="5" s="1"/>
  <c r="W68" i="5" s="1"/>
  <c r="I70" i="5"/>
  <c r="H70" i="5" s="1"/>
  <c r="J70" i="5" s="1"/>
  <c r="V69" i="5" l="1"/>
  <c r="U69" i="5" s="1"/>
  <c r="W69" i="5" s="1"/>
  <c r="I71" i="5"/>
  <c r="H71" i="5" s="1"/>
  <c r="J71" i="5" s="1"/>
  <c r="I72" i="5" l="1"/>
  <c r="H72" i="5" s="1"/>
  <c r="J72" i="5" s="1"/>
  <c r="V70" i="5"/>
  <c r="U70" i="5" s="1"/>
  <c r="W70" i="5" s="1"/>
  <c r="I73" i="5" l="1"/>
  <c r="H73" i="5" s="1"/>
  <c r="J73" i="5" s="1"/>
  <c r="V71" i="5"/>
  <c r="U71" i="5" s="1"/>
  <c r="W71" i="5" s="1"/>
  <c r="V72" i="5" l="1"/>
  <c r="U72" i="5" s="1"/>
  <c r="W72" i="5" s="1"/>
  <c r="I74" i="5"/>
  <c r="H74" i="5" s="1"/>
  <c r="J74" i="5" s="1"/>
  <c r="I75" i="5" l="1"/>
  <c r="H75" i="5" s="1"/>
  <c r="J75" i="5" s="1"/>
  <c r="V73" i="5"/>
  <c r="U73" i="5" s="1"/>
  <c r="W73" i="5" s="1"/>
  <c r="V74" i="5" l="1"/>
  <c r="U74" i="5" s="1"/>
  <c r="W74" i="5" s="1"/>
  <c r="I76" i="5"/>
  <c r="H76" i="5" s="1"/>
  <c r="J76" i="5" s="1"/>
  <c r="V75" i="5" l="1"/>
  <c r="U75" i="5" s="1"/>
  <c r="W75" i="5" s="1"/>
  <c r="I77" i="5"/>
  <c r="H77" i="5" s="1"/>
  <c r="J77" i="5" s="1"/>
  <c r="I78" i="5" l="1"/>
  <c r="H78" i="5" s="1"/>
  <c r="J78" i="5" s="1"/>
  <c r="V76" i="5"/>
  <c r="U76" i="5" s="1"/>
  <c r="W76" i="5" s="1"/>
  <c r="V77" i="5" l="1"/>
  <c r="U77" i="5" s="1"/>
  <c r="W77" i="5" s="1"/>
  <c r="I79" i="5"/>
  <c r="H79" i="5" s="1"/>
  <c r="J79" i="5" s="1"/>
  <c r="I80" i="5" l="1"/>
  <c r="H80" i="5" s="1"/>
  <c r="J80" i="5" s="1"/>
  <c r="V78" i="5"/>
  <c r="U78" i="5" s="1"/>
  <c r="W78" i="5" s="1"/>
  <c r="V79" i="5" l="1"/>
  <c r="U79" i="5" s="1"/>
  <c r="W79" i="5" s="1"/>
  <c r="I81" i="5"/>
  <c r="H81" i="5" s="1"/>
  <c r="J81" i="5" s="1"/>
  <c r="I82" i="5" l="1"/>
  <c r="H82" i="5" s="1"/>
  <c r="J82" i="5" s="1"/>
  <c r="V80" i="5"/>
  <c r="U80" i="5" s="1"/>
  <c r="W80" i="5" s="1"/>
  <c r="V81" i="5" l="1"/>
  <c r="U81" i="5" s="1"/>
  <c r="W81" i="5" s="1"/>
  <c r="I83" i="5"/>
  <c r="H83" i="5" s="1"/>
  <c r="J83" i="5" s="1"/>
  <c r="I84" i="5" l="1"/>
  <c r="H84" i="5" s="1"/>
  <c r="J84" i="5" s="1"/>
  <c r="V82" i="5"/>
  <c r="U82" i="5" s="1"/>
  <c r="W82" i="5" s="1"/>
  <c r="V83" i="5" l="1"/>
  <c r="U83" i="5" s="1"/>
  <c r="W83" i="5" s="1"/>
  <c r="I85" i="5"/>
  <c r="H85" i="5" s="1"/>
  <c r="J85" i="5" s="1"/>
  <c r="V84" i="5" l="1"/>
  <c r="U84" i="5" s="1"/>
  <c r="W84" i="5" s="1"/>
  <c r="I86" i="5"/>
  <c r="H86" i="5" s="1"/>
  <c r="J86" i="5" s="1"/>
  <c r="V85" i="5" l="1"/>
  <c r="U85" i="5" s="1"/>
  <c r="W85" i="5" s="1"/>
  <c r="I87" i="5"/>
  <c r="H87" i="5" s="1"/>
  <c r="J87" i="5" s="1"/>
  <c r="V86" i="5" l="1"/>
  <c r="U86" i="5" s="1"/>
  <c r="W86" i="5" s="1"/>
  <c r="I88" i="5"/>
  <c r="H88" i="5" s="1"/>
  <c r="J88" i="5" s="1"/>
  <c r="I89" i="5" l="1"/>
  <c r="H89" i="5" s="1"/>
  <c r="J89" i="5" s="1"/>
  <c r="V87" i="5"/>
  <c r="U87" i="5" s="1"/>
  <c r="W87" i="5" s="1"/>
  <c r="V88" i="5" l="1"/>
  <c r="U88" i="5" s="1"/>
  <c r="W88" i="5" s="1"/>
  <c r="I90" i="5"/>
  <c r="H90" i="5" s="1"/>
  <c r="J90" i="5" s="1"/>
  <c r="V89" i="5" l="1"/>
  <c r="U89" i="5" s="1"/>
  <c r="W89" i="5" s="1"/>
  <c r="I91" i="5"/>
  <c r="H91" i="5" s="1"/>
  <c r="J91" i="5" s="1"/>
  <c r="V90" i="5" l="1"/>
  <c r="U90" i="5" s="1"/>
  <c r="W90" i="5" s="1"/>
  <c r="I92" i="5"/>
  <c r="H92" i="5" s="1"/>
  <c r="J92" i="5" s="1"/>
  <c r="V91" i="5" l="1"/>
  <c r="U91" i="5" s="1"/>
  <c r="W91" i="5" s="1"/>
  <c r="I93" i="5"/>
  <c r="H93" i="5" s="1"/>
  <c r="J93" i="5" s="1"/>
  <c r="I94" i="5" l="1"/>
  <c r="H94" i="5" s="1"/>
  <c r="J94" i="5" s="1"/>
  <c r="V92" i="5"/>
  <c r="U92" i="5" s="1"/>
  <c r="W92" i="5" s="1"/>
  <c r="V93" i="5" l="1"/>
  <c r="U93" i="5" s="1"/>
  <c r="W93" i="5" s="1"/>
  <c r="I95" i="5"/>
  <c r="H95" i="5" s="1"/>
  <c r="J95" i="5" s="1"/>
  <c r="V94" i="5" l="1"/>
  <c r="U94" i="5" s="1"/>
  <c r="W94" i="5" s="1"/>
  <c r="I96" i="5"/>
  <c r="H96" i="5" s="1"/>
  <c r="J96" i="5" s="1"/>
  <c r="V95" i="5" l="1"/>
  <c r="U95" i="5" s="1"/>
  <c r="W95" i="5" s="1"/>
  <c r="I97" i="5"/>
  <c r="H97" i="5" s="1"/>
  <c r="J97" i="5" s="1"/>
  <c r="I98" i="5" l="1"/>
  <c r="H98" i="5" s="1"/>
  <c r="J98" i="5" s="1"/>
  <c r="V96" i="5"/>
  <c r="U96" i="5" s="1"/>
  <c r="W96" i="5" s="1"/>
  <c r="V97" i="5" l="1"/>
  <c r="U97" i="5" s="1"/>
  <c r="W97" i="5" s="1"/>
  <c r="I99" i="5"/>
  <c r="H99" i="5" s="1"/>
  <c r="J99" i="5" s="1"/>
  <c r="V98" i="5" l="1"/>
  <c r="U98" i="5" s="1"/>
  <c r="W98" i="5" s="1"/>
  <c r="I100" i="5"/>
  <c r="H100" i="5" s="1"/>
  <c r="J100" i="5" s="1"/>
  <c r="I101" i="5" l="1"/>
  <c r="H101" i="5" s="1"/>
  <c r="J101" i="5" s="1"/>
  <c r="V99" i="5"/>
  <c r="V108" i="5" s="1"/>
  <c r="U99" i="5"/>
  <c r="T99" i="5" l="1"/>
  <c r="W99" i="5"/>
  <c r="I102" i="5"/>
  <c r="H102" i="5" s="1"/>
  <c r="J102" i="5" s="1"/>
  <c r="I103" i="5" l="1"/>
  <c r="H103" i="5" s="1"/>
  <c r="J103" i="5" s="1"/>
  <c r="I104" i="5" l="1"/>
  <c r="H104" i="5" s="1"/>
  <c r="J104" i="5" s="1"/>
  <c r="I105" i="5" l="1"/>
  <c r="H105" i="5" s="1"/>
  <c r="J105" i="5" s="1"/>
  <c r="I106" i="5" l="1"/>
  <c r="H106" i="5" s="1"/>
  <c r="J106" i="5" s="1"/>
  <c r="I107" i="5" l="1"/>
  <c r="H107" i="5" l="1"/>
  <c r="J107" i="5" s="1"/>
  <c r="I108" i="5"/>
</calcChain>
</file>

<file path=xl/sharedStrings.xml><?xml version="1.0" encoding="utf-8"?>
<sst xmlns="http://schemas.openxmlformats.org/spreadsheetml/2006/main" count="686" uniqueCount="371">
  <si>
    <t>Tipo de interés (i)</t>
  </si>
  <si>
    <t>Plazo en años (n)</t>
  </si>
  <si>
    <t>Periodicidad (m)</t>
  </si>
  <si>
    <t xml:space="preserve">Bimestral </t>
  </si>
  <si>
    <t>ENTREGA #1</t>
  </si>
  <si>
    <t>Vp</t>
  </si>
  <si>
    <t>n</t>
  </si>
  <si>
    <t>Vf</t>
  </si>
  <si>
    <t>m</t>
  </si>
  <si>
    <t>i?</t>
  </si>
  <si>
    <t>i=1/n*(vf/vp-1)</t>
  </si>
  <si>
    <t>años</t>
  </si>
  <si>
    <t>Valor presente (Vp)</t>
  </si>
  <si>
    <t>Fecha focal (FF)</t>
  </si>
  <si>
    <t>Meses</t>
  </si>
  <si>
    <t xml:space="preserve">NUEVO DOCUMENTO </t>
  </si>
  <si>
    <t>Interés anual (i1)</t>
  </si>
  <si>
    <t>Tiempo (n1)</t>
  </si>
  <si>
    <t>Vf1</t>
  </si>
  <si>
    <t>Interés anual (i2)</t>
  </si>
  <si>
    <t>Tiempo (n2)</t>
  </si>
  <si>
    <t>Vf2</t>
  </si>
  <si>
    <t>Bimestres</t>
  </si>
  <si>
    <t>Años</t>
  </si>
  <si>
    <t>VA: VF/(1+TASA)^NPER</t>
  </si>
  <si>
    <t>Vf: VA*(1+TASA)^NPER</t>
  </si>
  <si>
    <t>Interés (i1)</t>
  </si>
  <si>
    <t>Interés  (i2)</t>
  </si>
  <si>
    <t>Cuatrimestral</t>
  </si>
  <si>
    <t>Periodicidades</t>
  </si>
  <si>
    <t>Meses por años</t>
  </si>
  <si>
    <t>Cálculo a bimestre</t>
  </si>
  <si>
    <t>Cálculo a cuatrimestre</t>
  </si>
  <si>
    <t>Bimestral</t>
  </si>
  <si>
    <t>DTF r´</t>
  </si>
  <si>
    <t>NABA</t>
  </si>
  <si>
    <t>ia</t>
  </si>
  <si>
    <t>EA</t>
  </si>
  <si>
    <t>Spread (r)</t>
  </si>
  <si>
    <t>NABV</t>
  </si>
  <si>
    <t>ia=(1+i1)*(1+i2)-1</t>
  </si>
  <si>
    <t>Tasa combinada</t>
  </si>
  <si>
    <t>Vencidas</t>
  </si>
  <si>
    <t>Anticipadas</t>
  </si>
  <si>
    <t>Periodo</t>
  </si>
  <si>
    <t>Nominal</t>
  </si>
  <si>
    <t>Efectiva</t>
  </si>
  <si>
    <t>Bimensual</t>
  </si>
  <si>
    <t>Mensual</t>
  </si>
  <si>
    <t>Trimestral</t>
  </si>
  <si>
    <t>Semestral</t>
  </si>
  <si>
    <t>Anual</t>
  </si>
  <si>
    <t xml:space="preserve">ip </t>
  </si>
  <si>
    <t>meses</t>
  </si>
  <si>
    <t>DTF</t>
  </si>
  <si>
    <t>Spread</t>
  </si>
  <si>
    <t>ia (combinadas)</t>
  </si>
  <si>
    <t>ip</t>
  </si>
  <si>
    <t>DTF (r´)</t>
  </si>
  <si>
    <t xml:space="preserve">Bimestres </t>
  </si>
  <si>
    <t>n (mensual)</t>
  </si>
  <si>
    <t>Fecha inicial</t>
  </si>
  <si>
    <t>Fecha final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</si>
  <si>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</si>
  <si>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</si>
  <si>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</si>
  <si>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</si>
  <si>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</si>
  <si>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</si>
  <si>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</si>
  <si>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</si>
  <si>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</si>
  <si>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</si>
  <si>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</si>
  <si>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</si>
  <si>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</si>
  <si>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</si>
  <si>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</si>
  <si>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</si>
  <si>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</si>
  <si>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</si>
  <si>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</si>
  <si>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</si>
  <si>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</si>
  <si>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</si>
  <si>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</si>
  <si>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</si>
  <si>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</si>
  <si>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</si>
  <si>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</si>
  <si>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</si>
  <si>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</si>
  <si>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</si>
  <si>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</si>
  <si>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</si>
  <si>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</si>
  <si>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</si>
  <si>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</si>
  <si>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</si>
  <si>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</si>
  <si>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</si>
  <si>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</si>
  <si>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</si>
  <si>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</si>
  <si>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</si>
  <si>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</si>
  <si>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</si>
  <si>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</si>
  <si>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</si>
  <si>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</si>
  <si>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</si>
  <si>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</si>
  <si>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</si>
  <si>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</si>
  <si>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</si>
  <si>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</si>
  <si>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</si>
  <si>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</si>
  <si>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</si>
  <si>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</si>
  <si>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</si>
  <si>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</si>
  <si>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</si>
  <si>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</si>
  <si>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</si>
  <si>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</si>
  <si>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</si>
  <si>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</si>
  <si>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</si>
  <si>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</si>
  <si>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</si>
  <si>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</si>
  <si>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</si>
  <si>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</si>
  <si>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</si>
  <si>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</si>
  <si>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</si>
  <si>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</si>
  <si>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</si>
  <si>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</si>
  <si>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</si>
  <si>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</si>
  <si>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</si>
  <si>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</si>
  <si>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</si>
  <si>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</si>
  <si>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</si>
  <si>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</si>
  <si>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</si>
  <si>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</si>
  <si>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</si>
  <si>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</si>
  <si>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</si>
  <si>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</si>
  <si>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</si>
  <si>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</si>
  <si>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</si>
  <si>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</si>
  <si>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</si>
  <si>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Fecha</t>
  </si>
  <si>
    <t>Tasa</t>
  </si>
  <si>
    <t>Sistema de cuota fija</t>
  </si>
  <si>
    <t>Cuota</t>
  </si>
  <si>
    <t xml:space="preserve">Amortización </t>
  </si>
  <si>
    <t>Interés</t>
  </si>
  <si>
    <t>Saldo</t>
  </si>
  <si>
    <t>Sistema de cuota a capital constante</t>
  </si>
  <si>
    <t>Sistema de cuota fija a capital constante</t>
  </si>
  <si>
    <t>Tasa DTF</t>
  </si>
  <si>
    <t>Ip bimestral</t>
  </si>
  <si>
    <t>Valor cuota fija</t>
  </si>
  <si>
    <t>PUNTO 1- HELLEN CASTELLAR</t>
  </si>
  <si>
    <t>PUNTO 1- ANA KARINA MERCADO</t>
  </si>
  <si>
    <t>La tasa de interes a la que le pagaron la inversión fue de 0,87%</t>
  </si>
  <si>
    <t>n en meses</t>
  </si>
  <si>
    <t>n en años</t>
  </si>
  <si>
    <t>i=1/n*(VF/VP-1)</t>
  </si>
  <si>
    <t>i</t>
  </si>
  <si>
    <t>VF</t>
  </si>
  <si>
    <t>VP</t>
  </si>
  <si>
    <t>mesual</t>
  </si>
  <si>
    <t>periocidad</t>
  </si>
  <si>
    <t>Plazo en años</t>
  </si>
  <si>
    <t>Tasa de interes</t>
  </si>
  <si>
    <t>PUNTO 2 - HELLEN CASTELLAR Y ANA MERCADO</t>
  </si>
  <si>
    <t>PUNTO 3 - HELLEN CASTELLAR</t>
  </si>
  <si>
    <t>PUNTO 3 - ANA KARINA MERCADO</t>
  </si>
  <si>
    <t>Mes</t>
  </si>
  <si>
    <t>Capital o VP</t>
  </si>
  <si>
    <t>ip1  (Tasa)</t>
  </si>
  <si>
    <t>n1 meses</t>
  </si>
  <si>
    <t>VF1</t>
  </si>
  <si>
    <t>i2 (tasa de renegociacion)</t>
  </si>
  <si>
    <t>n2</t>
  </si>
  <si>
    <t>VF2</t>
  </si>
  <si>
    <t>VF=VP*(1+i1*n1)*(1+i2*n2)</t>
  </si>
  <si>
    <t>Inicio de actividad</t>
  </si>
  <si>
    <t>VF=VP*(1+i1*n1)/(1+i2*n2)</t>
  </si>
  <si>
    <t>Firma segundo pagaré</t>
  </si>
  <si>
    <t>Firma tercer pagaré</t>
  </si>
  <si>
    <t>Abono</t>
  </si>
  <si>
    <t>FF (fecha focal)</t>
  </si>
  <si>
    <t>NUEVO DOCUMENTO</t>
  </si>
  <si>
    <t>Periodicidad</t>
  </si>
  <si>
    <t>mensual</t>
  </si>
  <si>
    <t>PUNTO 1 - HELLEN CASTELLAR</t>
  </si>
  <si>
    <t>PUNTO 2  - HELLEN CASTELLAR Y ANA MERCADO</t>
  </si>
  <si>
    <t>PUNTO 1 - ANA KARINA MERCADO</t>
  </si>
  <si>
    <t>Periocidad</t>
  </si>
  <si>
    <t>La tasa de interes a la que le pagaron la inversión fue de 0,49%</t>
  </si>
  <si>
    <t xml:space="preserve">PUNTO 3 - HELLEN CASTELLAR </t>
  </si>
  <si>
    <t xml:space="preserve">PUNTO 3 - ANA KARINA MERCADO </t>
  </si>
  <si>
    <t>PUNTO 5 - HELLEN CASTELLAR</t>
  </si>
  <si>
    <t>PUNTO 5 - ANA KARINA MERCADO</t>
  </si>
  <si>
    <t>i anual</t>
  </si>
  <si>
    <t>bimestral</t>
  </si>
  <si>
    <t>trimestral</t>
  </si>
  <si>
    <t>cuatrimestres</t>
  </si>
  <si>
    <t>Parcial Ana Karina Mercado</t>
  </si>
  <si>
    <t>1. Usted necesita realizar un préstamo de $45.000.000, una entidad financiera le ofrece una tasa de interés de la i (40,00%) nominal anual capitalizable cada m (Trimestral) periodos y en la negociación, acuerdan pagar al final del mes 20 en un solo contado toda la deuda, ¿cuál será el valor a pagar?</t>
  </si>
  <si>
    <t>r</t>
  </si>
  <si>
    <t>ia=(1+r/n)^n-1</t>
  </si>
  <si>
    <t>ip=(1+ia)^(1/n)-1</t>
  </si>
  <si>
    <t>Vencida</t>
  </si>
  <si>
    <t xml:space="preserve">PUNTO 1 - HELLEN CASTELLAR </t>
  </si>
  <si>
    <t>Valor a pagar</t>
  </si>
  <si>
    <t>mes</t>
  </si>
  <si>
    <t>Diaria</t>
  </si>
  <si>
    <t>Efectiva i´</t>
  </si>
  <si>
    <t>Nominal r´</t>
  </si>
  <si>
    <t>Efectiva ip (ia)</t>
  </si>
  <si>
    <t>Nominal r</t>
  </si>
  <si>
    <t>ia Spread</t>
  </si>
  <si>
    <t>NAMV</t>
  </si>
  <si>
    <t>Spread r</t>
  </si>
  <si>
    <t>ia=1/(1-r´/n)^n-1</t>
  </si>
  <si>
    <t>ia DTF</t>
  </si>
  <si>
    <t>DTF r'</t>
  </si>
  <si>
    <t>.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</si>
  <si>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</si>
  <si>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</si>
  <si>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</si>
  <si>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</si>
  <si>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</si>
  <si>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</si>
  <si>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</si>
  <si>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</si>
  <si>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</si>
  <si>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</si>
  <si>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</si>
  <si>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</si>
  <si>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</si>
  <si>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</si>
  <si>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</si>
  <si>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</si>
  <si>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</si>
  <si>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</si>
  <si>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</si>
  <si>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</si>
  <si>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</si>
  <si>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</si>
  <si>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</si>
  <si>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</si>
  <si>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</si>
  <si>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</si>
  <si>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</si>
  <si>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</si>
  <si>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</si>
  <si>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</si>
  <si>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</si>
  <si>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</si>
  <si>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</si>
  <si>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</si>
  <si>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</si>
  <si>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</si>
  <si>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</si>
  <si>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</si>
  <si>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</si>
  <si>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</si>
  <si>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</si>
  <si>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</si>
  <si>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</si>
  <si>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</si>
  <si>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</si>
  <si>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</si>
  <si>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</si>
  <si>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</si>
  <si>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</si>
  <si>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</si>
  <si>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</si>
  <si>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</si>
  <si>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</si>
  <si>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</si>
  <si>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</si>
  <si>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</si>
  <si>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</si>
  <si>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</si>
  <si>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</si>
  <si>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</si>
  <si>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</si>
  <si>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</si>
  <si>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</si>
  <si>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</si>
  <si>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</si>
  <si>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</si>
  <si>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</si>
  <si>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</si>
  <si>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</si>
  <si>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</si>
  <si>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</si>
  <si>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</si>
  <si>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</si>
  <si>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</si>
  <si>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</si>
  <si>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</si>
  <si>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</si>
  <si>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</si>
  <si>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</si>
  <si>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</si>
  <si>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</si>
  <si>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</si>
  <si>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</si>
  <si>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</si>
  <si>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</si>
  <si>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</si>
  <si>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</si>
  <si>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</si>
  <si>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</si>
  <si>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</si>
  <si>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</si>
  <si>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</si>
  <si>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</si>
  <si>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</si>
  <si>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</si>
  <si>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</si>
  <si>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</si>
  <si>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</si>
  <si>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</si>
  <si>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</si>
  <si>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</si>
  <si>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</si>
  <si>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</si>
  <si>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</si>
  <si>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</si>
  <si>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</si>
  <si>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</si>
  <si>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</si>
  <si>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</si>
  <si>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</si>
  <si>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</si>
  <si>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</si>
  <si>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</si>
  <si>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</si>
  <si>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</si>
  <si>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</si>
  <si>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</si>
  <si>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</si>
  <si>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</si>
  <si>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</si>
  <si>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ip mensual</t>
  </si>
  <si>
    <t>ia (combinada)</t>
  </si>
  <si>
    <t>nper</t>
  </si>
  <si>
    <t>periocidad (m)</t>
  </si>
  <si>
    <t>VP o VA</t>
  </si>
  <si>
    <t>Saldo final</t>
  </si>
  <si>
    <t>Amortización</t>
  </si>
  <si>
    <t>No. Periodo</t>
  </si>
  <si>
    <t>Saldo Final</t>
  </si>
  <si>
    <t>c) Sistema de cuota fija con tasa variable</t>
  </si>
  <si>
    <t>b) Sistema de cuota variable o a capital constante</t>
  </si>
  <si>
    <t>a) Sistema de cuota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</si>
</sst>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"/>
    <numFmt numFmtId="165" formatCode="_-&quot;$&quot;\ * #,##0_-;\-&quot;$&quot;\ * #,##0_-;_-&quot;$&quot;\ * &quot;-&quot;??_-;_-@_-"/>
    <numFmt numFmtId="166" formatCode="0.0"/>
    <numFmt numFmtId="167" formatCode="0.0000%"/>
    <numFmt numFmtId="168" formatCode="0.000%"/>
    <numFmt numFmtId="169" formatCode="_-* #,##0.000_-;\-* #,##0.000_-;_-* &quot;-&quot;???_-;_-@_-"/>
    <numFmt numFmtId="170" formatCode="_-* #,##0.000_-;\-* #,##0.000_-;_-* &quot;-&quot;??_-;_-@_-"/>
    <numFmt numFmtId="171" formatCode="_-&quot;$&quot;\ * #,##0.0_-;\-&quot;$&quot;\ * #,##0.0_-;_-&quot;$&quot;\ * &quot;-&quot;??_-;_-@_-"/>
    <numFmt numFmtId="172" formatCode="_-* #,##0_-;\-* #,##0_-;_-* &quot;-&quot;??_-;_-@_-"/>
    <numFmt numFmtId="173" formatCode="_-&quot;$&quot;\ * #,##0.00_-;\-&quot;$&quot;\ * #,##0.00_-;_-&quot;$&quot;\ * &quot;-&quot;?_-;_-@_-"/>
    <numFmt numFmtId="174" formatCode="&quot;$&quot;\ #,##0.00"/>
    <numFmt numFmtId="175" formatCode="_-[$$-240A]\ * #,##0.00_-;\-[$$-240A]\ * #,##0.00_-;_-[$$-240A]\ * &quot;-&quot;??_-;_-@_-"/>
    <numFmt numFmtId="176" formatCode="&quot;$&quot;\ #,##0.0000"/>
    <numFmt numFmtId="177" formatCode="0.0%"/>
    <numFmt numFmtId="178" formatCode="&quot;$&quot;\ #,##0.00000"/>
    <numFmt numFmtId="179" formatCode="&quot;$&quot;\ #,##0.0000;[Red]\-&quot;$&quot;\ 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Calibri"/>
      <family val="2"/>
    </font>
    <font>
      <sz val="10"/>
      <color rgb="FF33333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/>
    <xf numFmtId="10" fontId="0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textRotation="90"/>
    </xf>
    <xf numFmtId="165" fontId="0" fillId="0" borderId="0" xfId="2" applyNumberFormat="1" applyFont="1" applyAlignment="1">
      <alignment textRotation="90"/>
    </xf>
    <xf numFmtId="164" fontId="0" fillId="0" borderId="0" xfId="0" applyNumberFormat="1" applyAlignment="1">
      <alignment horizontal="left" textRotation="90"/>
    </xf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165" fontId="0" fillId="0" borderId="1" xfId="0" applyNumberFormat="1" applyBorder="1"/>
    <xf numFmtId="0" fontId="0" fillId="0" borderId="1" xfId="1" applyNumberFormat="1" applyFont="1" applyBorder="1"/>
    <xf numFmtId="4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5" borderId="1" xfId="0" applyFont="1" applyFill="1" applyBorder="1"/>
    <xf numFmtId="0" fontId="2" fillId="0" borderId="1" xfId="0" applyFont="1" applyBorder="1"/>
    <xf numFmtId="164" fontId="0" fillId="0" borderId="2" xfId="0" applyNumberFormat="1" applyBorder="1"/>
    <xf numFmtId="164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10" fontId="2" fillId="6" borderId="1" xfId="1" applyNumberFormat="1" applyFont="1" applyFill="1" applyBorder="1"/>
    <xf numFmtId="10" fontId="0" fillId="0" borderId="0" xfId="1" applyNumberFormat="1" applyFont="1" applyFill="1" applyBorder="1"/>
    <xf numFmtId="0" fontId="0" fillId="5" borderId="1" xfId="0" applyFill="1" applyBorder="1"/>
    <xf numFmtId="44" fontId="2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66" fontId="0" fillId="0" borderId="1" xfId="0" applyNumberFormat="1" applyBorder="1"/>
    <xf numFmtId="1" fontId="0" fillId="5" borderId="1" xfId="0" applyNumberFormat="1" applyFill="1" applyBorder="1"/>
    <xf numFmtId="1" fontId="0" fillId="0" borderId="1" xfId="1" applyNumberFormat="1" applyFont="1" applyBorder="1"/>
    <xf numFmtId="2" fontId="0" fillId="0" borderId="1" xfId="0" applyNumberForma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4" fontId="2" fillId="7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8" borderId="0" xfId="0" applyFill="1"/>
    <xf numFmtId="44" fontId="0" fillId="0" borderId="1" xfId="0" applyNumberFormat="1" applyBorder="1"/>
    <xf numFmtId="2" fontId="0" fillId="0" borderId="1" xfId="0" applyNumberFormat="1" applyBorder="1"/>
    <xf numFmtId="10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8" fillId="0" borderId="0" xfId="0" applyNumberFormat="1" applyFont="1" applyAlignment="1">
      <alignment horizontal="right" vertical="center" wrapText="1"/>
    </xf>
    <xf numFmtId="43" fontId="0" fillId="0" borderId="1" xfId="0" applyNumberFormat="1" applyBorder="1"/>
    <xf numFmtId="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0" fontId="0" fillId="10" borderId="1" xfId="0" applyFill="1" applyBorder="1"/>
    <xf numFmtId="167" fontId="0" fillId="0" borderId="0" xfId="0" applyNumberFormat="1"/>
    <xf numFmtId="167" fontId="0" fillId="0" borderId="0" xfId="1" applyNumberFormat="1" applyFont="1"/>
    <xf numFmtId="167" fontId="0" fillId="0" borderId="1" xfId="0" applyNumberFormat="1" applyBorder="1"/>
    <xf numFmtId="167" fontId="0" fillId="10" borderId="1" xfId="0" applyNumberFormat="1" applyFill="1" applyBorder="1"/>
    <xf numFmtId="167" fontId="0" fillId="10" borderId="1" xfId="1" applyNumberFormat="1" applyFont="1" applyFill="1" applyBorder="1"/>
    <xf numFmtId="167" fontId="0" fillId="11" borderId="1" xfId="1" applyNumberFormat="1" applyFont="1" applyFill="1" applyBorder="1"/>
    <xf numFmtId="0" fontId="4" fillId="0" borderId="0" xfId="0" applyFont="1" applyAlignment="1">
      <alignment vertical="center" wrapText="1"/>
    </xf>
    <xf numFmtId="10" fontId="0" fillId="0" borderId="1" xfId="1" applyNumberFormat="1" applyFont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74" fontId="0" fillId="0" borderId="1" xfId="2" applyNumberFormat="1" applyFont="1" applyBorder="1"/>
    <xf numFmtId="174" fontId="0" fillId="0" borderId="1" xfId="0" applyNumberFormat="1" applyBorder="1"/>
    <xf numFmtId="165" fontId="0" fillId="0" borderId="1" xfId="2" applyNumberFormat="1" applyFont="1" applyBorder="1"/>
    <xf numFmtId="44" fontId="0" fillId="0" borderId="0" xfId="0" applyNumberFormat="1"/>
    <xf numFmtId="174" fontId="0" fillId="0" borderId="0" xfId="0" applyNumberFormat="1"/>
    <xf numFmtId="2" fontId="0" fillId="0" borderId="1" xfId="1" applyNumberFormat="1" applyFont="1" applyBorder="1"/>
    <xf numFmtId="2" fontId="2" fillId="0" borderId="1" xfId="0" applyNumberFormat="1" applyFont="1" applyBorder="1"/>
    <xf numFmtId="43" fontId="0" fillId="0" borderId="1" xfId="3" applyFont="1" applyBorder="1"/>
    <xf numFmtId="10" fontId="2" fillId="13" borderId="1" xfId="1" applyNumberFormat="1" applyFont="1" applyFill="1" applyBorder="1"/>
    <xf numFmtId="0" fontId="2" fillId="13" borderId="1" xfId="0" applyFont="1" applyFill="1" applyBorder="1"/>
    <xf numFmtId="0" fontId="9" fillId="0" borderId="1" xfId="0" applyFont="1" applyBorder="1"/>
    <xf numFmtId="0" fontId="11" fillId="13" borderId="1" xfId="0" applyFont="1" applyFill="1" applyBorder="1"/>
    <xf numFmtId="175" fontId="11" fillId="13" borderId="1" xfId="0" applyNumberFormat="1" applyFont="1" applyFill="1" applyBorder="1"/>
    <xf numFmtId="0" fontId="0" fillId="0" borderId="1" xfId="0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/>
    </xf>
    <xf numFmtId="176" fontId="0" fillId="0" borderId="1" xfId="0" applyNumberFormat="1" applyBorder="1"/>
    <xf numFmtId="165" fontId="0" fillId="0" borderId="0" xfId="2" applyNumberFormat="1" applyFont="1" applyBorder="1"/>
    <xf numFmtId="10" fontId="0" fillId="0" borderId="0" xfId="1" applyNumberFormat="1" applyFont="1" applyBorder="1"/>
    <xf numFmtId="0" fontId="11" fillId="14" borderId="1" xfId="0" applyFont="1" applyFill="1" applyBorder="1"/>
    <xf numFmtId="176" fontId="11" fillId="14" borderId="1" xfId="0" applyNumberFormat="1" applyFont="1" applyFill="1" applyBorder="1"/>
    <xf numFmtId="10" fontId="2" fillId="14" borderId="1" xfId="1" applyNumberFormat="1" applyFont="1" applyFill="1" applyBorder="1"/>
    <xf numFmtId="0" fontId="2" fillId="14" borderId="1" xfId="0" applyFont="1" applyFill="1" applyBorder="1"/>
    <xf numFmtId="0" fontId="13" fillId="0" borderId="0" xfId="0" applyFont="1"/>
    <xf numFmtId="0" fontId="0" fillId="13" borderId="1" xfId="0" applyFill="1" applyBorder="1"/>
    <xf numFmtId="0" fontId="6" fillId="0" borderId="0" xfId="0" applyFont="1"/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167" fontId="13" fillId="0" borderId="1" xfId="1" applyNumberFormat="1" applyFont="1" applyBorder="1" applyAlignment="1">
      <alignment vertical="center"/>
    </xf>
    <xf numFmtId="167" fontId="13" fillId="0" borderId="1" xfId="1" applyNumberFormat="1" applyFont="1" applyBorder="1" applyAlignment="1">
      <alignment vertical="center" wrapText="1"/>
    </xf>
    <xf numFmtId="167" fontId="13" fillId="0" borderId="1" xfId="0" applyNumberFormat="1" applyFont="1" applyBorder="1" applyAlignment="1">
      <alignment vertical="center" wrapText="1"/>
    </xf>
    <xf numFmtId="167" fontId="1" fillId="0" borderId="1" xfId="1" applyNumberFormat="1" applyFont="1" applyBorder="1"/>
    <xf numFmtId="167" fontId="13" fillId="0" borderId="1" xfId="0" applyNumberFormat="1" applyFont="1" applyBorder="1" applyAlignment="1">
      <alignment horizontal="center" vertical="center"/>
    </xf>
    <xf numFmtId="8" fontId="0" fillId="12" borderId="1" xfId="0" applyNumberFormat="1" applyFill="1" applyBorder="1"/>
    <xf numFmtId="167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3" fillId="0" borderId="0" xfId="0" applyFont="1" applyAlignment="1">
      <alignment horizontal="center"/>
    </xf>
    <xf numFmtId="177" fontId="0" fillId="0" borderId="1" xfId="0" applyNumberFormat="1" applyBorder="1"/>
    <xf numFmtId="10" fontId="0" fillId="0" borderId="1" xfId="1" applyNumberFormat="1" applyFont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wrapText="1"/>
    </xf>
    <xf numFmtId="171" fontId="0" fillId="0" borderId="1" xfId="0" applyNumberFormat="1" applyBorder="1"/>
    <xf numFmtId="0" fontId="2" fillId="8" borderId="1" xfId="0" applyFont="1" applyFill="1" applyBorder="1"/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0" fontId="0" fillId="8" borderId="3" xfId="0" applyFill="1" applyBorder="1"/>
    <xf numFmtId="10" fontId="0" fillId="8" borderId="3" xfId="1" applyNumberFormat="1" applyFont="1" applyFill="1" applyBorder="1"/>
    <xf numFmtId="167" fontId="0" fillId="8" borderId="1" xfId="0" applyNumberFormat="1" applyFill="1" applyBorder="1"/>
    <xf numFmtId="167" fontId="0" fillId="8" borderId="1" xfId="1" applyNumberFormat="1" applyFont="1" applyFill="1" applyBorder="1"/>
    <xf numFmtId="10" fontId="0" fillId="8" borderId="1" xfId="1" applyNumberFormat="1" applyFont="1" applyFill="1" applyBorder="1"/>
    <xf numFmtId="169" fontId="2" fillId="12" borderId="1" xfId="0" applyNumberFormat="1" applyFont="1" applyFill="1" applyBorder="1"/>
    <xf numFmtId="44" fontId="2" fillId="12" borderId="1" xfId="0" applyNumberFormat="1" applyFont="1" applyFill="1" applyBorder="1"/>
    <xf numFmtId="178" fontId="0" fillId="0" borderId="1" xfId="0" applyNumberFormat="1" applyBorder="1"/>
    <xf numFmtId="6" fontId="0" fillId="0" borderId="1" xfId="0" applyNumberFormat="1" applyBorder="1"/>
    <xf numFmtId="179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 wrapText="1"/>
    </xf>
    <xf numFmtId="0" fontId="0" fillId="14" borderId="1" xfId="0" applyFill="1" applyBorder="1"/>
    <xf numFmtId="10" fontId="0" fillId="10" borderId="1" xfId="0" applyNumberFormat="1" applyFill="1" applyBorder="1"/>
    <xf numFmtId="44" fontId="0" fillId="12" borderId="1" xfId="2" applyFont="1" applyFill="1" applyBorder="1"/>
    <xf numFmtId="8" fontId="0" fillId="0" borderId="1" xfId="2" applyNumberFormat="1" applyFont="1" applyBorder="1"/>
    <xf numFmtId="0" fontId="2" fillId="7" borderId="1" xfId="0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18</xdr:col>
      <xdr:colOff>171450</xdr:colOff>
      <xdr:row>13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06D7ED2-98AC-7686-8CD8-F36D261E6866}"/>
            </a:ext>
          </a:extLst>
        </xdr:cNvPr>
        <xdr:cNvCxnSpPr/>
      </xdr:nvCxnSpPr>
      <xdr:spPr>
        <a:xfrm>
          <a:off x="5353050" y="3295650"/>
          <a:ext cx="60769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142875</xdr:rowOff>
    </xdr:from>
    <xdr:to>
      <xdr:col>10</xdr:col>
      <xdr:colOff>0</xdr:colOff>
      <xdr:row>12</xdr:row>
      <xdr:rowOff>180975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71D990D-16A9-8B9A-7B1B-CE7A8F690D10}"/>
            </a:ext>
          </a:extLst>
        </xdr:cNvPr>
        <xdr:cNvCxnSpPr/>
      </xdr:nvCxnSpPr>
      <xdr:spPr>
        <a:xfrm flipV="1">
          <a:off x="6124575" y="2047875"/>
          <a:ext cx="0" cy="4191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10</xdr:row>
      <xdr:rowOff>152400</xdr:rowOff>
    </xdr:from>
    <xdr:to>
      <xdr:col>11</xdr:col>
      <xdr:colOff>9525</xdr:colOff>
      <xdr:row>13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DBB853B-C04E-4A74-BE31-9020B5753544}"/>
            </a:ext>
          </a:extLst>
        </xdr:cNvPr>
        <xdr:cNvCxnSpPr/>
      </xdr:nvCxnSpPr>
      <xdr:spPr>
        <a:xfrm flipV="1">
          <a:off x="6905625" y="2057400"/>
          <a:ext cx="0" cy="4191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10</xdr:row>
      <xdr:rowOff>161925</xdr:rowOff>
    </xdr:from>
    <xdr:to>
      <xdr:col>12</xdr:col>
      <xdr:colOff>600075</xdr:colOff>
      <xdr:row>13</xdr:row>
      <xdr:rowOff>9525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4C52DA32-19A0-40F6-942A-E533DA2C26A2}"/>
            </a:ext>
          </a:extLst>
        </xdr:cNvPr>
        <xdr:cNvCxnSpPr/>
      </xdr:nvCxnSpPr>
      <xdr:spPr>
        <a:xfrm flipV="1">
          <a:off x="8105775" y="2066925"/>
          <a:ext cx="0" cy="4191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142875</xdr:rowOff>
    </xdr:from>
    <xdr:to>
      <xdr:col>12</xdr:col>
      <xdr:colOff>0</xdr:colOff>
      <xdr:row>12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4C17B9FE-A730-446A-A292-FD7245C98E42}"/>
            </a:ext>
          </a:extLst>
        </xdr:cNvPr>
        <xdr:cNvCxnSpPr/>
      </xdr:nvCxnSpPr>
      <xdr:spPr>
        <a:xfrm flipV="1">
          <a:off x="7505700" y="2047875"/>
          <a:ext cx="0" cy="4191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76200</xdr:rowOff>
    </xdr:from>
    <xdr:to>
      <xdr:col>12</xdr:col>
      <xdr:colOff>0</xdr:colOff>
      <xdr:row>10</xdr:row>
      <xdr:rowOff>142875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AB38B0F9-5677-4E29-833D-9519F57C3872}"/>
            </a:ext>
          </a:extLst>
        </xdr:cNvPr>
        <xdr:cNvCxnSpPr/>
      </xdr:nvCxnSpPr>
      <xdr:spPr>
        <a:xfrm flipV="1">
          <a:off x="7505700" y="1600200"/>
          <a:ext cx="0" cy="4476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8</xdr:row>
      <xdr:rowOff>57150</xdr:rowOff>
    </xdr:from>
    <xdr:to>
      <xdr:col>15</xdr:col>
      <xdr:colOff>9525</xdr:colOff>
      <xdr:row>12</xdr:row>
      <xdr:rowOff>180975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D86ED544-5DE3-4F75-9094-908034BDC0A5}"/>
            </a:ext>
          </a:extLst>
        </xdr:cNvPr>
        <xdr:cNvCxnSpPr/>
      </xdr:nvCxnSpPr>
      <xdr:spPr>
        <a:xfrm flipV="1">
          <a:off x="9344025" y="1581150"/>
          <a:ext cx="0" cy="12954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8</xdr:row>
      <xdr:rowOff>66675</xdr:rowOff>
    </xdr:from>
    <xdr:to>
      <xdr:col>17</xdr:col>
      <xdr:colOff>9525</xdr:colOff>
      <xdr:row>13</xdr:row>
      <xdr:rowOff>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35747AC-CFFB-4B26-8456-E7576A87B7EE}"/>
            </a:ext>
          </a:extLst>
        </xdr:cNvPr>
        <xdr:cNvCxnSpPr/>
      </xdr:nvCxnSpPr>
      <xdr:spPr>
        <a:xfrm flipV="1">
          <a:off x="10563225" y="1590675"/>
          <a:ext cx="0" cy="12954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180975</xdr:rowOff>
    </xdr:from>
    <xdr:to>
      <xdr:col>12</xdr:col>
      <xdr:colOff>9525</xdr:colOff>
      <xdr:row>17</xdr:row>
      <xdr:rowOff>323850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83B04CAD-1770-43B3-9B8A-42FA595271E4}"/>
            </a:ext>
          </a:extLst>
        </xdr:cNvPr>
        <xdr:cNvCxnSpPr/>
      </xdr:nvCxnSpPr>
      <xdr:spPr>
        <a:xfrm>
          <a:off x="7505700" y="3286125"/>
          <a:ext cx="9525" cy="1447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13</xdr:row>
      <xdr:rowOff>0</xdr:rowOff>
    </xdr:from>
    <xdr:to>
      <xdr:col>15</xdr:col>
      <xdr:colOff>600075</xdr:colOff>
      <xdr:row>17</xdr:row>
      <xdr:rowOff>371475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DB68472-B4F2-4307-8AAA-24B90AB23DB9}"/>
            </a:ext>
          </a:extLst>
        </xdr:cNvPr>
        <xdr:cNvCxnSpPr/>
      </xdr:nvCxnSpPr>
      <xdr:spPr>
        <a:xfrm>
          <a:off x="10029825" y="3295650"/>
          <a:ext cx="0" cy="14859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13</xdr:row>
      <xdr:rowOff>9525</xdr:rowOff>
    </xdr:from>
    <xdr:to>
      <xdr:col>14</xdr:col>
      <xdr:colOff>9525</xdr:colOff>
      <xdr:row>15</xdr:row>
      <xdr:rowOff>171450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780181A5-6441-4A62-9766-D2248A13C3CD}"/>
            </a:ext>
          </a:extLst>
        </xdr:cNvPr>
        <xdr:cNvCxnSpPr/>
      </xdr:nvCxnSpPr>
      <xdr:spPr>
        <a:xfrm>
          <a:off x="8734425" y="3305175"/>
          <a:ext cx="0" cy="5429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13</xdr:row>
      <xdr:rowOff>19050</xdr:rowOff>
    </xdr:from>
    <xdr:to>
      <xdr:col>17</xdr:col>
      <xdr:colOff>9525</xdr:colOff>
      <xdr:row>15</xdr:row>
      <xdr:rowOff>180975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FD039E9-D733-4AE1-83B5-E44877432BC3}"/>
            </a:ext>
          </a:extLst>
        </xdr:cNvPr>
        <xdr:cNvCxnSpPr/>
      </xdr:nvCxnSpPr>
      <xdr:spPr>
        <a:xfrm>
          <a:off x="10658475" y="3314700"/>
          <a:ext cx="0" cy="5429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14</xdr:col>
      <xdr:colOff>171450</xdr:colOff>
      <xdr:row>9</xdr:row>
      <xdr:rowOff>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5B74EE23-3556-4E89-9F28-0650C7F9A09D}"/>
            </a:ext>
          </a:extLst>
        </xdr:cNvPr>
        <xdr:cNvCxnSpPr/>
      </xdr:nvCxnSpPr>
      <xdr:spPr>
        <a:xfrm>
          <a:off x="11068050" y="3295650"/>
          <a:ext cx="60769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142875</xdr:rowOff>
    </xdr:from>
    <xdr:to>
      <xdr:col>6</xdr:col>
      <xdr:colOff>0</xdr:colOff>
      <xdr:row>8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E5466A8-9A84-4068-A27B-948336C42509}"/>
            </a:ext>
          </a:extLst>
        </xdr:cNvPr>
        <xdr:cNvCxnSpPr/>
      </xdr:nvCxnSpPr>
      <xdr:spPr>
        <a:xfrm flipV="1">
          <a:off x="11839575" y="2457450"/>
          <a:ext cx="0" cy="82867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</xdr:row>
      <xdr:rowOff>152400</xdr:rowOff>
    </xdr:from>
    <xdr:to>
      <xdr:col>7</xdr:col>
      <xdr:colOff>9525</xdr:colOff>
      <xdr:row>9</xdr:row>
      <xdr:rowOff>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1456460-A05B-445B-8422-2E5476125F8F}"/>
            </a:ext>
          </a:extLst>
        </xdr:cNvPr>
        <xdr:cNvCxnSpPr/>
      </xdr:nvCxnSpPr>
      <xdr:spPr>
        <a:xfrm flipV="1">
          <a:off x="12620625" y="2466975"/>
          <a:ext cx="0" cy="82867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142875</xdr:rowOff>
    </xdr:from>
    <xdr:to>
      <xdr:col>9</xdr:col>
      <xdr:colOff>0</xdr:colOff>
      <xdr:row>8</xdr:row>
      <xdr:rowOff>180975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E416B2C-AA07-42A5-8E75-2751FDF7F0DF}"/>
            </a:ext>
          </a:extLst>
        </xdr:cNvPr>
        <xdr:cNvCxnSpPr/>
      </xdr:nvCxnSpPr>
      <xdr:spPr>
        <a:xfrm flipV="1">
          <a:off x="11925300" y="1695450"/>
          <a:ext cx="0" cy="82867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142875</xdr:rowOff>
    </xdr:from>
    <xdr:to>
      <xdr:col>8</xdr:col>
      <xdr:colOff>0</xdr:colOff>
      <xdr:row>8</xdr:row>
      <xdr:rowOff>180975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6049B60-8730-4083-9EB4-23C782F687EC}"/>
            </a:ext>
          </a:extLst>
        </xdr:cNvPr>
        <xdr:cNvCxnSpPr/>
      </xdr:nvCxnSpPr>
      <xdr:spPr>
        <a:xfrm flipV="1">
          <a:off x="13220700" y="2457450"/>
          <a:ext cx="0" cy="82867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76200</xdr:rowOff>
    </xdr:from>
    <xdr:to>
      <xdr:col>8</xdr:col>
      <xdr:colOff>0</xdr:colOff>
      <xdr:row>6</xdr:row>
      <xdr:rowOff>142875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F639A909-2B7C-4370-81DE-C38CE322D4BB}"/>
            </a:ext>
          </a:extLst>
        </xdr:cNvPr>
        <xdr:cNvCxnSpPr/>
      </xdr:nvCxnSpPr>
      <xdr:spPr>
        <a:xfrm flipV="1">
          <a:off x="13220700" y="1600200"/>
          <a:ext cx="0" cy="85725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4</xdr:row>
      <xdr:rowOff>57150</xdr:rowOff>
    </xdr:from>
    <xdr:to>
      <xdr:col>11</xdr:col>
      <xdr:colOff>9525</xdr:colOff>
      <xdr:row>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F9AB269-F6DF-453C-A907-043EA35B1AA1}"/>
            </a:ext>
          </a:extLst>
        </xdr:cNvPr>
        <xdr:cNvCxnSpPr/>
      </xdr:nvCxnSpPr>
      <xdr:spPr>
        <a:xfrm flipV="1">
          <a:off x="12487275" y="1200150"/>
          <a:ext cx="0" cy="170497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</xdr:row>
      <xdr:rowOff>66675</xdr:rowOff>
    </xdr:from>
    <xdr:to>
      <xdr:col>13</xdr:col>
      <xdr:colOff>9525</xdr:colOff>
      <xdr:row>9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AB94852-3519-4B3E-8BD7-74DF807B7E85}"/>
            </a:ext>
          </a:extLst>
        </xdr:cNvPr>
        <xdr:cNvCxnSpPr/>
      </xdr:nvCxnSpPr>
      <xdr:spPr>
        <a:xfrm flipV="1">
          <a:off x="16373475" y="1590675"/>
          <a:ext cx="0" cy="170497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180975</xdr:rowOff>
    </xdr:from>
    <xdr:to>
      <xdr:col>8</xdr:col>
      <xdr:colOff>9525</xdr:colOff>
      <xdr:row>13</xdr:row>
      <xdr:rowOff>323850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A66E6A-EDA1-4A9E-A32A-09D6EC2DE059}"/>
            </a:ext>
          </a:extLst>
        </xdr:cNvPr>
        <xdr:cNvCxnSpPr/>
      </xdr:nvCxnSpPr>
      <xdr:spPr>
        <a:xfrm>
          <a:off x="13220700" y="3286125"/>
          <a:ext cx="9525" cy="144780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19050</xdr:rowOff>
    </xdr:from>
    <xdr:to>
      <xdr:col>12</xdr:col>
      <xdr:colOff>0</xdr:colOff>
      <xdr:row>13</xdr:row>
      <xdr:rowOff>390525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3F19EAA-31DC-4904-A101-303287D13A24}"/>
            </a:ext>
          </a:extLst>
        </xdr:cNvPr>
        <xdr:cNvCxnSpPr/>
      </xdr:nvCxnSpPr>
      <xdr:spPr>
        <a:xfrm>
          <a:off x="13239750" y="2933700"/>
          <a:ext cx="0" cy="148590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9525</xdr:rowOff>
    </xdr:from>
    <xdr:to>
      <xdr:col>10</xdr:col>
      <xdr:colOff>9525</xdr:colOff>
      <xdr:row>11</xdr:row>
      <xdr:rowOff>171450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94B9CDC-C9B5-4EF8-81D6-ABB24D9E8841}"/>
            </a:ext>
          </a:extLst>
        </xdr:cNvPr>
        <xdr:cNvCxnSpPr/>
      </xdr:nvCxnSpPr>
      <xdr:spPr>
        <a:xfrm>
          <a:off x="14449425" y="3305175"/>
          <a:ext cx="0" cy="54292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19050</xdr:rowOff>
    </xdr:from>
    <xdr:to>
      <xdr:col>13</xdr:col>
      <xdr:colOff>9525</xdr:colOff>
      <xdr:row>11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23C10ACD-D9AF-49CB-A2EF-60A5E09262A8}"/>
            </a:ext>
          </a:extLst>
        </xdr:cNvPr>
        <xdr:cNvCxnSpPr/>
      </xdr:nvCxnSpPr>
      <xdr:spPr>
        <a:xfrm>
          <a:off x="16373475" y="3314700"/>
          <a:ext cx="0" cy="542925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96" zoomScaleNormal="96" workbookViewId="0">
      <selection activeCell="J7" sqref="J7"/>
    </sheetView>
  </sheetViews>
  <sheetFormatPr baseColWidth="10" defaultColWidth="9.140625" defaultRowHeight="15" x14ac:dyDescent="0.25"/>
  <cols>
    <col min="1" max="1" width="21.42578125" customWidth="1"/>
    <col min="2" max="2" width="18.28515625" customWidth="1"/>
    <col min="3" max="3" width="16.42578125" customWidth="1"/>
    <col min="4" max="4" width="18.5703125" customWidth="1"/>
    <col min="5" max="5" width="17.5703125" customWidth="1"/>
    <col min="6" max="6" width="18.28515625" customWidth="1"/>
    <col min="7" max="7" width="24" customWidth="1"/>
    <col min="8" max="9" width="20" customWidth="1"/>
    <col min="10" max="10" width="25.28515625" bestFit="1" customWidth="1"/>
    <col min="11" max="11" width="11.5703125" bestFit="1" customWidth="1"/>
    <col min="15" max="15" width="10.5703125" bestFit="1" customWidth="1"/>
  </cols>
  <sheetData>
    <row r="1" spans="1:18" x14ac:dyDescent="0.25">
      <c r="A1" s="2"/>
      <c r="B1" s="2"/>
      <c r="C1" s="2"/>
      <c r="D1" s="2"/>
      <c r="E1" s="144" t="s">
        <v>4</v>
      </c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2" spans="1:18" x14ac:dyDescent="0.25">
      <c r="A2" s="6" t="s">
        <v>0</v>
      </c>
      <c r="B2" s="3">
        <f>13/230</f>
        <v>5.6521739130434782E-2</v>
      </c>
      <c r="C2" s="4"/>
    </row>
    <row r="3" spans="1:18" x14ac:dyDescent="0.25">
      <c r="A3" s="6" t="s">
        <v>1</v>
      </c>
      <c r="B3" s="4">
        <v>16</v>
      </c>
      <c r="C3" s="4"/>
      <c r="J3" s="1"/>
    </row>
    <row r="4" spans="1:18" x14ac:dyDescent="0.25">
      <c r="A4" s="6" t="s">
        <v>2</v>
      </c>
      <c r="B4" s="4">
        <v>6</v>
      </c>
      <c r="C4" s="5" t="s">
        <v>3</v>
      </c>
    </row>
    <row r="6" spans="1:18" x14ac:dyDescent="0.25">
      <c r="A6" s="145" t="s">
        <v>171</v>
      </c>
      <c r="B6" s="145"/>
      <c r="C6" s="145"/>
      <c r="D6" s="145"/>
      <c r="E6" s="145"/>
      <c r="F6" s="145"/>
      <c r="G6" s="145"/>
      <c r="H6" s="14"/>
      <c r="J6" s="145" t="s">
        <v>184</v>
      </c>
      <c r="K6" s="145"/>
      <c r="L6" s="145"/>
      <c r="M6" s="145"/>
      <c r="N6" s="145"/>
      <c r="O6" s="145"/>
      <c r="P6" s="145"/>
      <c r="Q6" s="145"/>
    </row>
    <row r="7" spans="1:18" x14ac:dyDescent="0.25">
      <c r="A7" s="6" t="s">
        <v>5</v>
      </c>
      <c r="B7" s="7">
        <v>7200000</v>
      </c>
      <c r="J7" s="7"/>
    </row>
    <row r="8" spans="1:18" x14ac:dyDescent="0.25">
      <c r="A8" s="6" t="s">
        <v>6</v>
      </c>
      <c r="B8">
        <v>16</v>
      </c>
      <c r="C8" t="s">
        <v>11</v>
      </c>
      <c r="D8" s="146" t="s">
        <v>10</v>
      </c>
      <c r="E8" s="146"/>
      <c r="F8" s="10"/>
    </row>
    <row r="9" spans="1:18" ht="47.25" x14ac:dyDescent="0.25">
      <c r="A9" s="6" t="s">
        <v>6</v>
      </c>
      <c r="B9">
        <f>B8*6</f>
        <v>96</v>
      </c>
      <c r="D9" s="10"/>
      <c r="E9" s="10"/>
      <c r="F9" s="10"/>
      <c r="L9" s="12">
        <v>80000</v>
      </c>
      <c r="M9" s="12"/>
      <c r="N9" s="12"/>
      <c r="O9" s="12">
        <v>80000</v>
      </c>
      <c r="P9" s="12"/>
      <c r="Q9" s="12">
        <v>80000</v>
      </c>
    </row>
    <row r="10" spans="1:18" x14ac:dyDescent="0.25">
      <c r="A10" s="6" t="s">
        <v>7</v>
      </c>
      <c r="B10" s="7">
        <v>20750000</v>
      </c>
      <c r="I10" s="8"/>
    </row>
    <row r="11" spans="1:18" ht="47.25" x14ac:dyDescent="0.25">
      <c r="A11" s="6" t="s">
        <v>8</v>
      </c>
      <c r="B11">
        <v>6</v>
      </c>
      <c r="E11" s="9"/>
      <c r="F11" s="9"/>
      <c r="J11" s="11">
        <v>50000</v>
      </c>
      <c r="K11" s="11">
        <v>50000</v>
      </c>
      <c r="L11" s="11">
        <v>50000</v>
      </c>
      <c r="M11" s="11">
        <v>50000</v>
      </c>
    </row>
    <row r="12" spans="1:18" x14ac:dyDescent="0.25">
      <c r="A12" s="6" t="s">
        <v>9</v>
      </c>
      <c r="B12">
        <f>1/B9*(B10/B7-1)</f>
        <v>1.9603587962962965E-2</v>
      </c>
      <c r="C12" s="1">
        <f>B12</f>
        <v>1.9603587962962965E-2</v>
      </c>
    </row>
    <row r="14" spans="1:18" x14ac:dyDescent="0.25">
      <c r="B14" s="7">
        <f>B7*(1+C12*B9)</f>
        <v>20750000</v>
      </c>
      <c r="I14">
        <v>0</v>
      </c>
      <c r="J14">
        <v>1</v>
      </c>
      <c r="K14">
        <v>2</v>
      </c>
      <c r="L14">
        <v>3</v>
      </c>
      <c r="M14">
        <v>4</v>
      </c>
      <c r="N14">
        <v>5</v>
      </c>
      <c r="O14">
        <v>6</v>
      </c>
      <c r="P14">
        <v>7</v>
      </c>
      <c r="Q14">
        <v>8</v>
      </c>
      <c r="R14">
        <v>9</v>
      </c>
    </row>
    <row r="16" spans="1:18" ht="42.75" x14ac:dyDescent="0.25">
      <c r="A16" s="143" t="s">
        <v>172</v>
      </c>
      <c r="B16" s="143"/>
      <c r="C16" s="143"/>
      <c r="D16" s="143"/>
      <c r="E16" s="143"/>
      <c r="F16" s="143"/>
      <c r="G16" s="143"/>
      <c r="O16" s="13">
        <v>20000</v>
      </c>
      <c r="R16" s="13">
        <v>20000</v>
      </c>
    </row>
    <row r="18" spans="1:17" ht="48" x14ac:dyDescent="0.25">
      <c r="A18" s="68" t="s">
        <v>183</v>
      </c>
      <c r="B18" s="5" t="s">
        <v>177</v>
      </c>
      <c r="C18" s="72">
        <v>7.8799999999999995E-2</v>
      </c>
      <c r="D18" s="3">
        <f>C18/C20</f>
        <v>6.566666666666666E-3</v>
      </c>
      <c r="E18" s="5" t="s">
        <v>53</v>
      </c>
      <c r="M18" s="13">
        <v>100000</v>
      </c>
      <c r="Q18" s="13">
        <v>100000</v>
      </c>
    </row>
    <row r="19" spans="1:17" x14ac:dyDescent="0.25">
      <c r="A19" s="68" t="s">
        <v>182</v>
      </c>
      <c r="B19" s="5" t="s">
        <v>6</v>
      </c>
      <c r="C19" s="5">
        <v>18</v>
      </c>
      <c r="D19" s="5">
        <f>C19*C20</f>
        <v>216</v>
      </c>
      <c r="E19" s="5" t="s">
        <v>53</v>
      </c>
      <c r="M19" s="13"/>
      <c r="Q19" s="13"/>
    </row>
    <row r="20" spans="1:17" x14ac:dyDescent="0.25">
      <c r="A20" s="68" t="s">
        <v>181</v>
      </c>
      <c r="B20" s="5" t="s">
        <v>180</v>
      </c>
      <c r="C20" s="5">
        <v>12</v>
      </c>
      <c r="D20" s="4"/>
      <c r="E20" s="4"/>
      <c r="M20" s="13"/>
      <c r="Q20" s="13"/>
    </row>
    <row r="21" spans="1:17" x14ac:dyDescent="0.25">
      <c r="M21" s="13"/>
      <c r="Q21" s="13"/>
    </row>
    <row r="22" spans="1:17" x14ac:dyDescent="0.25">
      <c r="A22" s="68" t="s">
        <v>179</v>
      </c>
      <c r="B22" s="71">
        <v>7200000</v>
      </c>
      <c r="C22" s="66"/>
      <c r="D22" s="66"/>
      <c r="M22" s="13"/>
      <c r="Q22" s="13"/>
    </row>
    <row r="23" spans="1:17" x14ac:dyDescent="0.25">
      <c r="A23" s="68" t="s">
        <v>178</v>
      </c>
      <c r="B23" s="71">
        <v>20750000</v>
      </c>
      <c r="C23" s="66"/>
      <c r="D23" s="66"/>
      <c r="M23" s="13"/>
      <c r="Q23" s="13"/>
    </row>
    <row r="24" spans="1:17" x14ac:dyDescent="0.25">
      <c r="A24" s="68" t="s">
        <v>177</v>
      </c>
      <c r="B24" s="67">
        <f>1/B26*(B23/B22-1)</f>
        <v>8.7127057613168735E-3</v>
      </c>
      <c r="C24" s="147" t="s">
        <v>176</v>
      </c>
      <c r="D24" s="147"/>
      <c r="M24" s="13"/>
      <c r="Q24" s="13"/>
    </row>
    <row r="25" spans="1:17" x14ac:dyDescent="0.25">
      <c r="A25" s="68" t="s">
        <v>175</v>
      </c>
      <c r="B25" s="5">
        <v>18</v>
      </c>
      <c r="C25" s="66"/>
      <c r="D25" s="66"/>
      <c r="M25" s="13"/>
      <c r="Q25" s="13"/>
    </row>
    <row r="26" spans="1:17" x14ac:dyDescent="0.25">
      <c r="A26" s="69" t="s">
        <v>174</v>
      </c>
      <c r="B26" s="70">
        <f>B25*12</f>
        <v>216</v>
      </c>
      <c r="C26" s="66"/>
      <c r="D26" s="66"/>
      <c r="M26" s="13"/>
      <c r="Q26" s="13"/>
    </row>
    <row r="27" spans="1:17" x14ac:dyDescent="0.25">
      <c r="A27" s="148" t="s">
        <v>173</v>
      </c>
      <c r="B27" s="148"/>
      <c r="C27" s="148"/>
      <c r="D27" s="148"/>
      <c r="M27" s="13"/>
      <c r="Q27" s="13"/>
    </row>
    <row r="28" spans="1:17" x14ac:dyDescent="0.25">
      <c r="M28" s="13"/>
      <c r="Q28" s="13"/>
    </row>
    <row r="29" spans="1:17" x14ac:dyDescent="0.25">
      <c r="A29" s="145" t="s">
        <v>185</v>
      </c>
      <c r="B29" s="145"/>
      <c r="C29" s="145"/>
      <c r="D29" s="145"/>
      <c r="E29" s="145"/>
      <c r="F29" s="145"/>
      <c r="G29" s="145"/>
      <c r="H29" s="14"/>
      <c r="M29" s="13"/>
    </row>
    <row r="31" spans="1:17" x14ac:dyDescent="0.25">
      <c r="A31" s="16" t="s">
        <v>14</v>
      </c>
      <c r="B31" s="16" t="s">
        <v>12</v>
      </c>
      <c r="C31" s="16" t="s">
        <v>16</v>
      </c>
      <c r="D31" s="16" t="s">
        <v>17</v>
      </c>
      <c r="E31" s="16" t="s">
        <v>18</v>
      </c>
      <c r="F31" s="16" t="s">
        <v>19</v>
      </c>
      <c r="G31" s="16" t="s">
        <v>20</v>
      </c>
      <c r="H31" s="16" t="s">
        <v>21</v>
      </c>
      <c r="I31" s="14"/>
      <c r="M31" s="13"/>
      <c r="Q31" s="13"/>
    </row>
    <row r="32" spans="1:17" x14ac:dyDescent="0.25">
      <c r="A32" s="17">
        <v>0</v>
      </c>
      <c r="B32" s="19">
        <v>80500000</v>
      </c>
      <c r="C32" s="15">
        <f>B2/(6)</f>
        <v>9.4202898550724643E-3</v>
      </c>
      <c r="D32" s="20">
        <f>B3*6</f>
        <v>96</v>
      </c>
      <c r="E32" s="19">
        <f>B32*(1+C32*D32)</f>
        <v>153300000</v>
      </c>
      <c r="F32" s="15">
        <f>C35</f>
        <v>1.7753623188405798E-2</v>
      </c>
      <c r="G32" s="5">
        <f>D32-B38</f>
        <v>12.5</v>
      </c>
      <c r="H32" s="21">
        <f>E32/(1+F32*G32)</f>
        <v>125458265.38176426</v>
      </c>
      <c r="I32" s="7"/>
    </row>
    <row r="33" spans="1:10" x14ac:dyDescent="0.25">
      <c r="A33" s="17">
        <v>1</v>
      </c>
      <c r="B33" s="19">
        <v>76000000</v>
      </c>
      <c r="C33" s="15">
        <f>C32+1%/(6)</f>
        <v>1.1086956521739131E-2</v>
      </c>
      <c r="D33" s="4">
        <f>D32/2</f>
        <v>48</v>
      </c>
      <c r="E33" s="19">
        <f>B33*(1+C33*D33)</f>
        <v>116445217.39130436</v>
      </c>
      <c r="F33" s="15">
        <f>F32</f>
        <v>1.7753623188405798E-2</v>
      </c>
      <c r="G33" s="5">
        <f>B38-D33-0.5</f>
        <v>35</v>
      </c>
      <c r="H33" s="21">
        <f>E33*(1+F33*G33)</f>
        <v>188801575.29930687</v>
      </c>
      <c r="I33" s="7"/>
    </row>
    <row r="34" spans="1:10" x14ac:dyDescent="0.25">
      <c r="A34" s="17">
        <v>3</v>
      </c>
      <c r="B34" s="19">
        <v>33000000</v>
      </c>
      <c r="C34" s="15">
        <f>C32+2%/(6)</f>
        <v>1.2753623188405798E-2</v>
      </c>
      <c r="D34" s="4">
        <f>D33*1.5</f>
        <v>72</v>
      </c>
      <c r="E34" s="19">
        <f t="shared" ref="E34:E35" si="0">B34*(1+C34*D34)</f>
        <v>63302608.695652179</v>
      </c>
      <c r="F34" s="15">
        <f>F33</f>
        <v>1.7753623188405798E-2</v>
      </c>
      <c r="G34" s="5">
        <f>B38-D34-(A34/2)</f>
        <v>10</v>
      </c>
      <c r="H34" s="21">
        <f>E34*(1+F34*G34)</f>
        <v>74541115.311909273</v>
      </c>
      <c r="I34" s="7"/>
    </row>
    <row r="35" spans="1:10" x14ac:dyDescent="0.25">
      <c r="A35" s="17">
        <f>D32-19</f>
        <v>77</v>
      </c>
      <c r="B35" s="19">
        <v>70000000</v>
      </c>
      <c r="C35" s="15">
        <f>C32+5%/(6)</f>
        <v>1.7753623188405798E-2</v>
      </c>
      <c r="D35" s="20"/>
      <c r="E35" s="19">
        <f t="shared" si="0"/>
        <v>70000000</v>
      </c>
      <c r="F35" s="15">
        <f>F34</f>
        <v>1.7753623188405798E-2</v>
      </c>
      <c r="G35" s="5">
        <f>90/2</f>
        <v>45</v>
      </c>
      <c r="H35" s="21">
        <f>E35*(1+F35*G35)</f>
        <v>125923913.04347825</v>
      </c>
      <c r="I35" s="7"/>
    </row>
    <row r="36" spans="1:10" x14ac:dyDescent="0.25">
      <c r="C36" s="14"/>
      <c r="G36" s="16" t="s">
        <v>15</v>
      </c>
      <c r="H36" s="32">
        <f>SUM(H32:H34)-H35</f>
        <v>262877042.94950217</v>
      </c>
      <c r="I36" s="7"/>
    </row>
    <row r="37" spans="1:10" x14ac:dyDescent="0.25">
      <c r="A37" s="18" t="s">
        <v>13</v>
      </c>
      <c r="B37" s="4">
        <f>A35+90</f>
        <v>167</v>
      </c>
      <c r="E37" s="23"/>
      <c r="F37" s="23"/>
      <c r="G37" s="23"/>
      <c r="H37" s="14"/>
    </row>
    <row r="38" spans="1:10" x14ac:dyDescent="0.25">
      <c r="B38" s="4">
        <f>B37/2</f>
        <v>83.5</v>
      </c>
    </row>
    <row r="39" spans="1:10" x14ac:dyDescent="0.25">
      <c r="E39" s="22"/>
      <c r="F39" s="22"/>
    </row>
    <row r="40" spans="1:10" x14ac:dyDescent="0.25">
      <c r="A40" s="143" t="s">
        <v>186</v>
      </c>
      <c r="B40" s="143"/>
      <c r="C40" s="143"/>
      <c r="D40" s="143"/>
      <c r="E40" s="143"/>
      <c r="F40" s="143"/>
      <c r="G40" s="143"/>
    </row>
    <row r="42" spans="1:10" x14ac:dyDescent="0.25">
      <c r="A42" s="83"/>
      <c r="B42" s="84" t="s">
        <v>187</v>
      </c>
      <c r="C42" s="84" t="s">
        <v>188</v>
      </c>
      <c r="D42" s="84" t="s">
        <v>189</v>
      </c>
      <c r="E42" s="84" t="s">
        <v>190</v>
      </c>
      <c r="F42" s="84" t="s">
        <v>191</v>
      </c>
      <c r="G42" s="84" t="s">
        <v>192</v>
      </c>
      <c r="H42" s="84" t="s">
        <v>193</v>
      </c>
      <c r="I42" s="84" t="s">
        <v>194</v>
      </c>
      <c r="J42" s="84" t="s">
        <v>195</v>
      </c>
    </row>
    <row r="43" spans="1:10" x14ac:dyDescent="0.25">
      <c r="A43" s="84" t="s">
        <v>196</v>
      </c>
      <c r="B43" s="4">
        <v>0</v>
      </c>
      <c r="C43" s="73">
        <v>80500000</v>
      </c>
      <c r="D43" s="3">
        <f>B52/B50</f>
        <v>6.5656565656565654E-3</v>
      </c>
      <c r="E43" s="45">
        <f>B49*B50</f>
        <v>216</v>
      </c>
      <c r="F43" s="74">
        <f>C43*(1+D43*E43)</f>
        <v>194663636.36363634</v>
      </c>
      <c r="G43" s="3">
        <f>($B$52+5%)/$B$50</f>
        <v>1.0732323232323232E-2</v>
      </c>
      <c r="H43" s="4">
        <f>E43-B47</f>
        <v>37</v>
      </c>
      <c r="I43" s="74">
        <f>F43/(1+G43*H43)</f>
        <v>139334478.08404881</v>
      </c>
      <c r="J43" s="4" t="s">
        <v>197</v>
      </c>
    </row>
    <row r="44" spans="1:10" x14ac:dyDescent="0.25">
      <c r="A44" s="84" t="s">
        <v>198</v>
      </c>
      <c r="B44" s="4">
        <v>1</v>
      </c>
      <c r="C44" s="73">
        <v>76000000</v>
      </c>
      <c r="D44" s="3">
        <f>(B52+1%)/B50</f>
        <v>7.3989898989898981E-3</v>
      </c>
      <c r="E44" s="4">
        <v>108</v>
      </c>
      <c r="F44" s="74">
        <f>C44*(1+D44*E44)</f>
        <v>136730909.09090906</v>
      </c>
      <c r="G44" s="3">
        <f>($B$52+5%)/$B$50</f>
        <v>1.0732323232323232E-2</v>
      </c>
      <c r="H44" s="35">
        <f>B47-E44-B44</f>
        <v>70</v>
      </c>
      <c r="I44" s="74">
        <f>F44*(1+G44*H44)</f>
        <v>239451730.94582182</v>
      </c>
      <c r="J44" s="4" t="s">
        <v>195</v>
      </c>
    </row>
    <row r="45" spans="1:10" x14ac:dyDescent="0.25">
      <c r="A45" s="84" t="s">
        <v>199</v>
      </c>
      <c r="B45" s="4">
        <v>3</v>
      </c>
      <c r="C45" s="73">
        <v>33000000</v>
      </c>
      <c r="D45" s="3">
        <f>(B52+2%)/B50</f>
        <v>8.2323232323232316E-3</v>
      </c>
      <c r="E45" s="35">
        <f>E44*1.5</f>
        <v>162</v>
      </c>
      <c r="F45" s="74">
        <f>C45*(1+D45*E45)</f>
        <v>77010000</v>
      </c>
      <c r="G45" s="3">
        <f>($B$52+5%)/$B$50</f>
        <v>1.0732323232323232E-2</v>
      </c>
      <c r="H45" s="35">
        <v>14</v>
      </c>
      <c r="I45" s="74">
        <f>F45*(1+G45*H45)</f>
        <v>88580946.969696969</v>
      </c>
      <c r="J45" s="4" t="s">
        <v>195</v>
      </c>
    </row>
    <row r="46" spans="1:10" x14ac:dyDescent="0.25">
      <c r="A46" s="84" t="s">
        <v>200</v>
      </c>
      <c r="B46" s="4">
        <f>E44-19</f>
        <v>89</v>
      </c>
      <c r="C46" s="73">
        <v>70000000</v>
      </c>
      <c r="D46" s="3"/>
      <c r="E46" s="4"/>
      <c r="F46" s="74">
        <f>C46*(1+D46*E46)</f>
        <v>70000000</v>
      </c>
      <c r="G46" s="3">
        <f>($B$52+5%)/$B$50</f>
        <v>1.0732323232323232E-2</v>
      </c>
      <c r="H46" s="4">
        <f>B47-B46</f>
        <v>90</v>
      </c>
      <c r="I46" s="74">
        <f>F46*(1+G46*H46)</f>
        <v>137613636.36363634</v>
      </c>
      <c r="J46" s="4" t="s">
        <v>195</v>
      </c>
    </row>
    <row r="47" spans="1:10" x14ac:dyDescent="0.25">
      <c r="A47" s="84" t="s">
        <v>201</v>
      </c>
      <c r="B47" s="4">
        <f>B46+90</f>
        <v>179</v>
      </c>
      <c r="C47" s="75" t="s">
        <v>53</v>
      </c>
      <c r="D47" s="3"/>
      <c r="E47" s="4"/>
      <c r="F47" s="4"/>
      <c r="G47" s="84" t="s">
        <v>202</v>
      </c>
      <c r="H47" s="84"/>
      <c r="I47" s="85">
        <f>I43+I44+I45-I46</f>
        <v>329753519.63593125</v>
      </c>
      <c r="J47" s="4"/>
    </row>
    <row r="48" spans="1:10" x14ac:dyDescent="0.25">
      <c r="B48" s="9"/>
      <c r="C48" s="76"/>
      <c r="E48" s="1"/>
    </row>
    <row r="49" spans="1:10" x14ac:dyDescent="0.25">
      <c r="A49" s="81" t="s">
        <v>6</v>
      </c>
      <c r="B49" s="78">
        <v>18</v>
      </c>
      <c r="C49" s="79" t="s">
        <v>11</v>
      </c>
      <c r="J49" s="77"/>
    </row>
    <row r="50" spans="1:10" x14ac:dyDescent="0.25">
      <c r="A50" s="82" t="s">
        <v>203</v>
      </c>
      <c r="B50" s="78">
        <v>12</v>
      </c>
      <c r="C50" s="79" t="s">
        <v>204</v>
      </c>
    </row>
    <row r="51" spans="1:10" x14ac:dyDescent="0.25">
      <c r="A51" s="82" t="s">
        <v>6</v>
      </c>
      <c r="B51" s="78">
        <f>B50*B49</f>
        <v>216</v>
      </c>
      <c r="C51" s="80" t="s">
        <v>53</v>
      </c>
    </row>
    <row r="52" spans="1:10" x14ac:dyDescent="0.25">
      <c r="A52" s="81" t="s">
        <v>177</v>
      </c>
      <c r="B52" s="3">
        <f>(8+5)/165</f>
        <v>7.8787878787878782E-2</v>
      </c>
      <c r="C52" s="4"/>
      <c r="E52" s="1"/>
      <c r="G52" s="9"/>
      <c r="H52" s="76"/>
      <c r="I52" s="1"/>
    </row>
    <row r="53" spans="1:10" x14ac:dyDescent="0.25">
      <c r="A53" s="1"/>
      <c r="B53" s="1"/>
      <c r="E53" s="1"/>
      <c r="G53" s="9"/>
    </row>
  </sheetData>
  <mergeCells count="9">
    <mergeCell ref="A40:G40"/>
    <mergeCell ref="E1:P1"/>
    <mergeCell ref="A6:G6"/>
    <mergeCell ref="D8:E8"/>
    <mergeCell ref="J6:Q6"/>
    <mergeCell ref="A29:G29"/>
    <mergeCell ref="A16:G16"/>
    <mergeCell ref="C24:D24"/>
    <mergeCell ref="A27:D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BA0E-7E09-44D9-88B2-EF36865101C9}">
  <dimension ref="A2:N90"/>
  <sheetViews>
    <sheetView topLeftCell="D3" workbookViewId="0">
      <selection activeCell="G14" sqref="G14"/>
    </sheetView>
  </sheetViews>
  <sheetFormatPr baseColWidth="10" defaultRowHeight="15" x14ac:dyDescent="0.25"/>
  <cols>
    <col min="1" max="1" width="23.28515625" customWidth="1"/>
    <col min="2" max="2" width="19.28515625" customWidth="1"/>
    <col min="3" max="3" width="17.42578125" customWidth="1"/>
    <col min="4" max="4" width="15.5703125" bestFit="1" customWidth="1"/>
    <col min="5" max="5" width="20.5703125" customWidth="1"/>
    <col min="6" max="6" width="17.28515625" bestFit="1" customWidth="1"/>
    <col min="7" max="7" width="21" customWidth="1"/>
    <col min="8" max="8" width="19.7109375" customWidth="1"/>
    <col min="9" max="9" width="24.7109375" customWidth="1"/>
    <col min="11" max="11" width="16.7109375" bestFit="1" customWidth="1"/>
  </cols>
  <sheetData>
    <row r="2" spans="1:14" x14ac:dyDescent="0.25">
      <c r="A2" s="149" t="s">
        <v>205</v>
      </c>
      <c r="B2" s="150"/>
      <c r="C2" s="150"/>
      <c r="F2" s="151" t="s">
        <v>206</v>
      </c>
      <c r="G2" s="152"/>
      <c r="H2" s="152"/>
      <c r="I2" s="152"/>
      <c r="J2" s="152"/>
      <c r="K2" s="152"/>
      <c r="L2" s="152"/>
      <c r="M2" s="153"/>
    </row>
    <row r="3" spans="1:14" x14ac:dyDescent="0.25">
      <c r="F3" s="7"/>
    </row>
    <row r="4" spans="1:14" x14ac:dyDescent="0.25">
      <c r="A4" s="24" t="s">
        <v>0</v>
      </c>
      <c r="B4" s="3">
        <f>13/230</f>
        <v>5.6521739130434782E-2</v>
      </c>
      <c r="C4" s="4"/>
    </row>
    <row r="5" spans="1:14" ht="47.25" x14ac:dyDescent="0.25">
      <c r="A5" s="24" t="s">
        <v>1</v>
      </c>
      <c r="B5" s="4">
        <v>16</v>
      </c>
      <c r="C5" s="4"/>
      <c r="H5" s="12">
        <v>80000</v>
      </c>
      <c r="I5" s="12"/>
      <c r="J5" s="12"/>
      <c r="K5" s="12">
        <v>80000</v>
      </c>
      <c r="L5" s="12"/>
      <c r="M5" s="12">
        <v>80000</v>
      </c>
    </row>
    <row r="6" spans="1:14" x14ac:dyDescent="0.25">
      <c r="A6" s="24" t="s">
        <v>2</v>
      </c>
      <c r="B6" s="4">
        <v>6</v>
      </c>
      <c r="C6" s="5" t="s">
        <v>3</v>
      </c>
      <c r="E6" s="8"/>
    </row>
    <row r="7" spans="1:14" ht="47.25" x14ac:dyDescent="0.25">
      <c r="F7" s="11">
        <v>50000</v>
      </c>
      <c r="G7" s="11">
        <v>50000</v>
      </c>
      <c r="H7" s="11">
        <v>50000</v>
      </c>
      <c r="I7" s="11">
        <v>50000</v>
      </c>
    </row>
    <row r="8" spans="1:14" x14ac:dyDescent="0.25">
      <c r="A8" s="24" t="s">
        <v>5</v>
      </c>
      <c r="B8" s="26">
        <v>7200000</v>
      </c>
    </row>
    <row r="9" spans="1:14" x14ac:dyDescent="0.25">
      <c r="A9" s="24" t="s">
        <v>6</v>
      </c>
      <c r="B9" s="4">
        <v>16</v>
      </c>
      <c r="C9" s="4">
        <f>B9*B12</f>
        <v>96</v>
      </c>
    </row>
    <row r="10" spans="1:14" x14ac:dyDescent="0.25">
      <c r="A10" s="25"/>
      <c r="B10" s="5" t="s">
        <v>23</v>
      </c>
      <c r="C10" s="5" t="s">
        <v>22</v>
      </c>
      <c r="E10">
        <v>0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</row>
    <row r="11" spans="1:14" x14ac:dyDescent="0.25">
      <c r="A11" s="24" t="s">
        <v>7</v>
      </c>
      <c r="B11" s="27">
        <v>20750000</v>
      </c>
    </row>
    <row r="12" spans="1:14" ht="42.75" x14ac:dyDescent="0.25">
      <c r="A12" s="24" t="s">
        <v>8</v>
      </c>
      <c r="B12" s="4">
        <v>6</v>
      </c>
      <c r="K12" s="13">
        <v>20000</v>
      </c>
      <c r="N12" s="13">
        <v>20000</v>
      </c>
    </row>
    <row r="13" spans="1:14" x14ac:dyDescent="0.25">
      <c r="A13" s="24" t="s">
        <v>9</v>
      </c>
      <c r="B13" s="4">
        <f>(B11/B8)^(1/C9)-1</f>
        <v>1.1086686192419259E-2</v>
      </c>
      <c r="C13" s="29">
        <f>B13</f>
        <v>1.1086686192419259E-2</v>
      </c>
    </row>
    <row r="14" spans="1:14" ht="48" x14ac:dyDescent="0.25">
      <c r="I14" s="13">
        <v>100000</v>
      </c>
      <c r="M14" s="13">
        <v>100000</v>
      </c>
    </row>
    <row r="15" spans="1:14" x14ac:dyDescent="0.25">
      <c r="A15" s="143" t="s">
        <v>207</v>
      </c>
      <c r="B15" s="154"/>
      <c r="C15" s="154"/>
      <c r="I15" s="13"/>
      <c r="M15" s="13"/>
    </row>
    <row r="16" spans="1:14" x14ac:dyDescent="0.25">
      <c r="I16" s="13"/>
      <c r="M16" s="13"/>
    </row>
    <row r="17" spans="1:13" x14ac:dyDescent="0.25">
      <c r="A17" s="91" t="s">
        <v>183</v>
      </c>
      <c r="B17" s="86" t="s">
        <v>177</v>
      </c>
      <c r="C17" s="88">
        <f>(8+5)/165</f>
        <v>7.8787878787878782E-2</v>
      </c>
      <c r="D17" s="87">
        <f>C17/C19</f>
        <v>6.5656565656565654E-3</v>
      </c>
      <c r="E17" s="86" t="s">
        <v>53</v>
      </c>
      <c r="I17" s="13"/>
      <c r="M17" s="13"/>
    </row>
    <row r="18" spans="1:13" x14ac:dyDescent="0.25">
      <c r="A18" s="91" t="s">
        <v>182</v>
      </c>
      <c r="B18" s="86" t="s">
        <v>6</v>
      </c>
      <c r="C18" s="86">
        <v>18</v>
      </c>
      <c r="D18" s="86">
        <f>C18*C19</f>
        <v>216</v>
      </c>
      <c r="E18" s="86" t="s">
        <v>53</v>
      </c>
      <c r="I18" s="13"/>
      <c r="M18" s="13"/>
    </row>
    <row r="19" spans="1:13" x14ac:dyDescent="0.25">
      <c r="A19" s="91" t="s">
        <v>208</v>
      </c>
      <c r="B19" s="86" t="s">
        <v>180</v>
      </c>
      <c r="C19" s="86">
        <v>12</v>
      </c>
      <c r="D19" s="86"/>
      <c r="E19" s="86"/>
      <c r="I19" s="13"/>
      <c r="M19" s="13"/>
    </row>
    <row r="20" spans="1:13" x14ac:dyDescent="0.25">
      <c r="I20" s="13"/>
      <c r="M20" s="13"/>
    </row>
    <row r="21" spans="1:13" x14ac:dyDescent="0.25">
      <c r="A21" s="90" t="s">
        <v>179</v>
      </c>
      <c r="B21" s="89">
        <v>7200000</v>
      </c>
      <c r="I21" s="13"/>
      <c r="M21" s="13"/>
    </row>
    <row r="22" spans="1:13" x14ac:dyDescent="0.25">
      <c r="A22" s="90" t="s">
        <v>178</v>
      </c>
      <c r="B22" s="89">
        <v>20750000</v>
      </c>
      <c r="I22" s="13"/>
      <c r="M22" s="13"/>
    </row>
    <row r="23" spans="1:13" x14ac:dyDescent="0.25">
      <c r="A23" s="90" t="s">
        <v>177</v>
      </c>
      <c r="B23" s="87">
        <f>(B22/B21)^(1/B25)-1</f>
        <v>4.9123280629048693E-3</v>
      </c>
      <c r="I23" s="13"/>
      <c r="M23" s="13"/>
    </row>
    <row r="24" spans="1:13" x14ac:dyDescent="0.25">
      <c r="A24" s="90" t="s">
        <v>175</v>
      </c>
      <c r="B24" s="5">
        <v>18</v>
      </c>
      <c r="I24" s="13"/>
      <c r="M24" s="13"/>
    </row>
    <row r="25" spans="1:13" x14ac:dyDescent="0.25">
      <c r="A25" s="92" t="s">
        <v>174</v>
      </c>
      <c r="B25" s="70">
        <f>B24*12</f>
        <v>216</v>
      </c>
      <c r="I25" s="13"/>
      <c r="M25" s="13"/>
    </row>
    <row r="26" spans="1:13" x14ac:dyDescent="0.25">
      <c r="A26" s="155" t="s">
        <v>209</v>
      </c>
      <c r="B26" s="155"/>
      <c r="C26" s="155"/>
      <c r="D26" s="155"/>
      <c r="E26" s="155"/>
      <c r="I26" s="13"/>
      <c r="M26" s="13"/>
    </row>
    <row r="27" spans="1:13" x14ac:dyDescent="0.25">
      <c r="I27" s="13"/>
      <c r="M27" s="13"/>
    </row>
    <row r="28" spans="1:13" x14ac:dyDescent="0.25">
      <c r="A28" s="149" t="s">
        <v>210</v>
      </c>
      <c r="B28" s="149"/>
      <c r="C28" s="149"/>
      <c r="D28" s="149"/>
      <c r="E28" s="149"/>
      <c r="F28" s="149"/>
      <c r="G28" s="149"/>
    </row>
    <row r="30" spans="1:13" x14ac:dyDescent="0.25">
      <c r="A30" s="28" t="s">
        <v>14</v>
      </c>
      <c r="B30" s="28" t="s">
        <v>12</v>
      </c>
      <c r="C30" s="28" t="s">
        <v>26</v>
      </c>
      <c r="D30" s="28" t="s">
        <v>17</v>
      </c>
      <c r="E30" s="28" t="s">
        <v>18</v>
      </c>
      <c r="F30" s="28" t="s">
        <v>27</v>
      </c>
      <c r="G30" s="28" t="s">
        <v>20</v>
      </c>
      <c r="H30" s="28" t="s">
        <v>21</v>
      </c>
      <c r="I30" s="14"/>
      <c r="K30" s="23"/>
      <c r="L30" s="30"/>
    </row>
    <row r="31" spans="1:13" x14ac:dyDescent="0.25">
      <c r="A31" s="31">
        <v>0</v>
      </c>
      <c r="B31" s="19">
        <v>80500000</v>
      </c>
      <c r="C31" s="15">
        <f>B39/(6)</f>
        <v>9.4202898550724643E-3</v>
      </c>
      <c r="D31" s="20">
        <f>B40*6</f>
        <v>96</v>
      </c>
      <c r="E31" s="44">
        <f>B31*(1+C31)^D31</f>
        <v>198020778.03625762</v>
      </c>
      <c r="F31" s="15">
        <f>C34</f>
        <v>1.7753623188405798E-2</v>
      </c>
      <c r="G31" s="5">
        <f>D31-B37</f>
        <v>12.5</v>
      </c>
      <c r="H31" s="21">
        <f>E31/(1+F31)^G31</f>
        <v>158919631.13222086</v>
      </c>
      <c r="I31" s="33" t="s">
        <v>24</v>
      </c>
      <c r="K31" s="23"/>
    </row>
    <row r="32" spans="1:13" x14ac:dyDescent="0.25">
      <c r="A32" s="31">
        <v>1</v>
      </c>
      <c r="B32" s="19">
        <v>76000000</v>
      </c>
      <c r="C32" s="15">
        <f>C31+1%/(6)</f>
        <v>1.1086956521739131E-2</v>
      </c>
      <c r="D32" s="4">
        <f>D31/2</f>
        <v>48</v>
      </c>
      <c r="E32" s="44">
        <f t="shared" ref="E32:E34" si="0">B32*(1+C32)^D32</f>
        <v>129021464.77675427</v>
      </c>
      <c r="F32" s="15">
        <f>F31</f>
        <v>1.7753623188405798E-2</v>
      </c>
      <c r="G32" s="5">
        <f>B37-D32-0.5</f>
        <v>35</v>
      </c>
      <c r="H32" s="21">
        <f>E32*(1+F32)^G32</f>
        <v>238866346.98970482</v>
      </c>
      <c r="I32" s="33" t="s">
        <v>25</v>
      </c>
      <c r="K32" s="23"/>
      <c r="M32" s="10"/>
    </row>
    <row r="33" spans="1:9" x14ac:dyDescent="0.25">
      <c r="A33" s="31">
        <v>3</v>
      </c>
      <c r="B33" s="19">
        <v>33000000</v>
      </c>
      <c r="C33" s="15">
        <f>C31+2%/(6)</f>
        <v>1.2753623188405798E-2</v>
      </c>
      <c r="D33" s="4">
        <f>D32*1.5</f>
        <v>72</v>
      </c>
      <c r="E33" s="44">
        <f t="shared" si="0"/>
        <v>82184126.044995472</v>
      </c>
      <c r="F33" s="15">
        <f>F32</f>
        <v>1.7753623188405798E-2</v>
      </c>
      <c r="G33" s="5">
        <f>B37-D33-(A33/2)</f>
        <v>10</v>
      </c>
      <c r="H33" s="21">
        <f>E33*(1+F33)^G33</f>
        <v>97997390.771538034</v>
      </c>
      <c r="I33" s="7"/>
    </row>
    <row r="34" spans="1:9" x14ac:dyDescent="0.25">
      <c r="A34" s="31">
        <f>D31-19</f>
        <v>77</v>
      </c>
      <c r="B34" s="19">
        <v>70000000</v>
      </c>
      <c r="C34" s="15">
        <f>C31+5%/(6)</f>
        <v>1.7753623188405798E-2</v>
      </c>
      <c r="D34" s="20"/>
      <c r="E34" s="44">
        <f t="shared" si="0"/>
        <v>70000000</v>
      </c>
      <c r="F34" s="15">
        <f>F33</f>
        <v>1.7753623188405798E-2</v>
      </c>
      <c r="G34" s="5">
        <f>90/2</f>
        <v>45</v>
      </c>
      <c r="H34" s="21">
        <f>E34*(1+F34)^G34</f>
        <v>154531710.26883611</v>
      </c>
      <c r="I34" s="7"/>
    </row>
    <row r="35" spans="1:9" x14ac:dyDescent="0.25">
      <c r="C35" s="14"/>
      <c r="G35" s="40" t="s">
        <v>15</v>
      </c>
      <c r="H35" s="41">
        <f>SUM(H31:H33)-H34</f>
        <v>341251658.62462759</v>
      </c>
      <c r="I35" s="7"/>
    </row>
    <row r="36" spans="1:9" x14ac:dyDescent="0.25">
      <c r="A36" s="24" t="s">
        <v>13</v>
      </c>
      <c r="B36" s="4">
        <f>A34+90</f>
        <v>167</v>
      </c>
      <c r="E36" s="23"/>
      <c r="F36" s="23"/>
      <c r="G36" s="23"/>
      <c r="H36" s="14"/>
    </row>
    <row r="37" spans="1:9" x14ac:dyDescent="0.25">
      <c r="B37" s="4">
        <f>B36/2</f>
        <v>83.5</v>
      </c>
    </row>
    <row r="39" spans="1:9" x14ac:dyDescent="0.25">
      <c r="A39" s="24" t="s">
        <v>0</v>
      </c>
      <c r="B39" s="3">
        <f>13/230</f>
        <v>5.6521739130434782E-2</v>
      </c>
      <c r="C39" s="4"/>
    </row>
    <row r="40" spans="1:9" x14ac:dyDescent="0.25">
      <c r="A40" s="24" t="s">
        <v>1</v>
      </c>
      <c r="B40" s="4">
        <v>16</v>
      </c>
      <c r="C40" s="4"/>
    </row>
    <row r="41" spans="1:9" x14ac:dyDescent="0.25">
      <c r="A41" s="24" t="s">
        <v>2</v>
      </c>
      <c r="B41" s="4">
        <v>6</v>
      </c>
      <c r="C41" s="5" t="s">
        <v>3</v>
      </c>
      <c r="F41" s="34"/>
      <c r="H41" s="34"/>
    </row>
    <row r="43" spans="1:9" x14ac:dyDescent="0.25">
      <c r="A43" s="143" t="s">
        <v>211</v>
      </c>
      <c r="B43" s="143"/>
      <c r="C43" s="143"/>
      <c r="D43" s="143"/>
      <c r="E43" s="143"/>
      <c r="F43" s="143"/>
      <c r="G43" s="143"/>
    </row>
    <row r="45" spans="1:9" x14ac:dyDescent="0.25">
      <c r="A45" s="83"/>
      <c r="B45" s="96" t="s">
        <v>187</v>
      </c>
      <c r="C45" s="96" t="s">
        <v>188</v>
      </c>
      <c r="D45" s="96" t="s">
        <v>189</v>
      </c>
      <c r="E45" s="96" t="s">
        <v>190</v>
      </c>
      <c r="F45" s="96" t="s">
        <v>191</v>
      </c>
      <c r="G45" s="96" t="s">
        <v>192</v>
      </c>
      <c r="H45" s="96" t="s">
        <v>193</v>
      </c>
      <c r="I45" s="96" t="s">
        <v>194</v>
      </c>
    </row>
    <row r="46" spans="1:9" x14ac:dyDescent="0.25">
      <c r="A46" s="96" t="s">
        <v>196</v>
      </c>
      <c r="B46" s="4">
        <v>0</v>
      </c>
      <c r="C46" s="73">
        <v>80500000</v>
      </c>
      <c r="D46" s="88">
        <f>$B$55/$B$53</f>
        <v>6.5656565656565654E-3</v>
      </c>
      <c r="E46" s="4">
        <f>B52*12</f>
        <v>216</v>
      </c>
      <c r="F46" s="93">
        <f>C46*(1+D46)^E46</f>
        <v>330895836.88300961</v>
      </c>
      <c r="G46" s="88">
        <f>($B$55+5%)/$B$53</f>
        <v>1.0732323232323232E-2</v>
      </c>
      <c r="H46" s="4">
        <f>E46-B50</f>
        <v>37</v>
      </c>
      <c r="I46" s="93">
        <f>C46*(1+D46)^E46/(1+G46)^H46</f>
        <v>222922333.52243137</v>
      </c>
    </row>
    <row r="47" spans="1:9" x14ac:dyDescent="0.25">
      <c r="A47" s="96" t="s">
        <v>198</v>
      </c>
      <c r="B47" s="4">
        <v>1</v>
      </c>
      <c r="C47" s="73">
        <v>76000000</v>
      </c>
      <c r="D47" s="88">
        <f>(B55+1%)/B53</f>
        <v>7.3989898989898981E-3</v>
      </c>
      <c r="E47" s="4">
        <v>108</v>
      </c>
      <c r="F47" s="93">
        <f>C47*(1+D47)^E47</f>
        <v>168491030.72254077</v>
      </c>
      <c r="G47" s="88">
        <f>($B$55+5%)/$B$53</f>
        <v>1.0732323232323232E-2</v>
      </c>
      <c r="H47" s="35">
        <f>B50-E47-B47</f>
        <v>70</v>
      </c>
      <c r="I47" s="93">
        <f>C47*(1+D47)^E47*(1+G47)^H47</f>
        <v>355719451.22227311</v>
      </c>
    </row>
    <row r="48" spans="1:9" x14ac:dyDescent="0.25">
      <c r="A48" s="96" t="s">
        <v>199</v>
      </c>
      <c r="B48" s="4">
        <v>3</v>
      </c>
      <c r="C48" s="73">
        <v>33000000</v>
      </c>
      <c r="D48" s="88">
        <f>(B55+2%)/B53</f>
        <v>8.2323232323232316E-3</v>
      </c>
      <c r="E48" s="35">
        <f>E47*1.5</f>
        <v>162</v>
      </c>
      <c r="F48" s="93">
        <f>C48*(1+D48)^E48</f>
        <v>124547155.70189594</v>
      </c>
      <c r="G48" s="88">
        <f>($B$55+5%)/$B$53</f>
        <v>1.0732323232323232E-2</v>
      </c>
      <c r="H48" s="35">
        <f>B50-E48-B48</f>
        <v>14</v>
      </c>
      <c r="I48" s="93">
        <f>C48*(1+D48)^E48*(1+G48)^H48</f>
        <v>144623870.20111811</v>
      </c>
    </row>
    <row r="49" spans="1:9" x14ac:dyDescent="0.25">
      <c r="A49" s="96" t="s">
        <v>200</v>
      </c>
      <c r="B49" s="4">
        <f>E47-19</f>
        <v>89</v>
      </c>
      <c r="C49" s="73">
        <v>70000000</v>
      </c>
      <c r="D49" s="3"/>
      <c r="E49" s="4"/>
      <c r="F49" s="93">
        <f>C49*(1+D49)^E49</f>
        <v>70000000</v>
      </c>
      <c r="G49" s="88">
        <f>($B$55+5%)/$B$53</f>
        <v>1.0732323232323232E-2</v>
      </c>
      <c r="H49" s="4">
        <f>B50-B49</f>
        <v>90</v>
      </c>
      <c r="I49" s="93">
        <f>C49*(1+D49)^E49*(1+G49)^H49</f>
        <v>182958234.14186072</v>
      </c>
    </row>
    <row r="50" spans="1:9" x14ac:dyDescent="0.25">
      <c r="A50" s="96" t="s">
        <v>201</v>
      </c>
      <c r="B50" s="4">
        <f>B49+90</f>
        <v>179</v>
      </c>
      <c r="C50" s="75" t="s">
        <v>53</v>
      </c>
      <c r="D50" s="3"/>
      <c r="E50" s="4"/>
      <c r="F50" s="4"/>
      <c r="G50" s="96" t="s">
        <v>202</v>
      </c>
      <c r="H50" s="96"/>
      <c r="I50" s="97">
        <f>I46+I47+I48-I49</f>
        <v>540307420.80396187</v>
      </c>
    </row>
    <row r="51" spans="1:9" x14ac:dyDescent="0.25">
      <c r="A51" s="94"/>
      <c r="C51" s="94"/>
      <c r="D51" s="94"/>
      <c r="E51" s="95"/>
      <c r="F51" s="95"/>
      <c r="I51" s="94"/>
    </row>
    <row r="52" spans="1:9" x14ac:dyDescent="0.25">
      <c r="A52" s="98" t="s">
        <v>6</v>
      </c>
      <c r="B52" s="78">
        <v>18</v>
      </c>
      <c r="C52" s="79" t="s">
        <v>11</v>
      </c>
      <c r="D52" s="94"/>
      <c r="E52" s="95"/>
      <c r="F52" s="95"/>
      <c r="I52" s="94"/>
    </row>
    <row r="53" spans="1:9" x14ac:dyDescent="0.25">
      <c r="A53" s="99" t="s">
        <v>203</v>
      </c>
      <c r="B53" s="78">
        <v>12</v>
      </c>
      <c r="C53" s="79" t="s">
        <v>204</v>
      </c>
      <c r="D53" s="94"/>
      <c r="E53" s="95"/>
      <c r="F53" s="95"/>
      <c r="I53" s="94"/>
    </row>
    <row r="54" spans="1:9" x14ac:dyDescent="0.25">
      <c r="A54" s="99" t="s">
        <v>6</v>
      </c>
      <c r="B54" s="78">
        <f>B53*B52</f>
        <v>216</v>
      </c>
      <c r="C54" s="80" t="s">
        <v>53</v>
      </c>
      <c r="D54" s="94"/>
      <c r="E54" s="95"/>
      <c r="F54" s="95"/>
      <c r="I54" s="94"/>
    </row>
    <row r="55" spans="1:9" x14ac:dyDescent="0.25">
      <c r="A55" s="98" t="s">
        <v>177</v>
      </c>
      <c r="B55" s="88">
        <f>(8+5)/165</f>
        <v>7.8787878787878782E-2</v>
      </c>
      <c r="C55" s="4"/>
      <c r="D55" s="94"/>
      <c r="E55" s="95"/>
      <c r="F55" s="95"/>
      <c r="I55" s="94"/>
    </row>
    <row r="57" spans="1:9" x14ac:dyDescent="0.25">
      <c r="A57" s="149" t="s">
        <v>212</v>
      </c>
      <c r="B57" s="149"/>
      <c r="C57" s="149"/>
      <c r="D57" s="149"/>
      <c r="E57" s="149"/>
      <c r="F57" s="149"/>
      <c r="G57" s="149"/>
    </row>
    <row r="59" spans="1:9" x14ac:dyDescent="0.25">
      <c r="A59" s="28" t="s">
        <v>14</v>
      </c>
      <c r="B59" s="28" t="s">
        <v>12</v>
      </c>
      <c r="C59" s="28" t="s">
        <v>16</v>
      </c>
      <c r="D59" s="28" t="s">
        <v>17</v>
      </c>
      <c r="E59" s="28" t="s">
        <v>18</v>
      </c>
      <c r="F59" s="28" t="s">
        <v>19</v>
      </c>
      <c r="G59" s="28" t="s">
        <v>20</v>
      </c>
      <c r="H59" s="28" t="s">
        <v>21</v>
      </c>
    </row>
    <row r="60" spans="1:9" x14ac:dyDescent="0.25">
      <c r="A60" s="31">
        <v>0</v>
      </c>
      <c r="B60" s="19">
        <v>45000000</v>
      </c>
      <c r="C60" s="15">
        <f>(B68+20%)/(12)</f>
        <v>2.1376811594202901E-2</v>
      </c>
      <c r="D60" s="38">
        <f>11</f>
        <v>11</v>
      </c>
      <c r="E60" s="44">
        <f>B60*(1+C60)^D60</f>
        <v>56788244.779583901</v>
      </c>
      <c r="F60" s="15">
        <f>C63</f>
        <v>0.11333333333333334</v>
      </c>
      <c r="G60" s="39">
        <f>B66-((A60/4)+(D60/4))</f>
        <v>4</v>
      </c>
      <c r="H60" s="21">
        <f>E60*(1+F60)^G60</f>
        <v>87248766.154287025</v>
      </c>
    </row>
    <row r="61" spans="1:9" x14ac:dyDescent="0.25">
      <c r="A61" s="31">
        <v>2</v>
      </c>
      <c r="B61" s="19">
        <v>30000000</v>
      </c>
      <c r="C61" s="15">
        <f>((B68/6)+2.2%)</f>
        <v>3.1420289855072468E-2</v>
      </c>
      <c r="D61" s="35">
        <f>G70*6</f>
        <v>96</v>
      </c>
      <c r="E61" s="44">
        <f t="shared" ref="E61:E63" si="1">B61*(1+C61)^D61</f>
        <v>584716867.19973516</v>
      </c>
      <c r="F61" s="15">
        <f>F60</f>
        <v>0.11333333333333334</v>
      </c>
      <c r="G61" s="39">
        <f>(D61/2)-B66+(A61/4)</f>
        <v>41.75</v>
      </c>
      <c r="H61" s="21">
        <f>E61/(1+F61)^G61</f>
        <v>6612154.87164573</v>
      </c>
    </row>
    <row r="62" spans="1:9" x14ac:dyDescent="0.25">
      <c r="A62" s="31">
        <v>3</v>
      </c>
      <c r="B62" s="19">
        <v>50000000</v>
      </c>
      <c r="C62" s="15">
        <f>23%/(4)</f>
        <v>5.7500000000000002E-2</v>
      </c>
      <c r="D62" s="36">
        <f>D60*2/(3)</f>
        <v>7.333333333333333</v>
      </c>
      <c r="E62" s="44">
        <f t="shared" si="1"/>
        <v>75340083.178802922</v>
      </c>
      <c r="F62" s="15">
        <f>F61</f>
        <v>0.11333333333333334</v>
      </c>
      <c r="G62" s="39">
        <f>B66-(D62*3)/4-(A62/4)</f>
        <v>0.5</v>
      </c>
      <c r="H62" s="21">
        <f>E62*(1+F62)^G62</f>
        <v>79494796.403117001</v>
      </c>
    </row>
    <row r="63" spans="1:9" x14ac:dyDescent="0.25">
      <c r="A63" s="37">
        <f>D60+5</f>
        <v>16</v>
      </c>
      <c r="B63" s="19">
        <v>55000000</v>
      </c>
      <c r="C63" s="15">
        <f>34%/(3)</f>
        <v>0.11333333333333334</v>
      </c>
      <c r="D63" s="20"/>
      <c r="E63" s="44">
        <f t="shared" si="1"/>
        <v>55000000</v>
      </c>
      <c r="F63" s="15">
        <f>F62</f>
        <v>0.11333333333333334</v>
      </c>
      <c r="G63" s="5">
        <f>B66-(A63/4)</f>
        <v>2.75</v>
      </c>
      <c r="H63" s="21">
        <f>E63*(1+F63)^G63</f>
        <v>73889380.051704586</v>
      </c>
    </row>
    <row r="64" spans="1:9" x14ac:dyDescent="0.25">
      <c r="C64" s="14"/>
      <c r="G64" s="40" t="s">
        <v>15</v>
      </c>
      <c r="H64" s="41">
        <f>SUM(H60:H62)-H63</f>
        <v>99466337.377345175</v>
      </c>
    </row>
    <row r="65" spans="1:11" x14ac:dyDescent="0.25">
      <c r="A65" s="24" t="s">
        <v>13</v>
      </c>
      <c r="B65" s="35">
        <f>A63+11</f>
        <v>27</v>
      </c>
    </row>
    <row r="66" spans="1:11" x14ac:dyDescent="0.25">
      <c r="B66" s="45">
        <f>B65/4</f>
        <v>6.75</v>
      </c>
      <c r="C66" s="5" t="s">
        <v>28</v>
      </c>
      <c r="E66" s="149" t="s">
        <v>29</v>
      </c>
      <c r="F66" s="149"/>
      <c r="G66" s="149"/>
      <c r="H66" s="149"/>
    </row>
    <row r="67" spans="1:11" x14ac:dyDescent="0.25">
      <c r="E67" s="23" t="s">
        <v>30</v>
      </c>
      <c r="F67">
        <f>16*2</f>
        <v>32</v>
      </c>
    </row>
    <row r="68" spans="1:11" x14ac:dyDescent="0.25">
      <c r="A68" s="24" t="s">
        <v>0</v>
      </c>
      <c r="B68" s="3">
        <f>13/230</f>
        <v>5.6521739130434782E-2</v>
      </c>
    </row>
    <row r="69" spans="1:11" x14ac:dyDescent="0.25">
      <c r="A69" s="24" t="s">
        <v>1</v>
      </c>
      <c r="B69" s="4">
        <v>16</v>
      </c>
      <c r="E69" s="42" t="s">
        <v>31</v>
      </c>
      <c r="F69">
        <v>12</v>
      </c>
      <c r="G69">
        <v>6</v>
      </c>
    </row>
    <row r="70" spans="1:11" x14ac:dyDescent="0.25">
      <c r="A70" s="23"/>
      <c r="C70" s="10"/>
      <c r="F70">
        <f>F67</f>
        <v>32</v>
      </c>
      <c r="G70" s="43">
        <f>(F70*G69)/F69</f>
        <v>16</v>
      </c>
    </row>
    <row r="72" spans="1:11" x14ac:dyDescent="0.25">
      <c r="E72" s="25" t="s">
        <v>32</v>
      </c>
      <c r="F72">
        <v>12</v>
      </c>
      <c r="G72">
        <v>3</v>
      </c>
    </row>
    <row r="73" spans="1:11" x14ac:dyDescent="0.25">
      <c r="F73">
        <f>F67</f>
        <v>32</v>
      </c>
      <c r="G73" s="43">
        <f>(F73*G72)/F72</f>
        <v>8</v>
      </c>
    </row>
    <row r="75" spans="1:11" x14ac:dyDescent="0.25">
      <c r="E75" s="25" t="s">
        <v>32</v>
      </c>
      <c r="F75">
        <v>12</v>
      </c>
      <c r="G75">
        <v>3</v>
      </c>
    </row>
    <row r="76" spans="1:11" x14ac:dyDescent="0.25">
      <c r="F76">
        <v>16</v>
      </c>
      <c r="G76" s="43">
        <f>(F76*G75)/F75</f>
        <v>4</v>
      </c>
    </row>
    <row r="78" spans="1:11" x14ac:dyDescent="0.25">
      <c r="A78" s="143" t="s">
        <v>213</v>
      </c>
      <c r="B78" s="143"/>
      <c r="C78" s="143"/>
      <c r="D78" s="143"/>
      <c r="E78" s="143"/>
      <c r="F78" s="143"/>
      <c r="G78" s="143"/>
    </row>
    <row r="80" spans="1:11" x14ac:dyDescent="0.25">
      <c r="A80" s="83"/>
      <c r="B80" s="84" t="s">
        <v>187</v>
      </c>
      <c r="C80" s="84" t="s">
        <v>188</v>
      </c>
      <c r="D80" s="84" t="s">
        <v>214</v>
      </c>
      <c r="E80" s="84" t="s">
        <v>189</v>
      </c>
      <c r="F80" s="84" t="s">
        <v>181</v>
      </c>
      <c r="G80" s="84" t="s">
        <v>190</v>
      </c>
      <c r="H80" s="84" t="s">
        <v>191</v>
      </c>
      <c r="I80" s="84" t="s">
        <v>192</v>
      </c>
      <c r="J80" s="84" t="s">
        <v>193</v>
      </c>
      <c r="K80" s="84" t="s">
        <v>194</v>
      </c>
    </row>
    <row r="81" spans="1:11" x14ac:dyDescent="0.25">
      <c r="A81" s="84" t="s">
        <v>196</v>
      </c>
      <c r="B81" s="4">
        <v>0</v>
      </c>
      <c r="C81" s="73">
        <v>45000000</v>
      </c>
      <c r="D81" s="3">
        <f>B90+20%</f>
        <v>0.27878787878787881</v>
      </c>
      <c r="E81" s="3">
        <f>D81/12</f>
        <v>2.3232323232323233E-2</v>
      </c>
      <c r="F81" s="20" t="s">
        <v>204</v>
      </c>
      <c r="G81" s="4">
        <v>11</v>
      </c>
      <c r="H81" s="74">
        <f>C81*(1+E81)^G81</f>
        <v>57933434.017363496</v>
      </c>
      <c r="I81" s="3">
        <f>$D$84/3</f>
        <v>0.11333333333333334</v>
      </c>
      <c r="J81" s="4">
        <f>B85-(G81/4)</f>
        <v>4</v>
      </c>
      <c r="K81" s="74">
        <f>C81*(1+E81)^G81*(1+I81)^J81</f>
        <v>89008220.921682119</v>
      </c>
    </row>
    <row r="82" spans="1:11" x14ac:dyDescent="0.25">
      <c r="A82" s="84" t="s">
        <v>198</v>
      </c>
      <c r="B82" s="4">
        <v>2</v>
      </c>
      <c r="C82" s="73">
        <v>30000000</v>
      </c>
      <c r="D82" s="3">
        <f>((B90/6)+2.2%)</f>
        <v>3.5131313131313131E-2</v>
      </c>
      <c r="E82" s="3">
        <f>D82</f>
        <v>3.5131313131313131E-2</v>
      </c>
      <c r="F82" s="20" t="s">
        <v>215</v>
      </c>
      <c r="G82" s="4">
        <f>18*12/2</f>
        <v>108</v>
      </c>
      <c r="H82" s="74">
        <f>C82*(1+E82)^G82</f>
        <v>1249192770.1116581</v>
      </c>
      <c r="I82" s="3">
        <f>$D$84/3</f>
        <v>0.11333333333333334</v>
      </c>
      <c r="J82" s="45">
        <f>(G82/2)-B85+(B82/4)</f>
        <v>47.75</v>
      </c>
      <c r="K82" s="74">
        <f>C82*(1+E82)^G82/(1+I82)^J82</f>
        <v>7417807.9423523918</v>
      </c>
    </row>
    <row r="83" spans="1:11" x14ac:dyDescent="0.25">
      <c r="A83" s="84" t="s">
        <v>199</v>
      </c>
      <c r="B83" s="4">
        <v>3</v>
      </c>
      <c r="C83" s="73">
        <v>50000000</v>
      </c>
      <c r="D83" s="3">
        <v>0.23</v>
      </c>
      <c r="E83" s="3">
        <f>D83/4</f>
        <v>5.7500000000000002E-2</v>
      </c>
      <c r="F83" s="20" t="s">
        <v>216</v>
      </c>
      <c r="G83" s="45">
        <f>(G81*2)/3</f>
        <v>7.333333333333333</v>
      </c>
      <c r="H83" s="74">
        <f>C83*(1+E83)^G83</f>
        <v>75340083.178802922</v>
      </c>
      <c r="I83" s="3">
        <f>$D$84/3</f>
        <v>0.11333333333333334</v>
      </c>
      <c r="J83" s="45">
        <f>B85-(G83*3)/4-(B83/4)</f>
        <v>0.5</v>
      </c>
      <c r="K83" s="74">
        <f>C83*(1+E83)^G83*(1+I83)^J83</f>
        <v>79494796.403117001</v>
      </c>
    </row>
    <row r="84" spans="1:11" x14ac:dyDescent="0.25">
      <c r="A84" s="84" t="s">
        <v>200</v>
      </c>
      <c r="B84" s="4">
        <f>G81+5</f>
        <v>16</v>
      </c>
      <c r="C84" s="73">
        <v>55000000</v>
      </c>
      <c r="D84" s="3">
        <v>0.34</v>
      </c>
      <c r="E84" s="3"/>
      <c r="F84" s="20"/>
      <c r="G84" s="4"/>
      <c r="H84" s="74">
        <f>C84*(1+E84)^G84</f>
        <v>55000000</v>
      </c>
      <c r="I84" s="3">
        <f>$D$84/3</f>
        <v>0.11333333333333334</v>
      </c>
      <c r="J84" s="4">
        <f>B85-(B84/4)</f>
        <v>2.75</v>
      </c>
      <c r="K84" s="74">
        <f>C84*(1+E84)^G84*(1+I84)^J84</f>
        <v>73889380.051704586</v>
      </c>
    </row>
    <row r="85" spans="1:11" x14ac:dyDescent="0.25">
      <c r="A85" s="84" t="s">
        <v>201</v>
      </c>
      <c r="B85" s="4">
        <f>(B84+11)/4</f>
        <v>6.75</v>
      </c>
      <c r="C85" s="75" t="s">
        <v>217</v>
      </c>
      <c r="D85" s="75"/>
      <c r="E85" s="3"/>
      <c r="F85" s="3"/>
      <c r="G85" s="4"/>
      <c r="H85" s="4"/>
      <c r="I85" s="84" t="s">
        <v>202</v>
      </c>
      <c r="J85" s="84"/>
      <c r="K85" s="85">
        <f>K81+K82+K83-K84</f>
        <v>102031445.21544692</v>
      </c>
    </row>
    <row r="87" spans="1:11" x14ac:dyDescent="0.25">
      <c r="A87" s="81" t="s">
        <v>6</v>
      </c>
      <c r="B87" s="78">
        <v>18</v>
      </c>
      <c r="C87" s="79" t="s">
        <v>11</v>
      </c>
    </row>
    <row r="88" spans="1:11" x14ac:dyDescent="0.25">
      <c r="A88" s="82" t="s">
        <v>203</v>
      </c>
      <c r="B88" s="78">
        <v>12</v>
      </c>
      <c r="C88" s="79" t="s">
        <v>204</v>
      </c>
    </row>
    <row r="89" spans="1:11" x14ac:dyDescent="0.25">
      <c r="A89" s="82" t="s">
        <v>6</v>
      </c>
      <c r="B89" s="78">
        <f>B88*B87</f>
        <v>216</v>
      </c>
      <c r="C89" s="80" t="s">
        <v>53</v>
      </c>
    </row>
    <row r="90" spans="1:11" x14ac:dyDescent="0.25">
      <c r="A90" s="81" t="s">
        <v>177</v>
      </c>
      <c r="B90" s="3">
        <f>(8+5)/165</f>
        <v>7.8787878787878782E-2</v>
      </c>
      <c r="C90" s="4"/>
    </row>
  </sheetData>
  <mergeCells count="9">
    <mergeCell ref="A78:G78"/>
    <mergeCell ref="A2:C2"/>
    <mergeCell ref="A28:G28"/>
    <mergeCell ref="A57:G57"/>
    <mergeCell ref="E66:H66"/>
    <mergeCell ref="F2:M2"/>
    <mergeCell ref="A15:C15"/>
    <mergeCell ref="A26:E26"/>
    <mergeCell ref="A43:G43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AB73-F09A-4698-8660-8AA773D69F5F}">
  <dimension ref="A1:L24"/>
  <sheetViews>
    <sheetView topLeftCell="A4" workbookViewId="0">
      <selection activeCell="I18" sqref="I18"/>
    </sheetView>
  </sheetViews>
  <sheetFormatPr baseColWidth="10" defaultRowHeight="15" x14ac:dyDescent="0.25"/>
  <cols>
    <col min="2" max="2" width="14.140625" bestFit="1" customWidth="1"/>
  </cols>
  <sheetData>
    <row r="1" spans="1:12" x14ac:dyDescent="0.25">
      <c r="A1" s="143" t="s">
        <v>218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x14ac:dyDescent="0.25">
      <c r="A2" s="156" t="s">
        <v>219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1:12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4" spans="1:12" x14ac:dyDescent="0.2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</row>
    <row r="5" spans="1:12" x14ac:dyDescent="0.25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7" spans="1:12" x14ac:dyDescent="0.25">
      <c r="A7" s="82" t="s">
        <v>179</v>
      </c>
      <c r="B7" s="4">
        <v>45000000</v>
      </c>
    </row>
    <row r="8" spans="1:12" x14ac:dyDescent="0.25">
      <c r="A8" s="82" t="s">
        <v>220</v>
      </c>
      <c r="B8" s="15">
        <f>48%-8%</f>
        <v>0.39999999999999997</v>
      </c>
    </row>
    <row r="9" spans="1:12" x14ac:dyDescent="0.25">
      <c r="A9" s="82" t="s">
        <v>6</v>
      </c>
      <c r="B9" s="4">
        <v>4</v>
      </c>
    </row>
    <row r="10" spans="1:12" x14ac:dyDescent="0.25">
      <c r="A10" s="82" t="s">
        <v>36</v>
      </c>
      <c r="B10" s="88">
        <f>(1+B8/B9)^B9-1</f>
        <v>0.4641000000000004</v>
      </c>
      <c r="D10" t="s">
        <v>221</v>
      </c>
    </row>
    <row r="11" spans="1:12" x14ac:dyDescent="0.25">
      <c r="A11" s="82" t="s">
        <v>6</v>
      </c>
      <c r="B11" s="4">
        <v>12</v>
      </c>
      <c r="H11" s="77"/>
    </row>
    <row r="12" spans="1:12" x14ac:dyDescent="0.25">
      <c r="A12" s="82" t="s">
        <v>57</v>
      </c>
      <c r="B12" s="88">
        <f>(1+B10)^(1/B11)-1</f>
        <v>3.228011545636722E-2</v>
      </c>
      <c r="D12" s="100" t="s">
        <v>222</v>
      </c>
    </row>
    <row r="13" spans="1:12" x14ac:dyDescent="0.25">
      <c r="A13" s="82" t="s">
        <v>6</v>
      </c>
      <c r="B13" s="4">
        <v>20</v>
      </c>
    </row>
    <row r="14" spans="1:12" x14ac:dyDescent="0.25">
      <c r="A14" s="82" t="s">
        <v>178</v>
      </c>
      <c r="B14" s="54">
        <f>FV(B12,B13,,-B7)</f>
        <v>84950071.387582406</v>
      </c>
    </row>
    <row r="16" spans="1:12" x14ac:dyDescent="0.25">
      <c r="C16" s="157" t="s">
        <v>223</v>
      </c>
      <c r="D16" s="157"/>
    </row>
    <row r="17" spans="1:4" x14ac:dyDescent="0.25">
      <c r="B17" s="82" t="s">
        <v>44</v>
      </c>
      <c r="C17" s="82" t="s">
        <v>45</v>
      </c>
      <c r="D17" s="82" t="s">
        <v>46</v>
      </c>
    </row>
    <row r="18" spans="1:4" x14ac:dyDescent="0.25">
      <c r="A18" s="101">
        <v>24</v>
      </c>
      <c r="B18" s="4" t="s">
        <v>47</v>
      </c>
      <c r="C18" s="88">
        <f t="shared" ref="C18:C24" si="0">D18*A18</f>
        <v>0.38428482656129681</v>
      </c>
      <c r="D18" s="88">
        <f>NOMINAL($D$24,A18)/A18</f>
        <v>1.6011867773387367E-2</v>
      </c>
    </row>
    <row r="19" spans="1:4" x14ac:dyDescent="0.25">
      <c r="A19" s="101">
        <v>12</v>
      </c>
      <c r="B19" s="4" t="s">
        <v>48</v>
      </c>
      <c r="C19" s="88">
        <f t="shared" si="0"/>
        <v>0.38736138547640664</v>
      </c>
      <c r="D19" s="88">
        <f>B12</f>
        <v>3.228011545636722E-2</v>
      </c>
    </row>
    <row r="20" spans="1:4" x14ac:dyDescent="0.25">
      <c r="A20" s="101">
        <v>6</v>
      </c>
      <c r="B20" s="4" t="s">
        <v>33</v>
      </c>
      <c r="C20" s="88">
        <f t="shared" si="0"/>
        <v>0.39361342059966553</v>
      </c>
      <c r="D20" s="88">
        <f>NOMINAL($D$24,A20)/A20</f>
        <v>6.5602236766610922E-2</v>
      </c>
    </row>
    <row r="21" spans="1:4" x14ac:dyDescent="0.25">
      <c r="A21" s="101">
        <v>4</v>
      </c>
      <c r="B21" s="4" t="s">
        <v>49</v>
      </c>
      <c r="C21" s="88">
        <f t="shared" si="0"/>
        <v>0.40000000000000124</v>
      </c>
      <c r="D21" s="88">
        <f>NOMINAL($D$24,A21)/A21</f>
        <v>0.10000000000000031</v>
      </c>
    </row>
    <row r="22" spans="1:4" x14ac:dyDescent="0.25">
      <c r="A22" s="101">
        <v>3</v>
      </c>
      <c r="B22" s="4" t="s">
        <v>28</v>
      </c>
      <c r="C22" s="88">
        <f t="shared" si="0"/>
        <v>0.40652438100601329</v>
      </c>
      <c r="D22" s="88">
        <f>NOMINAL($D$24,A22)/A22</f>
        <v>0.13550812700200443</v>
      </c>
    </row>
    <row r="23" spans="1:4" x14ac:dyDescent="0.25">
      <c r="A23" s="101">
        <v>2</v>
      </c>
      <c r="B23" s="4" t="s">
        <v>50</v>
      </c>
      <c r="C23" s="88">
        <f t="shared" si="0"/>
        <v>0.42000000000000171</v>
      </c>
      <c r="D23" s="88">
        <f>NOMINAL($D$24,A23)/A23</f>
        <v>0.21000000000000085</v>
      </c>
    </row>
    <row r="24" spans="1:4" x14ac:dyDescent="0.25">
      <c r="A24" s="101">
        <v>1</v>
      </c>
      <c r="B24" s="4" t="s">
        <v>51</v>
      </c>
      <c r="C24" s="88">
        <f t="shared" si="0"/>
        <v>0.46410000000000196</v>
      </c>
      <c r="D24" s="88">
        <f>EFFECT(C19,A19)</f>
        <v>0.46410000000000196</v>
      </c>
    </row>
  </sheetData>
  <mergeCells count="3">
    <mergeCell ref="A2:L5"/>
    <mergeCell ref="C16:D16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CAB4-C3D7-4BB3-A3FD-65103ECA022C}">
  <dimension ref="A1:G57"/>
  <sheetViews>
    <sheetView topLeftCell="A38" workbookViewId="0">
      <selection activeCell="H14" sqref="H14"/>
    </sheetView>
  </sheetViews>
  <sheetFormatPr baseColWidth="10" defaultRowHeight="15" x14ac:dyDescent="0.25"/>
  <cols>
    <col min="1" max="1" width="15.140625" customWidth="1"/>
    <col min="2" max="2" width="16.85546875" customWidth="1"/>
    <col min="3" max="3" width="15.140625" bestFit="1" customWidth="1"/>
    <col min="4" max="4" width="13.7109375" customWidth="1"/>
    <col min="5" max="5" width="18.7109375" customWidth="1"/>
    <col min="6" max="6" width="18" customWidth="1"/>
    <col min="9" max="9" width="13" bestFit="1" customWidth="1"/>
  </cols>
  <sheetData>
    <row r="1" spans="1:6" x14ac:dyDescent="0.25">
      <c r="A1" s="159" t="s">
        <v>224</v>
      </c>
      <c r="B1" s="159"/>
      <c r="C1" s="159"/>
      <c r="D1" s="159"/>
      <c r="E1" s="159"/>
      <c r="F1" s="159"/>
    </row>
    <row r="3" spans="1:6" x14ac:dyDescent="0.25">
      <c r="A3" s="18" t="s">
        <v>34</v>
      </c>
      <c r="B3" s="15">
        <f>(3+10)/230</f>
        <v>5.6521739130434782E-2</v>
      </c>
      <c r="C3" s="4" t="s">
        <v>35</v>
      </c>
    </row>
    <row r="4" spans="1:6" x14ac:dyDescent="0.25">
      <c r="A4" s="18" t="s">
        <v>8</v>
      </c>
      <c r="B4" s="4">
        <v>6</v>
      </c>
      <c r="C4" s="4" t="s">
        <v>33</v>
      </c>
    </row>
    <row r="5" spans="1:6" x14ac:dyDescent="0.25">
      <c r="A5" s="18" t="s">
        <v>36</v>
      </c>
      <c r="B5" s="3">
        <f>1/(1-B3/B4)^B4-1</f>
        <v>5.8433144045261676E-2</v>
      </c>
      <c r="C5" s="4" t="s">
        <v>37</v>
      </c>
      <c r="D5" s="1"/>
      <c r="F5" s="10"/>
    </row>
    <row r="7" spans="1:6" x14ac:dyDescent="0.25">
      <c r="A7" s="18" t="s">
        <v>38</v>
      </c>
      <c r="B7" s="15">
        <v>9.7000000000000003E-2</v>
      </c>
      <c r="C7" s="4" t="s">
        <v>39</v>
      </c>
    </row>
    <row r="8" spans="1:6" x14ac:dyDescent="0.25">
      <c r="A8" s="18" t="s">
        <v>6</v>
      </c>
      <c r="B8" s="4">
        <v>6</v>
      </c>
      <c r="C8" s="4" t="s">
        <v>33</v>
      </c>
    </row>
    <row r="9" spans="1:6" x14ac:dyDescent="0.25">
      <c r="A9" s="18" t="s">
        <v>36</v>
      </c>
      <c r="B9" s="3">
        <f>EFFECT(B7,B8)</f>
        <v>0.10100595471426943</v>
      </c>
      <c r="C9" s="4" t="s">
        <v>37</v>
      </c>
      <c r="D9" s="48"/>
      <c r="E9" s="10"/>
    </row>
    <row r="10" spans="1:6" x14ac:dyDescent="0.25">
      <c r="B10" s="1"/>
    </row>
    <row r="11" spans="1:6" x14ac:dyDescent="0.25">
      <c r="A11" s="18" t="s">
        <v>41</v>
      </c>
      <c r="B11" s="4" t="s">
        <v>40</v>
      </c>
      <c r="C11" s="15">
        <f>(1+B5)*(1+B9)-1</f>
        <v>0.1653411942607792</v>
      </c>
    </row>
    <row r="13" spans="1:6" x14ac:dyDescent="0.25">
      <c r="A13" s="18" t="s">
        <v>5</v>
      </c>
      <c r="B13" s="75">
        <v>236000000</v>
      </c>
      <c r="C13" s="4"/>
    </row>
    <row r="14" spans="1:6" x14ac:dyDescent="0.25">
      <c r="A14" s="18" t="s">
        <v>8</v>
      </c>
      <c r="B14" s="4">
        <v>17</v>
      </c>
      <c r="C14" s="4" t="s">
        <v>53</v>
      </c>
    </row>
    <row r="15" spans="1:6" x14ac:dyDescent="0.25">
      <c r="A15" s="18" t="s">
        <v>52</v>
      </c>
      <c r="B15" s="15">
        <f>D22</f>
        <v>1.2832802241450558E-2</v>
      </c>
      <c r="C15" s="4"/>
    </row>
    <row r="16" spans="1:6" x14ac:dyDescent="0.25">
      <c r="A16" s="18" t="s">
        <v>7</v>
      </c>
      <c r="B16" s="110">
        <f>FV(B15,B14,,-B13,)</f>
        <v>293125697.16549748</v>
      </c>
      <c r="C16" s="4" t="s">
        <v>225</v>
      </c>
    </row>
    <row r="17" spans="1:6" x14ac:dyDescent="0.25">
      <c r="B17" s="47"/>
    </row>
    <row r="18" spans="1:6" x14ac:dyDescent="0.25">
      <c r="B18" s="47"/>
    </row>
    <row r="19" spans="1:6" ht="15.75" x14ac:dyDescent="0.25">
      <c r="B19" s="102"/>
      <c r="C19" s="160" t="s">
        <v>42</v>
      </c>
      <c r="D19" s="160"/>
      <c r="E19" s="161" t="s">
        <v>43</v>
      </c>
      <c r="F19" s="161"/>
    </row>
    <row r="20" spans="1:6" ht="15.75" x14ac:dyDescent="0.25">
      <c r="B20" s="103" t="s">
        <v>44</v>
      </c>
      <c r="C20" s="103" t="s">
        <v>45</v>
      </c>
      <c r="D20" s="103" t="s">
        <v>46</v>
      </c>
      <c r="E20" s="104" t="s">
        <v>45</v>
      </c>
      <c r="F20" s="104" t="s">
        <v>46</v>
      </c>
    </row>
    <row r="21" spans="1:6" ht="15.75" x14ac:dyDescent="0.25">
      <c r="A21">
        <v>24</v>
      </c>
      <c r="B21" s="103" t="s">
        <v>47</v>
      </c>
      <c r="C21" s="105">
        <f t="shared" ref="C21:C26" si="0">NOMINAL(D$27,A21)</f>
        <v>0.15350272923319785</v>
      </c>
      <c r="D21" s="105">
        <f t="shared" ref="D21:D26" si="1">NOMINAL(D$27,A21)/A21</f>
        <v>6.3959470513832439E-3</v>
      </c>
      <c r="E21" s="106">
        <f>F21*A21</f>
        <v>0.15252717350754644</v>
      </c>
      <c r="F21" s="107">
        <f>D21/(1+D21)</f>
        <v>6.3552988961477685E-3</v>
      </c>
    </row>
    <row r="22" spans="1:6" ht="15.75" x14ac:dyDescent="0.25">
      <c r="A22">
        <v>12</v>
      </c>
      <c r="B22" s="103" t="s">
        <v>48</v>
      </c>
      <c r="C22" s="105">
        <f t="shared" si="0"/>
        <v>0.1539936268974067</v>
      </c>
      <c r="D22" s="105">
        <f t="shared" si="1"/>
        <v>1.2832802241450558E-2</v>
      </c>
      <c r="E22" s="106">
        <f t="shared" ref="E22:E27" si="2">F22*A22</f>
        <v>0.1520424956188336</v>
      </c>
      <c r="F22" s="107">
        <f t="shared" ref="F22:F27" si="3">D22/(1+D22)</f>
        <v>1.2670207968236133E-2</v>
      </c>
    </row>
    <row r="23" spans="1:6" ht="15.75" x14ac:dyDescent="0.25">
      <c r="A23">
        <v>6</v>
      </c>
      <c r="B23" s="103" t="s">
        <v>33</v>
      </c>
      <c r="C23" s="105">
        <f t="shared" si="0"/>
        <v>0.15498171177761577</v>
      </c>
      <c r="D23" s="105">
        <f t="shared" si="1"/>
        <v>2.5830285296269295E-2</v>
      </c>
      <c r="E23" s="106">
        <f t="shared" si="2"/>
        <v>0.15107929059908348</v>
      </c>
      <c r="F23" s="107">
        <f>D23/(1+D23)</f>
        <v>2.5179881766513913E-2</v>
      </c>
    </row>
    <row r="24" spans="1:6" ht="15.75" x14ac:dyDescent="0.25">
      <c r="A24">
        <v>4</v>
      </c>
      <c r="B24" s="103" t="s">
        <v>49</v>
      </c>
      <c r="C24" s="105">
        <f t="shared" si="0"/>
        <v>0.15597824992306819</v>
      </c>
      <c r="D24" s="105">
        <f t="shared" si="1"/>
        <v>3.8994562480767048E-2</v>
      </c>
      <c r="E24" s="106">
        <f>F24*A24</f>
        <v>0.15012422158461058</v>
      </c>
      <c r="F24" s="107">
        <f>D24/(1+D24)</f>
        <v>3.7531055396152646E-2</v>
      </c>
    </row>
    <row r="25" spans="1:6" ht="15.75" x14ac:dyDescent="0.25">
      <c r="A25">
        <v>3</v>
      </c>
      <c r="B25" s="103" t="s">
        <v>28</v>
      </c>
      <c r="C25" s="105">
        <f t="shared" si="0"/>
        <v>0.15698332269307524</v>
      </c>
      <c r="D25" s="105">
        <f t="shared" si="1"/>
        <v>5.2327774231025082E-2</v>
      </c>
      <c r="E25" s="106">
        <f t="shared" si="2"/>
        <v>0.14917721126175615</v>
      </c>
      <c r="F25" s="107">
        <f t="shared" si="3"/>
        <v>4.9725737087252045E-2</v>
      </c>
    </row>
    <row r="26" spans="1:6" ht="15.75" x14ac:dyDescent="0.25">
      <c r="A26">
        <v>2</v>
      </c>
      <c r="B26" s="103" t="s">
        <v>50</v>
      </c>
      <c r="C26" s="105">
        <f t="shared" si="0"/>
        <v>0.15901940172920082</v>
      </c>
      <c r="D26" s="105">
        <f t="shared" si="1"/>
        <v>7.9509700864600408E-2</v>
      </c>
      <c r="E26" s="106">
        <f t="shared" si="2"/>
        <v>0.14730706134631219</v>
      </c>
      <c r="F26" s="107">
        <f t="shared" si="3"/>
        <v>7.3653530673156095E-2</v>
      </c>
    </row>
    <row r="27" spans="1:6" ht="15.75" x14ac:dyDescent="0.25">
      <c r="A27">
        <v>1</v>
      </c>
      <c r="B27" s="103" t="s">
        <v>51</v>
      </c>
      <c r="C27" s="108">
        <f>NOMINAL(D27,A27)</f>
        <v>0.1653411942607792</v>
      </c>
      <c r="D27" s="109">
        <f>C11</f>
        <v>0.1653411942607792</v>
      </c>
      <c r="E27" s="106">
        <f t="shared" si="2"/>
        <v>0.14188221876569077</v>
      </c>
      <c r="F27" s="107">
        <f t="shared" si="3"/>
        <v>0.14188221876569077</v>
      </c>
    </row>
    <row r="29" spans="1:6" x14ac:dyDescent="0.25">
      <c r="A29" s="143" t="s">
        <v>207</v>
      </c>
      <c r="B29" s="143"/>
      <c r="C29" s="143"/>
      <c r="D29" s="143"/>
      <c r="E29" s="143"/>
      <c r="F29" s="143"/>
    </row>
    <row r="31" spans="1:6" x14ac:dyDescent="0.25">
      <c r="A31" s="82" t="s">
        <v>177</v>
      </c>
      <c r="B31" s="88">
        <f>(8+5)/165</f>
        <v>7.8787878787878782E-2</v>
      </c>
      <c r="C31" s="4"/>
    </row>
    <row r="32" spans="1:6" x14ac:dyDescent="0.25">
      <c r="A32" s="82" t="s">
        <v>8</v>
      </c>
      <c r="B32" s="4">
        <v>12</v>
      </c>
      <c r="C32" s="4" t="s">
        <v>204</v>
      </c>
    </row>
    <row r="34" spans="1:7" x14ac:dyDescent="0.25">
      <c r="A34" s="116" t="s">
        <v>237</v>
      </c>
      <c r="B34" s="62">
        <f>B31</f>
        <v>7.8787878787878782E-2</v>
      </c>
      <c r="C34" s="4" t="s">
        <v>35</v>
      </c>
      <c r="D34" s="4"/>
      <c r="G34" s="100"/>
    </row>
    <row r="35" spans="1:7" x14ac:dyDescent="0.25">
      <c r="A35" s="116" t="s">
        <v>236</v>
      </c>
      <c r="B35" s="88">
        <f>1/(1-B34/B36)^B36-1</f>
        <v>8.25395830079938E-2</v>
      </c>
      <c r="C35" s="4" t="s">
        <v>37</v>
      </c>
      <c r="D35" s="88">
        <f>(1-B34/B36)^-B36-1</f>
        <v>8.25395830079938E-2</v>
      </c>
      <c r="E35" s="113" t="s">
        <v>235</v>
      </c>
      <c r="G35" s="113"/>
    </row>
    <row r="36" spans="1:7" x14ac:dyDescent="0.25">
      <c r="A36" s="116" t="s">
        <v>6</v>
      </c>
      <c r="B36" s="4">
        <v>6</v>
      </c>
      <c r="C36" s="4"/>
      <c r="D36" s="4"/>
    </row>
    <row r="37" spans="1:7" x14ac:dyDescent="0.25">
      <c r="A37" s="51"/>
    </row>
    <row r="38" spans="1:7" x14ac:dyDescent="0.25">
      <c r="A38" s="116" t="s">
        <v>234</v>
      </c>
      <c r="B38" s="114">
        <v>9.7000000000000003E-2</v>
      </c>
      <c r="C38" s="4" t="s">
        <v>233</v>
      </c>
      <c r="D38" s="4"/>
    </row>
    <row r="39" spans="1:7" x14ac:dyDescent="0.25">
      <c r="A39" s="116" t="s">
        <v>6</v>
      </c>
      <c r="B39" s="4">
        <v>12</v>
      </c>
      <c r="C39" s="4" t="s">
        <v>53</v>
      </c>
      <c r="D39" s="4"/>
    </row>
    <row r="40" spans="1:7" x14ac:dyDescent="0.25">
      <c r="A40" s="116" t="s">
        <v>232</v>
      </c>
      <c r="B40" s="88">
        <f>EFFECT(B38,B39)</f>
        <v>0.10143079604845218</v>
      </c>
      <c r="C40" s="4" t="s">
        <v>37</v>
      </c>
      <c r="D40" s="88">
        <f>(1+B38/B39)^B39-1</f>
        <v>0.10143079604845218</v>
      </c>
      <c r="E40" s="113" t="s">
        <v>221</v>
      </c>
      <c r="F40" s="113"/>
    </row>
    <row r="41" spans="1:7" x14ac:dyDescent="0.25">
      <c r="A41" s="116" t="s">
        <v>36</v>
      </c>
      <c r="B41" s="115">
        <f>(1+B35)*(1+B40)-1</f>
        <v>0.19234243466645418</v>
      </c>
      <c r="C41" s="4" t="s">
        <v>37</v>
      </c>
      <c r="D41" s="4"/>
    </row>
    <row r="42" spans="1:7" x14ac:dyDescent="0.25">
      <c r="A42" s="51"/>
    </row>
    <row r="43" spans="1:7" x14ac:dyDescent="0.25">
      <c r="A43" s="51"/>
    </row>
    <row r="44" spans="1:7" x14ac:dyDescent="0.25">
      <c r="A44" s="117"/>
      <c r="B44" s="117"/>
      <c r="C44" s="158" t="s">
        <v>42</v>
      </c>
      <c r="D44" s="158"/>
      <c r="E44" s="158" t="s">
        <v>43</v>
      </c>
      <c r="F44" s="158"/>
    </row>
    <row r="45" spans="1:7" x14ac:dyDescent="0.25">
      <c r="A45" s="117"/>
      <c r="B45" s="118" t="s">
        <v>44</v>
      </c>
      <c r="C45" s="118" t="s">
        <v>231</v>
      </c>
      <c r="D45" s="118" t="s">
        <v>230</v>
      </c>
      <c r="E45" s="118" t="s">
        <v>229</v>
      </c>
      <c r="F45" s="118" t="s">
        <v>228</v>
      </c>
    </row>
    <row r="46" spans="1:7" x14ac:dyDescent="0.25">
      <c r="A46" s="112">
        <v>360</v>
      </c>
      <c r="B46" s="119" t="s">
        <v>227</v>
      </c>
      <c r="C46" s="111">
        <f t="shared" ref="C46:C53" si="4">NOMINAL($D$53,A46)</f>
        <v>0.17596279481853827</v>
      </c>
      <c r="D46" s="111">
        <f t="shared" ref="D46:D52" si="5">NOMINAL($D$53,A46)/A46</f>
        <v>4.8878554116260631E-4</v>
      </c>
      <c r="E46" s="111">
        <f t="shared" ref="E46:E53" si="6">F46*A46</f>
        <v>0.17587682876761113</v>
      </c>
      <c r="F46" s="88">
        <f t="shared" ref="F46:F53" si="7">D46/(1+D46)</f>
        <v>4.8854674657669757E-4</v>
      </c>
    </row>
    <row r="47" spans="1:7" x14ac:dyDescent="0.25">
      <c r="A47" s="112">
        <v>24</v>
      </c>
      <c r="B47" s="119" t="s">
        <v>47</v>
      </c>
      <c r="C47" s="111">
        <f t="shared" si="4"/>
        <v>0.17656612837789609</v>
      </c>
      <c r="D47" s="111">
        <f t="shared" si="5"/>
        <v>7.3569220157456705E-3</v>
      </c>
      <c r="E47" s="111">
        <f t="shared" si="6"/>
        <v>0.17527663186607484</v>
      </c>
      <c r="F47" s="88">
        <f t="shared" si="7"/>
        <v>7.3031929944197844E-3</v>
      </c>
    </row>
    <row r="48" spans="1:7" x14ac:dyDescent="0.25">
      <c r="A48" s="112">
        <v>12</v>
      </c>
      <c r="B48" s="119" t="s">
        <v>48</v>
      </c>
      <c r="C48" s="111">
        <f t="shared" si="4"/>
        <v>0.17721561999644475</v>
      </c>
      <c r="D48" s="111">
        <f t="shared" si="5"/>
        <v>1.4767968333037063E-2</v>
      </c>
      <c r="E48" s="111">
        <f t="shared" si="6"/>
        <v>0.17463659233110942</v>
      </c>
      <c r="F48" s="88">
        <f t="shared" si="7"/>
        <v>1.4553049360925786E-2</v>
      </c>
    </row>
    <row r="49" spans="1:6" x14ac:dyDescent="0.25">
      <c r="A49" s="112">
        <v>6</v>
      </c>
      <c r="B49" s="119" t="s">
        <v>33</v>
      </c>
      <c r="C49" s="111">
        <f t="shared" si="4"/>
        <v>0.17852417732855752</v>
      </c>
      <c r="D49" s="111">
        <f t="shared" si="5"/>
        <v>2.9754029554759587E-2</v>
      </c>
      <c r="E49" s="111">
        <f t="shared" si="6"/>
        <v>0.17336584485689949</v>
      </c>
      <c r="F49" s="88">
        <f t="shared" si="7"/>
        <v>2.8894307476149912E-2</v>
      </c>
    </row>
    <row r="50" spans="1:6" x14ac:dyDescent="0.25">
      <c r="A50" s="112">
        <v>4</v>
      </c>
      <c r="B50" s="119" t="s">
        <v>49</v>
      </c>
      <c r="C50" s="111">
        <f t="shared" si="4"/>
        <v>0.17984561781616648</v>
      </c>
      <c r="D50" s="111">
        <f t="shared" si="5"/>
        <v>4.496140445404162E-2</v>
      </c>
      <c r="E50" s="111">
        <f t="shared" si="6"/>
        <v>0.17210742621650221</v>
      </c>
      <c r="F50" s="88">
        <f t="shared" si="7"/>
        <v>4.3026856554125553E-2</v>
      </c>
    </row>
    <row r="51" spans="1:6" x14ac:dyDescent="0.25">
      <c r="A51" s="112">
        <v>3</v>
      </c>
      <c r="B51" s="119" t="s">
        <v>28</v>
      </c>
      <c r="C51" s="111">
        <f t="shared" si="4"/>
        <v>0.18118008415279463</v>
      </c>
      <c r="D51" s="111">
        <f t="shared" si="5"/>
        <v>6.0393361384264876E-2</v>
      </c>
      <c r="E51" s="111">
        <f t="shared" si="6"/>
        <v>0.17086120184332113</v>
      </c>
      <c r="F51" s="88">
        <f t="shared" si="7"/>
        <v>5.6953733947773706E-2</v>
      </c>
    </row>
    <row r="52" spans="1:6" x14ac:dyDescent="0.25">
      <c r="A52" s="112">
        <v>2</v>
      </c>
      <c r="B52" s="119" t="s">
        <v>50</v>
      </c>
      <c r="C52" s="111">
        <f t="shared" si="4"/>
        <v>0.18388867359712657</v>
      </c>
      <c r="D52" s="111">
        <f t="shared" si="5"/>
        <v>9.1944336798563286E-2</v>
      </c>
      <c r="E52" s="111">
        <f t="shared" si="6"/>
        <v>0.16840480544664382</v>
      </c>
      <c r="F52" s="88">
        <f t="shared" si="7"/>
        <v>8.4202402723321912E-2</v>
      </c>
    </row>
    <row r="53" spans="1:6" x14ac:dyDescent="0.25">
      <c r="A53" s="112">
        <v>1</v>
      </c>
      <c r="B53" s="119" t="s">
        <v>51</v>
      </c>
      <c r="C53" s="111">
        <f t="shared" si="4"/>
        <v>0.19234243466645418</v>
      </c>
      <c r="D53" s="111">
        <f>B41</f>
        <v>0.19234243466645418</v>
      </c>
      <c r="E53" s="111">
        <f t="shared" si="6"/>
        <v>0.16131476082226331</v>
      </c>
      <c r="F53" s="88">
        <f t="shared" si="7"/>
        <v>0.16131476082226331</v>
      </c>
    </row>
    <row r="55" spans="1:6" x14ac:dyDescent="0.25">
      <c r="B55" s="101" t="s">
        <v>179</v>
      </c>
      <c r="C55" s="74">
        <v>236000000</v>
      </c>
      <c r="D55" s="4"/>
    </row>
    <row r="56" spans="1:6" x14ac:dyDescent="0.25">
      <c r="B56" s="101" t="s">
        <v>6</v>
      </c>
      <c r="C56" s="4">
        <v>17</v>
      </c>
      <c r="D56" s="4" t="s">
        <v>226</v>
      </c>
    </row>
    <row r="57" spans="1:6" x14ac:dyDescent="0.25">
      <c r="B57" s="101" t="s">
        <v>178</v>
      </c>
      <c r="C57" s="110">
        <f>FV(D48,C56,,-C55)</f>
        <v>302793643.36123687</v>
      </c>
      <c r="D57" s="4" t="s">
        <v>225</v>
      </c>
    </row>
  </sheetData>
  <mergeCells count="6">
    <mergeCell ref="C44:D44"/>
    <mergeCell ref="E44:F44"/>
    <mergeCell ref="A1:F1"/>
    <mergeCell ref="C19:D19"/>
    <mergeCell ref="E19:F19"/>
    <mergeCell ref="A29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6346-6824-474A-909F-F76BA1D36F39}">
  <dimension ref="A1:Z347"/>
  <sheetViews>
    <sheetView topLeftCell="M1" zoomScaleNormal="100" workbookViewId="0">
      <selection activeCell="A12" sqref="A12"/>
    </sheetView>
  </sheetViews>
  <sheetFormatPr baseColWidth="10" defaultRowHeight="15" x14ac:dyDescent="0.25"/>
  <cols>
    <col min="2" max="2" width="17.7109375" bestFit="1" customWidth="1"/>
    <col min="3" max="3" width="15.42578125" customWidth="1"/>
    <col min="5" max="5" width="14" customWidth="1"/>
    <col min="7" max="7" width="14.28515625" customWidth="1"/>
    <col min="8" max="8" width="16.42578125" bestFit="1" customWidth="1"/>
    <col min="9" max="9" width="16.28515625" bestFit="1" customWidth="1"/>
    <col min="10" max="10" width="15.85546875" customWidth="1"/>
    <col min="11" max="11" width="16.7109375" customWidth="1"/>
    <col min="12" max="12" width="15.140625" bestFit="1" customWidth="1"/>
    <col min="13" max="13" width="14.42578125" bestFit="1" customWidth="1"/>
    <col min="14" max="14" width="15.42578125" bestFit="1" customWidth="1"/>
    <col min="15" max="15" width="16.28515625" bestFit="1" customWidth="1"/>
    <col min="16" max="16" width="17.85546875" bestFit="1" customWidth="1"/>
    <col min="17" max="17" width="13.140625" bestFit="1" customWidth="1"/>
    <col min="18" max="18" width="15.140625" bestFit="1" customWidth="1"/>
    <col min="20" max="20" width="16.7109375" bestFit="1" customWidth="1"/>
    <col min="21" max="23" width="18.42578125" bestFit="1" customWidth="1"/>
    <col min="24" max="24" width="16.7109375" bestFit="1" customWidth="1"/>
    <col min="25" max="25" width="12.5703125" bestFit="1" customWidth="1"/>
  </cols>
  <sheetData>
    <row r="1" spans="1:23" x14ac:dyDescent="0.25">
      <c r="A1" s="149" t="s">
        <v>205</v>
      </c>
      <c r="B1" s="149"/>
      <c r="C1" s="149"/>
      <c r="D1" s="149"/>
      <c r="E1" s="149"/>
      <c r="F1" s="149"/>
      <c r="J1" s="49"/>
    </row>
    <row r="2" spans="1:23" x14ac:dyDescent="0.25">
      <c r="A2" s="14"/>
      <c r="B2" s="14"/>
      <c r="C2" s="14"/>
      <c r="D2" s="14"/>
      <c r="E2" s="14"/>
      <c r="F2" s="14"/>
    </row>
    <row r="3" spans="1:23" ht="19.5" customHeight="1" x14ac:dyDescent="0.25">
      <c r="A3" s="121" t="s">
        <v>5</v>
      </c>
      <c r="B3" s="120">
        <v>236000000</v>
      </c>
      <c r="C3" s="4"/>
      <c r="G3" s="121" t="s">
        <v>61</v>
      </c>
      <c r="H3" s="4">
        <f>2023-16</f>
        <v>2007</v>
      </c>
      <c r="J3" s="49"/>
      <c r="K3" s="50"/>
    </row>
    <row r="4" spans="1:23" x14ac:dyDescent="0.25">
      <c r="A4" s="121" t="s">
        <v>6</v>
      </c>
      <c r="B4" s="4">
        <f>16*6</f>
        <v>96</v>
      </c>
      <c r="C4" s="4" t="s">
        <v>59</v>
      </c>
      <c r="G4" s="121" t="s">
        <v>62</v>
      </c>
      <c r="H4" s="4">
        <v>2023</v>
      </c>
      <c r="J4" s="49"/>
      <c r="K4" s="51"/>
    </row>
    <row r="5" spans="1:23" x14ac:dyDescent="0.25">
      <c r="A5" s="121" t="s">
        <v>60</v>
      </c>
      <c r="B5" s="4">
        <f>B4*12</f>
        <v>1152</v>
      </c>
      <c r="C5" s="4" t="s">
        <v>48</v>
      </c>
      <c r="G5" s="121" t="s">
        <v>170</v>
      </c>
      <c r="H5" s="142">
        <f>PMT(D11,B4,-B3)</f>
        <v>6672790.7235049186</v>
      </c>
    </row>
    <row r="6" spans="1:23" x14ac:dyDescent="0.25">
      <c r="A6" s="121" t="s">
        <v>54</v>
      </c>
      <c r="B6" s="3">
        <f>(3+10)/230</f>
        <v>5.6521739130434782E-2</v>
      </c>
      <c r="C6" s="4" t="s">
        <v>35</v>
      </c>
      <c r="D6" s="121" t="s">
        <v>8</v>
      </c>
      <c r="E6" s="4">
        <v>6</v>
      </c>
      <c r="J6" s="49"/>
    </row>
    <row r="7" spans="1:23" x14ac:dyDescent="0.25">
      <c r="A7" s="121" t="s">
        <v>55</v>
      </c>
      <c r="B7" s="15">
        <v>9.7000000000000003E-2</v>
      </c>
      <c r="C7" s="4" t="s">
        <v>39</v>
      </c>
      <c r="D7" s="121" t="s">
        <v>8</v>
      </c>
      <c r="E7" s="4">
        <v>6</v>
      </c>
      <c r="J7" s="49"/>
    </row>
    <row r="8" spans="1:23" x14ac:dyDescent="0.25">
      <c r="J8" s="51"/>
      <c r="K8" s="52"/>
    </row>
    <row r="9" spans="1:23" x14ac:dyDescent="0.25">
      <c r="A9" s="121" t="s">
        <v>58</v>
      </c>
      <c r="B9" s="121" t="s">
        <v>38</v>
      </c>
      <c r="C9" s="121" t="s">
        <v>56</v>
      </c>
      <c r="D9" s="121" t="s">
        <v>57</v>
      </c>
      <c r="F9" s="149" t="s">
        <v>161</v>
      </c>
      <c r="G9" s="149"/>
      <c r="H9" s="149"/>
      <c r="I9" s="149"/>
      <c r="J9" s="149"/>
      <c r="K9" s="52"/>
      <c r="L9" s="149" t="s">
        <v>166</v>
      </c>
      <c r="M9" s="149"/>
      <c r="N9" s="149"/>
      <c r="O9" s="149"/>
      <c r="P9" s="149"/>
      <c r="R9" s="149" t="s">
        <v>167</v>
      </c>
      <c r="S9" s="149"/>
      <c r="T9" s="149"/>
      <c r="U9" s="149"/>
      <c r="V9" s="149"/>
      <c r="W9" s="149"/>
    </row>
    <row r="10" spans="1:23" x14ac:dyDescent="0.25">
      <c r="A10" s="123" t="s">
        <v>36</v>
      </c>
      <c r="B10" s="123" t="s">
        <v>36</v>
      </c>
      <c r="C10" s="4"/>
      <c r="D10" s="4"/>
      <c r="F10" s="28" t="s">
        <v>44</v>
      </c>
      <c r="G10" s="28" t="s">
        <v>162</v>
      </c>
      <c r="H10" s="28" t="s">
        <v>163</v>
      </c>
      <c r="I10" s="28" t="s">
        <v>164</v>
      </c>
      <c r="J10" s="28" t="s">
        <v>165</v>
      </c>
      <c r="K10" s="52"/>
      <c r="L10" s="28" t="s">
        <v>44</v>
      </c>
      <c r="M10" s="28" t="s">
        <v>162</v>
      </c>
      <c r="N10" s="28" t="s">
        <v>163</v>
      </c>
      <c r="O10" s="28" t="s">
        <v>164</v>
      </c>
      <c r="P10" s="28" t="s">
        <v>165</v>
      </c>
      <c r="R10" s="28" t="s">
        <v>44</v>
      </c>
      <c r="S10" s="28" t="s">
        <v>160</v>
      </c>
      <c r="T10" s="28" t="s">
        <v>162</v>
      </c>
      <c r="U10" s="28" t="s">
        <v>163</v>
      </c>
      <c r="V10" s="28" t="s">
        <v>164</v>
      </c>
      <c r="W10" s="28" t="s">
        <v>165</v>
      </c>
    </row>
    <row r="11" spans="1:23" x14ac:dyDescent="0.25">
      <c r="A11" s="88">
        <f>1/(1-B6/E6)^E6-1</f>
        <v>5.8433144045261676E-2</v>
      </c>
      <c r="B11" s="88">
        <f>EFFECT(B7,E7)</f>
        <v>0.10100595471426943</v>
      </c>
      <c r="C11" s="62">
        <f>(1+A11)*(1+B11)-1</f>
        <v>0.1653411942607792</v>
      </c>
      <c r="D11" s="88">
        <f>NOMINAL(C11,E7)/E7</f>
        <v>2.5830285296269295E-2</v>
      </c>
      <c r="F11" s="4">
        <v>0</v>
      </c>
      <c r="G11" s="4">
        <v>0</v>
      </c>
      <c r="H11" s="4">
        <v>0</v>
      </c>
      <c r="I11" s="4">
        <v>0</v>
      </c>
      <c r="J11" s="57">
        <f>B3</f>
        <v>236000000</v>
      </c>
      <c r="K11" s="52"/>
      <c r="L11" s="4">
        <v>0</v>
      </c>
      <c r="M11" s="4">
        <v>0</v>
      </c>
      <c r="N11" s="4">
        <v>0</v>
      </c>
      <c r="O11" s="4">
        <v>0</v>
      </c>
      <c r="P11" s="57">
        <f>B3</f>
        <v>236000000</v>
      </c>
      <c r="R11" s="4">
        <v>0</v>
      </c>
      <c r="S11" s="62">
        <f>D11</f>
        <v>2.5830285296269295E-2</v>
      </c>
      <c r="T11" s="4"/>
      <c r="U11" s="4"/>
      <c r="V11" s="4"/>
      <c r="W11" s="44">
        <f>B3</f>
        <v>236000000</v>
      </c>
    </row>
    <row r="12" spans="1:23" x14ac:dyDescent="0.25">
      <c r="B12" s="1"/>
      <c r="F12" s="4">
        <v>1</v>
      </c>
      <c r="G12" s="54">
        <f>$H$5</f>
        <v>6672790.7235049186</v>
      </c>
      <c r="H12" s="54">
        <f>G12-I12</f>
        <v>576843.39358536527</v>
      </c>
      <c r="I12" s="55">
        <f>J11*$D$11</f>
        <v>6095947.3299195534</v>
      </c>
      <c r="J12" s="53">
        <f>J11-H12</f>
        <v>235423156.60641465</v>
      </c>
      <c r="K12" s="52"/>
      <c r="L12" s="4">
        <v>1</v>
      </c>
      <c r="M12" s="54">
        <f>SUM(N12:O12)</f>
        <v>8554280.6632528864</v>
      </c>
      <c r="N12" s="54">
        <f>$B$3/$B$4</f>
        <v>2458333.3333333335</v>
      </c>
      <c r="O12" s="55">
        <f>P11*$D$11</f>
        <v>6095947.3299195534</v>
      </c>
      <c r="P12" s="53">
        <f>P11-N12</f>
        <v>233541666.66666666</v>
      </c>
      <c r="R12" s="4">
        <v>1</v>
      </c>
      <c r="S12" s="65">
        <v>2.3518176065429941E-2</v>
      </c>
      <c r="T12" s="54">
        <f>PMT($S$11,$B$4,-$B$3,,)</f>
        <v>6672790.7235049186</v>
      </c>
      <c r="U12" s="54">
        <f>T12-V12</f>
        <v>1122501.1720634522</v>
      </c>
      <c r="V12" s="44">
        <f>W11*S12</f>
        <v>5550289.5514414664</v>
      </c>
      <c r="W12" s="58">
        <f>W11-U12</f>
        <v>234877498.82793656</v>
      </c>
    </row>
    <row r="13" spans="1:23" x14ac:dyDescent="0.25">
      <c r="A13" s="24" t="s">
        <v>159</v>
      </c>
      <c r="B13" s="24" t="s">
        <v>168</v>
      </c>
      <c r="C13" s="24" t="s">
        <v>55</v>
      </c>
      <c r="D13" s="24" t="s">
        <v>169</v>
      </c>
      <c r="F13" s="4">
        <v>2</v>
      </c>
      <c r="G13" s="44">
        <f t="shared" ref="G13:G76" si="0">$H$5</f>
        <v>6672790.7235049186</v>
      </c>
      <c r="H13" s="54">
        <f t="shared" ref="H13:H76" si="1">G13-I13</f>
        <v>591743.42301294301</v>
      </c>
      <c r="I13" s="55">
        <f t="shared" ref="I13:I76" si="2">J12*$D$11</f>
        <v>6081047.3004919756</v>
      </c>
      <c r="J13" s="53">
        <f t="shared" ref="J13:J76" si="3">J12-H13</f>
        <v>234831413.1834017</v>
      </c>
      <c r="K13" s="52"/>
      <c r="L13" s="4">
        <v>2</v>
      </c>
      <c r="M13" s="54">
        <f t="shared" ref="M13:M76" si="4">SUM(N13:O13)</f>
        <v>8490781.2118995581</v>
      </c>
      <c r="N13" s="54">
        <f t="shared" ref="N13:N76" si="5">$B$3/$B$4</f>
        <v>2458333.3333333335</v>
      </c>
      <c r="O13" s="55">
        <f t="shared" ref="O13:O76" si="6">P12*$D$11</f>
        <v>6032447.8785662251</v>
      </c>
      <c r="P13" s="53">
        <f>P12-N13</f>
        <v>231083333.33333331</v>
      </c>
      <c r="R13" s="4">
        <v>2</v>
      </c>
      <c r="S13" s="65">
        <v>2.34855003370118E-2</v>
      </c>
      <c r="T13" s="54">
        <f t="shared" ref="T13:T76" si="7">PMT($S$11,$B$4,-$B$3,,)</f>
        <v>6672790.7235049186</v>
      </c>
      <c r="U13" s="54">
        <f t="shared" ref="U13:U76" si="8">T13-V13</f>
        <v>1156575.1456249263</v>
      </c>
      <c r="V13" s="44">
        <f t="shared" ref="V13:V76" si="9">W12*S13</f>
        <v>5516215.5778799923</v>
      </c>
      <c r="W13" s="58">
        <f t="shared" ref="W13:W76" si="10">W12-U13</f>
        <v>233720923.68231162</v>
      </c>
    </row>
    <row r="14" spans="1:23" x14ac:dyDescent="0.25">
      <c r="A14" s="124" t="s">
        <v>158</v>
      </c>
      <c r="B14" s="125">
        <v>4.4200000000000003E-2</v>
      </c>
      <c r="C14" s="126">
        <f>$B$11</f>
        <v>0.10100595471426943</v>
      </c>
      <c r="D14" s="127">
        <f>NOMINAL((1+B14)*(1+C14)-1,$E$7)/$E$7</f>
        <v>2.3518176065429941E-2</v>
      </c>
      <c r="F14" s="4">
        <v>3</v>
      </c>
      <c r="G14" s="44">
        <f t="shared" si="0"/>
        <v>6672790.7235049186</v>
      </c>
      <c r="H14" s="54">
        <f t="shared" si="1"/>
        <v>607028.32445155829</v>
      </c>
      <c r="I14" s="55">
        <f t="shared" si="2"/>
        <v>6065762.3990533603</v>
      </c>
      <c r="J14" s="53">
        <f t="shared" si="3"/>
        <v>234224384.85895014</v>
      </c>
      <c r="K14" s="52"/>
      <c r="L14" s="4">
        <v>3</v>
      </c>
      <c r="M14" s="54">
        <f t="shared" si="4"/>
        <v>8427281.7605462298</v>
      </c>
      <c r="N14" s="54">
        <f t="shared" si="5"/>
        <v>2458333.3333333335</v>
      </c>
      <c r="O14" s="55">
        <f t="shared" si="6"/>
        <v>5968948.4272128958</v>
      </c>
      <c r="P14" s="53">
        <f>P13-N14</f>
        <v>228624999.99999997</v>
      </c>
      <c r="R14" s="4">
        <v>3</v>
      </c>
      <c r="S14" s="65">
        <v>2.3681476518873978E-2</v>
      </c>
      <c r="T14" s="54">
        <f t="shared" si="7"/>
        <v>6672790.7235049186</v>
      </c>
      <c r="U14" s="54">
        <f t="shared" si="8"/>
        <v>1137934.1573527185</v>
      </c>
      <c r="V14" s="44">
        <f t="shared" si="9"/>
        <v>5534856.5661522001</v>
      </c>
      <c r="W14" s="58">
        <f t="shared" si="10"/>
        <v>232582989.52495891</v>
      </c>
    </row>
    <row r="15" spans="1:23" x14ac:dyDescent="0.25">
      <c r="A15" s="122" t="s">
        <v>157</v>
      </c>
      <c r="B15" s="128">
        <v>4.3999999999999997E-2</v>
      </c>
      <c r="C15" s="126">
        <f t="shared" ref="C15:C78" si="11">$B$11</f>
        <v>0.10100595471426943</v>
      </c>
      <c r="D15" s="127">
        <f>NOMINAL((1+B15)*(1+C15)-1,$E$7)/$E$7</f>
        <v>2.34855003370118E-2</v>
      </c>
      <c r="F15" s="4">
        <v>4</v>
      </c>
      <c r="G15" s="44">
        <f t="shared" si="0"/>
        <v>6672790.7235049186</v>
      </c>
      <c r="H15" s="54">
        <f t="shared" si="1"/>
        <v>622708.03925505839</v>
      </c>
      <c r="I15" s="55">
        <f t="shared" si="2"/>
        <v>6050082.6842498602</v>
      </c>
      <c r="J15" s="53">
        <f t="shared" si="3"/>
        <v>233601676.81969509</v>
      </c>
      <c r="K15" s="52"/>
      <c r="L15" s="4">
        <v>4</v>
      </c>
      <c r="M15" s="54">
        <f t="shared" si="4"/>
        <v>8363782.3091928996</v>
      </c>
      <c r="N15" s="54">
        <f t="shared" si="5"/>
        <v>2458333.3333333335</v>
      </c>
      <c r="O15" s="55">
        <f t="shared" si="6"/>
        <v>5905448.9758595666</v>
      </c>
      <c r="P15" s="53">
        <f t="shared" ref="P15:P76" si="12">P14-N15</f>
        <v>226166666.66666663</v>
      </c>
      <c r="R15" s="4">
        <v>4</v>
      </c>
      <c r="S15" s="65">
        <v>2.3599842574782981E-2</v>
      </c>
      <c r="T15" s="54">
        <f t="shared" si="7"/>
        <v>6672790.7235049186</v>
      </c>
      <c r="U15" s="54">
        <f t="shared" si="8"/>
        <v>1183868.785143489</v>
      </c>
      <c r="V15" s="44">
        <f t="shared" si="9"/>
        <v>5488921.9383614296</v>
      </c>
      <c r="W15" s="58">
        <f t="shared" si="10"/>
        <v>231399120.73981541</v>
      </c>
    </row>
    <row r="16" spans="1:23" x14ac:dyDescent="0.25">
      <c r="A16" s="122" t="s">
        <v>156</v>
      </c>
      <c r="B16" s="128">
        <v>4.5199999999999997E-2</v>
      </c>
      <c r="C16" s="126">
        <f t="shared" si="11"/>
        <v>0.10100595471426943</v>
      </c>
      <c r="D16" s="127">
        <f t="shared" ref="D16:D19" si="13">NOMINAL((1+B16)*(1+C16)-1,$E$7)/$E$7</f>
        <v>2.3681476518873978E-2</v>
      </c>
      <c r="F16" s="4">
        <v>5</v>
      </c>
      <c r="G16" s="44">
        <f t="shared" si="0"/>
        <v>6672790.7235049186</v>
      </c>
      <c r="H16" s="54">
        <f t="shared" si="1"/>
        <v>638792.76556529664</v>
      </c>
      <c r="I16" s="55">
        <f t="shared" si="2"/>
        <v>6033997.957939622</v>
      </c>
      <c r="J16" s="53">
        <f t="shared" si="3"/>
        <v>232962884.05412978</v>
      </c>
      <c r="K16" s="52"/>
      <c r="L16" s="4">
        <v>5</v>
      </c>
      <c r="M16" s="54">
        <f t="shared" si="4"/>
        <v>8300282.8578395713</v>
      </c>
      <c r="N16" s="54">
        <f t="shared" si="5"/>
        <v>2458333.3333333335</v>
      </c>
      <c r="O16" s="55">
        <f t="shared" si="6"/>
        <v>5841949.5245062383</v>
      </c>
      <c r="P16" s="53">
        <f t="shared" si="12"/>
        <v>223708333.33333328</v>
      </c>
      <c r="R16" s="4">
        <v>5</v>
      </c>
      <c r="S16" s="65">
        <v>2.3501838853212442E-2</v>
      </c>
      <c r="T16" s="54">
        <f t="shared" si="7"/>
        <v>6672790.7235049186</v>
      </c>
      <c r="U16" s="54">
        <f t="shared" si="8"/>
        <v>1234485.877102728</v>
      </c>
      <c r="V16" s="44">
        <f t="shared" si="9"/>
        <v>5438304.8464021906</v>
      </c>
      <c r="W16" s="58">
        <f t="shared" si="10"/>
        <v>230164634.86271268</v>
      </c>
    </row>
    <row r="17" spans="1:23" x14ac:dyDescent="0.25">
      <c r="A17" s="122" t="s">
        <v>155</v>
      </c>
      <c r="B17" s="128">
        <v>4.4699999999999997E-2</v>
      </c>
      <c r="C17" s="126">
        <f t="shared" si="11"/>
        <v>0.10100595471426943</v>
      </c>
      <c r="D17" s="127">
        <f t="shared" si="13"/>
        <v>2.3599842574782981E-2</v>
      </c>
      <c r="F17" s="4">
        <v>6</v>
      </c>
      <c r="G17" s="44">
        <f t="shared" si="0"/>
        <v>6672790.7235049186</v>
      </c>
      <c r="H17" s="54">
        <f t="shared" si="1"/>
        <v>655292.96494504157</v>
      </c>
      <c r="I17" s="55">
        <f t="shared" si="2"/>
        <v>6017497.7585598771</v>
      </c>
      <c r="J17" s="53">
        <f t="shared" si="3"/>
        <v>232307591.08918473</v>
      </c>
      <c r="K17" s="52"/>
      <c r="L17" s="4">
        <v>6</v>
      </c>
      <c r="M17" s="54">
        <f t="shared" si="4"/>
        <v>8236783.406486243</v>
      </c>
      <c r="N17" s="54">
        <f t="shared" si="5"/>
        <v>2458333.3333333335</v>
      </c>
      <c r="O17" s="55">
        <f t="shared" si="6"/>
        <v>5778450.0731529091</v>
      </c>
      <c r="P17" s="53">
        <f t="shared" si="12"/>
        <v>221249999.99999994</v>
      </c>
      <c r="R17" s="4">
        <v>6</v>
      </c>
      <c r="S17" s="65">
        <v>2.4007687213135842E-2</v>
      </c>
      <c r="T17" s="54">
        <f t="shared" si="7"/>
        <v>6672790.7235049186</v>
      </c>
      <c r="U17" s="54">
        <f t="shared" si="8"/>
        <v>1147070.1621952914</v>
      </c>
      <c r="V17" s="44">
        <f t="shared" si="9"/>
        <v>5525720.5613096273</v>
      </c>
      <c r="W17" s="58">
        <f t="shared" si="10"/>
        <v>229017564.70051739</v>
      </c>
    </row>
    <row r="18" spans="1:23" x14ac:dyDescent="0.25">
      <c r="A18" s="122" t="s">
        <v>154</v>
      </c>
      <c r="B18" s="128">
        <v>4.41E-2</v>
      </c>
      <c r="C18" s="126">
        <f t="shared" si="11"/>
        <v>0.10100595471426943</v>
      </c>
      <c r="D18" s="127">
        <f t="shared" si="13"/>
        <v>2.3501838853212442E-2</v>
      </c>
      <c r="F18" s="4">
        <v>7</v>
      </c>
      <c r="G18" s="44">
        <f t="shared" si="0"/>
        <v>6672790.7235049186</v>
      </c>
      <c r="H18" s="54">
        <f t="shared" si="1"/>
        <v>672219.36918221042</v>
      </c>
      <c r="I18" s="55">
        <f t="shared" si="2"/>
        <v>6000571.3543227082</v>
      </c>
      <c r="J18" s="53">
        <f t="shared" si="3"/>
        <v>231635371.72000253</v>
      </c>
      <c r="K18" s="52"/>
      <c r="L18" s="4">
        <v>7</v>
      </c>
      <c r="M18" s="54">
        <f t="shared" si="4"/>
        <v>8173283.9551329128</v>
      </c>
      <c r="N18" s="54">
        <f t="shared" si="5"/>
        <v>2458333.3333333335</v>
      </c>
      <c r="O18" s="55">
        <f t="shared" si="6"/>
        <v>5714950.6217995798</v>
      </c>
      <c r="P18" s="53">
        <f t="shared" si="12"/>
        <v>218791666.6666666</v>
      </c>
      <c r="R18" s="4">
        <v>7</v>
      </c>
      <c r="S18" s="65">
        <v>2.4333379140650147E-2</v>
      </c>
      <c r="T18" s="54">
        <f t="shared" si="7"/>
        <v>6672790.7235049186</v>
      </c>
      <c r="U18" s="54">
        <f t="shared" si="8"/>
        <v>1100019.4917788533</v>
      </c>
      <c r="V18" s="44">
        <f t="shared" si="9"/>
        <v>5572771.2317260653</v>
      </c>
      <c r="W18" s="58">
        <f t="shared" si="10"/>
        <v>227917545.20873854</v>
      </c>
    </row>
    <row r="19" spans="1:23" x14ac:dyDescent="0.25">
      <c r="A19" s="122" t="s">
        <v>153</v>
      </c>
      <c r="B19" s="128">
        <v>4.7199999999999999E-2</v>
      </c>
      <c r="C19" s="126">
        <f t="shared" si="11"/>
        <v>0.10100595471426943</v>
      </c>
      <c r="D19" s="127">
        <f t="shared" si="13"/>
        <v>2.4007687213135842E-2</v>
      </c>
      <c r="F19" s="4">
        <v>8</v>
      </c>
      <c r="G19" s="44">
        <f t="shared" si="0"/>
        <v>6672790.7235049186</v>
      </c>
      <c r="H19" s="54">
        <f t="shared" si="1"/>
        <v>689582.98726986442</v>
      </c>
      <c r="I19" s="55">
        <f t="shared" si="2"/>
        <v>5983207.7362350542</v>
      </c>
      <c r="J19" s="53">
        <f t="shared" si="3"/>
        <v>230945788.73273265</v>
      </c>
      <c r="K19" s="52"/>
      <c r="L19" s="4">
        <v>8</v>
      </c>
      <c r="M19" s="54">
        <f t="shared" si="4"/>
        <v>8109784.5037795845</v>
      </c>
      <c r="N19" s="54">
        <f t="shared" si="5"/>
        <v>2458333.3333333335</v>
      </c>
      <c r="O19" s="55">
        <f t="shared" si="6"/>
        <v>5651451.1704462515</v>
      </c>
      <c r="P19" s="53">
        <f t="shared" si="12"/>
        <v>216333333.33333325</v>
      </c>
      <c r="R19" s="4">
        <v>8</v>
      </c>
      <c r="S19" s="65">
        <v>2.4853411707713491E-2</v>
      </c>
      <c r="T19" s="54">
        <f t="shared" si="7"/>
        <v>6672790.7235049186</v>
      </c>
      <c r="U19" s="54">
        <f t="shared" si="8"/>
        <v>1008262.1370207379</v>
      </c>
      <c r="V19" s="44">
        <f t="shared" si="9"/>
        <v>5664528.5864841808</v>
      </c>
      <c r="W19" s="58">
        <f t="shared" si="10"/>
        <v>226909283.0717178</v>
      </c>
    </row>
    <row r="20" spans="1:23" x14ac:dyDescent="0.25">
      <c r="A20" s="122" t="s">
        <v>152</v>
      </c>
      <c r="B20" s="128">
        <v>4.9200000000000001E-2</v>
      </c>
      <c r="C20" s="126">
        <f t="shared" si="11"/>
        <v>0.10100595471426943</v>
      </c>
      <c r="D20" s="127">
        <f>NOMINAL((1+B20)*(1+C20)-1,$E$7)/$E$7</f>
        <v>2.4333379140650147E-2</v>
      </c>
      <c r="F20" s="4">
        <v>9</v>
      </c>
      <c r="G20" s="44">
        <f t="shared" si="0"/>
        <v>6672790.7235049186</v>
      </c>
      <c r="H20" s="54">
        <f t="shared" si="1"/>
        <v>707395.11256649904</v>
      </c>
      <c r="I20" s="55">
        <f t="shared" si="2"/>
        <v>5965395.6109384196</v>
      </c>
      <c r="J20" s="53">
        <f t="shared" si="3"/>
        <v>230238393.62016615</v>
      </c>
      <c r="K20" s="52"/>
      <c r="L20" s="4">
        <v>9</v>
      </c>
      <c r="M20" s="54">
        <f t="shared" si="4"/>
        <v>8046285.0524262562</v>
      </c>
      <c r="N20" s="54">
        <f t="shared" si="5"/>
        <v>2458333.3333333335</v>
      </c>
      <c r="O20" s="55">
        <f t="shared" si="6"/>
        <v>5587951.7190929223</v>
      </c>
      <c r="P20" s="53">
        <f t="shared" si="12"/>
        <v>213874999.99999991</v>
      </c>
      <c r="R20" s="4">
        <v>9</v>
      </c>
      <c r="S20" s="65">
        <v>2.5663330686845676E-2</v>
      </c>
      <c r="T20" s="54">
        <f t="shared" si="7"/>
        <v>6672790.7235049186</v>
      </c>
      <c r="U20" s="54">
        <f t="shared" si="8"/>
        <v>849542.75612035114</v>
      </c>
      <c r="V20" s="44">
        <f t="shared" si="9"/>
        <v>5823247.9673845675</v>
      </c>
      <c r="W20" s="58">
        <f t="shared" si="10"/>
        <v>226059740.31559744</v>
      </c>
    </row>
    <row r="21" spans="1:23" x14ac:dyDescent="0.25">
      <c r="A21" s="122" t="s">
        <v>151</v>
      </c>
      <c r="B21" s="128">
        <v>5.2400000000000002E-2</v>
      </c>
      <c r="C21" s="126">
        <f t="shared" si="11"/>
        <v>0.10100595471426943</v>
      </c>
      <c r="D21" s="127">
        <f t="shared" ref="D21:D84" si="14">NOMINAL((1+B21)*(1+C21)-1,$E$7)/$E$7</f>
        <v>2.4853411707713491E-2</v>
      </c>
      <c r="F21" s="4">
        <v>10</v>
      </c>
      <c r="G21" s="44">
        <f t="shared" si="0"/>
        <v>6672790.7235049186</v>
      </c>
      <c r="H21" s="54">
        <f t="shared" si="1"/>
        <v>725667.33014127892</v>
      </c>
      <c r="I21" s="55">
        <f t="shared" si="2"/>
        <v>5947123.3933636397</v>
      </c>
      <c r="J21" s="53">
        <f t="shared" si="3"/>
        <v>229512726.29002488</v>
      </c>
      <c r="K21" s="52"/>
      <c r="L21" s="4">
        <v>10</v>
      </c>
      <c r="M21" s="54">
        <f t="shared" si="4"/>
        <v>7982785.6010729261</v>
      </c>
      <c r="N21" s="54">
        <f t="shared" si="5"/>
        <v>2458333.3333333335</v>
      </c>
      <c r="O21" s="55">
        <f t="shared" si="6"/>
        <v>5524452.2677395931</v>
      </c>
      <c r="P21" s="53">
        <f t="shared" si="12"/>
        <v>211416666.66666657</v>
      </c>
      <c r="R21" s="4">
        <v>10</v>
      </c>
      <c r="S21" s="65">
        <v>2.6486166832260682E-2</v>
      </c>
      <c r="T21" s="54">
        <f t="shared" si="7"/>
        <v>6672790.7235049186</v>
      </c>
      <c r="U21" s="54">
        <f t="shared" si="8"/>
        <v>685334.72744847834</v>
      </c>
      <c r="V21" s="44">
        <f t="shared" si="9"/>
        <v>5987455.9960564403</v>
      </c>
      <c r="W21" s="58">
        <f t="shared" si="10"/>
        <v>225374405.58814895</v>
      </c>
    </row>
    <row r="22" spans="1:23" x14ac:dyDescent="0.25">
      <c r="A22" s="122" t="s">
        <v>150</v>
      </c>
      <c r="B22" s="128">
        <v>5.74E-2</v>
      </c>
      <c r="C22" s="126">
        <f t="shared" si="11"/>
        <v>0.10100595471426943</v>
      </c>
      <c r="D22" s="127">
        <f t="shared" si="14"/>
        <v>2.5663330686845676E-2</v>
      </c>
      <c r="F22" s="4">
        <v>11</v>
      </c>
      <c r="G22" s="44">
        <f t="shared" si="0"/>
        <v>6672790.7235049186</v>
      </c>
      <c r="H22" s="54">
        <f t="shared" si="1"/>
        <v>744411.52430900931</v>
      </c>
      <c r="I22" s="55">
        <f t="shared" si="2"/>
        <v>5928379.1991959093</v>
      </c>
      <c r="J22" s="53">
        <f t="shared" si="3"/>
        <v>228768314.76571587</v>
      </c>
      <c r="K22" s="52"/>
      <c r="L22" s="4">
        <v>11</v>
      </c>
      <c r="M22" s="54">
        <f t="shared" si="4"/>
        <v>7919286.1497195978</v>
      </c>
      <c r="N22" s="54">
        <f t="shared" si="5"/>
        <v>2458333.3333333335</v>
      </c>
      <c r="O22" s="55">
        <f t="shared" si="6"/>
        <v>5460952.8163862638</v>
      </c>
      <c r="P22" s="53">
        <f t="shared" si="12"/>
        <v>208958333.33333322</v>
      </c>
      <c r="R22" s="4">
        <v>11</v>
      </c>
      <c r="S22" s="65">
        <v>2.6647121162395981E-2</v>
      </c>
      <c r="T22" s="54">
        <f t="shared" si="7"/>
        <v>6672790.7235049186</v>
      </c>
      <c r="U22" s="54">
        <f t="shared" si="8"/>
        <v>667211.63089453988</v>
      </c>
      <c r="V22" s="44">
        <f t="shared" si="9"/>
        <v>6005579.0926103787</v>
      </c>
      <c r="W22" s="58">
        <f t="shared" si="10"/>
        <v>224707193.95725441</v>
      </c>
    </row>
    <row r="23" spans="1:23" x14ac:dyDescent="0.25">
      <c r="A23" s="122" t="s">
        <v>149</v>
      </c>
      <c r="B23" s="128">
        <v>6.25E-2</v>
      </c>
      <c r="C23" s="126">
        <f t="shared" si="11"/>
        <v>0.10100595471426943</v>
      </c>
      <c r="D23" s="127">
        <f t="shared" si="14"/>
        <v>2.6486166832260682E-2</v>
      </c>
      <c r="F23" s="4">
        <v>12</v>
      </c>
      <c r="G23" s="44">
        <f t="shared" si="0"/>
        <v>6672790.7235049186</v>
      </c>
      <c r="H23" s="54">
        <f t="shared" si="1"/>
        <v>763639.88635974191</v>
      </c>
      <c r="I23" s="55">
        <f t="shared" si="2"/>
        <v>5909150.8371451767</v>
      </c>
      <c r="J23" s="53">
        <f t="shared" si="3"/>
        <v>228004674.87935612</v>
      </c>
      <c r="K23" s="52"/>
      <c r="L23" s="4">
        <v>12</v>
      </c>
      <c r="M23" s="54">
        <f t="shared" si="4"/>
        <v>7855786.6983662695</v>
      </c>
      <c r="N23" s="54">
        <f t="shared" si="5"/>
        <v>2458333.3333333335</v>
      </c>
      <c r="O23" s="55">
        <f t="shared" si="6"/>
        <v>5397453.3650329355</v>
      </c>
      <c r="P23" s="53">
        <f t="shared" si="12"/>
        <v>206499999.99999988</v>
      </c>
      <c r="R23" s="4">
        <v>12</v>
      </c>
      <c r="S23" s="65">
        <v>2.7129228596688204E-2</v>
      </c>
      <c r="T23" s="54">
        <f t="shared" si="7"/>
        <v>6672790.7235049186</v>
      </c>
      <c r="U23" s="54">
        <f t="shared" si="8"/>
        <v>576657.89131820947</v>
      </c>
      <c r="V23" s="44">
        <f t="shared" si="9"/>
        <v>6096132.8321867092</v>
      </c>
      <c r="W23" s="58">
        <f t="shared" si="10"/>
        <v>224130536.06593621</v>
      </c>
    </row>
    <row r="24" spans="1:23" x14ac:dyDescent="0.25">
      <c r="A24" s="122" t="s">
        <v>148</v>
      </c>
      <c r="B24" s="128">
        <v>6.3500000000000001E-2</v>
      </c>
      <c r="C24" s="126">
        <f t="shared" si="11"/>
        <v>0.10100595471426943</v>
      </c>
      <c r="D24" s="127">
        <f t="shared" si="14"/>
        <v>2.6647121162395981E-2</v>
      </c>
      <c r="F24" s="4">
        <v>13</v>
      </c>
      <c r="G24" s="44">
        <f t="shared" si="0"/>
        <v>6672790.7235049186</v>
      </c>
      <c r="H24" s="54">
        <f t="shared" si="1"/>
        <v>783364.92248802539</v>
      </c>
      <c r="I24" s="55">
        <f t="shared" si="2"/>
        <v>5889425.8010168932</v>
      </c>
      <c r="J24" s="53">
        <f t="shared" si="3"/>
        <v>227221309.95686808</v>
      </c>
      <c r="K24" s="52"/>
      <c r="L24" s="4">
        <v>13</v>
      </c>
      <c r="M24" s="54">
        <f t="shared" si="4"/>
        <v>7792287.2470129393</v>
      </c>
      <c r="N24" s="54">
        <f t="shared" si="5"/>
        <v>2458333.3333333335</v>
      </c>
      <c r="O24" s="55">
        <f t="shared" si="6"/>
        <v>5333953.9136796063</v>
      </c>
      <c r="P24" s="53">
        <f t="shared" si="12"/>
        <v>204041666.66666654</v>
      </c>
      <c r="R24" s="4">
        <v>13</v>
      </c>
      <c r="S24" s="65">
        <v>2.7417950863807494E-2</v>
      </c>
      <c r="T24" s="54">
        <f t="shared" si="7"/>
        <v>6672790.7235049186</v>
      </c>
      <c r="U24" s="54">
        <f t="shared" si="8"/>
        <v>527590.69857024588</v>
      </c>
      <c r="V24" s="44">
        <f t="shared" si="9"/>
        <v>6145200.0249346728</v>
      </c>
      <c r="W24" s="58">
        <f t="shared" si="10"/>
        <v>223602945.36736596</v>
      </c>
    </row>
    <row r="25" spans="1:23" x14ac:dyDescent="0.25">
      <c r="A25" s="122" t="s">
        <v>147</v>
      </c>
      <c r="B25" s="128">
        <v>6.6500000000000004E-2</v>
      </c>
      <c r="C25" s="126">
        <f t="shared" si="11"/>
        <v>0.10100595471426943</v>
      </c>
      <c r="D25" s="127">
        <f t="shared" si="14"/>
        <v>2.7129228596688204E-2</v>
      </c>
      <c r="F25" s="4">
        <v>14</v>
      </c>
      <c r="G25" s="44">
        <f t="shared" si="0"/>
        <v>6672790.7235049186</v>
      </c>
      <c r="H25" s="54">
        <f t="shared" si="1"/>
        <v>803599.46192698088</v>
      </c>
      <c r="I25" s="55">
        <f t="shared" si="2"/>
        <v>5869191.2615779378</v>
      </c>
      <c r="J25" s="53">
        <f t="shared" si="3"/>
        <v>226417710.49494112</v>
      </c>
      <c r="K25" s="52"/>
      <c r="L25" s="4">
        <v>14</v>
      </c>
      <c r="M25" s="54">
        <f t="shared" si="4"/>
        <v>7728787.795659611</v>
      </c>
      <c r="N25" s="54">
        <f t="shared" si="5"/>
        <v>2458333.3333333335</v>
      </c>
      <c r="O25" s="55">
        <f t="shared" si="6"/>
        <v>5270454.462326277</v>
      </c>
      <c r="P25" s="53">
        <f t="shared" si="12"/>
        <v>201583333.33333319</v>
      </c>
      <c r="R25" s="4">
        <v>14</v>
      </c>
      <c r="S25" s="65">
        <v>2.7546141761528586E-2</v>
      </c>
      <c r="T25" s="54">
        <f t="shared" si="7"/>
        <v>6672790.7235049186</v>
      </c>
      <c r="U25" s="54">
        <f t="shared" si="8"/>
        <v>513392.29212012421</v>
      </c>
      <c r="V25" s="44">
        <f t="shared" si="9"/>
        <v>6159398.4313847944</v>
      </c>
      <c r="W25" s="58">
        <f t="shared" si="10"/>
        <v>223089553.07524583</v>
      </c>
    </row>
    <row r="26" spans="1:23" x14ac:dyDescent="0.25">
      <c r="A26" s="122" t="s">
        <v>146</v>
      </c>
      <c r="B26" s="128">
        <v>6.83E-2</v>
      </c>
      <c r="C26" s="126">
        <f t="shared" si="11"/>
        <v>0.10100595471426943</v>
      </c>
      <c r="D26" s="127">
        <f t="shared" si="14"/>
        <v>2.7417950863807494E-2</v>
      </c>
      <c r="F26" s="4">
        <v>15</v>
      </c>
      <c r="G26" s="44">
        <f t="shared" si="0"/>
        <v>6672790.7235049186</v>
      </c>
      <c r="H26" s="54">
        <f t="shared" si="1"/>
        <v>824356.66529248282</v>
      </c>
      <c r="I26" s="55">
        <f t="shared" si="2"/>
        <v>5848434.0582124358</v>
      </c>
      <c r="J26" s="53">
        <f t="shared" si="3"/>
        <v>225593353.82964864</v>
      </c>
      <c r="K26" s="52"/>
      <c r="L26" s="4">
        <v>15</v>
      </c>
      <c r="M26" s="54">
        <f t="shared" si="4"/>
        <v>7665288.3443062827</v>
      </c>
      <c r="N26" s="54">
        <f t="shared" si="5"/>
        <v>2458333.3333333335</v>
      </c>
      <c r="O26" s="55">
        <f t="shared" si="6"/>
        <v>5206955.0109729487</v>
      </c>
      <c r="P26" s="53">
        <f t="shared" si="12"/>
        <v>199124999.99999985</v>
      </c>
      <c r="R26" s="4">
        <v>15</v>
      </c>
      <c r="S26" s="65">
        <v>2.8106038794958765E-2</v>
      </c>
      <c r="T26" s="54">
        <f t="shared" si="7"/>
        <v>6672790.7235049186</v>
      </c>
      <c r="U26" s="54">
        <f t="shared" si="8"/>
        <v>402627.09002204705</v>
      </c>
      <c r="V26" s="44">
        <f t="shared" si="9"/>
        <v>6270163.6334828716</v>
      </c>
      <c r="W26" s="58">
        <f t="shared" si="10"/>
        <v>222686925.98522377</v>
      </c>
    </row>
    <row r="27" spans="1:23" x14ac:dyDescent="0.25">
      <c r="A27" s="122" t="s">
        <v>145</v>
      </c>
      <c r="B27" s="128">
        <v>6.9099999999999995E-2</v>
      </c>
      <c r="C27" s="126">
        <f t="shared" si="11"/>
        <v>0.10100595471426943</v>
      </c>
      <c r="D27" s="127">
        <f t="shared" si="14"/>
        <v>2.7546141761528586E-2</v>
      </c>
      <c r="F27" s="4">
        <v>16</v>
      </c>
      <c r="G27" s="44">
        <f t="shared" si="0"/>
        <v>6672790.7235049186</v>
      </c>
      <c r="H27" s="54">
        <f t="shared" si="1"/>
        <v>845650.03314286843</v>
      </c>
      <c r="I27" s="55">
        <f t="shared" si="2"/>
        <v>5827140.6903620502</v>
      </c>
      <c r="J27" s="53">
        <f t="shared" si="3"/>
        <v>224747703.79650578</v>
      </c>
      <c r="K27" s="52"/>
      <c r="L27" s="4">
        <v>16</v>
      </c>
      <c r="M27" s="54">
        <f t="shared" si="4"/>
        <v>7601788.8929529525</v>
      </c>
      <c r="N27" s="54">
        <f t="shared" si="5"/>
        <v>2458333.3333333335</v>
      </c>
      <c r="O27" s="55">
        <f t="shared" si="6"/>
        <v>5143455.5596196195</v>
      </c>
      <c r="P27" s="53">
        <f t="shared" si="12"/>
        <v>196666666.66666651</v>
      </c>
      <c r="R27" s="4">
        <v>16</v>
      </c>
      <c r="S27" s="65">
        <v>2.7994181314289435E-2</v>
      </c>
      <c r="T27" s="54">
        <f t="shared" si="7"/>
        <v>6672790.7235049186</v>
      </c>
      <c r="U27" s="54">
        <f t="shared" si="8"/>
        <v>438852.54115281254</v>
      </c>
      <c r="V27" s="44">
        <f t="shared" si="9"/>
        <v>6233938.1823521061</v>
      </c>
      <c r="W27" s="58">
        <f t="shared" si="10"/>
        <v>222248073.44407097</v>
      </c>
    </row>
    <row r="28" spans="1:23" x14ac:dyDescent="0.25">
      <c r="A28" s="122" t="s">
        <v>144</v>
      </c>
      <c r="B28" s="128">
        <v>7.2599999999999998E-2</v>
      </c>
      <c r="C28" s="126">
        <f t="shared" si="11"/>
        <v>0.10100595471426943</v>
      </c>
      <c r="D28" s="127">
        <f t="shared" si="14"/>
        <v>2.8106038794958765E-2</v>
      </c>
      <c r="F28" s="4">
        <v>17</v>
      </c>
      <c r="G28" s="44">
        <f t="shared" si="0"/>
        <v>6672790.7235049186</v>
      </c>
      <c r="H28" s="54">
        <f t="shared" si="1"/>
        <v>867493.41475974862</v>
      </c>
      <c r="I28" s="55">
        <f t="shared" si="2"/>
        <v>5805297.30874517</v>
      </c>
      <c r="J28" s="53">
        <f t="shared" si="3"/>
        <v>223880210.38174602</v>
      </c>
      <c r="K28" s="52"/>
      <c r="L28" s="4">
        <v>17</v>
      </c>
      <c r="M28" s="54">
        <f t="shared" si="4"/>
        <v>7538289.4415996242</v>
      </c>
      <c r="N28" s="54">
        <f t="shared" si="5"/>
        <v>2458333.3333333335</v>
      </c>
      <c r="O28" s="55">
        <f t="shared" si="6"/>
        <v>5079956.1082662903</v>
      </c>
      <c r="P28" s="53">
        <f t="shared" si="12"/>
        <v>194208333.33333316</v>
      </c>
      <c r="R28" s="4">
        <v>17</v>
      </c>
      <c r="S28" s="65">
        <v>2.797819670528412E-2</v>
      </c>
      <c r="T28" s="54">
        <f t="shared" si="7"/>
        <v>6672790.7235049186</v>
      </c>
      <c r="U28" s="54">
        <f t="shared" si="8"/>
        <v>454690.40731626935</v>
      </c>
      <c r="V28" s="44">
        <f t="shared" si="9"/>
        <v>6218100.3161886493</v>
      </c>
      <c r="W28" s="58">
        <f t="shared" si="10"/>
        <v>221793383.0367547</v>
      </c>
    </row>
    <row r="29" spans="1:23" x14ac:dyDescent="0.25">
      <c r="A29" s="122" t="s">
        <v>143</v>
      </c>
      <c r="B29" s="128">
        <v>7.1900000000000006E-2</v>
      </c>
      <c r="C29" s="126">
        <f t="shared" si="11"/>
        <v>0.10100595471426943</v>
      </c>
      <c r="D29" s="127">
        <f t="shared" si="14"/>
        <v>2.7994181314289435E-2</v>
      </c>
      <c r="F29" s="4">
        <v>18</v>
      </c>
      <c r="G29" s="44">
        <f t="shared" si="0"/>
        <v>6672790.7235049186</v>
      </c>
      <c r="H29" s="54">
        <f t="shared" si="1"/>
        <v>889901.01715562772</v>
      </c>
      <c r="I29" s="55">
        <f t="shared" si="2"/>
        <v>5782889.7063492909</v>
      </c>
      <c r="J29" s="53">
        <f t="shared" si="3"/>
        <v>222990309.36459041</v>
      </c>
      <c r="K29" s="52"/>
      <c r="L29" s="4">
        <v>18</v>
      </c>
      <c r="M29" s="54">
        <f t="shared" si="4"/>
        <v>7474789.9902462959</v>
      </c>
      <c r="N29" s="54">
        <f t="shared" si="5"/>
        <v>2458333.3333333335</v>
      </c>
      <c r="O29" s="55">
        <f t="shared" si="6"/>
        <v>5016456.656912962</v>
      </c>
      <c r="P29" s="53">
        <f t="shared" si="12"/>
        <v>191749999.99999982</v>
      </c>
      <c r="R29" s="4">
        <v>18</v>
      </c>
      <c r="S29" s="65">
        <v>2.7834279269792761E-2</v>
      </c>
      <c r="T29" s="54">
        <f t="shared" si="7"/>
        <v>6672790.7235049186</v>
      </c>
      <c r="U29" s="54">
        <f t="shared" si="8"/>
        <v>499331.75986777153</v>
      </c>
      <c r="V29" s="44">
        <f t="shared" si="9"/>
        <v>6173458.9636371471</v>
      </c>
      <c r="W29" s="58">
        <f t="shared" si="10"/>
        <v>221294051.27688694</v>
      </c>
    </row>
    <row r="30" spans="1:23" x14ac:dyDescent="0.25">
      <c r="A30" s="122" t="s">
        <v>142</v>
      </c>
      <c r="B30" s="128">
        <v>7.1800000000000003E-2</v>
      </c>
      <c r="C30" s="126">
        <f t="shared" si="11"/>
        <v>0.10100595471426943</v>
      </c>
      <c r="D30" s="127">
        <f t="shared" si="14"/>
        <v>2.797819670528412E-2</v>
      </c>
      <c r="F30" s="4">
        <v>19</v>
      </c>
      <c r="G30" s="44">
        <f t="shared" si="0"/>
        <v>6672790.7235049186</v>
      </c>
      <c r="H30" s="54">
        <f t="shared" si="1"/>
        <v>912887.41431419738</v>
      </c>
      <c r="I30" s="55">
        <f t="shared" si="2"/>
        <v>5759903.3091907213</v>
      </c>
      <c r="J30" s="53">
        <f t="shared" si="3"/>
        <v>222077421.9502762</v>
      </c>
      <c r="K30" s="52"/>
      <c r="L30" s="4">
        <v>19</v>
      </c>
      <c r="M30" s="54">
        <f t="shared" si="4"/>
        <v>7411290.5388929658</v>
      </c>
      <c r="N30" s="54">
        <f t="shared" si="5"/>
        <v>2458333.3333333335</v>
      </c>
      <c r="O30" s="55">
        <f t="shared" si="6"/>
        <v>4952957.2055596327</v>
      </c>
      <c r="P30" s="53">
        <f t="shared" si="12"/>
        <v>189291666.66666648</v>
      </c>
      <c r="R30" s="4">
        <v>19</v>
      </c>
      <c r="S30" s="65">
        <v>2.7706268020202485E-2</v>
      </c>
      <c r="T30" s="54">
        <f t="shared" si="7"/>
        <v>6672790.7235049186</v>
      </c>
      <c r="U30" s="54">
        <f t="shared" si="8"/>
        <v>541558.42755105719</v>
      </c>
      <c r="V30" s="44">
        <f t="shared" si="9"/>
        <v>6131232.2959538614</v>
      </c>
      <c r="W30" s="58">
        <f t="shared" si="10"/>
        <v>220752492.84933588</v>
      </c>
    </row>
    <row r="31" spans="1:23" x14ac:dyDescent="0.25">
      <c r="A31" s="122" t="s">
        <v>141</v>
      </c>
      <c r="B31" s="128">
        <v>7.0900000000000005E-2</v>
      </c>
      <c r="C31" s="126">
        <f t="shared" si="11"/>
        <v>0.10100595471426943</v>
      </c>
      <c r="D31" s="127">
        <f t="shared" si="14"/>
        <v>2.7834279269792761E-2</v>
      </c>
      <c r="F31" s="4">
        <v>20</v>
      </c>
      <c r="G31" s="44">
        <f t="shared" si="0"/>
        <v>6672790.7235049186</v>
      </c>
      <c r="H31" s="54">
        <f t="shared" si="1"/>
        <v>936467.55666930694</v>
      </c>
      <c r="I31" s="55">
        <f t="shared" si="2"/>
        <v>5736323.1668356117</v>
      </c>
      <c r="J31" s="53">
        <f t="shared" si="3"/>
        <v>221140954.3936069</v>
      </c>
      <c r="K31" s="52"/>
      <c r="L31" s="4">
        <v>20</v>
      </c>
      <c r="M31" s="54">
        <f t="shared" si="4"/>
        <v>7347791.0875396375</v>
      </c>
      <c r="N31" s="54">
        <f t="shared" si="5"/>
        <v>2458333.3333333335</v>
      </c>
      <c r="O31" s="55">
        <f t="shared" si="6"/>
        <v>4889457.7542063035</v>
      </c>
      <c r="P31" s="53">
        <f t="shared" si="12"/>
        <v>186833333.33333313</v>
      </c>
      <c r="R31" s="4">
        <v>20</v>
      </c>
      <c r="S31" s="65">
        <v>2.7562160002679859E-2</v>
      </c>
      <c r="T31" s="54">
        <f t="shared" si="7"/>
        <v>6672790.7235049186</v>
      </c>
      <c r="U31" s="54">
        <f t="shared" si="8"/>
        <v>588375.19460108224</v>
      </c>
      <c r="V31" s="44">
        <f t="shared" si="9"/>
        <v>6084415.5289038364</v>
      </c>
      <c r="W31" s="58">
        <f t="shared" si="10"/>
        <v>220164117.65473479</v>
      </c>
    </row>
    <row r="32" spans="1:23" x14ac:dyDescent="0.25">
      <c r="A32" s="122" t="s">
        <v>140</v>
      </c>
      <c r="B32" s="128">
        <v>7.0099999999999996E-2</v>
      </c>
      <c r="C32" s="126">
        <f t="shared" si="11"/>
        <v>0.10100595471426943</v>
      </c>
      <c r="D32" s="127">
        <f t="shared" si="14"/>
        <v>2.7706268020202485E-2</v>
      </c>
      <c r="F32" s="4">
        <v>21</v>
      </c>
      <c r="G32" s="44">
        <f t="shared" si="0"/>
        <v>6672790.7235049186</v>
      </c>
      <c r="H32" s="54">
        <f t="shared" si="1"/>
        <v>960656.78082877584</v>
      </c>
      <c r="I32" s="55">
        <f t="shared" si="2"/>
        <v>5712133.9426761428</v>
      </c>
      <c r="J32" s="53">
        <f t="shared" si="3"/>
        <v>220180297.61277813</v>
      </c>
      <c r="K32" s="52"/>
      <c r="L32" s="4">
        <v>21</v>
      </c>
      <c r="M32" s="54">
        <f t="shared" si="4"/>
        <v>7284291.6361863092</v>
      </c>
      <c r="N32" s="54">
        <f t="shared" si="5"/>
        <v>2458333.3333333335</v>
      </c>
      <c r="O32" s="55">
        <f t="shared" si="6"/>
        <v>4825958.3028529752</v>
      </c>
      <c r="P32" s="53">
        <f t="shared" si="12"/>
        <v>184374999.99999979</v>
      </c>
      <c r="R32" s="4">
        <v>21</v>
      </c>
      <c r="S32" s="65">
        <v>2.7594192739962331E-2</v>
      </c>
      <c r="T32" s="54">
        <f t="shared" si="7"/>
        <v>6672790.7235049186</v>
      </c>
      <c r="U32" s="54">
        <f t="shared" si="8"/>
        <v>597539.62651642319</v>
      </c>
      <c r="V32" s="44">
        <f t="shared" si="9"/>
        <v>6075251.0969884954</v>
      </c>
      <c r="W32" s="58">
        <f t="shared" si="10"/>
        <v>219566578.02821836</v>
      </c>
    </row>
    <row r="33" spans="1:23" x14ac:dyDescent="0.25">
      <c r="A33" s="122" t="s">
        <v>139</v>
      </c>
      <c r="B33" s="128">
        <v>6.9199999999999998E-2</v>
      </c>
      <c r="C33" s="126">
        <f t="shared" si="11"/>
        <v>0.10100595471426943</v>
      </c>
      <c r="D33" s="127">
        <f t="shared" si="14"/>
        <v>2.7562160002679859E-2</v>
      </c>
      <c r="F33" s="4">
        <v>22</v>
      </c>
      <c r="G33" s="44">
        <f t="shared" si="0"/>
        <v>6672790.7235049186</v>
      </c>
      <c r="H33" s="54">
        <f t="shared" si="1"/>
        <v>985470.81954937801</v>
      </c>
      <c r="I33" s="55">
        <f t="shared" si="2"/>
        <v>5687319.9039555406</v>
      </c>
      <c r="J33" s="53">
        <f t="shared" si="3"/>
        <v>219194826.79322875</v>
      </c>
      <c r="K33" s="52"/>
      <c r="L33" s="4">
        <v>22</v>
      </c>
      <c r="M33" s="54">
        <f t="shared" si="4"/>
        <v>7220792.184832979</v>
      </c>
      <c r="N33" s="54">
        <f t="shared" si="5"/>
        <v>2458333.3333333335</v>
      </c>
      <c r="O33" s="55">
        <f t="shared" si="6"/>
        <v>4762458.851499646</v>
      </c>
      <c r="P33" s="53">
        <f t="shared" si="12"/>
        <v>181916666.66666645</v>
      </c>
      <c r="R33" s="4">
        <v>22</v>
      </c>
      <c r="S33" s="65">
        <v>2.7337790923641192E-2</v>
      </c>
      <c r="T33" s="54">
        <f t="shared" si="7"/>
        <v>6672790.7235049186</v>
      </c>
      <c r="U33" s="54">
        <f t="shared" si="8"/>
        <v>670325.51955013536</v>
      </c>
      <c r="V33" s="44">
        <f t="shared" si="9"/>
        <v>6002465.2039547833</v>
      </c>
      <c r="W33" s="58">
        <f t="shared" si="10"/>
        <v>218896252.50866821</v>
      </c>
    </row>
    <row r="34" spans="1:23" x14ac:dyDescent="0.25">
      <c r="A34" s="122" t="s">
        <v>138</v>
      </c>
      <c r="B34" s="128">
        <v>6.9400000000000003E-2</v>
      </c>
      <c r="C34" s="126">
        <f t="shared" si="11"/>
        <v>0.10100595471426943</v>
      </c>
      <c r="D34" s="127">
        <f t="shared" si="14"/>
        <v>2.7594192739962331E-2</v>
      </c>
      <c r="F34" s="4">
        <v>23</v>
      </c>
      <c r="G34" s="44">
        <f t="shared" si="0"/>
        <v>6672790.7235049186</v>
      </c>
      <c r="H34" s="54">
        <f t="shared" si="1"/>
        <v>1010925.811969487</v>
      </c>
      <c r="I34" s="55">
        <f t="shared" si="2"/>
        <v>5661864.9115354316</v>
      </c>
      <c r="J34" s="53">
        <f t="shared" si="3"/>
        <v>218183900.98125926</v>
      </c>
      <c r="K34" s="52"/>
      <c r="L34" s="4">
        <v>23</v>
      </c>
      <c r="M34" s="54">
        <f t="shared" si="4"/>
        <v>7157292.7334796507</v>
      </c>
      <c r="N34" s="54">
        <f t="shared" si="5"/>
        <v>2458333.3333333335</v>
      </c>
      <c r="O34" s="55">
        <f t="shared" si="6"/>
        <v>4698959.4001463167</v>
      </c>
      <c r="P34" s="53">
        <f t="shared" si="12"/>
        <v>179458333.3333331</v>
      </c>
      <c r="R34" s="4">
        <v>23</v>
      </c>
      <c r="S34" s="65">
        <v>2.7129228596688204E-2</v>
      </c>
      <c r="T34" s="54">
        <f t="shared" si="7"/>
        <v>6672790.7235049186</v>
      </c>
      <c r="U34" s="54">
        <f t="shared" si="8"/>
        <v>734304.25023887493</v>
      </c>
      <c r="V34" s="44">
        <f t="shared" si="9"/>
        <v>5938486.4732660437</v>
      </c>
      <c r="W34" s="58">
        <f t="shared" si="10"/>
        <v>218161948.25842935</v>
      </c>
    </row>
    <row r="35" spans="1:23" x14ac:dyDescent="0.25">
      <c r="A35" s="122" t="s">
        <v>137</v>
      </c>
      <c r="B35" s="128">
        <v>6.7799999999999999E-2</v>
      </c>
      <c r="C35" s="126">
        <f t="shared" si="11"/>
        <v>0.10100595471426943</v>
      </c>
      <c r="D35" s="127">
        <f t="shared" si="14"/>
        <v>2.7337790923641192E-2</v>
      </c>
      <c r="F35" s="4">
        <v>24</v>
      </c>
      <c r="G35" s="44">
        <f t="shared" si="0"/>
        <v>6672790.7235049186</v>
      </c>
      <c r="H35" s="54">
        <f t="shared" si="1"/>
        <v>1037038.314106022</v>
      </c>
      <c r="I35" s="55">
        <f t="shared" si="2"/>
        <v>5635752.4093988966</v>
      </c>
      <c r="J35" s="53">
        <f t="shared" si="3"/>
        <v>217146862.66715324</v>
      </c>
      <c r="K35" s="52"/>
      <c r="L35" s="4">
        <v>24</v>
      </c>
      <c r="M35" s="54">
        <f t="shared" si="4"/>
        <v>7093793.2821263224</v>
      </c>
      <c r="N35" s="54">
        <f t="shared" si="5"/>
        <v>2458333.3333333335</v>
      </c>
      <c r="O35" s="55">
        <f t="shared" si="6"/>
        <v>4635459.9487929884</v>
      </c>
      <c r="P35" s="53">
        <f t="shared" si="12"/>
        <v>176999999.99999976</v>
      </c>
      <c r="R35" s="4">
        <v>24</v>
      </c>
      <c r="S35" s="65">
        <v>2.6936521404556935E-2</v>
      </c>
      <c r="T35" s="54">
        <f t="shared" si="7"/>
        <v>6672790.7235049186</v>
      </c>
      <c r="U35" s="54">
        <f t="shared" si="8"/>
        <v>796266.73458189424</v>
      </c>
      <c r="V35" s="44">
        <f t="shared" si="9"/>
        <v>5876523.9889230244</v>
      </c>
      <c r="W35" s="58">
        <f t="shared" si="10"/>
        <v>217365681.52384746</v>
      </c>
    </row>
    <row r="36" spans="1:23" x14ac:dyDescent="0.25">
      <c r="A36" s="122" t="s">
        <v>136</v>
      </c>
      <c r="B36" s="128">
        <v>6.6500000000000004E-2</v>
      </c>
      <c r="C36" s="126">
        <f t="shared" si="11"/>
        <v>0.10100595471426943</v>
      </c>
      <c r="D36" s="127">
        <f t="shared" si="14"/>
        <v>2.7129228596688204E-2</v>
      </c>
      <c r="F36" s="4">
        <v>25</v>
      </c>
      <c r="G36" s="44">
        <f t="shared" si="0"/>
        <v>6672790.7235049186</v>
      </c>
      <c r="H36" s="54">
        <f t="shared" si="1"/>
        <v>1063825.309622542</v>
      </c>
      <c r="I36" s="55">
        <f t="shared" si="2"/>
        <v>5608965.4138823766</v>
      </c>
      <c r="J36" s="53">
        <f t="shared" si="3"/>
        <v>216083037.35753068</v>
      </c>
      <c r="K36" s="52"/>
      <c r="L36" s="4">
        <v>25</v>
      </c>
      <c r="M36" s="54">
        <f t="shared" si="4"/>
        <v>7030293.8307729922</v>
      </c>
      <c r="N36" s="54">
        <f t="shared" si="5"/>
        <v>2458333.3333333335</v>
      </c>
      <c r="O36" s="55">
        <f t="shared" si="6"/>
        <v>4571960.4974396592</v>
      </c>
      <c r="P36" s="53">
        <f t="shared" si="12"/>
        <v>174541666.66666642</v>
      </c>
      <c r="R36" s="4">
        <v>25</v>
      </c>
      <c r="S36" s="65">
        <v>2.6357312451088744E-2</v>
      </c>
      <c r="T36" s="54">
        <f t="shared" si="7"/>
        <v>6672790.7235049186</v>
      </c>
      <c r="U36" s="54">
        <f t="shared" si="8"/>
        <v>943615.53943702392</v>
      </c>
      <c r="V36" s="44">
        <f t="shared" si="9"/>
        <v>5729175.1840678947</v>
      </c>
      <c r="W36" s="58">
        <f t="shared" si="10"/>
        <v>216422065.98441043</v>
      </c>
    </row>
    <row r="37" spans="1:23" x14ac:dyDescent="0.25">
      <c r="A37" s="122" t="s">
        <v>135</v>
      </c>
      <c r="B37" s="128">
        <v>6.5299999999999997E-2</v>
      </c>
      <c r="C37" s="126">
        <f t="shared" si="11"/>
        <v>0.10100595471426943</v>
      </c>
      <c r="D37" s="127">
        <f t="shared" si="14"/>
        <v>2.6936521404556935E-2</v>
      </c>
      <c r="F37" s="4">
        <v>26</v>
      </c>
      <c r="G37" s="44">
        <f t="shared" si="0"/>
        <v>6672790.7235049186</v>
      </c>
      <c r="H37" s="54">
        <f t="shared" si="1"/>
        <v>1091304.2208754849</v>
      </c>
      <c r="I37" s="55">
        <f t="shared" si="2"/>
        <v>5581486.5026294338</v>
      </c>
      <c r="J37" s="53">
        <f t="shared" si="3"/>
        <v>214991733.13665521</v>
      </c>
      <c r="K37" s="52"/>
      <c r="L37" s="4">
        <v>26</v>
      </c>
      <c r="M37" s="54">
        <f t="shared" si="4"/>
        <v>6966794.3794196639</v>
      </c>
      <c r="N37" s="54">
        <f t="shared" si="5"/>
        <v>2458333.3333333335</v>
      </c>
      <c r="O37" s="55">
        <f t="shared" si="6"/>
        <v>4508461.04608633</v>
      </c>
      <c r="P37" s="53">
        <f t="shared" si="12"/>
        <v>172083333.33333308</v>
      </c>
      <c r="R37" s="4">
        <v>26</v>
      </c>
      <c r="S37" s="65">
        <v>2.6018684332946185E-2</v>
      </c>
      <c r="T37" s="54">
        <f t="shared" si="7"/>
        <v>6672790.7235049186</v>
      </c>
      <c r="U37" s="54">
        <f t="shared" si="8"/>
        <v>1041773.3059724933</v>
      </c>
      <c r="V37" s="44">
        <f t="shared" si="9"/>
        <v>5631017.4175324254</v>
      </c>
      <c r="W37" s="58">
        <f t="shared" si="10"/>
        <v>215380292.67843795</v>
      </c>
    </row>
    <row r="38" spans="1:23" x14ac:dyDescent="0.25">
      <c r="A38" s="122" t="s">
        <v>134</v>
      </c>
      <c r="B38" s="128">
        <v>6.1699999999999998E-2</v>
      </c>
      <c r="C38" s="126">
        <f t="shared" si="11"/>
        <v>0.10100595471426943</v>
      </c>
      <c r="D38" s="127">
        <f t="shared" si="14"/>
        <v>2.6357312451088744E-2</v>
      </c>
      <c r="F38" s="4">
        <v>27</v>
      </c>
      <c r="G38" s="44">
        <f t="shared" si="0"/>
        <v>6672790.7235049186</v>
      </c>
      <c r="H38" s="54">
        <f t="shared" si="1"/>
        <v>1119492.920245721</v>
      </c>
      <c r="I38" s="55">
        <f t="shared" si="2"/>
        <v>5553297.8032591976</v>
      </c>
      <c r="J38" s="53">
        <f t="shared" si="3"/>
        <v>213872240.2164095</v>
      </c>
      <c r="K38" s="52"/>
      <c r="L38" s="4">
        <v>27</v>
      </c>
      <c r="M38" s="54">
        <f t="shared" si="4"/>
        <v>6903294.9280663356</v>
      </c>
      <c r="N38" s="54">
        <f t="shared" si="5"/>
        <v>2458333.3333333335</v>
      </c>
      <c r="O38" s="55">
        <f t="shared" si="6"/>
        <v>4444961.5947330017</v>
      </c>
      <c r="P38" s="53">
        <f t="shared" si="12"/>
        <v>169624999.99999973</v>
      </c>
      <c r="R38" s="4">
        <v>27</v>
      </c>
      <c r="S38" s="65">
        <v>2.5517781141054519E-2</v>
      </c>
      <c r="T38" s="54">
        <f t="shared" si="7"/>
        <v>6672790.7235049186</v>
      </c>
      <c r="U38" s="54">
        <f t="shared" si="8"/>
        <v>1176763.552840272</v>
      </c>
      <c r="V38" s="44">
        <f t="shared" si="9"/>
        <v>5496027.1706646467</v>
      </c>
      <c r="W38" s="58">
        <f t="shared" si="10"/>
        <v>214203529.12559769</v>
      </c>
    </row>
    <row r="39" spans="1:23" x14ac:dyDescent="0.25">
      <c r="A39" s="122" t="s">
        <v>133</v>
      </c>
      <c r="B39" s="128">
        <v>5.96E-2</v>
      </c>
      <c r="C39" s="126">
        <f t="shared" si="11"/>
        <v>0.10100595471426943</v>
      </c>
      <c r="D39" s="127">
        <f t="shared" si="14"/>
        <v>2.6018684332946185E-2</v>
      </c>
      <c r="F39" s="4">
        <v>28</v>
      </c>
      <c r="G39" s="44">
        <f t="shared" si="0"/>
        <v>6672790.7235049186</v>
      </c>
      <c r="H39" s="54">
        <f t="shared" si="1"/>
        <v>1148409.7417628216</v>
      </c>
      <c r="I39" s="55">
        <f t="shared" si="2"/>
        <v>5524380.9817420971</v>
      </c>
      <c r="J39" s="53">
        <f t="shared" si="3"/>
        <v>212723830.47464669</v>
      </c>
      <c r="K39" s="52"/>
      <c r="L39" s="4">
        <v>28</v>
      </c>
      <c r="M39" s="54">
        <f t="shared" si="4"/>
        <v>6839795.4767130055</v>
      </c>
      <c r="N39" s="54">
        <f t="shared" si="5"/>
        <v>2458333.3333333335</v>
      </c>
      <c r="O39" s="55">
        <f t="shared" si="6"/>
        <v>4381462.1433796724</v>
      </c>
      <c r="P39" s="53">
        <f t="shared" si="12"/>
        <v>167166666.66666639</v>
      </c>
      <c r="R39" s="4">
        <v>28</v>
      </c>
      <c r="S39" s="65">
        <v>2.540450448756193E-2</v>
      </c>
      <c r="T39" s="54">
        <f t="shared" si="7"/>
        <v>6672790.7235049186</v>
      </c>
      <c r="U39" s="54">
        <f t="shared" si="8"/>
        <v>1231056.2065820694</v>
      </c>
      <c r="V39" s="44">
        <f t="shared" si="9"/>
        <v>5441734.5169228492</v>
      </c>
      <c r="W39" s="58">
        <f t="shared" si="10"/>
        <v>212972472.91901562</v>
      </c>
    </row>
    <row r="40" spans="1:23" x14ac:dyDescent="0.25">
      <c r="A40" s="122" t="s">
        <v>132</v>
      </c>
      <c r="B40" s="128">
        <v>5.6500000000000002E-2</v>
      </c>
      <c r="C40" s="126">
        <f t="shared" si="11"/>
        <v>0.10100595471426943</v>
      </c>
      <c r="D40" s="127">
        <f t="shared" si="14"/>
        <v>2.5517781141054519E-2</v>
      </c>
      <c r="F40" s="4">
        <v>29</v>
      </c>
      <c r="G40" s="44">
        <f t="shared" si="0"/>
        <v>6672790.7235049186</v>
      </c>
      <c r="H40" s="54">
        <f t="shared" si="1"/>
        <v>1178073.4930295702</v>
      </c>
      <c r="I40" s="55">
        <f t="shared" si="2"/>
        <v>5494717.2304753484</v>
      </c>
      <c r="J40" s="53">
        <f t="shared" si="3"/>
        <v>211545756.98161712</v>
      </c>
      <c r="K40" s="52"/>
      <c r="L40" s="4">
        <v>29</v>
      </c>
      <c r="M40" s="54">
        <f t="shared" si="4"/>
        <v>6776296.0253596772</v>
      </c>
      <c r="N40" s="54">
        <f t="shared" si="5"/>
        <v>2458333.3333333335</v>
      </c>
      <c r="O40" s="55">
        <f t="shared" si="6"/>
        <v>4317962.6920263432</v>
      </c>
      <c r="P40" s="53">
        <f t="shared" si="12"/>
        <v>164708333.33333305</v>
      </c>
      <c r="R40" s="4">
        <v>29</v>
      </c>
      <c r="S40" s="65">
        <v>2.530736038909831E-2</v>
      </c>
      <c r="T40" s="54">
        <f t="shared" si="7"/>
        <v>6672790.7235049186</v>
      </c>
      <c r="U40" s="54">
        <f t="shared" si="8"/>
        <v>1283019.5983859105</v>
      </c>
      <c r="V40" s="44">
        <f t="shared" si="9"/>
        <v>5389771.1251190081</v>
      </c>
      <c r="W40" s="58">
        <f t="shared" si="10"/>
        <v>211689453.32062972</v>
      </c>
    </row>
    <row r="41" spans="1:23" x14ac:dyDescent="0.25">
      <c r="A41" s="122" t="s">
        <v>131</v>
      </c>
      <c r="B41" s="128">
        <v>5.5800000000000002E-2</v>
      </c>
      <c r="C41" s="126">
        <f t="shared" si="11"/>
        <v>0.10100595471426943</v>
      </c>
      <c r="D41" s="127">
        <f t="shared" si="14"/>
        <v>2.540450448756193E-2</v>
      </c>
      <c r="F41" s="4">
        <v>30</v>
      </c>
      <c r="G41" s="44">
        <f t="shared" si="0"/>
        <v>6672790.7235049186</v>
      </c>
      <c r="H41" s="54">
        <f t="shared" si="1"/>
        <v>1208503.4674544958</v>
      </c>
      <c r="I41" s="55">
        <f t="shared" si="2"/>
        <v>5464287.2560504228</v>
      </c>
      <c r="J41" s="53">
        <f t="shared" si="3"/>
        <v>210337253.51416263</v>
      </c>
      <c r="K41" s="52"/>
      <c r="L41" s="4">
        <v>30</v>
      </c>
      <c r="M41" s="54">
        <f t="shared" si="4"/>
        <v>6712796.574006347</v>
      </c>
      <c r="N41" s="54">
        <f t="shared" si="5"/>
        <v>2458333.3333333335</v>
      </c>
      <c r="O41" s="55">
        <f t="shared" si="6"/>
        <v>4254463.240673014</v>
      </c>
      <c r="P41" s="53">
        <f t="shared" si="12"/>
        <v>162249999.9999997</v>
      </c>
      <c r="R41" s="4">
        <v>30</v>
      </c>
      <c r="S41" s="65">
        <v>2.5210170248592956E-2</v>
      </c>
      <c r="T41" s="54">
        <f t="shared" si="7"/>
        <v>6672790.7235049186</v>
      </c>
      <c r="U41" s="54">
        <f t="shared" si="8"/>
        <v>1336063.5654602721</v>
      </c>
      <c r="V41" s="44">
        <f t="shared" si="9"/>
        <v>5336727.1580446465</v>
      </c>
      <c r="W41" s="58">
        <f t="shared" si="10"/>
        <v>210353389.75516945</v>
      </c>
    </row>
    <row r="42" spans="1:23" x14ac:dyDescent="0.25">
      <c r="A42" s="122" t="s">
        <v>130</v>
      </c>
      <c r="B42" s="128">
        <v>5.5199999999999999E-2</v>
      </c>
      <c r="C42" s="126">
        <f t="shared" si="11"/>
        <v>0.10100595471426943</v>
      </c>
      <c r="D42" s="127">
        <f t="shared" si="14"/>
        <v>2.530736038909831E-2</v>
      </c>
      <c r="F42" s="4">
        <v>31</v>
      </c>
      <c r="G42" s="44">
        <f t="shared" si="0"/>
        <v>6672790.7235049186</v>
      </c>
      <c r="H42" s="54">
        <f t="shared" si="1"/>
        <v>1239719.4568003761</v>
      </c>
      <c r="I42" s="55">
        <f t="shared" si="2"/>
        <v>5433071.2667045426</v>
      </c>
      <c r="J42" s="53">
        <f t="shared" si="3"/>
        <v>209097534.05736226</v>
      </c>
      <c r="K42" s="52"/>
      <c r="L42" s="4">
        <v>31</v>
      </c>
      <c r="M42" s="54">
        <f t="shared" si="4"/>
        <v>6649297.1226530187</v>
      </c>
      <c r="N42" s="54">
        <f t="shared" si="5"/>
        <v>2458333.3333333335</v>
      </c>
      <c r="O42" s="55">
        <f t="shared" si="6"/>
        <v>4190963.7893196857</v>
      </c>
      <c r="P42" s="53">
        <f t="shared" si="12"/>
        <v>159791666.66666636</v>
      </c>
      <c r="R42" s="4">
        <v>31</v>
      </c>
      <c r="S42" s="65">
        <v>2.5031868583451411E-2</v>
      </c>
      <c r="T42" s="54">
        <f t="shared" si="7"/>
        <v>6672790.7235049186</v>
      </c>
      <c r="U42" s="54">
        <f t="shared" si="8"/>
        <v>1407252.3150699828</v>
      </c>
      <c r="V42" s="44">
        <f t="shared" si="9"/>
        <v>5265538.4084349358</v>
      </c>
      <c r="W42" s="58">
        <f t="shared" si="10"/>
        <v>208946137.44009948</v>
      </c>
    </row>
    <row r="43" spans="1:23" x14ac:dyDescent="0.25">
      <c r="A43" s="122" t="s">
        <v>129</v>
      </c>
      <c r="B43" s="128">
        <v>5.4600000000000003E-2</v>
      </c>
      <c r="C43" s="126">
        <f t="shared" si="11"/>
        <v>0.10100595471426943</v>
      </c>
      <c r="D43" s="127">
        <f t="shared" si="14"/>
        <v>2.5210170248592956E-2</v>
      </c>
      <c r="F43" s="4">
        <v>32</v>
      </c>
      <c r="G43" s="44">
        <f t="shared" si="0"/>
        <v>6672790.7235049186</v>
      </c>
      <c r="H43" s="54">
        <f t="shared" si="1"/>
        <v>1271741.7640568661</v>
      </c>
      <c r="I43" s="55">
        <f t="shared" si="2"/>
        <v>5401048.9594480526</v>
      </c>
      <c r="J43" s="53">
        <f t="shared" si="3"/>
        <v>207825792.2933054</v>
      </c>
      <c r="K43" s="52"/>
      <c r="L43" s="4">
        <v>32</v>
      </c>
      <c r="M43" s="54">
        <f t="shared" si="4"/>
        <v>6585797.6712996904</v>
      </c>
      <c r="N43" s="54">
        <f t="shared" si="5"/>
        <v>2458333.3333333335</v>
      </c>
      <c r="O43" s="55">
        <f t="shared" si="6"/>
        <v>4127464.3379663564</v>
      </c>
      <c r="P43" s="53">
        <f t="shared" si="12"/>
        <v>157333333.33333302</v>
      </c>
      <c r="R43" s="4">
        <v>32</v>
      </c>
      <c r="S43" s="65">
        <v>2.4918323094083261E-2</v>
      </c>
      <c r="T43" s="54">
        <f t="shared" si="7"/>
        <v>6672790.7235049186</v>
      </c>
      <c r="U43" s="54">
        <f t="shared" si="8"/>
        <v>1466203.361511793</v>
      </c>
      <c r="V43" s="44">
        <f t="shared" si="9"/>
        <v>5206587.3619931256</v>
      </c>
      <c r="W43" s="58">
        <f t="shared" si="10"/>
        <v>207479934.07858768</v>
      </c>
    </row>
    <row r="44" spans="1:23" x14ac:dyDescent="0.25">
      <c r="A44" s="122" t="s">
        <v>128</v>
      </c>
      <c r="B44" s="128">
        <v>5.3499999999999999E-2</v>
      </c>
      <c r="C44" s="126">
        <f t="shared" si="11"/>
        <v>0.10100595471426943</v>
      </c>
      <c r="D44" s="127">
        <f t="shared" si="14"/>
        <v>2.5031868583451411E-2</v>
      </c>
      <c r="F44" s="4">
        <v>33</v>
      </c>
      <c r="G44" s="44">
        <f t="shared" si="0"/>
        <v>6672790.7235049186</v>
      </c>
      <c r="H44" s="54">
        <f t="shared" si="1"/>
        <v>1304591.2166456357</v>
      </c>
      <c r="I44" s="55">
        <f t="shared" si="2"/>
        <v>5368199.506859283</v>
      </c>
      <c r="J44" s="53">
        <f t="shared" si="3"/>
        <v>206521201.07665977</v>
      </c>
      <c r="K44" s="52"/>
      <c r="L44" s="4">
        <v>33</v>
      </c>
      <c r="M44" s="54">
        <f t="shared" si="4"/>
        <v>6522298.2199463611</v>
      </c>
      <c r="N44" s="54">
        <f t="shared" si="5"/>
        <v>2458333.3333333335</v>
      </c>
      <c r="O44" s="55">
        <f t="shared" si="6"/>
        <v>4063964.8866130277</v>
      </c>
      <c r="P44" s="53">
        <f t="shared" si="12"/>
        <v>154874999.99999967</v>
      </c>
      <c r="R44" s="4">
        <v>33</v>
      </c>
      <c r="S44" s="65">
        <v>2.4804714674216743E-2</v>
      </c>
      <c r="T44" s="54">
        <f t="shared" si="7"/>
        <v>6672790.7235049186</v>
      </c>
      <c r="U44" s="54">
        <f t="shared" si="8"/>
        <v>1526310.1580602517</v>
      </c>
      <c r="V44" s="44">
        <f t="shared" si="9"/>
        <v>5146480.5654446669</v>
      </c>
      <c r="W44" s="58">
        <f t="shared" si="10"/>
        <v>205953623.92052743</v>
      </c>
    </row>
    <row r="45" spans="1:23" x14ac:dyDescent="0.25">
      <c r="A45" s="122" t="s">
        <v>127</v>
      </c>
      <c r="B45" s="128">
        <v>5.28E-2</v>
      </c>
      <c r="C45" s="126">
        <f t="shared" si="11"/>
        <v>0.10100595471426943</v>
      </c>
      <c r="D45" s="127">
        <f t="shared" si="14"/>
        <v>2.4918323094083261E-2</v>
      </c>
      <c r="F45" s="4">
        <v>34</v>
      </c>
      <c r="G45" s="44">
        <f t="shared" si="0"/>
        <v>6672790.7235049186</v>
      </c>
      <c r="H45" s="54">
        <f t="shared" si="1"/>
        <v>1338289.1799665997</v>
      </c>
      <c r="I45" s="55">
        <f t="shared" si="2"/>
        <v>5334501.5435383189</v>
      </c>
      <c r="J45" s="53">
        <f t="shared" si="3"/>
        <v>205182911.89669317</v>
      </c>
      <c r="K45" s="52"/>
      <c r="L45" s="4">
        <v>34</v>
      </c>
      <c r="M45" s="54">
        <f t="shared" si="4"/>
        <v>6458798.7685930319</v>
      </c>
      <c r="N45" s="54">
        <f t="shared" si="5"/>
        <v>2458333.3333333335</v>
      </c>
      <c r="O45" s="55">
        <f t="shared" si="6"/>
        <v>4000465.4352596984</v>
      </c>
      <c r="P45" s="53">
        <f t="shared" si="12"/>
        <v>152416666.66666633</v>
      </c>
      <c r="R45" s="4">
        <v>34</v>
      </c>
      <c r="S45" s="65">
        <v>2.4577308735712178E-2</v>
      </c>
      <c r="T45" s="54">
        <f t="shared" si="7"/>
        <v>6672790.7235049186</v>
      </c>
      <c r="U45" s="54">
        <f t="shared" si="8"/>
        <v>1611004.9231713591</v>
      </c>
      <c r="V45" s="44">
        <f t="shared" si="9"/>
        <v>5061785.8003335595</v>
      </c>
      <c r="W45" s="58">
        <f t="shared" si="10"/>
        <v>204342618.99735606</v>
      </c>
    </row>
    <row r="46" spans="1:23" x14ac:dyDescent="0.25">
      <c r="A46" s="122" t="s">
        <v>126</v>
      </c>
      <c r="B46" s="128">
        <v>5.21E-2</v>
      </c>
      <c r="C46" s="126">
        <f t="shared" si="11"/>
        <v>0.10100595471426943</v>
      </c>
      <c r="D46" s="127">
        <f t="shared" si="14"/>
        <v>2.4804714674216743E-2</v>
      </c>
      <c r="F46" s="4">
        <v>35</v>
      </c>
      <c r="G46" s="44">
        <f t="shared" si="0"/>
        <v>6672790.7235049186</v>
      </c>
      <c r="H46" s="54">
        <f t="shared" si="1"/>
        <v>1372857.5712940469</v>
      </c>
      <c r="I46" s="55">
        <f t="shared" si="2"/>
        <v>5299933.1522108717</v>
      </c>
      <c r="J46" s="53">
        <f t="shared" si="3"/>
        <v>203810054.32539913</v>
      </c>
      <c r="K46" s="52"/>
      <c r="L46" s="4">
        <v>35</v>
      </c>
      <c r="M46" s="54">
        <f t="shared" si="4"/>
        <v>6395299.3172397036</v>
      </c>
      <c r="N46" s="54">
        <f t="shared" si="5"/>
        <v>2458333.3333333335</v>
      </c>
      <c r="O46" s="55">
        <f t="shared" si="6"/>
        <v>3936965.9839063697</v>
      </c>
      <c r="P46" s="53">
        <f t="shared" si="12"/>
        <v>149958333.33333299</v>
      </c>
      <c r="R46" s="4">
        <v>35</v>
      </c>
      <c r="S46" s="65">
        <v>2.4479771743392886E-2</v>
      </c>
      <c r="T46" s="54">
        <f t="shared" si="7"/>
        <v>6672790.7235049186</v>
      </c>
      <c r="U46" s="54">
        <f t="shared" si="8"/>
        <v>1670530.0530025437</v>
      </c>
      <c r="V46" s="44">
        <f t="shared" si="9"/>
        <v>5002260.6705023749</v>
      </c>
      <c r="W46" s="58">
        <f t="shared" si="10"/>
        <v>202672088.94435352</v>
      </c>
    </row>
    <row r="47" spans="1:23" x14ac:dyDescent="0.25">
      <c r="A47" s="122" t="s">
        <v>125</v>
      </c>
      <c r="B47" s="128">
        <v>5.0700000000000002E-2</v>
      </c>
      <c r="C47" s="126">
        <f t="shared" si="11"/>
        <v>0.10100595471426943</v>
      </c>
      <c r="D47" s="127">
        <f t="shared" si="14"/>
        <v>2.4577308735712178E-2</v>
      </c>
      <c r="F47" s="4">
        <v>36</v>
      </c>
      <c r="G47" s="44">
        <f t="shared" si="0"/>
        <v>6672790.7235049186</v>
      </c>
      <c r="H47" s="54">
        <f t="shared" si="1"/>
        <v>1408318.8740317151</v>
      </c>
      <c r="I47" s="55">
        <f t="shared" si="2"/>
        <v>5264471.8494732035</v>
      </c>
      <c r="J47" s="53">
        <f t="shared" si="3"/>
        <v>202401735.45136741</v>
      </c>
      <c r="K47" s="52"/>
      <c r="L47" s="4">
        <v>36</v>
      </c>
      <c r="M47" s="54">
        <f t="shared" si="4"/>
        <v>6331799.8658863744</v>
      </c>
      <c r="N47" s="54">
        <f t="shared" si="5"/>
        <v>2458333.3333333335</v>
      </c>
      <c r="O47" s="55">
        <f t="shared" si="6"/>
        <v>3873466.5325530409</v>
      </c>
      <c r="P47" s="53">
        <f t="shared" si="12"/>
        <v>147499999.99999964</v>
      </c>
      <c r="R47" s="4">
        <v>36</v>
      </c>
      <c r="S47" s="65">
        <v>2.4300833240697539E-2</v>
      </c>
      <c r="T47" s="54">
        <f t="shared" si="7"/>
        <v>6672790.7235049186</v>
      </c>
      <c r="U47" s="54">
        <f t="shared" si="8"/>
        <v>1747690.0875243647</v>
      </c>
      <c r="V47" s="44">
        <f t="shared" si="9"/>
        <v>4925100.6359805539</v>
      </c>
      <c r="W47" s="58">
        <f t="shared" si="10"/>
        <v>200924398.85682917</v>
      </c>
    </row>
    <row r="48" spans="1:23" x14ac:dyDescent="0.25">
      <c r="A48" s="122" t="s">
        <v>124</v>
      </c>
      <c r="B48" s="128">
        <v>5.0099999999999999E-2</v>
      </c>
      <c r="C48" s="126">
        <f t="shared" si="11"/>
        <v>0.10100595471426943</v>
      </c>
      <c r="D48" s="127">
        <f t="shared" si="14"/>
        <v>2.4479771743392886E-2</v>
      </c>
      <c r="F48" s="4">
        <v>37</v>
      </c>
      <c r="G48" s="44">
        <f t="shared" si="0"/>
        <v>6672790.7235049186</v>
      </c>
      <c r="H48" s="54">
        <f t="shared" si="1"/>
        <v>1444696.152336075</v>
      </c>
      <c r="I48" s="55">
        <f t="shared" si="2"/>
        <v>5228094.5711688437</v>
      </c>
      <c r="J48" s="53">
        <f t="shared" si="3"/>
        <v>200957039.29903135</v>
      </c>
      <c r="K48" s="52"/>
      <c r="L48" s="4">
        <v>37</v>
      </c>
      <c r="M48" s="54">
        <f t="shared" si="4"/>
        <v>6268300.4145330451</v>
      </c>
      <c r="N48" s="54">
        <f t="shared" si="5"/>
        <v>2458333.3333333335</v>
      </c>
      <c r="O48" s="55">
        <f t="shared" si="6"/>
        <v>3809967.0811997117</v>
      </c>
      <c r="P48" s="53">
        <f t="shared" si="12"/>
        <v>145041666.6666663</v>
      </c>
      <c r="R48" s="4">
        <v>37</v>
      </c>
      <c r="S48" s="65">
        <v>2.3975089518188053E-2</v>
      </c>
      <c r="T48" s="54">
        <f t="shared" si="7"/>
        <v>6672790.7235049186</v>
      </c>
      <c r="U48" s="54">
        <f t="shared" si="8"/>
        <v>1855610.2745243181</v>
      </c>
      <c r="V48" s="44">
        <f t="shared" si="9"/>
        <v>4817180.4489806006</v>
      </c>
      <c r="W48" s="58">
        <f t="shared" si="10"/>
        <v>199068788.58230484</v>
      </c>
    </row>
    <row r="49" spans="1:23" x14ac:dyDescent="0.25">
      <c r="A49" s="122" t="s">
        <v>123</v>
      </c>
      <c r="B49" s="128">
        <v>4.9000000000000002E-2</v>
      </c>
      <c r="C49" s="126">
        <f t="shared" si="11"/>
        <v>0.10100595471426943</v>
      </c>
      <c r="D49" s="127">
        <f t="shared" si="14"/>
        <v>2.4300833240697539E-2</v>
      </c>
      <c r="F49" s="4">
        <v>38</v>
      </c>
      <c r="G49" s="44">
        <f t="shared" si="0"/>
        <v>6672790.7235049186</v>
      </c>
      <c r="H49" s="54">
        <f t="shared" si="1"/>
        <v>1482013.0661173379</v>
      </c>
      <c r="I49" s="55">
        <f t="shared" si="2"/>
        <v>5190777.6573875807</v>
      </c>
      <c r="J49" s="53">
        <f t="shared" si="3"/>
        <v>199475026.232914</v>
      </c>
      <c r="K49" s="52"/>
      <c r="L49" s="4">
        <v>38</v>
      </c>
      <c r="M49" s="54">
        <f t="shared" si="4"/>
        <v>6204800.9631797168</v>
      </c>
      <c r="N49" s="54">
        <f t="shared" si="5"/>
        <v>2458333.3333333335</v>
      </c>
      <c r="O49" s="55">
        <f t="shared" si="6"/>
        <v>3746467.6298463829</v>
      </c>
      <c r="P49" s="53">
        <f t="shared" si="12"/>
        <v>142583333.33333296</v>
      </c>
      <c r="R49" s="4">
        <v>38</v>
      </c>
      <c r="S49" s="65">
        <v>2.3812023164933027E-2</v>
      </c>
      <c r="T49" s="54">
        <f t="shared" si="7"/>
        <v>6672790.7235049186</v>
      </c>
      <c r="U49" s="54">
        <f t="shared" si="8"/>
        <v>1932560.1183679206</v>
      </c>
      <c r="V49" s="44">
        <f t="shared" si="9"/>
        <v>4740230.605136998</v>
      </c>
      <c r="W49" s="58">
        <f t="shared" si="10"/>
        <v>197136228.46393692</v>
      </c>
    </row>
    <row r="50" spans="1:23" x14ac:dyDescent="0.25">
      <c r="A50" s="122" t="s">
        <v>122</v>
      </c>
      <c r="B50" s="128">
        <v>4.7E-2</v>
      </c>
      <c r="C50" s="126">
        <f t="shared" si="11"/>
        <v>0.10100595471426943</v>
      </c>
      <c r="D50" s="127">
        <f t="shared" si="14"/>
        <v>2.3975089518188053E-2</v>
      </c>
      <c r="F50" s="4">
        <v>39</v>
      </c>
      <c r="G50" s="44">
        <f t="shared" si="0"/>
        <v>6672790.7235049186</v>
      </c>
      <c r="H50" s="54">
        <f t="shared" si="1"/>
        <v>1520293.8864279483</v>
      </c>
      <c r="I50" s="55">
        <f t="shared" si="2"/>
        <v>5152496.8370769704</v>
      </c>
      <c r="J50" s="53">
        <f t="shared" si="3"/>
        <v>197954732.34648606</v>
      </c>
      <c r="K50" s="52"/>
      <c r="L50" s="4">
        <v>39</v>
      </c>
      <c r="M50" s="54">
        <f t="shared" si="4"/>
        <v>6141301.5118263876</v>
      </c>
      <c r="N50" s="54">
        <f t="shared" si="5"/>
        <v>2458333.3333333335</v>
      </c>
      <c r="O50" s="55">
        <f t="shared" si="6"/>
        <v>3682968.1784930541</v>
      </c>
      <c r="P50" s="53">
        <f t="shared" si="12"/>
        <v>140124999.99999961</v>
      </c>
      <c r="R50" s="4">
        <v>39</v>
      </c>
      <c r="S50" s="65">
        <v>2.376307792625787E-2</v>
      </c>
      <c r="T50" s="54">
        <f t="shared" si="7"/>
        <v>6672790.7235049186</v>
      </c>
      <c r="U50" s="54">
        <f t="shared" si="8"/>
        <v>1988227.1644278103</v>
      </c>
      <c r="V50" s="44">
        <f t="shared" si="9"/>
        <v>4684563.5590771083</v>
      </c>
      <c r="W50" s="58">
        <f t="shared" si="10"/>
        <v>195148001.29950911</v>
      </c>
    </row>
    <row r="51" spans="1:23" x14ac:dyDescent="0.25">
      <c r="A51" s="122" t="s">
        <v>121</v>
      </c>
      <c r="B51" s="128">
        <v>4.5999999999999999E-2</v>
      </c>
      <c r="C51" s="126">
        <f t="shared" si="11"/>
        <v>0.10100595471426943</v>
      </c>
      <c r="D51" s="127">
        <f t="shared" si="14"/>
        <v>2.3812023164933027E-2</v>
      </c>
      <c r="F51" s="4">
        <v>40</v>
      </c>
      <c r="G51" s="44">
        <f t="shared" si="0"/>
        <v>6672790.7235049186</v>
      </c>
      <c r="H51" s="54">
        <f t="shared" si="1"/>
        <v>1559563.511248556</v>
      </c>
      <c r="I51" s="55">
        <f t="shared" si="2"/>
        <v>5113227.2122563627</v>
      </c>
      <c r="J51" s="53">
        <f t="shared" si="3"/>
        <v>196395168.8352375</v>
      </c>
      <c r="K51" s="52"/>
      <c r="L51" s="4">
        <v>40</v>
      </c>
      <c r="M51" s="54">
        <f t="shared" si="4"/>
        <v>6077802.0604730584</v>
      </c>
      <c r="N51" s="54">
        <f t="shared" si="5"/>
        <v>2458333.3333333335</v>
      </c>
      <c r="O51" s="55">
        <f t="shared" si="6"/>
        <v>3619468.7271397249</v>
      </c>
      <c r="P51" s="53">
        <f t="shared" si="12"/>
        <v>137666666.66666627</v>
      </c>
      <c r="R51" s="4">
        <v>40</v>
      </c>
      <c r="S51" s="65">
        <v>2.3697799402374153E-2</v>
      </c>
      <c r="T51" s="54">
        <f t="shared" si="7"/>
        <v>6672790.7235049186</v>
      </c>
      <c r="U51" s="54">
        <f t="shared" si="8"/>
        <v>2048212.5349349016</v>
      </c>
      <c r="V51" s="44">
        <f t="shared" si="9"/>
        <v>4624578.188570017</v>
      </c>
      <c r="W51" s="58">
        <f t="shared" si="10"/>
        <v>193099788.7645742</v>
      </c>
    </row>
    <row r="52" spans="1:23" x14ac:dyDescent="0.25">
      <c r="A52" s="122" t="s">
        <v>120</v>
      </c>
      <c r="B52" s="128">
        <v>4.5699999999999998E-2</v>
      </c>
      <c r="C52" s="126">
        <f t="shared" si="11"/>
        <v>0.10100595471426943</v>
      </c>
      <c r="D52" s="127">
        <f t="shared" si="14"/>
        <v>2.376307792625787E-2</v>
      </c>
      <c r="F52" s="4">
        <v>41</v>
      </c>
      <c r="G52" s="44">
        <f t="shared" si="0"/>
        <v>6672790.7235049186</v>
      </c>
      <c r="H52" s="54">
        <f t="shared" si="1"/>
        <v>1599847.4816817576</v>
      </c>
      <c r="I52" s="55">
        <f t="shared" si="2"/>
        <v>5072943.241823161</v>
      </c>
      <c r="J52" s="53">
        <f t="shared" si="3"/>
        <v>194795321.35355574</v>
      </c>
      <c r="K52" s="52"/>
      <c r="L52" s="4">
        <v>41</v>
      </c>
      <c r="M52" s="54">
        <f t="shared" si="4"/>
        <v>6014302.6091197301</v>
      </c>
      <c r="N52" s="54">
        <f t="shared" si="5"/>
        <v>2458333.3333333335</v>
      </c>
      <c r="O52" s="55">
        <f t="shared" si="6"/>
        <v>3555969.2757863961</v>
      </c>
      <c r="P52" s="53">
        <f t="shared" si="12"/>
        <v>135208333.33333293</v>
      </c>
      <c r="R52" s="4">
        <v>41</v>
      </c>
      <c r="S52" s="65">
        <v>2.3697799402374153E-2</v>
      </c>
      <c r="T52" s="54">
        <f t="shared" si="7"/>
        <v>6672790.7235049186</v>
      </c>
      <c r="U52" s="54">
        <f t="shared" si="8"/>
        <v>2096750.664721217</v>
      </c>
      <c r="V52" s="44">
        <f t="shared" si="9"/>
        <v>4576040.0587837016</v>
      </c>
      <c r="W52" s="58">
        <f t="shared" si="10"/>
        <v>191003038.09985298</v>
      </c>
    </row>
    <row r="53" spans="1:23" x14ac:dyDescent="0.25">
      <c r="A53" s="122" t="s">
        <v>119</v>
      </c>
      <c r="B53" s="128">
        <v>4.53E-2</v>
      </c>
      <c r="C53" s="126">
        <f t="shared" si="11"/>
        <v>0.10100595471426943</v>
      </c>
      <c r="D53" s="127">
        <f t="shared" si="14"/>
        <v>2.3697799402374153E-2</v>
      </c>
      <c r="F53" s="4">
        <v>42</v>
      </c>
      <c r="G53" s="44">
        <f t="shared" si="0"/>
        <v>6672790.7235049186</v>
      </c>
      <c r="H53" s="54">
        <f t="shared" si="1"/>
        <v>1641171.9985641157</v>
      </c>
      <c r="I53" s="55">
        <f t="shared" si="2"/>
        <v>5031618.7249408029</v>
      </c>
      <c r="J53" s="53">
        <f t="shared" si="3"/>
        <v>193154149.35499161</v>
      </c>
      <c r="K53" s="52"/>
      <c r="L53" s="4">
        <v>42</v>
      </c>
      <c r="M53" s="54">
        <f t="shared" si="4"/>
        <v>5950803.1577663999</v>
      </c>
      <c r="N53" s="54">
        <f t="shared" si="5"/>
        <v>2458333.3333333335</v>
      </c>
      <c r="O53" s="55">
        <f t="shared" si="6"/>
        <v>3492469.8244330669</v>
      </c>
      <c r="P53" s="53">
        <f t="shared" si="12"/>
        <v>132749999.9999996</v>
      </c>
      <c r="R53" s="4">
        <v>42</v>
      </c>
      <c r="S53" s="65">
        <v>2.3534511973893446E-2</v>
      </c>
      <c r="T53" s="54">
        <f t="shared" si="7"/>
        <v>6672790.7235049186</v>
      </c>
      <c r="U53" s="54">
        <f t="shared" si="8"/>
        <v>2177627.4362939028</v>
      </c>
      <c r="V53" s="44">
        <f t="shared" si="9"/>
        <v>4495163.2872110158</v>
      </c>
      <c r="W53" s="58">
        <f t="shared" si="10"/>
        <v>188825410.66355908</v>
      </c>
    </row>
    <row r="54" spans="1:23" x14ac:dyDescent="0.25">
      <c r="A54" s="122" t="s">
        <v>118</v>
      </c>
      <c r="B54" s="128">
        <v>4.53E-2</v>
      </c>
      <c r="C54" s="126">
        <f t="shared" si="11"/>
        <v>0.10100595471426943</v>
      </c>
      <c r="D54" s="127">
        <f t="shared" si="14"/>
        <v>2.3697799402374153E-2</v>
      </c>
      <c r="F54" s="4">
        <v>43</v>
      </c>
      <c r="G54" s="44">
        <f t="shared" si="0"/>
        <v>6672790.7235049186</v>
      </c>
      <c r="H54" s="54">
        <f t="shared" si="1"/>
        <v>1683563.9395072749</v>
      </c>
      <c r="I54" s="55">
        <f t="shared" si="2"/>
        <v>4989226.7839976437</v>
      </c>
      <c r="J54" s="53">
        <f t="shared" si="3"/>
        <v>191470585.41548434</v>
      </c>
      <c r="K54" s="52"/>
      <c r="L54" s="4">
        <v>43</v>
      </c>
      <c r="M54" s="54">
        <f t="shared" si="4"/>
        <v>5887303.7064130716</v>
      </c>
      <c r="N54" s="54">
        <f t="shared" si="5"/>
        <v>2458333.3333333335</v>
      </c>
      <c r="O54" s="55">
        <f t="shared" si="6"/>
        <v>3428970.3730797386</v>
      </c>
      <c r="P54" s="53">
        <f t="shared" si="12"/>
        <v>130291666.66666627</v>
      </c>
      <c r="R54" s="4">
        <v>43</v>
      </c>
      <c r="S54" s="65">
        <v>2.3518176065429941E-2</v>
      </c>
      <c r="T54" s="54">
        <f t="shared" si="7"/>
        <v>6672790.7235049186</v>
      </c>
      <c r="U54" s="54">
        <f t="shared" si="8"/>
        <v>2231961.4698922243</v>
      </c>
      <c r="V54" s="44">
        <f t="shared" si="9"/>
        <v>4440829.2536126943</v>
      </c>
      <c r="W54" s="58">
        <f t="shared" si="10"/>
        <v>186593449.19366685</v>
      </c>
    </row>
    <row r="55" spans="1:23" x14ac:dyDescent="0.25">
      <c r="A55" s="122" t="s">
        <v>117</v>
      </c>
      <c r="B55" s="128">
        <v>4.4299999999999999E-2</v>
      </c>
      <c r="C55" s="126">
        <f t="shared" si="11"/>
        <v>0.10100595471426943</v>
      </c>
      <c r="D55" s="127">
        <f t="shared" si="14"/>
        <v>2.3534511973893446E-2</v>
      </c>
      <c r="F55" s="4">
        <v>44</v>
      </c>
      <c r="G55" s="44">
        <f t="shared" si="0"/>
        <v>6672790.7235049186</v>
      </c>
      <c r="H55" s="54">
        <f t="shared" si="1"/>
        <v>1727050.8763792589</v>
      </c>
      <c r="I55" s="55">
        <f t="shared" si="2"/>
        <v>4945739.8471256597</v>
      </c>
      <c r="J55" s="53">
        <f t="shared" si="3"/>
        <v>189743534.53910509</v>
      </c>
      <c r="K55" s="52"/>
      <c r="L55" s="4">
        <v>44</v>
      </c>
      <c r="M55" s="54">
        <f t="shared" si="4"/>
        <v>5823804.2550597433</v>
      </c>
      <c r="N55" s="54">
        <f t="shared" si="5"/>
        <v>2458333.3333333335</v>
      </c>
      <c r="O55" s="55">
        <f t="shared" si="6"/>
        <v>3365470.9217264098</v>
      </c>
      <c r="P55" s="53">
        <f t="shared" si="12"/>
        <v>127833333.33333294</v>
      </c>
      <c r="R55" s="4">
        <v>44</v>
      </c>
      <c r="S55" s="65">
        <v>2.3714120984634546E-2</v>
      </c>
      <c r="T55" s="54">
        <f t="shared" si="7"/>
        <v>6672790.7235049186</v>
      </c>
      <c r="U55" s="54">
        <f t="shared" si="8"/>
        <v>2247891.094386044</v>
      </c>
      <c r="V55" s="44">
        <f t="shared" si="9"/>
        <v>4424899.6291188747</v>
      </c>
      <c r="W55" s="58">
        <f t="shared" si="10"/>
        <v>184345558.0992808</v>
      </c>
    </row>
    <row r="56" spans="1:23" x14ac:dyDescent="0.25">
      <c r="A56" s="122" t="s">
        <v>116</v>
      </c>
      <c r="B56" s="128">
        <v>4.4200000000000003E-2</v>
      </c>
      <c r="C56" s="126">
        <f t="shared" si="11"/>
        <v>0.10100595471426943</v>
      </c>
      <c r="D56" s="127">
        <f t="shared" si="14"/>
        <v>2.3518176065429941E-2</v>
      </c>
      <c r="F56" s="4">
        <v>45</v>
      </c>
      <c r="G56" s="44">
        <f t="shared" si="0"/>
        <v>6672790.7235049186</v>
      </c>
      <c r="H56" s="54">
        <f t="shared" si="1"/>
        <v>1771661.0932373069</v>
      </c>
      <c r="I56" s="55">
        <f t="shared" si="2"/>
        <v>4901129.6302676117</v>
      </c>
      <c r="J56" s="53">
        <f t="shared" si="3"/>
        <v>187971873.44586778</v>
      </c>
      <c r="K56" s="52"/>
      <c r="L56" s="4">
        <v>45</v>
      </c>
      <c r="M56" s="54">
        <f t="shared" si="4"/>
        <v>5760304.803706415</v>
      </c>
      <c r="N56" s="54">
        <f t="shared" si="5"/>
        <v>2458333.3333333335</v>
      </c>
      <c r="O56" s="55">
        <f t="shared" si="6"/>
        <v>3301971.4703730815</v>
      </c>
      <c r="P56" s="53">
        <f t="shared" si="12"/>
        <v>125374999.99999961</v>
      </c>
      <c r="R56" s="4">
        <v>45</v>
      </c>
      <c r="S56" s="65">
        <v>2.3746760246348364E-2</v>
      </c>
      <c r="T56" s="54">
        <f t="shared" si="7"/>
        <v>6672790.7235049186</v>
      </c>
      <c r="U56" s="54">
        <f t="shared" si="8"/>
        <v>2295180.9528420148</v>
      </c>
      <c r="V56" s="44">
        <f t="shared" si="9"/>
        <v>4377609.7706629038</v>
      </c>
      <c r="W56" s="58">
        <f t="shared" si="10"/>
        <v>182050377.14643878</v>
      </c>
    </row>
    <row r="57" spans="1:23" x14ac:dyDescent="0.25">
      <c r="A57" s="122" t="s">
        <v>115</v>
      </c>
      <c r="B57" s="128">
        <v>4.5400000000000003E-2</v>
      </c>
      <c r="C57" s="126">
        <f t="shared" si="11"/>
        <v>0.10100595471426943</v>
      </c>
      <c r="D57" s="127">
        <f t="shared" si="14"/>
        <v>2.3714120984634546E-2</v>
      </c>
      <c r="F57" s="4">
        <v>46</v>
      </c>
      <c r="G57" s="44">
        <f t="shared" si="0"/>
        <v>6672790.7235049186</v>
      </c>
      <c r="H57" s="54">
        <f t="shared" si="1"/>
        <v>1817423.6047239276</v>
      </c>
      <c r="I57" s="55">
        <f t="shared" si="2"/>
        <v>4855367.1187809911</v>
      </c>
      <c r="J57" s="53">
        <f t="shared" si="3"/>
        <v>186154449.84114385</v>
      </c>
      <c r="K57" s="52"/>
      <c r="L57" s="4">
        <v>46</v>
      </c>
      <c r="M57" s="54">
        <f t="shared" si="4"/>
        <v>5696805.3523530867</v>
      </c>
      <c r="N57" s="54">
        <f t="shared" si="5"/>
        <v>2458333.3333333335</v>
      </c>
      <c r="O57" s="55">
        <f t="shared" si="6"/>
        <v>3238472.0190197527</v>
      </c>
      <c r="P57" s="53">
        <f t="shared" si="12"/>
        <v>122916666.66666628</v>
      </c>
      <c r="R57" s="4">
        <v>46</v>
      </c>
      <c r="S57" s="65">
        <v>2.376307792625787E-2</v>
      </c>
      <c r="T57" s="54">
        <f t="shared" si="7"/>
        <v>6672790.7235049186</v>
      </c>
      <c r="U57" s="54">
        <f t="shared" si="8"/>
        <v>2346713.4248694591</v>
      </c>
      <c r="V57" s="44">
        <f t="shared" si="9"/>
        <v>4326077.2986354595</v>
      </c>
      <c r="W57" s="58">
        <f t="shared" si="10"/>
        <v>179703663.72156933</v>
      </c>
    </row>
    <row r="58" spans="1:23" x14ac:dyDescent="0.25">
      <c r="A58" s="122" t="s">
        <v>114</v>
      </c>
      <c r="B58" s="128">
        <v>4.5600000000000002E-2</v>
      </c>
      <c r="C58" s="126">
        <f t="shared" si="11"/>
        <v>0.10100595471426943</v>
      </c>
      <c r="D58" s="127">
        <f t="shared" si="14"/>
        <v>2.3746760246348364E-2</v>
      </c>
      <c r="F58" s="4">
        <v>47</v>
      </c>
      <c r="G58" s="44">
        <f t="shared" si="0"/>
        <v>6672790.7235049186</v>
      </c>
      <c r="H58" s="54">
        <f t="shared" si="1"/>
        <v>1864368.1749381209</v>
      </c>
      <c r="I58" s="55">
        <f t="shared" si="2"/>
        <v>4808422.5485667977</v>
      </c>
      <c r="J58" s="53">
        <f t="shared" si="3"/>
        <v>184290081.66620573</v>
      </c>
      <c r="K58" s="52"/>
      <c r="L58" s="4">
        <v>47</v>
      </c>
      <c r="M58" s="54">
        <f t="shared" si="4"/>
        <v>5633305.9009997584</v>
      </c>
      <c r="N58" s="54">
        <f t="shared" si="5"/>
        <v>2458333.3333333335</v>
      </c>
      <c r="O58" s="55">
        <f t="shared" si="6"/>
        <v>3174972.5676664244</v>
      </c>
      <c r="P58" s="53">
        <f t="shared" si="12"/>
        <v>120458333.33333296</v>
      </c>
      <c r="R58" s="4">
        <v>47</v>
      </c>
      <c r="S58" s="65">
        <v>2.3730441265883195E-2</v>
      </c>
      <c r="T58" s="54">
        <f t="shared" si="7"/>
        <v>6672790.7235049186</v>
      </c>
      <c r="U58" s="54">
        <f t="shared" si="8"/>
        <v>2408343.4862961927</v>
      </c>
      <c r="V58" s="44">
        <f t="shared" si="9"/>
        <v>4264447.2372087259</v>
      </c>
      <c r="W58" s="58">
        <f t="shared" si="10"/>
        <v>177295320.23527312</v>
      </c>
    </row>
    <row r="59" spans="1:23" x14ac:dyDescent="0.25">
      <c r="A59" s="122" t="s">
        <v>113</v>
      </c>
      <c r="B59" s="128">
        <v>4.5699999999999998E-2</v>
      </c>
      <c r="C59" s="126">
        <f t="shared" si="11"/>
        <v>0.10100595471426943</v>
      </c>
      <c r="D59" s="127">
        <f t="shared" si="14"/>
        <v>2.376307792625787E-2</v>
      </c>
      <c r="F59" s="4">
        <v>48</v>
      </c>
      <c r="G59" s="44">
        <f t="shared" si="0"/>
        <v>6672790.7235049186</v>
      </c>
      <c r="H59" s="54">
        <f t="shared" si="1"/>
        <v>1912525.3367940569</v>
      </c>
      <c r="I59" s="55">
        <f t="shared" si="2"/>
        <v>4760265.3867108617</v>
      </c>
      <c r="J59" s="53">
        <f t="shared" si="3"/>
        <v>182377556.32941169</v>
      </c>
      <c r="K59" s="52"/>
      <c r="L59" s="4">
        <v>48</v>
      </c>
      <c r="M59" s="54">
        <f t="shared" si="4"/>
        <v>5569806.4496464292</v>
      </c>
      <c r="N59" s="54">
        <f t="shared" si="5"/>
        <v>2458333.3333333335</v>
      </c>
      <c r="O59" s="55">
        <f t="shared" si="6"/>
        <v>3111473.1163130957</v>
      </c>
      <c r="P59" s="53">
        <f t="shared" si="12"/>
        <v>117999999.99999963</v>
      </c>
      <c r="R59" s="4">
        <v>48</v>
      </c>
      <c r="S59" s="65">
        <v>2.3714120984634546E-2</v>
      </c>
      <c r="T59" s="54">
        <f t="shared" si="7"/>
        <v>6672790.7235049186</v>
      </c>
      <c r="U59" s="54">
        <f t="shared" si="8"/>
        <v>2468388.0494361268</v>
      </c>
      <c r="V59" s="44">
        <f t="shared" si="9"/>
        <v>4204402.6740687918</v>
      </c>
      <c r="W59" s="58">
        <f t="shared" si="10"/>
        <v>174826932.185837</v>
      </c>
    </row>
    <row r="60" spans="1:23" x14ac:dyDescent="0.25">
      <c r="A60" s="122" t="s">
        <v>112</v>
      </c>
      <c r="B60" s="128">
        <v>4.5499999999999999E-2</v>
      </c>
      <c r="C60" s="126">
        <f t="shared" si="11"/>
        <v>0.10100595471426943</v>
      </c>
      <c r="D60" s="127">
        <f t="shared" si="14"/>
        <v>2.3730441265883195E-2</v>
      </c>
      <c r="F60" s="4">
        <v>49</v>
      </c>
      <c r="G60" s="44">
        <f t="shared" si="0"/>
        <v>6672790.7235049186</v>
      </c>
      <c r="H60" s="54">
        <f t="shared" si="1"/>
        <v>1961926.4118797909</v>
      </c>
      <c r="I60" s="55">
        <f t="shared" si="2"/>
        <v>4710864.3116251277</v>
      </c>
      <c r="J60" s="53">
        <f t="shared" si="3"/>
        <v>180415629.91753191</v>
      </c>
      <c r="K60" s="52"/>
      <c r="L60" s="4">
        <v>49</v>
      </c>
      <c r="M60" s="54">
        <f t="shared" si="4"/>
        <v>5506306.9982931009</v>
      </c>
      <c r="N60" s="54">
        <f t="shared" si="5"/>
        <v>2458333.3333333335</v>
      </c>
      <c r="O60" s="55">
        <f t="shared" si="6"/>
        <v>3047973.6649597674</v>
      </c>
      <c r="P60" s="53">
        <f t="shared" si="12"/>
        <v>115541666.6666663</v>
      </c>
      <c r="R60" s="4">
        <v>49</v>
      </c>
      <c r="S60" s="65">
        <v>2.3648826847240567E-2</v>
      </c>
      <c r="T60" s="54">
        <f t="shared" si="7"/>
        <v>6672790.7235049186</v>
      </c>
      <c r="U60" s="54">
        <f t="shared" si="8"/>
        <v>2538338.8760077907</v>
      </c>
      <c r="V60" s="44">
        <f t="shared" si="9"/>
        <v>4134451.847497128</v>
      </c>
      <c r="W60" s="58">
        <f t="shared" si="10"/>
        <v>172288593.30982921</v>
      </c>
    </row>
    <row r="61" spans="1:23" x14ac:dyDescent="0.25">
      <c r="A61" s="122" t="s">
        <v>111</v>
      </c>
      <c r="B61" s="128">
        <v>4.5400000000000003E-2</v>
      </c>
      <c r="C61" s="126">
        <f t="shared" si="11"/>
        <v>0.10100595471426943</v>
      </c>
      <c r="D61" s="127">
        <f t="shared" si="14"/>
        <v>2.3714120984634546E-2</v>
      </c>
      <c r="F61" s="4">
        <v>50</v>
      </c>
      <c r="G61" s="44">
        <f t="shared" si="0"/>
        <v>6672790.7235049186</v>
      </c>
      <c r="H61" s="54">
        <f t="shared" si="1"/>
        <v>2012603.5308289314</v>
      </c>
      <c r="I61" s="55">
        <f t="shared" si="2"/>
        <v>4660187.1926759873</v>
      </c>
      <c r="J61" s="53">
        <f t="shared" si="3"/>
        <v>178403026.38670298</v>
      </c>
      <c r="K61" s="52"/>
      <c r="L61" s="4">
        <v>50</v>
      </c>
      <c r="M61" s="54">
        <f t="shared" si="4"/>
        <v>5442807.5469397716</v>
      </c>
      <c r="N61" s="54">
        <f t="shared" si="5"/>
        <v>2458333.3333333335</v>
      </c>
      <c r="O61" s="55">
        <f t="shared" si="6"/>
        <v>2984474.2136064386</v>
      </c>
      <c r="P61" s="53">
        <f t="shared" si="12"/>
        <v>113083333.33333297</v>
      </c>
      <c r="R61" s="4">
        <v>50</v>
      </c>
      <c r="S61" s="65">
        <v>2.3681476518873978E-2</v>
      </c>
      <c r="T61" s="54">
        <f t="shared" si="7"/>
        <v>6672790.7235049186</v>
      </c>
      <c r="U61" s="54">
        <f t="shared" si="8"/>
        <v>2592742.4465683699</v>
      </c>
      <c r="V61" s="44">
        <f t="shared" si="9"/>
        <v>4080048.2769365488</v>
      </c>
      <c r="W61" s="58">
        <f t="shared" si="10"/>
        <v>169695850.86326084</v>
      </c>
    </row>
    <row r="62" spans="1:23" x14ac:dyDescent="0.25">
      <c r="A62" s="122" t="s">
        <v>110</v>
      </c>
      <c r="B62" s="128">
        <v>4.4999999999999998E-2</v>
      </c>
      <c r="C62" s="126">
        <f t="shared" si="11"/>
        <v>0.10100595471426943</v>
      </c>
      <c r="D62" s="127">
        <f t="shared" si="14"/>
        <v>2.3648826847240567E-2</v>
      </c>
      <c r="F62" s="4">
        <v>51</v>
      </c>
      <c r="G62" s="44">
        <f t="shared" si="0"/>
        <v>6672790.7235049186</v>
      </c>
      <c r="H62" s="54">
        <f t="shared" si="1"/>
        <v>2064589.654218521</v>
      </c>
      <c r="I62" s="55">
        <f t="shared" si="2"/>
        <v>4608201.0692863977</v>
      </c>
      <c r="J62" s="53">
        <f t="shared" si="3"/>
        <v>176338436.73248446</v>
      </c>
      <c r="K62" s="52"/>
      <c r="L62" s="4">
        <v>51</v>
      </c>
      <c r="M62" s="54">
        <f t="shared" si="4"/>
        <v>5379308.0955864433</v>
      </c>
      <c r="N62" s="54">
        <f t="shared" si="5"/>
        <v>2458333.3333333335</v>
      </c>
      <c r="O62" s="55">
        <f t="shared" si="6"/>
        <v>2920974.7622531103</v>
      </c>
      <c r="P62" s="53">
        <f t="shared" si="12"/>
        <v>110624999.99999964</v>
      </c>
      <c r="R62" s="4">
        <v>51</v>
      </c>
      <c r="S62" s="65">
        <v>2.3599842574782981E-2</v>
      </c>
      <c r="T62" s="54">
        <f t="shared" si="7"/>
        <v>6672790.7235049186</v>
      </c>
      <c r="U62" s="54">
        <f t="shared" si="8"/>
        <v>2667995.3575381124</v>
      </c>
      <c r="V62" s="44">
        <f t="shared" si="9"/>
        <v>4004795.3659668062</v>
      </c>
      <c r="W62" s="58">
        <f t="shared" si="10"/>
        <v>167027855.50572273</v>
      </c>
    </row>
    <row r="63" spans="1:23" x14ac:dyDescent="0.25">
      <c r="A63" s="122" t="s">
        <v>109</v>
      </c>
      <c r="B63" s="128">
        <v>4.5199999999999997E-2</v>
      </c>
      <c r="C63" s="126">
        <f t="shared" si="11"/>
        <v>0.10100595471426943</v>
      </c>
      <c r="D63" s="127">
        <f t="shared" si="14"/>
        <v>2.3681476518873978E-2</v>
      </c>
      <c r="F63" s="4">
        <v>52</v>
      </c>
      <c r="G63" s="44">
        <f t="shared" si="0"/>
        <v>6672790.7235049186</v>
      </c>
      <c r="H63" s="54">
        <f t="shared" si="1"/>
        <v>2117918.5940067116</v>
      </c>
      <c r="I63" s="55">
        <f t="shared" si="2"/>
        <v>4554872.129498207</v>
      </c>
      <c r="J63" s="53">
        <f t="shared" si="3"/>
        <v>174220518.13847774</v>
      </c>
      <c r="K63" s="52"/>
      <c r="L63" s="4">
        <v>52</v>
      </c>
      <c r="M63" s="54">
        <f t="shared" si="4"/>
        <v>5315808.644233115</v>
      </c>
      <c r="N63" s="54">
        <f t="shared" si="5"/>
        <v>2458333.3333333335</v>
      </c>
      <c r="O63" s="55">
        <f t="shared" si="6"/>
        <v>2857475.3108997815</v>
      </c>
      <c r="P63" s="53">
        <f t="shared" si="12"/>
        <v>108166666.66666631</v>
      </c>
      <c r="R63" s="4">
        <v>52</v>
      </c>
      <c r="S63" s="65">
        <v>2.3534511973893446E-2</v>
      </c>
      <c r="T63" s="54">
        <f t="shared" si="7"/>
        <v>6672790.7235049186</v>
      </c>
      <c r="U63" s="54">
        <f t="shared" si="8"/>
        <v>2741871.6581317428</v>
      </c>
      <c r="V63" s="44">
        <f t="shared" si="9"/>
        <v>3930919.0653731758</v>
      </c>
      <c r="W63" s="58">
        <f t="shared" si="10"/>
        <v>164285983.84759098</v>
      </c>
    </row>
    <row r="64" spans="1:23" x14ac:dyDescent="0.25">
      <c r="A64" s="122" t="s">
        <v>108</v>
      </c>
      <c r="B64" s="128">
        <v>4.4699999999999997E-2</v>
      </c>
      <c r="C64" s="126">
        <f t="shared" si="11"/>
        <v>0.10100595471426943</v>
      </c>
      <c r="D64" s="127">
        <f t="shared" si="14"/>
        <v>2.3599842574782981E-2</v>
      </c>
      <c r="F64" s="4">
        <v>53</v>
      </c>
      <c r="G64" s="44">
        <f t="shared" si="0"/>
        <v>6672790.7235049186</v>
      </c>
      <c r="H64" s="54">
        <f t="shared" si="1"/>
        <v>2172625.0355241792</v>
      </c>
      <c r="I64" s="55">
        <f t="shared" si="2"/>
        <v>4500165.6879807394</v>
      </c>
      <c r="J64" s="53">
        <f t="shared" si="3"/>
        <v>172047893.10295355</v>
      </c>
      <c r="K64" s="52"/>
      <c r="L64" s="4">
        <v>53</v>
      </c>
      <c r="M64" s="54">
        <f t="shared" si="4"/>
        <v>5252309.1928797867</v>
      </c>
      <c r="N64" s="54">
        <f t="shared" si="5"/>
        <v>2458333.3333333335</v>
      </c>
      <c r="O64" s="55">
        <f t="shared" si="6"/>
        <v>2793975.8595464532</v>
      </c>
      <c r="P64" s="53">
        <f t="shared" si="12"/>
        <v>105708333.33333299</v>
      </c>
      <c r="R64" s="4">
        <v>53</v>
      </c>
      <c r="S64" s="65">
        <v>2.3616171967907773E-2</v>
      </c>
      <c r="T64" s="54">
        <f t="shared" si="7"/>
        <v>6672790.7235049186</v>
      </c>
      <c r="U64" s="54">
        <f t="shared" si="8"/>
        <v>2792984.6770432913</v>
      </c>
      <c r="V64" s="44">
        <f t="shared" si="9"/>
        <v>3879806.0464616274</v>
      </c>
      <c r="W64" s="58">
        <f t="shared" si="10"/>
        <v>161492999.17054769</v>
      </c>
    </row>
    <row r="65" spans="1:23" x14ac:dyDescent="0.25">
      <c r="A65" s="122" t="s">
        <v>107</v>
      </c>
      <c r="B65" s="128">
        <v>4.4299999999999999E-2</v>
      </c>
      <c r="C65" s="126">
        <f t="shared" si="11"/>
        <v>0.10100595471426943</v>
      </c>
      <c r="D65" s="127">
        <f t="shared" si="14"/>
        <v>2.3534511973893446E-2</v>
      </c>
      <c r="F65" s="4">
        <v>54</v>
      </c>
      <c r="G65" s="44">
        <f t="shared" si="0"/>
        <v>6672790.7235049186</v>
      </c>
      <c r="H65" s="54">
        <f t="shared" si="1"/>
        <v>2228744.5600335859</v>
      </c>
      <c r="I65" s="55">
        <f t="shared" si="2"/>
        <v>4444046.1634713328</v>
      </c>
      <c r="J65" s="53">
        <f t="shared" si="3"/>
        <v>169819148.54291996</v>
      </c>
      <c r="K65" s="52"/>
      <c r="L65" s="4">
        <v>54</v>
      </c>
      <c r="M65" s="54">
        <f t="shared" si="4"/>
        <v>5188809.7415264584</v>
      </c>
      <c r="N65" s="54">
        <f t="shared" si="5"/>
        <v>2458333.3333333335</v>
      </c>
      <c r="O65" s="55">
        <f t="shared" si="6"/>
        <v>2730476.4081931245</v>
      </c>
      <c r="P65" s="53">
        <f t="shared" si="12"/>
        <v>103249999.99999966</v>
      </c>
      <c r="R65" s="4">
        <v>54</v>
      </c>
      <c r="S65" s="65">
        <v>2.3501838853212442E-2</v>
      </c>
      <c r="T65" s="54">
        <f t="shared" si="7"/>
        <v>6672790.7235049186</v>
      </c>
      <c r="U65" s="54">
        <f t="shared" si="8"/>
        <v>2877408.2810767363</v>
      </c>
      <c r="V65" s="44">
        <f t="shared" si="9"/>
        <v>3795382.4424281823</v>
      </c>
      <c r="W65" s="58">
        <f t="shared" si="10"/>
        <v>158615590.88947096</v>
      </c>
    </row>
    <row r="66" spans="1:23" x14ac:dyDescent="0.25">
      <c r="A66" s="122" t="s">
        <v>106</v>
      </c>
      <c r="B66" s="128">
        <v>4.48E-2</v>
      </c>
      <c r="C66" s="126">
        <f t="shared" si="11"/>
        <v>0.10100595471426943</v>
      </c>
      <c r="D66" s="127">
        <f t="shared" si="14"/>
        <v>2.3616171967907773E-2</v>
      </c>
      <c r="F66" s="4">
        <v>55</v>
      </c>
      <c r="G66" s="44">
        <f t="shared" si="0"/>
        <v>6672790.7235049186</v>
      </c>
      <c r="H66" s="54">
        <f t="shared" si="1"/>
        <v>2286313.6678717621</v>
      </c>
      <c r="I66" s="55">
        <f t="shared" si="2"/>
        <v>4386477.0556331566</v>
      </c>
      <c r="J66" s="53">
        <f t="shared" si="3"/>
        <v>167532834.87504819</v>
      </c>
      <c r="K66" s="52"/>
      <c r="L66" s="4">
        <v>55</v>
      </c>
      <c r="M66" s="54">
        <f t="shared" si="4"/>
        <v>5125310.2901731292</v>
      </c>
      <c r="N66" s="54">
        <f t="shared" si="5"/>
        <v>2458333.3333333335</v>
      </c>
      <c r="O66" s="55">
        <f t="shared" si="6"/>
        <v>2666976.9568397957</v>
      </c>
      <c r="P66" s="53">
        <f t="shared" si="12"/>
        <v>100791666.66666633</v>
      </c>
      <c r="R66" s="4">
        <v>55</v>
      </c>
      <c r="S66" s="65">
        <v>2.3534511973893446E-2</v>
      </c>
      <c r="T66" s="54">
        <f t="shared" si="7"/>
        <v>6672790.7235049186</v>
      </c>
      <c r="U66" s="54">
        <f t="shared" si="8"/>
        <v>2939850.2004704801</v>
      </c>
      <c r="V66" s="44">
        <f t="shared" si="9"/>
        <v>3732940.5230344385</v>
      </c>
      <c r="W66" s="58">
        <f t="shared" si="10"/>
        <v>155675740.68900049</v>
      </c>
    </row>
    <row r="67" spans="1:23" x14ac:dyDescent="0.25">
      <c r="A67" s="122" t="s">
        <v>105</v>
      </c>
      <c r="B67" s="128">
        <v>4.41E-2</v>
      </c>
      <c r="C67" s="126">
        <f t="shared" si="11"/>
        <v>0.10100595471426943</v>
      </c>
      <c r="D67" s="127">
        <f t="shared" si="14"/>
        <v>2.3501838853212442E-2</v>
      </c>
      <c r="F67" s="4">
        <v>56</v>
      </c>
      <c r="G67" s="44">
        <f t="shared" si="0"/>
        <v>6672790.7235049186</v>
      </c>
      <c r="H67" s="54">
        <f t="shared" si="1"/>
        <v>2345369.80218965</v>
      </c>
      <c r="I67" s="55">
        <f t="shared" si="2"/>
        <v>4327420.9213152686</v>
      </c>
      <c r="J67" s="53">
        <f t="shared" si="3"/>
        <v>165187465.07285854</v>
      </c>
      <c r="K67" s="52"/>
      <c r="L67" s="4">
        <v>56</v>
      </c>
      <c r="M67" s="54">
        <f t="shared" si="4"/>
        <v>5061810.8388198009</v>
      </c>
      <c r="N67" s="54">
        <f t="shared" si="5"/>
        <v>2458333.3333333335</v>
      </c>
      <c r="O67" s="55">
        <f t="shared" si="6"/>
        <v>2603477.5054864674</v>
      </c>
      <c r="P67" s="53">
        <f t="shared" si="12"/>
        <v>98333333.333333001</v>
      </c>
      <c r="R67" s="4">
        <v>56</v>
      </c>
      <c r="S67" s="65">
        <v>2.3681476518873978E-2</v>
      </c>
      <c r="T67" s="54">
        <f t="shared" si="7"/>
        <v>6672790.7235049186</v>
      </c>
      <c r="U67" s="54">
        <f t="shared" si="8"/>
        <v>2986159.325820039</v>
      </c>
      <c r="V67" s="44">
        <f t="shared" si="9"/>
        <v>3686631.3976848796</v>
      </c>
      <c r="W67" s="58">
        <f t="shared" si="10"/>
        <v>152689581.36318046</v>
      </c>
    </row>
    <row r="68" spans="1:23" x14ac:dyDescent="0.25">
      <c r="A68" s="122" t="s">
        <v>104</v>
      </c>
      <c r="B68" s="128">
        <v>4.4299999999999999E-2</v>
      </c>
      <c r="C68" s="126">
        <f t="shared" si="11"/>
        <v>0.10100595471426943</v>
      </c>
      <c r="D68" s="127">
        <f t="shared" si="14"/>
        <v>2.3534511973893446E-2</v>
      </c>
      <c r="F68" s="4">
        <v>57</v>
      </c>
      <c r="G68" s="44">
        <f t="shared" si="0"/>
        <v>6672790.7235049186</v>
      </c>
      <c r="H68" s="54">
        <f t="shared" si="1"/>
        <v>2405951.3733054632</v>
      </c>
      <c r="I68" s="55">
        <f t="shared" si="2"/>
        <v>4266839.3501994554</v>
      </c>
      <c r="J68" s="53">
        <f t="shared" si="3"/>
        <v>162781513.69955307</v>
      </c>
      <c r="K68" s="52"/>
      <c r="L68" s="4">
        <v>57</v>
      </c>
      <c r="M68" s="54">
        <f t="shared" si="4"/>
        <v>4998311.3874664716</v>
      </c>
      <c r="N68" s="54">
        <f t="shared" si="5"/>
        <v>2458333.3333333335</v>
      </c>
      <c r="O68" s="55">
        <f t="shared" si="6"/>
        <v>2539978.0541331386</v>
      </c>
      <c r="P68" s="53">
        <f t="shared" si="12"/>
        <v>95874999.999999672</v>
      </c>
      <c r="R68" s="4">
        <v>57</v>
      </c>
      <c r="S68" s="65">
        <v>2.3714120984634546E-2</v>
      </c>
      <c r="T68" s="54">
        <f t="shared" si="7"/>
        <v>6672790.7235049186</v>
      </c>
      <c r="U68" s="54">
        <f t="shared" si="8"/>
        <v>3051891.5179652572</v>
      </c>
      <c r="V68" s="44">
        <f t="shared" si="9"/>
        <v>3620899.2055396615</v>
      </c>
      <c r="W68" s="58">
        <f t="shared" si="10"/>
        <v>149637689.8452152</v>
      </c>
    </row>
    <row r="69" spans="1:23" x14ac:dyDescent="0.25">
      <c r="A69" s="122" t="s">
        <v>103</v>
      </c>
      <c r="B69" s="128">
        <v>4.5199999999999997E-2</v>
      </c>
      <c r="C69" s="126">
        <f t="shared" si="11"/>
        <v>0.10100595471426943</v>
      </c>
      <c r="D69" s="127">
        <f t="shared" si="14"/>
        <v>2.3681476518873978E-2</v>
      </c>
      <c r="F69" s="4">
        <v>58</v>
      </c>
      <c r="G69" s="44">
        <f t="shared" si="0"/>
        <v>6672790.7235049186</v>
      </c>
      <c r="H69" s="54">
        <f t="shared" si="1"/>
        <v>2468097.783686894</v>
      </c>
      <c r="I69" s="55">
        <f t="shared" si="2"/>
        <v>4204692.9398180246</v>
      </c>
      <c r="J69" s="53">
        <f t="shared" si="3"/>
        <v>160313415.91586617</v>
      </c>
      <c r="K69" s="52"/>
      <c r="L69" s="4">
        <v>58</v>
      </c>
      <c r="M69" s="54">
        <f t="shared" si="4"/>
        <v>4934811.9361131433</v>
      </c>
      <c r="N69" s="54">
        <f t="shared" si="5"/>
        <v>2458333.3333333335</v>
      </c>
      <c r="O69" s="55">
        <f t="shared" si="6"/>
        <v>2476478.6027798103</v>
      </c>
      <c r="P69" s="53">
        <f t="shared" si="12"/>
        <v>93416666.666666344</v>
      </c>
      <c r="R69" s="4">
        <v>58</v>
      </c>
      <c r="S69" s="65">
        <v>2.3583511879047725E-2</v>
      </c>
      <c r="T69" s="54">
        <f t="shared" si="7"/>
        <v>6672790.7235049186</v>
      </c>
      <c r="U69" s="54">
        <f t="shared" si="8"/>
        <v>3143808.487487027</v>
      </c>
      <c r="V69" s="44">
        <f t="shared" si="9"/>
        <v>3528982.2360178917</v>
      </c>
      <c r="W69" s="58">
        <f t="shared" si="10"/>
        <v>146493881.35772818</v>
      </c>
    </row>
    <row r="70" spans="1:23" x14ac:dyDescent="0.25">
      <c r="A70" s="122" t="s">
        <v>102</v>
      </c>
      <c r="B70" s="128">
        <v>4.5400000000000003E-2</v>
      </c>
      <c r="C70" s="126">
        <f t="shared" si="11"/>
        <v>0.10100595471426943</v>
      </c>
      <c r="D70" s="127">
        <f t="shared" si="14"/>
        <v>2.3714120984634546E-2</v>
      </c>
      <c r="F70" s="4">
        <v>59</v>
      </c>
      <c r="G70" s="44">
        <f t="shared" si="0"/>
        <v>6672790.7235049186</v>
      </c>
      <c r="H70" s="54">
        <f t="shared" si="1"/>
        <v>2531849.453578617</v>
      </c>
      <c r="I70" s="55">
        <f t="shared" si="2"/>
        <v>4140941.2699263017</v>
      </c>
      <c r="J70" s="53">
        <f t="shared" si="3"/>
        <v>157781566.46228755</v>
      </c>
      <c r="K70" s="52"/>
      <c r="L70" s="4">
        <v>59</v>
      </c>
      <c r="M70" s="54">
        <f t="shared" si="4"/>
        <v>4871312.484759815</v>
      </c>
      <c r="N70" s="54">
        <f t="shared" si="5"/>
        <v>2458333.3333333335</v>
      </c>
      <c r="O70" s="55">
        <f t="shared" si="6"/>
        <v>2412979.1514264815</v>
      </c>
      <c r="P70" s="53">
        <f t="shared" si="12"/>
        <v>90958333.333333015</v>
      </c>
      <c r="R70" s="4">
        <v>59</v>
      </c>
      <c r="S70" s="65">
        <v>2.3648826847240567E-2</v>
      </c>
      <c r="T70" s="54">
        <f t="shared" si="7"/>
        <v>6672790.7235049186</v>
      </c>
      <c r="U70" s="54">
        <f t="shared" si="8"/>
        <v>3208382.2890958018</v>
      </c>
      <c r="V70" s="44">
        <f t="shared" si="9"/>
        <v>3464408.4344091169</v>
      </c>
      <c r="W70" s="58">
        <f t="shared" si="10"/>
        <v>143285499.06863239</v>
      </c>
    </row>
    <row r="71" spans="1:23" x14ac:dyDescent="0.25">
      <c r="A71" s="122" t="s">
        <v>101</v>
      </c>
      <c r="B71" s="128">
        <v>4.4600000000000001E-2</v>
      </c>
      <c r="C71" s="126">
        <f t="shared" si="11"/>
        <v>0.10100595471426943</v>
      </c>
      <c r="D71" s="127">
        <f t="shared" si="14"/>
        <v>2.3583511879047725E-2</v>
      </c>
      <c r="F71" s="4">
        <v>60</v>
      </c>
      <c r="G71" s="44">
        <f t="shared" si="0"/>
        <v>6672790.7235049186</v>
      </c>
      <c r="H71" s="54">
        <f t="shared" si="1"/>
        <v>2597247.847291756</v>
      </c>
      <c r="I71" s="55">
        <f t="shared" si="2"/>
        <v>4075542.8762131627</v>
      </c>
      <c r="J71" s="53">
        <f t="shared" si="3"/>
        <v>155184318.61499578</v>
      </c>
      <c r="K71" s="52"/>
      <c r="L71" s="4">
        <v>60</v>
      </c>
      <c r="M71" s="54">
        <f t="shared" si="4"/>
        <v>4807813.0334064867</v>
      </c>
      <c r="N71" s="54">
        <f t="shared" si="5"/>
        <v>2458333.3333333335</v>
      </c>
      <c r="O71" s="55">
        <f t="shared" si="6"/>
        <v>2349479.7000731532</v>
      </c>
      <c r="P71" s="53">
        <f t="shared" si="12"/>
        <v>88499999.999999687</v>
      </c>
      <c r="R71" s="4">
        <v>60</v>
      </c>
      <c r="S71" s="65">
        <v>2.3730441265883195E-2</v>
      </c>
      <c r="T71" s="54">
        <f t="shared" si="7"/>
        <v>6672790.7235049186</v>
      </c>
      <c r="U71" s="54">
        <f t="shared" si="8"/>
        <v>3272562.6036039763</v>
      </c>
      <c r="V71" s="44">
        <f t="shared" si="9"/>
        <v>3400228.1199009423</v>
      </c>
      <c r="W71" s="58">
        <f t="shared" si="10"/>
        <v>140012936.46502841</v>
      </c>
    </row>
    <row r="72" spans="1:23" x14ac:dyDescent="0.25">
      <c r="A72" s="122" t="s">
        <v>100</v>
      </c>
      <c r="B72" s="128">
        <v>4.4999999999999998E-2</v>
      </c>
      <c r="C72" s="126">
        <f t="shared" si="11"/>
        <v>0.10100595471426943</v>
      </c>
      <c r="D72" s="127">
        <f t="shared" si="14"/>
        <v>2.3648826847240567E-2</v>
      </c>
      <c r="F72" s="4">
        <v>61</v>
      </c>
      <c r="G72" s="44">
        <f t="shared" si="0"/>
        <v>6672790.7235049186</v>
      </c>
      <c r="H72" s="54">
        <f t="shared" si="1"/>
        <v>2664335.5001724237</v>
      </c>
      <c r="I72" s="55">
        <f t="shared" si="2"/>
        <v>4008455.223332495</v>
      </c>
      <c r="J72" s="53">
        <f t="shared" si="3"/>
        <v>152519983.11482334</v>
      </c>
      <c r="K72" s="52"/>
      <c r="L72" s="4">
        <v>61</v>
      </c>
      <c r="M72" s="54">
        <f t="shared" si="4"/>
        <v>4744313.5820531584</v>
      </c>
      <c r="N72" s="54">
        <f t="shared" si="5"/>
        <v>2458333.3333333335</v>
      </c>
      <c r="O72" s="55">
        <f t="shared" si="6"/>
        <v>2285980.2487198245</v>
      </c>
      <c r="P72" s="53">
        <f t="shared" si="12"/>
        <v>86041666.666666359</v>
      </c>
      <c r="R72" s="4">
        <v>61</v>
      </c>
      <c r="S72" s="65">
        <v>2.330569053038678E-2</v>
      </c>
      <c r="T72" s="54">
        <f t="shared" si="7"/>
        <v>6672790.7235049186</v>
      </c>
      <c r="U72" s="54">
        <f t="shared" si="8"/>
        <v>3409692.5560002602</v>
      </c>
      <c r="V72" s="44">
        <f t="shared" si="9"/>
        <v>3263098.1675046585</v>
      </c>
      <c r="W72" s="58">
        <f t="shared" si="10"/>
        <v>136603243.90902814</v>
      </c>
    </row>
    <row r="73" spans="1:23" x14ac:dyDescent="0.25">
      <c r="A73" s="122" t="s">
        <v>99</v>
      </c>
      <c r="B73" s="128">
        <v>4.5499999999999999E-2</v>
      </c>
      <c r="C73" s="126">
        <f t="shared" si="11"/>
        <v>0.10100595471426943</v>
      </c>
      <c r="D73" s="127">
        <f t="shared" si="14"/>
        <v>2.3730441265883195E-2</v>
      </c>
      <c r="F73" s="4">
        <v>62</v>
      </c>
      <c r="G73" s="44">
        <f t="shared" si="0"/>
        <v>6672790.7235049186</v>
      </c>
      <c r="H73" s="54">
        <f t="shared" si="1"/>
        <v>2733156.0462668561</v>
      </c>
      <c r="I73" s="55">
        <f t="shared" si="2"/>
        <v>3939634.6772380625</v>
      </c>
      <c r="J73" s="53">
        <f t="shared" si="3"/>
        <v>149786827.06855649</v>
      </c>
      <c r="K73" s="52"/>
      <c r="L73" s="4">
        <v>62</v>
      </c>
      <c r="M73" s="54">
        <f t="shared" si="4"/>
        <v>4680814.1306998301</v>
      </c>
      <c r="N73" s="54">
        <f t="shared" si="5"/>
        <v>2458333.3333333335</v>
      </c>
      <c r="O73" s="55">
        <f t="shared" si="6"/>
        <v>2222480.7973664962</v>
      </c>
      <c r="P73" s="53">
        <f t="shared" si="12"/>
        <v>83583333.33333303</v>
      </c>
      <c r="R73" s="4">
        <v>62</v>
      </c>
      <c r="S73" s="65">
        <v>2.2437112491544564E-2</v>
      </c>
      <c r="T73" s="54">
        <f t="shared" si="7"/>
        <v>6672790.7235049186</v>
      </c>
      <c r="U73" s="54">
        <f t="shared" si="8"/>
        <v>3607808.3732081545</v>
      </c>
      <c r="V73" s="44">
        <f t="shared" si="9"/>
        <v>3064982.3502967642</v>
      </c>
      <c r="W73" s="58">
        <f t="shared" si="10"/>
        <v>132995435.53581999</v>
      </c>
    </row>
    <row r="74" spans="1:23" x14ac:dyDescent="0.25">
      <c r="A74" s="122" t="s">
        <v>98</v>
      </c>
      <c r="B74" s="128">
        <v>4.2900000000000001E-2</v>
      </c>
      <c r="C74" s="126">
        <f t="shared" si="11"/>
        <v>0.10100595471426943</v>
      </c>
      <c r="D74" s="127">
        <f t="shared" si="14"/>
        <v>2.330569053038678E-2</v>
      </c>
      <c r="F74" s="4">
        <v>63</v>
      </c>
      <c r="G74" s="44">
        <f t="shared" si="0"/>
        <v>6672790.7235049186</v>
      </c>
      <c r="H74" s="54">
        <f t="shared" si="1"/>
        <v>2803754.2467011525</v>
      </c>
      <c r="I74" s="55">
        <f t="shared" si="2"/>
        <v>3869036.4768037661</v>
      </c>
      <c r="J74" s="53">
        <f t="shared" si="3"/>
        <v>146983072.82185534</v>
      </c>
      <c r="K74" s="52"/>
      <c r="L74" s="4">
        <v>63</v>
      </c>
      <c r="M74" s="54">
        <f t="shared" si="4"/>
        <v>4617314.6793465009</v>
      </c>
      <c r="N74" s="54">
        <f t="shared" si="5"/>
        <v>2458333.3333333335</v>
      </c>
      <c r="O74" s="55">
        <f t="shared" si="6"/>
        <v>2158981.3460131674</v>
      </c>
      <c r="P74" s="53">
        <f t="shared" si="12"/>
        <v>81124999.999999702</v>
      </c>
      <c r="R74" s="4">
        <v>63</v>
      </c>
      <c r="S74" s="65">
        <v>2.1746175645132704E-2</v>
      </c>
      <c r="T74" s="54">
        <f t="shared" si="7"/>
        <v>6672790.7235049186</v>
      </c>
      <c r="U74" s="54">
        <f t="shared" si="8"/>
        <v>3780648.6223420533</v>
      </c>
      <c r="V74" s="44">
        <f t="shared" si="9"/>
        <v>2892142.1011628653</v>
      </c>
      <c r="W74" s="58">
        <f t="shared" si="10"/>
        <v>129214786.91347794</v>
      </c>
    </row>
    <row r="75" spans="1:23" x14ac:dyDescent="0.25">
      <c r="A75" s="122" t="s">
        <v>97</v>
      </c>
      <c r="B75" s="128">
        <v>3.7600000000000001E-2</v>
      </c>
      <c r="C75" s="126">
        <f t="shared" si="11"/>
        <v>0.10100595471426943</v>
      </c>
      <c r="D75" s="127">
        <f t="shared" si="14"/>
        <v>2.2437112491544564E-2</v>
      </c>
      <c r="F75" s="4">
        <v>64</v>
      </c>
      <c r="G75" s="44">
        <f t="shared" si="0"/>
        <v>6672790.7235049186</v>
      </c>
      <c r="H75" s="54">
        <f t="shared" si="1"/>
        <v>2876176.0187940695</v>
      </c>
      <c r="I75" s="55">
        <f t="shared" si="2"/>
        <v>3796614.7047108491</v>
      </c>
      <c r="J75" s="53">
        <f t="shared" si="3"/>
        <v>144106896.80306128</v>
      </c>
      <c r="K75" s="52"/>
      <c r="L75" s="4">
        <v>64</v>
      </c>
      <c r="M75" s="54">
        <f t="shared" si="4"/>
        <v>4553815.2279931726</v>
      </c>
      <c r="N75" s="54">
        <f t="shared" si="5"/>
        <v>2458333.3333333335</v>
      </c>
      <c r="O75" s="55">
        <f t="shared" si="6"/>
        <v>2095481.8946598389</v>
      </c>
      <c r="P75" s="53">
        <f t="shared" si="12"/>
        <v>78666666.666666374</v>
      </c>
      <c r="R75" s="4">
        <v>64</v>
      </c>
      <c r="S75" s="65">
        <v>2.0837829944963859E-2</v>
      </c>
      <c r="T75" s="54">
        <f t="shared" si="7"/>
        <v>6672790.7235049186</v>
      </c>
      <c r="U75" s="54">
        <f t="shared" si="8"/>
        <v>3980234.9674271238</v>
      </c>
      <c r="V75" s="44">
        <f t="shared" si="9"/>
        <v>2692555.7560777948</v>
      </c>
      <c r="W75" s="58">
        <f t="shared" si="10"/>
        <v>125234551.94605082</v>
      </c>
    </row>
    <row r="76" spans="1:23" x14ac:dyDescent="0.25">
      <c r="A76" s="122" t="s">
        <v>96</v>
      </c>
      <c r="B76" s="128">
        <v>3.3399999999999999E-2</v>
      </c>
      <c r="C76" s="126">
        <f t="shared" si="11"/>
        <v>0.10100595471426943</v>
      </c>
      <c r="D76" s="127">
        <f t="shared" si="14"/>
        <v>2.1746175645132704E-2</v>
      </c>
      <c r="F76" s="4">
        <v>65</v>
      </c>
      <c r="G76" s="44">
        <f t="shared" si="0"/>
        <v>6672790.7235049186</v>
      </c>
      <c r="H76" s="54">
        <f t="shared" si="1"/>
        <v>2950468.465921808</v>
      </c>
      <c r="I76" s="55">
        <f t="shared" si="2"/>
        <v>3722322.2575831106</v>
      </c>
      <c r="J76" s="53">
        <f t="shared" si="3"/>
        <v>141156428.33713946</v>
      </c>
      <c r="K76" s="52"/>
      <c r="L76" s="4">
        <v>65</v>
      </c>
      <c r="M76" s="54">
        <f t="shared" si="4"/>
        <v>4490315.7766398434</v>
      </c>
      <c r="N76" s="54">
        <f t="shared" si="5"/>
        <v>2458333.3333333335</v>
      </c>
      <c r="O76" s="55">
        <f t="shared" si="6"/>
        <v>2031982.4433065103</v>
      </c>
      <c r="P76" s="53">
        <f t="shared" si="12"/>
        <v>76208333.333333045</v>
      </c>
      <c r="R76" s="4">
        <v>65</v>
      </c>
      <c r="S76" s="65">
        <v>2.0174667514798905E-2</v>
      </c>
      <c r="T76" s="54">
        <f t="shared" si="7"/>
        <v>6672790.7235049186</v>
      </c>
      <c r="U76" s="54">
        <f t="shared" si="8"/>
        <v>4146225.276628531</v>
      </c>
      <c r="V76" s="44">
        <f t="shared" si="9"/>
        <v>2526565.4468763876</v>
      </c>
      <c r="W76" s="58">
        <f t="shared" si="10"/>
        <v>121088326.6694223</v>
      </c>
    </row>
    <row r="77" spans="1:23" x14ac:dyDescent="0.25">
      <c r="A77" s="122" t="s">
        <v>95</v>
      </c>
      <c r="B77" s="128">
        <v>2.7900000000000001E-2</v>
      </c>
      <c r="C77" s="126">
        <f t="shared" si="11"/>
        <v>0.10100595471426943</v>
      </c>
      <c r="D77" s="127">
        <f t="shared" si="14"/>
        <v>2.0837829944963859E-2</v>
      </c>
      <c r="F77" s="4">
        <v>66</v>
      </c>
      <c r="G77" s="44">
        <f t="shared" ref="G77:G107" si="15">$H$5</f>
        <v>6672790.7235049186</v>
      </c>
      <c r="H77" s="54">
        <f t="shared" ref="H77:H107" si="16">G77-I77</f>
        <v>3026679.9081542147</v>
      </c>
      <c r="I77" s="55">
        <f t="shared" ref="I77:I107" si="17">J76*$D$11</f>
        <v>3646110.8153507039</v>
      </c>
      <c r="J77" s="53">
        <f t="shared" ref="J77:J107" si="18">J76-H77</f>
        <v>138129748.42898524</v>
      </c>
      <c r="K77" s="52"/>
      <c r="L77" s="4">
        <v>66</v>
      </c>
      <c r="M77" s="54">
        <f t="shared" ref="M77:M107" si="19">SUM(N77:O77)</f>
        <v>4426816.3252865151</v>
      </c>
      <c r="N77" s="54">
        <f t="shared" ref="N77:N107" si="20">$B$3/$B$4</f>
        <v>2458333.3333333335</v>
      </c>
      <c r="O77" s="55">
        <f t="shared" ref="O77:O107" si="21">P76*$D$11</f>
        <v>1968482.9919531818</v>
      </c>
      <c r="P77" s="53">
        <f t="shared" ref="P77:P106" si="22">P76-N77</f>
        <v>73749999.999999717</v>
      </c>
      <c r="R77" s="4">
        <v>66</v>
      </c>
      <c r="S77" s="65">
        <v>1.957597285953061E-2</v>
      </c>
      <c r="T77" s="54">
        <f t="shared" ref="T77:T98" si="23">PMT($S$11,$B$4,-$B$3,,)</f>
        <v>6672790.7235049186</v>
      </c>
      <c r="U77" s="54">
        <f t="shared" ref="U77:U98" si="24">T77-V77</f>
        <v>4302368.9270183314</v>
      </c>
      <c r="V77" s="44">
        <f t="shared" ref="V77:V98" si="25">W76*S77</f>
        <v>2370421.7964865877</v>
      </c>
      <c r="W77" s="58">
        <f t="shared" ref="W77:W96" si="26">W76-U77</f>
        <v>116785957.74240397</v>
      </c>
    </row>
    <row r="78" spans="1:23" x14ac:dyDescent="0.25">
      <c r="A78" s="122" t="s">
        <v>94</v>
      </c>
      <c r="B78" s="128">
        <v>2.3900000000000001E-2</v>
      </c>
      <c r="C78" s="126">
        <f t="shared" si="11"/>
        <v>0.10100595471426943</v>
      </c>
      <c r="D78" s="127">
        <f t="shared" si="14"/>
        <v>2.0174667514798905E-2</v>
      </c>
      <c r="F78" s="4">
        <v>67</v>
      </c>
      <c r="G78" s="44">
        <f t="shared" si="15"/>
        <v>6672790.7235049186</v>
      </c>
      <c r="H78" s="54">
        <f t="shared" si="16"/>
        <v>3104859.9136823243</v>
      </c>
      <c r="I78" s="55">
        <f t="shared" si="17"/>
        <v>3567930.8098225943</v>
      </c>
      <c r="J78" s="53">
        <f t="shared" si="18"/>
        <v>135024888.51530293</v>
      </c>
      <c r="K78" s="52"/>
      <c r="L78" s="4">
        <v>67</v>
      </c>
      <c r="M78" s="54">
        <f t="shared" si="19"/>
        <v>4363316.8739331868</v>
      </c>
      <c r="N78" s="54">
        <f t="shared" si="20"/>
        <v>2458333.3333333335</v>
      </c>
      <c r="O78" s="55">
        <f t="shared" si="21"/>
        <v>1904983.5405998533</v>
      </c>
      <c r="P78" s="53">
        <f t="shared" si="22"/>
        <v>71291666.666666389</v>
      </c>
      <c r="R78" s="4">
        <v>67</v>
      </c>
      <c r="S78" s="65">
        <v>1.9459355641005205E-2</v>
      </c>
      <c r="T78" s="54">
        <f t="shared" si="23"/>
        <v>6672790.7235049186</v>
      </c>
      <c r="U78" s="54">
        <f t="shared" si="24"/>
        <v>4400211.2379200738</v>
      </c>
      <c r="V78" s="44">
        <f t="shared" si="25"/>
        <v>2272579.4855848444</v>
      </c>
      <c r="W78" s="58">
        <f t="shared" si="26"/>
        <v>112385746.50448389</v>
      </c>
    </row>
    <row r="79" spans="1:23" x14ac:dyDescent="0.25">
      <c r="A79" s="122" t="s">
        <v>93</v>
      </c>
      <c r="B79" s="128">
        <v>2.0299999999999999E-2</v>
      </c>
      <c r="C79" s="126">
        <f t="shared" ref="C79:C109" si="27">$B$11</f>
        <v>0.10100595471426943</v>
      </c>
      <c r="D79" s="127">
        <f t="shared" si="14"/>
        <v>1.957597285953061E-2</v>
      </c>
      <c r="F79" s="4">
        <v>68</v>
      </c>
      <c r="G79" s="44">
        <f t="shared" si="15"/>
        <v>6672790.7235049186</v>
      </c>
      <c r="H79" s="54">
        <f t="shared" si="16"/>
        <v>3185059.3310576887</v>
      </c>
      <c r="I79" s="55">
        <f t="shared" si="17"/>
        <v>3487731.3924472299</v>
      </c>
      <c r="J79" s="53">
        <f t="shared" si="18"/>
        <v>131839829.18424524</v>
      </c>
      <c r="K79" s="52"/>
      <c r="L79" s="4">
        <v>68</v>
      </c>
      <c r="M79" s="54">
        <f t="shared" si="19"/>
        <v>4299817.4225798585</v>
      </c>
      <c r="N79" s="54">
        <f t="shared" si="20"/>
        <v>2458333.3333333335</v>
      </c>
      <c r="O79" s="55">
        <f t="shared" si="21"/>
        <v>1841484.0892465247</v>
      </c>
      <c r="P79" s="53">
        <f t="shared" si="22"/>
        <v>68833333.33333306</v>
      </c>
      <c r="R79" s="4">
        <v>68</v>
      </c>
      <c r="S79" s="65">
        <v>1.9409356407929623E-2</v>
      </c>
      <c r="T79" s="54">
        <f t="shared" si="23"/>
        <v>6672790.7235049186</v>
      </c>
      <c r="U79" s="54">
        <f t="shared" si="24"/>
        <v>4491455.7144281603</v>
      </c>
      <c r="V79" s="44">
        <f t="shared" si="25"/>
        <v>2181335.0090767588</v>
      </c>
      <c r="W79" s="58">
        <f t="shared" si="26"/>
        <v>107894290.79005574</v>
      </c>
    </row>
    <row r="80" spans="1:23" x14ac:dyDescent="0.25">
      <c r="A80" s="122" t="s">
        <v>92</v>
      </c>
      <c r="B80" s="128">
        <v>1.9599999999999999E-2</v>
      </c>
      <c r="C80" s="126">
        <f t="shared" si="27"/>
        <v>0.10100595471426943</v>
      </c>
      <c r="D80" s="127">
        <f t="shared" si="14"/>
        <v>1.9459355641005205E-2</v>
      </c>
      <c r="F80" s="4">
        <v>69</v>
      </c>
      <c r="G80" s="44">
        <f t="shared" si="15"/>
        <v>6672790.7235049186</v>
      </c>
      <c r="H80" s="54">
        <f t="shared" si="16"/>
        <v>3267330.3222644534</v>
      </c>
      <c r="I80" s="55">
        <f t="shared" si="17"/>
        <v>3405460.4012404652</v>
      </c>
      <c r="J80" s="53">
        <f t="shared" si="18"/>
        <v>128572498.8619808</v>
      </c>
      <c r="K80" s="52"/>
      <c r="L80" s="4">
        <v>69</v>
      </c>
      <c r="M80" s="54">
        <f t="shared" si="19"/>
        <v>4236317.9712265301</v>
      </c>
      <c r="N80" s="54">
        <f t="shared" si="20"/>
        <v>2458333.3333333335</v>
      </c>
      <c r="O80" s="55">
        <f t="shared" si="21"/>
        <v>1777984.6378931962</v>
      </c>
      <c r="P80" s="53">
        <f t="shared" si="22"/>
        <v>66374999.999999724</v>
      </c>
      <c r="R80" s="4">
        <v>69</v>
      </c>
      <c r="S80" s="65">
        <v>1.9376016772602256E-2</v>
      </c>
      <c r="T80" s="54">
        <f t="shared" si="23"/>
        <v>6672790.7235049186</v>
      </c>
      <c r="U80" s="54">
        <f t="shared" si="24"/>
        <v>4582229.1354887737</v>
      </c>
      <c r="V80" s="44">
        <f t="shared" si="25"/>
        <v>2090561.5880161452</v>
      </c>
      <c r="W80" s="58">
        <f t="shared" si="26"/>
        <v>103312061.65456696</v>
      </c>
    </row>
    <row r="81" spans="1:23" x14ac:dyDescent="0.25">
      <c r="A81" s="122" t="s">
        <v>91</v>
      </c>
      <c r="B81" s="128">
        <v>1.9300000000000001E-2</v>
      </c>
      <c r="C81" s="126">
        <f t="shared" si="27"/>
        <v>0.10100595471426943</v>
      </c>
      <c r="D81" s="127">
        <f t="shared" si="14"/>
        <v>1.9409356407929623E-2</v>
      </c>
      <c r="F81" s="4">
        <v>70</v>
      </c>
      <c r="G81" s="44">
        <f t="shared" si="15"/>
        <v>6672790.7235049186</v>
      </c>
      <c r="H81" s="54">
        <f t="shared" si="16"/>
        <v>3351726.3966456954</v>
      </c>
      <c r="I81" s="55">
        <f t="shared" si="17"/>
        <v>3321064.3268592232</v>
      </c>
      <c r="J81" s="53">
        <f t="shared" si="18"/>
        <v>125220772.4653351</v>
      </c>
      <c r="K81" s="52"/>
      <c r="L81" s="4">
        <v>70</v>
      </c>
      <c r="M81" s="54">
        <f t="shared" si="19"/>
        <v>4172818.5198732009</v>
      </c>
      <c r="N81" s="54">
        <f t="shared" si="20"/>
        <v>2458333.3333333335</v>
      </c>
      <c r="O81" s="55">
        <f t="shared" si="21"/>
        <v>1714485.1865398674</v>
      </c>
      <c r="P81" s="53">
        <f t="shared" si="22"/>
        <v>63916666.666666389</v>
      </c>
      <c r="R81" s="4">
        <v>70</v>
      </c>
      <c r="S81" s="65">
        <v>1.9209236763052973E-2</v>
      </c>
      <c r="T81" s="54">
        <f t="shared" si="23"/>
        <v>6672790.7235049186</v>
      </c>
      <c r="U81" s="54">
        <f t="shared" si="24"/>
        <v>4688244.8707032157</v>
      </c>
      <c r="V81" s="44">
        <f t="shared" si="25"/>
        <v>1984545.8528017029</v>
      </c>
      <c r="W81" s="58">
        <f t="shared" si="26"/>
        <v>98623816.783863738</v>
      </c>
    </row>
    <row r="82" spans="1:23" x14ac:dyDescent="0.25">
      <c r="A82" s="122" t="s">
        <v>90</v>
      </c>
      <c r="B82" s="128">
        <v>1.9099999999999999E-2</v>
      </c>
      <c r="C82" s="126">
        <f t="shared" si="27"/>
        <v>0.10100595471426943</v>
      </c>
      <c r="D82" s="127">
        <f t="shared" si="14"/>
        <v>1.9376016772602256E-2</v>
      </c>
      <c r="F82" s="4">
        <v>71</v>
      </c>
      <c r="G82" s="44">
        <f t="shared" si="15"/>
        <v>6672790.7235049186</v>
      </c>
      <c r="H82" s="54">
        <f t="shared" si="16"/>
        <v>3438302.4457060904</v>
      </c>
      <c r="I82" s="55">
        <f t="shared" si="17"/>
        <v>3234488.2777988282</v>
      </c>
      <c r="J82" s="53">
        <f t="shared" si="18"/>
        <v>121782470.01962902</v>
      </c>
      <c r="K82" s="52"/>
      <c r="L82" s="4">
        <v>71</v>
      </c>
      <c r="M82" s="54">
        <f t="shared" si="19"/>
        <v>4109319.0685198721</v>
      </c>
      <c r="N82" s="54">
        <f t="shared" si="20"/>
        <v>2458333.3333333335</v>
      </c>
      <c r="O82" s="55">
        <f t="shared" si="21"/>
        <v>1650985.7351865387</v>
      </c>
      <c r="P82" s="53">
        <f t="shared" si="22"/>
        <v>61458333.333333053</v>
      </c>
      <c r="R82" s="4">
        <v>71</v>
      </c>
      <c r="S82" s="65">
        <v>1.9142486533862302E-2</v>
      </c>
      <c r="T82" s="54">
        <f t="shared" si="23"/>
        <v>6672790.7235049186</v>
      </c>
      <c r="U82" s="54">
        <f t="shared" si="24"/>
        <v>4784885.6388017042</v>
      </c>
      <c r="V82" s="44">
        <f t="shared" si="25"/>
        <v>1887905.0847032145</v>
      </c>
      <c r="W82" s="58">
        <f t="shared" si="26"/>
        <v>93838931.145062029</v>
      </c>
    </row>
    <row r="83" spans="1:23" x14ac:dyDescent="0.25">
      <c r="A83" s="122" t="s">
        <v>89</v>
      </c>
      <c r="B83" s="128">
        <v>1.8100000000000002E-2</v>
      </c>
      <c r="C83" s="126">
        <f t="shared" si="27"/>
        <v>0.10100595471426943</v>
      </c>
      <c r="D83" s="127">
        <f t="shared" si="14"/>
        <v>1.9209236763052973E-2</v>
      </c>
      <c r="F83" s="4">
        <v>72</v>
      </c>
      <c r="G83" s="44">
        <f t="shared" si="15"/>
        <v>6672790.7235049186</v>
      </c>
      <c r="H83" s="54">
        <f t="shared" si="16"/>
        <v>3527114.7788135391</v>
      </c>
      <c r="I83" s="55">
        <f t="shared" si="17"/>
        <v>3145675.9446913796</v>
      </c>
      <c r="J83" s="53">
        <f t="shared" si="18"/>
        <v>118255355.24081548</v>
      </c>
      <c r="K83" s="52"/>
      <c r="L83" s="4">
        <v>72</v>
      </c>
      <c r="M83" s="54">
        <f t="shared" si="19"/>
        <v>4045819.6171665434</v>
      </c>
      <c r="N83" s="54">
        <f t="shared" si="20"/>
        <v>2458333.3333333335</v>
      </c>
      <c r="O83" s="55">
        <f t="shared" si="21"/>
        <v>1587486.2838332099</v>
      </c>
      <c r="P83" s="53">
        <f t="shared" si="22"/>
        <v>58999999.999999717</v>
      </c>
      <c r="R83" s="4">
        <v>72</v>
      </c>
      <c r="S83" s="65">
        <v>1.9125795560511083E-2</v>
      </c>
      <c r="T83" s="54">
        <f t="shared" si="23"/>
        <v>6672790.7235049186</v>
      </c>
      <c r="U83" s="54">
        <f t="shared" si="24"/>
        <v>4878046.5108075859</v>
      </c>
      <c r="V83" s="44">
        <f t="shared" si="25"/>
        <v>1794744.2126973325</v>
      </c>
      <c r="W83" s="58">
        <f t="shared" si="26"/>
        <v>88960884.634254441</v>
      </c>
    </row>
    <row r="84" spans="1:23" x14ac:dyDescent="0.25">
      <c r="A84" s="122" t="s">
        <v>88</v>
      </c>
      <c r="B84" s="128">
        <v>1.77E-2</v>
      </c>
      <c r="C84" s="126">
        <f t="shared" si="27"/>
        <v>0.10100595471426943</v>
      </c>
      <c r="D84" s="127">
        <f t="shared" si="14"/>
        <v>1.9142486533862302E-2</v>
      </c>
      <c r="F84" s="4">
        <v>73</v>
      </c>
      <c r="G84" s="44">
        <f t="shared" si="15"/>
        <v>6672790.7235049186</v>
      </c>
      <c r="H84" s="54">
        <f t="shared" si="16"/>
        <v>3618221.1598229804</v>
      </c>
      <c r="I84" s="55">
        <f t="shared" si="17"/>
        <v>3054569.5636819382</v>
      </c>
      <c r="J84" s="53">
        <f t="shared" si="18"/>
        <v>114637134.08099249</v>
      </c>
      <c r="K84" s="52"/>
      <c r="L84" s="4">
        <v>73</v>
      </c>
      <c r="M84" s="54">
        <f t="shared" si="19"/>
        <v>3982320.1658132146</v>
      </c>
      <c r="N84" s="54">
        <f t="shared" si="20"/>
        <v>2458333.3333333335</v>
      </c>
      <c r="O84" s="55">
        <f t="shared" si="21"/>
        <v>1523986.8324798811</v>
      </c>
      <c r="P84" s="53">
        <f t="shared" si="22"/>
        <v>56541666.666666381</v>
      </c>
      <c r="R84" s="4">
        <v>73</v>
      </c>
      <c r="S84" s="65">
        <v>1.922592090552766E-2</v>
      </c>
      <c r="T84" s="54">
        <f t="shared" si="23"/>
        <v>6672790.7235049186</v>
      </c>
      <c r="U84" s="54">
        <f t="shared" si="24"/>
        <v>4962435.7918409714</v>
      </c>
      <c r="V84" s="44">
        <f t="shared" si="25"/>
        <v>1710354.9316639469</v>
      </c>
      <c r="W84" s="58">
        <f t="shared" si="26"/>
        <v>83998448.84241347</v>
      </c>
    </row>
    <row r="85" spans="1:23" x14ac:dyDescent="0.25">
      <c r="A85" s="122" t="s">
        <v>87</v>
      </c>
      <c r="B85" s="128">
        <v>1.7600000000000001E-2</v>
      </c>
      <c r="C85" s="126">
        <f t="shared" si="27"/>
        <v>0.10100595471426943</v>
      </c>
      <c r="D85" s="127">
        <f t="shared" ref="D85:D108" si="28">NOMINAL((1+B85)*(1+C85)-1,$E$7)/$E$7</f>
        <v>1.9125795560511083E-2</v>
      </c>
      <c r="F85" s="4">
        <v>74</v>
      </c>
      <c r="G85" s="44">
        <f t="shared" si="15"/>
        <v>6672790.7235049186</v>
      </c>
      <c r="H85" s="54">
        <f t="shared" si="16"/>
        <v>3711680.8446462066</v>
      </c>
      <c r="I85" s="55">
        <f t="shared" si="17"/>
        <v>2961109.878858712</v>
      </c>
      <c r="J85" s="53">
        <f t="shared" si="18"/>
        <v>110925453.23634629</v>
      </c>
      <c r="K85" s="52"/>
      <c r="L85" s="4">
        <v>74</v>
      </c>
      <c r="M85" s="54">
        <f t="shared" si="19"/>
        <v>3918820.7144598858</v>
      </c>
      <c r="N85" s="54">
        <f t="shared" si="20"/>
        <v>2458333.3333333335</v>
      </c>
      <c r="O85" s="55">
        <f t="shared" si="21"/>
        <v>1460487.3811265524</v>
      </c>
      <c r="P85" s="53">
        <f t="shared" si="22"/>
        <v>54083333.333333045</v>
      </c>
      <c r="R85" s="4">
        <v>74</v>
      </c>
      <c r="S85" s="65">
        <v>1.9376016772602256E-2</v>
      </c>
      <c r="T85" s="54">
        <f t="shared" si="23"/>
        <v>6672790.7235049186</v>
      </c>
      <c r="U85" s="54">
        <f t="shared" si="24"/>
        <v>5045235.3698617425</v>
      </c>
      <c r="V85" s="44">
        <f t="shared" si="25"/>
        <v>1627555.3536431759</v>
      </c>
      <c r="W85" s="58">
        <f t="shared" si="26"/>
        <v>78953213.472551733</v>
      </c>
    </row>
    <row r="86" spans="1:23" x14ac:dyDescent="0.25">
      <c r="A86" s="122" t="s">
        <v>86</v>
      </c>
      <c r="B86" s="128">
        <v>1.8200000000000001E-2</v>
      </c>
      <c r="C86" s="126">
        <f t="shared" si="27"/>
        <v>0.10100595471426943</v>
      </c>
      <c r="D86" s="127">
        <f t="shared" si="28"/>
        <v>1.922592090552766E-2</v>
      </c>
      <c r="F86" s="4">
        <v>75</v>
      </c>
      <c r="G86" s="44">
        <f t="shared" si="15"/>
        <v>6672790.7235049186</v>
      </c>
      <c r="H86" s="54">
        <f t="shared" si="16"/>
        <v>3807554.6197921159</v>
      </c>
      <c r="I86" s="55">
        <f t="shared" si="17"/>
        <v>2865236.1037128028</v>
      </c>
      <c r="J86" s="53">
        <f t="shared" si="18"/>
        <v>107117898.61655417</v>
      </c>
      <c r="K86" s="52"/>
      <c r="L86" s="4">
        <v>75</v>
      </c>
      <c r="M86" s="54">
        <f t="shared" si="19"/>
        <v>3855321.2631065571</v>
      </c>
      <c r="N86" s="54">
        <f t="shared" si="20"/>
        <v>2458333.3333333335</v>
      </c>
      <c r="O86" s="55">
        <f t="shared" si="21"/>
        <v>1396987.9297732236</v>
      </c>
      <c r="P86" s="53">
        <f t="shared" si="22"/>
        <v>51624999.999999709</v>
      </c>
      <c r="R86" s="4">
        <v>75</v>
      </c>
      <c r="S86" s="65">
        <v>1.9359344910220067E-2</v>
      </c>
      <c r="T86" s="54">
        <f t="shared" si="23"/>
        <v>6672790.7235049186</v>
      </c>
      <c r="U86" s="54">
        <f t="shared" si="24"/>
        <v>5144308.2321195556</v>
      </c>
      <c r="V86" s="44">
        <f t="shared" si="25"/>
        <v>1528482.4913853628</v>
      </c>
      <c r="W86" s="58">
        <f t="shared" si="26"/>
        <v>73808905.240432173</v>
      </c>
    </row>
    <row r="87" spans="1:23" x14ac:dyDescent="0.25">
      <c r="A87" s="122" t="s">
        <v>85</v>
      </c>
      <c r="B87" s="128">
        <v>1.9099999999999999E-2</v>
      </c>
      <c r="C87" s="126">
        <f t="shared" si="27"/>
        <v>0.10100595471426943</v>
      </c>
      <c r="D87" s="127">
        <f t="shared" si="28"/>
        <v>1.9376016772602256E-2</v>
      </c>
      <c r="F87" s="4">
        <v>76</v>
      </c>
      <c r="G87" s="44">
        <f t="shared" si="15"/>
        <v>6672790.7235049186</v>
      </c>
      <c r="H87" s="54">
        <f t="shared" si="16"/>
        <v>3905904.8419024744</v>
      </c>
      <c r="I87" s="55">
        <f t="shared" si="17"/>
        <v>2766885.8816024442</v>
      </c>
      <c r="J87" s="53">
        <f t="shared" si="18"/>
        <v>103211993.77465169</v>
      </c>
      <c r="K87" s="52"/>
      <c r="L87" s="4">
        <v>76</v>
      </c>
      <c r="M87" s="54">
        <f t="shared" si="19"/>
        <v>3791821.8117532283</v>
      </c>
      <c r="N87" s="54">
        <f t="shared" si="20"/>
        <v>2458333.3333333335</v>
      </c>
      <c r="O87" s="55">
        <f t="shared" si="21"/>
        <v>1333488.4784198948</v>
      </c>
      <c r="P87" s="53">
        <f t="shared" si="22"/>
        <v>49166666.666666374</v>
      </c>
      <c r="R87" s="4">
        <v>76</v>
      </c>
      <c r="S87" s="65">
        <v>1.9509342616061742E-2</v>
      </c>
      <c r="T87" s="54">
        <f t="shared" si="23"/>
        <v>6672790.7235049186</v>
      </c>
      <c r="U87" s="54">
        <f t="shared" si="24"/>
        <v>5232827.5030528922</v>
      </c>
      <c r="V87" s="44">
        <f t="shared" si="25"/>
        <v>1439963.2204520262</v>
      </c>
      <c r="W87" s="58">
        <f t="shared" si="26"/>
        <v>68576077.737379283</v>
      </c>
    </row>
    <row r="88" spans="1:23" x14ac:dyDescent="0.25">
      <c r="A88" s="122" t="s">
        <v>84</v>
      </c>
      <c r="B88" s="128">
        <v>1.9E-2</v>
      </c>
      <c r="C88" s="126">
        <f t="shared" si="27"/>
        <v>0.10100595471426943</v>
      </c>
      <c r="D88" s="127">
        <f t="shared" si="28"/>
        <v>1.9359344910220067E-2</v>
      </c>
      <c r="F88" s="4">
        <v>77</v>
      </c>
      <c r="G88" s="44">
        <f t="shared" si="15"/>
        <v>6672790.7235049186</v>
      </c>
      <c r="H88" s="54">
        <f t="shared" si="16"/>
        <v>4006795.4783088951</v>
      </c>
      <c r="I88" s="55">
        <f t="shared" si="17"/>
        <v>2665995.2451960235</v>
      </c>
      <c r="J88" s="53">
        <f t="shared" si="18"/>
        <v>99205198.29634279</v>
      </c>
      <c r="K88" s="52"/>
      <c r="L88" s="4">
        <v>77</v>
      </c>
      <c r="M88" s="54">
        <f t="shared" si="19"/>
        <v>3728322.3603998995</v>
      </c>
      <c r="N88" s="54">
        <f t="shared" si="20"/>
        <v>2458333.3333333335</v>
      </c>
      <c r="O88" s="55">
        <f t="shared" si="21"/>
        <v>1269989.0270665661</v>
      </c>
      <c r="P88" s="53">
        <f t="shared" si="22"/>
        <v>46708333.333333038</v>
      </c>
      <c r="R88" s="4">
        <v>77</v>
      </c>
      <c r="S88" s="65">
        <v>1.9609279818550318E-2</v>
      </c>
      <c r="T88" s="54">
        <f t="shared" si="23"/>
        <v>6672790.7235049186</v>
      </c>
      <c r="U88" s="54">
        <f t="shared" si="24"/>
        <v>5328063.2262939895</v>
      </c>
      <c r="V88" s="44">
        <f t="shared" si="25"/>
        <v>1344727.4972109294</v>
      </c>
      <c r="W88" s="58">
        <f t="shared" si="26"/>
        <v>63248014.511085294</v>
      </c>
    </row>
    <row r="89" spans="1:23" x14ac:dyDescent="0.25">
      <c r="A89" s="122" t="s">
        <v>83</v>
      </c>
      <c r="B89" s="128">
        <v>1.9900000000000001E-2</v>
      </c>
      <c r="C89" s="126">
        <f t="shared" si="27"/>
        <v>0.10100595471426943</v>
      </c>
      <c r="D89" s="127">
        <f t="shared" si="28"/>
        <v>1.9509342616061742E-2</v>
      </c>
      <c r="F89" s="4">
        <v>78</v>
      </c>
      <c r="G89" s="44">
        <f t="shared" si="15"/>
        <v>6672790.7235049186</v>
      </c>
      <c r="H89" s="54">
        <f t="shared" si="16"/>
        <v>4110292.1486374158</v>
      </c>
      <c r="I89" s="55">
        <f t="shared" si="17"/>
        <v>2562498.5748675028</v>
      </c>
      <c r="J89" s="53">
        <f t="shared" si="18"/>
        <v>95094906.147705376</v>
      </c>
      <c r="K89" s="52"/>
      <c r="L89" s="4">
        <v>78</v>
      </c>
      <c r="M89" s="54">
        <f t="shared" si="19"/>
        <v>3664822.9090465708</v>
      </c>
      <c r="N89" s="54">
        <f t="shared" si="20"/>
        <v>2458333.3333333335</v>
      </c>
      <c r="O89" s="55">
        <f t="shared" si="21"/>
        <v>1206489.5757132373</v>
      </c>
      <c r="P89" s="53">
        <f t="shared" si="22"/>
        <v>44249999.999999702</v>
      </c>
      <c r="R89" s="4">
        <v>78</v>
      </c>
      <c r="S89" s="65">
        <v>1.9892169559429851E-2</v>
      </c>
      <c r="T89" s="54">
        <f t="shared" si="23"/>
        <v>6672790.7235049186</v>
      </c>
      <c r="U89" s="54">
        <f t="shared" si="24"/>
        <v>5414650.4945531301</v>
      </c>
      <c r="V89" s="44">
        <f t="shared" si="25"/>
        <v>1258140.2289517883</v>
      </c>
      <c r="W89" s="58">
        <f t="shared" si="26"/>
        <v>57833364.016532168</v>
      </c>
    </row>
    <row r="90" spans="1:23" x14ac:dyDescent="0.25">
      <c r="A90" s="122" t="s">
        <v>82</v>
      </c>
      <c r="B90" s="128">
        <v>2.0500000000000001E-2</v>
      </c>
      <c r="C90" s="126">
        <f t="shared" si="27"/>
        <v>0.10100595471426943</v>
      </c>
      <c r="D90" s="127">
        <f t="shared" si="28"/>
        <v>1.9609279818550318E-2</v>
      </c>
      <c r="F90" s="4">
        <v>79</v>
      </c>
      <c r="G90" s="44">
        <f t="shared" si="15"/>
        <v>6672790.7235049186</v>
      </c>
      <c r="H90" s="54">
        <f t="shared" si="16"/>
        <v>4216462.1674877359</v>
      </c>
      <c r="I90" s="55">
        <f t="shared" si="17"/>
        <v>2456328.5560171828</v>
      </c>
      <c r="J90" s="53">
        <f t="shared" si="18"/>
        <v>90878443.980217636</v>
      </c>
      <c r="K90" s="52"/>
      <c r="L90" s="4">
        <v>79</v>
      </c>
      <c r="M90" s="54">
        <f t="shared" si="19"/>
        <v>3601323.457693242</v>
      </c>
      <c r="N90" s="54">
        <f t="shared" si="20"/>
        <v>2458333.3333333335</v>
      </c>
      <c r="O90" s="55">
        <f t="shared" si="21"/>
        <v>1142990.1243599085</v>
      </c>
      <c r="P90" s="53">
        <f t="shared" si="22"/>
        <v>41791666.666666366</v>
      </c>
      <c r="R90" s="4">
        <v>79</v>
      </c>
      <c r="S90" s="65">
        <v>2.0605968107979766E-2</v>
      </c>
      <c r="T90" s="54">
        <f t="shared" si="23"/>
        <v>6672790.7235049186</v>
      </c>
      <c r="U90" s="54">
        <f t="shared" si="24"/>
        <v>5481078.2690030728</v>
      </c>
      <c r="V90" s="44">
        <f t="shared" si="25"/>
        <v>1191712.4545018463</v>
      </c>
      <c r="W90" s="58">
        <f t="shared" si="26"/>
        <v>52352285.747529097</v>
      </c>
    </row>
    <row r="91" spans="1:23" x14ac:dyDescent="0.25">
      <c r="A91" s="122" t="s">
        <v>81</v>
      </c>
      <c r="B91" s="128">
        <v>2.2200000000000001E-2</v>
      </c>
      <c r="C91" s="126">
        <f t="shared" si="27"/>
        <v>0.10100595471426943</v>
      </c>
      <c r="D91" s="127">
        <f t="shared" si="28"/>
        <v>1.9892169559429851E-2</v>
      </c>
      <c r="F91" s="4">
        <v>80</v>
      </c>
      <c r="G91" s="44">
        <f t="shared" si="15"/>
        <v>6672790.7235049186</v>
      </c>
      <c r="H91" s="54">
        <f t="shared" si="16"/>
        <v>4325374.5882148705</v>
      </c>
      <c r="I91" s="55">
        <f t="shared" si="17"/>
        <v>2347416.1352900486</v>
      </c>
      <c r="J91" s="53">
        <f t="shared" si="18"/>
        <v>86553069.392002761</v>
      </c>
      <c r="K91" s="52"/>
      <c r="L91" s="4">
        <v>80</v>
      </c>
      <c r="M91" s="54">
        <f t="shared" si="19"/>
        <v>3537824.0063399132</v>
      </c>
      <c r="N91" s="54">
        <f t="shared" si="20"/>
        <v>2458333.3333333335</v>
      </c>
      <c r="O91" s="55">
        <f t="shared" si="21"/>
        <v>1079490.67300658</v>
      </c>
      <c r="P91" s="53">
        <f t="shared" si="22"/>
        <v>39333333.33333303</v>
      </c>
      <c r="R91" s="4">
        <v>80</v>
      </c>
      <c r="S91" s="65">
        <v>2.1317279243472154E-2</v>
      </c>
      <c r="T91" s="54">
        <f t="shared" si="23"/>
        <v>6672790.7235049186</v>
      </c>
      <c r="U91" s="54">
        <f t="shared" si="24"/>
        <v>5556782.429190794</v>
      </c>
      <c r="V91" s="44">
        <f t="shared" si="25"/>
        <v>1116008.2943141251</v>
      </c>
      <c r="W91" s="58">
        <f t="shared" si="26"/>
        <v>46795503.318338305</v>
      </c>
    </row>
    <row r="92" spans="1:23" x14ac:dyDescent="0.25">
      <c r="A92" s="122" t="s">
        <v>80</v>
      </c>
      <c r="B92" s="128">
        <v>2.6499999999999999E-2</v>
      </c>
      <c r="C92" s="126">
        <f t="shared" si="27"/>
        <v>0.10100595471426943</v>
      </c>
      <c r="D92" s="127">
        <f t="shared" si="28"/>
        <v>2.0605968107979766E-2</v>
      </c>
      <c r="F92" s="4">
        <v>81</v>
      </c>
      <c r="G92" s="44">
        <f t="shared" si="15"/>
        <v>6672790.7235049186</v>
      </c>
      <c r="H92" s="54">
        <f t="shared" si="16"/>
        <v>4437100.2478416935</v>
      </c>
      <c r="I92" s="55">
        <f t="shared" si="17"/>
        <v>2235690.4756632247</v>
      </c>
      <c r="J92" s="53">
        <f t="shared" si="18"/>
        <v>82115969.144161075</v>
      </c>
      <c r="K92" s="52"/>
      <c r="L92" s="4">
        <v>81</v>
      </c>
      <c r="M92" s="54">
        <f t="shared" si="19"/>
        <v>3474324.5549865845</v>
      </c>
      <c r="N92" s="54">
        <f t="shared" si="20"/>
        <v>2458333.3333333335</v>
      </c>
      <c r="O92" s="55">
        <f t="shared" si="21"/>
        <v>1015991.2216532511</v>
      </c>
      <c r="P92" s="53">
        <f t="shared" si="22"/>
        <v>36874999.999999695</v>
      </c>
      <c r="R92" s="4">
        <v>81</v>
      </c>
      <c r="S92" s="65">
        <v>2.1960286724649558E-2</v>
      </c>
      <c r="T92" s="54">
        <f t="shared" si="23"/>
        <v>6672790.7235049186</v>
      </c>
      <c r="U92" s="54">
        <f t="shared" si="24"/>
        <v>5645148.0532099195</v>
      </c>
      <c r="V92" s="44">
        <f t="shared" si="25"/>
        <v>1027642.670294999</v>
      </c>
      <c r="W92" s="58">
        <f t="shared" si="26"/>
        <v>41150355.265128389</v>
      </c>
    </row>
    <row r="93" spans="1:23" x14ac:dyDescent="0.25">
      <c r="A93" s="122" t="s">
        <v>79</v>
      </c>
      <c r="B93" s="128">
        <v>3.0800000000000001E-2</v>
      </c>
      <c r="C93" s="126">
        <f t="shared" si="27"/>
        <v>0.10100595471426943</v>
      </c>
      <c r="D93" s="127">
        <f t="shared" si="28"/>
        <v>2.1317279243472154E-2</v>
      </c>
      <c r="F93" s="4">
        <v>82</v>
      </c>
      <c r="G93" s="44">
        <f t="shared" si="15"/>
        <v>6672790.7235049186</v>
      </c>
      <c r="H93" s="54">
        <f t="shared" si="16"/>
        <v>4551711.8131315913</v>
      </c>
      <c r="I93" s="55">
        <f t="shared" si="17"/>
        <v>2121078.9103733269</v>
      </c>
      <c r="J93" s="53">
        <f t="shared" si="18"/>
        <v>77564257.33102949</v>
      </c>
      <c r="K93" s="52"/>
      <c r="L93" s="4">
        <v>82</v>
      </c>
      <c r="M93" s="54">
        <f t="shared" si="19"/>
        <v>3410825.1036332557</v>
      </c>
      <c r="N93" s="54">
        <f t="shared" si="20"/>
        <v>2458333.3333333335</v>
      </c>
      <c r="O93" s="55">
        <f t="shared" si="21"/>
        <v>952491.77029992233</v>
      </c>
      <c r="P93" s="53">
        <f t="shared" si="22"/>
        <v>34416666.666666359</v>
      </c>
      <c r="R93" s="4">
        <v>82</v>
      </c>
      <c r="S93" s="65">
        <v>2.3338394974164345E-2</v>
      </c>
      <c r="T93" s="54">
        <f t="shared" si="23"/>
        <v>6672790.7235049186</v>
      </c>
      <c r="U93" s="54">
        <f t="shared" si="24"/>
        <v>5712407.4790001689</v>
      </c>
      <c r="V93" s="44">
        <f t="shared" si="25"/>
        <v>960383.24450474966</v>
      </c>
      <c r="W93" s="58">
        <f t="shared" si="26"/>
        <v>35437947.786128223</v>
      </c>
    </row>
    <row r="94" spans="1:23" x14ac:dyDescent="0.25">
      <c r="A94" s="122" t="s">
        <v>78</v>
      </c>
      <c r="B94" s="128">
        <v>3.4700000000000002E-2</v>
      </c>
      <c r="C94" s="126">
        <f t="shared" si="27"/>
        <v>0.10100595471426943</v>
      </c>
      <c r="D94" s="127">
        <f t="shared" si="28"/>
        <v>2.1960286724649558E-2</v>
      </c>
      <c r="F94" s="4">
        <v>83</v>
      </c>
      <c r="G94" s="44">
        <f t="shared" si="15"/>
        <v>6672790.7235049186</v>
      </c>
      <c r="H94" s="54">
        <f t="shared" si="16"/>
        <v>4669283.82785118</v>
      </c>
      <c r="I94" s="55">
        <f t="shared" si="17"/>
        <v>2003506.8956537389</v>
      </c>
      <c r="J94" s="53">
        <f t="shared" si="18"/>
        <v>72894973.503178313</v>
      </c>
      <c r="K94" s="52"/>
      <c r="L94" s="4">
        <v>83</v>
      </c>
      <c r="M94" s="54">
        <f t="shared" si="19"/>
        <v>3347325.6522799274</v>
      </c>
      <c r="N94" s="54">
        <f t="shared" si="20"/>
        <v>2458333.3333333335</v>
      </c>
      <c r="O94" s="55">
        <f t="shared" si="21"/>
        <v>888992.31894659367</v>
      </c>
      <c r="P94" s="53">
        <f t="shared" si="22"/>
        <v>31958333.333333027</v>
      </c>
      <c r="R94" s="4">
        <v>83</v>
      </c>
      <c r="S94" s="65">
        <v>2.4414721277725704E-2</v>
      </c>
      <c r="T94" s="54">
        <f t="shared" si="23"/>
        <v>6672790.7235049186</v>
      </c>
      <c r="U94" s="54">
        <f t="shared" si="24"/>
        <v>5807583.1056520017</v>
      </c>
      <c r="V94" s="44">
        <f t="shared" si="25"/>
        <v>865207.61785291717</v>
      </c>
      <c r="W94" s="58">
        <f t="shared" si="26"/>
        <v>29630364.680476222</v>
      </c>
    </row>
    <row r="95" spans="1:23" x14ac:dyDescent="0.25">
      <c r="A95" s="122" t="s">
        <v>77</v>
      </c>
      <c r="B95" s="128">
        <v>4.3099999999999999E-2</v>
      </c>
      <c r="C95" s="126">
        <f t="shared" si="27"/>
        <v>0.10100595471426943</v>
      </c>
      <c r="D95" s="127">
        <f t="shared" si="28"/>
        <v>2.3338394974164345E-2</v>
      </c>
      <c r="F95" s="4">
        <v>84</v>
      </c>
      <c r="G95" s="44">
        <f t="shared" si="15"/>
        <v>6672790.7235049186</v>
      </c>
      <c r="H95" s="54">
        <f t="shared" si="16"/>
        <v>4789892.7612538319</v>
      </c>
      <c r="I95" s="55">
        <f t="shared" si="17"/>
        <v>1882897.9622510867</v>
      </c>
      <c r="J95" s="53">
        <f t="shared" si="18"/>
        <v>68105080.74192448</v>
      </c>
      <c r="K95" s="52"/>
      <c r="L95" s="4">
        <v>84</v>
      </c>
      <c r="M95" s="54">
        <f t="shared" si="19"/>
        <v>3283826.2009265986</v>
      </c>
      <c r="N95" s="54">
        <f t="shared" si="20"/>
        <v>2458333.3333333335</v>
      </c>
      <c r="O95" s="55">
        <f t="shared" si="21"/>
        <v>825492.86759326502</v>
      </c>
      <c r="P95" s="53">
        <f t="shared" si="22"/>
        <v>29499999.999999695</v>
      </c>
      <c r="R95" s="4">
        <v>84</v>
      </c>
      <c r="S95" s="65">
        <v>2.6034822157604998E-2</v>
      </c>
      <c r="T95" s="54">
        <f t="shared" si="23"/>
        <v>6672790.7235049186</v>
      </c>
      <c r="U95" s="54">
        <f t="shared" si="24"/>
        <v>5901369.4485837398</v>
      </c>
      <c r="V95" s="44">
        <f t="shared" si="25"/>
        <v>771421.27492117882</v>
      </c>
      <c r="W95" s="58">
        <f t="shared" si="26"/>
        <v>23728995.231892481</v>
      </c>
    </row>
    <row r="96" spans="1:23" x14ac:dyDescent="0.25">
      <c r="A96" s="122" t="s">
        <v>76</v>
      </c>
      <c r="B96" s="128">
        <v>4.9700000000000001E-2</v>
      </c>
      <c r="C96" s="126">
        <f t="shared" si="27"/>
        <v>0.10100595471426943</v>
      </c>
      <c r="D96" s="127">
        <f t="shared" si="28"/>
        <v>2.4414721277725704E-2</v>
      </c>
      <c r="F96" s="4">
        <v>85</v>
      </c>
      <c r="G96" s="44">
        <f t="shared" si="15"/>
        <v>6672790.7235049186</v>
      </c>
      <c r="H96" s="54">
        <f t="shared" si="16"/>
        <v>4913617.0578155536</v>
      </c>
      <c r="I96" s="55">
        <f t="shared" si="17"/>
        <v>1759173.665689365</v>
      </c>
      <c r="J96" s="53">
        <f t="shared" si="18"/>
        <v>63191463.684108928</v>
      </c>
      <c r="K96" s="52"/>
      <c r="L96" s="4">
        <v>85</v>
      </c>
      <c r="M96" s="54">
        <f t="shared" si="19"/>
        <v>3220326.7495732699</v>
      </c>
      <c r="N96" s="54">
        <f t="shared" si="20"/>
        <v>2458333.3333333335</v>
      </c>
      <c r="O96" s="55">
        <f t="shared" si="21"/>
        <v>761993.41623993637</v>
      </c>
      <c r="P96" s="53">
        <f t="shared" si="22"/>
        <v>27041666.666666362</v>
      </c>
      <c r="R96" s="4">
        <v>85</v>
      </c>
      <c r="S96" s="65">
        <v>2.7754281581582552E-2</v>
      </c>
      <c r="T96" s="54">
        <f t="shared" si="23"/>
        <v>6672790.7235049186</v>
      </c>
      <c r="U96" s="54">
        <f t="shared" si="24"/>
        <v>6014209.5081909448</v>
      </c>
      <c r="V96" s="44">
        <f t="shared" si="25"/>
        <v>658581.21531397372</v>
      </c>
      <c r="W96" s="58">
        <f t="shared" si="26"/>
        <v>17714785.723701537</v>
      </c>
    </row>
    <row r="97" spans="1:23" x14ac:dyDescent="0.25">
      <c r="A97" s="122" t="s">
        <v>75</v>
      </c>
      <c r="B97" s="128">
        <v>5.9700000000000003E-2</v>
      </c>
      <c r="C97" s="126">
        <f t="shared" si="27"/>
        <v>0.10100595471426943</v>
      </c>
      <c r="D97" s="127">
        <f t="shared" si="28"/>
        <v>2.6034822157604998E-2</v>
      </c>
      <c r="F97" s="4">
        <v>86</v>
      </c>
      <c r="G97" s="44">
        <f t="shared" si="15"/>
        <v>6672790.7235049186</v>
      </c>
      <c r="H97" s="54">
        <f t="shared" si="16"/>
        <v>5040537.1882555448</v>
      </c>
      <c r="I97" s="55">
        <f t="shared" si="17"/>
        <v>1632253.5352493739</v>
      </c>
      <c r="J97" s="53">
        <f t="shared" si="18"/>
        <v>58150926.495853379</v>
      </c>
      <c r="K97" s="52"/>
      <c r="L97" s="4">
        <v>86</v>
      </c>
      <c r="M97" s="54">
        <f t="shared" si="19"/>
        <v>3156827.2982199411</v>
      </c>
      <c r="N97" s="54">
        <f t="shared" si="20"/>
        <v>2458333.3333333335</v>
      </c>
      <c r="O97" s="55">
        <f t="shared" si="21"/>
        <v>698493.96488660772</v>
      </c>
      <c r="P97" s="53">
        <f t="shared" si="22"/>
        <v>24583333.33333303</v>
      </c>
      <c r="R97" s="4">
        <v>86</v>
      </c>
      <c r="S97" s="65">
        <v>2.8839592609559261E-2</v>
      </c>
      <c r="T97" s="54">
        <f t="shared" si="23"/>
        <v>6672790.7235049186</v>
      </c>
      <c r="U97" s="54">
        <f t="shared" si="24"/>
        <v>6161903.52006773</v>
      </c>
      <c r="V97" s="44">
        <f t="shared" si="25"/>
        <v>510887.20343718876</v>
      </c>
      <c r="W97" s="58">
        <f>W96-U97</f>
        <v>11552882.203633808</v>
      </c>
    </row>
    <row r="98" spans="1:23" x14ac:dyDescent="0.25">
      <c r="A98" s="122" t="s">
        <v>74</v>
      </c>
      <c r="B98" s="128">
        <v>7.0400000000000004E-2</v>
      </c>
      <c r="C98" s="126">
        <f t="shared" si="27"/>
        <v>0.10100595471426943</v>
      </c>
      <c r="D98" s="127">
        <f t="shared" si="28"/>
        <v>2.7754281581582552E-2</v>
      </c>
      <c r="F98" s="4">
        <v>87</v>
      </c>
      <c r="G98" s="44">
        <f t="shared" si="15"/>
        <v>6672790.7235049186</v>
      </c>
      <c r="H98" s="54">
        <f t="shared" si="16"/>
        <v>5170735.7018746408</v>
      </c>
      <c r="I98" s="55">
        <f t="shared" si="17"/>
        <v>1502055.0216302781</v>
      </c>
      <c r="J98" s="53">
        <f t="shared" si="18"/>
        <v>52980190.793978736</v>
      </c>
      <c r="K98" s="52"/>
      <c r="L98" s="4">
        <v>87</v>
      </c>
      <c r="M98" s="54">
        <f t="shared" si="19"/>
        <v>3093327.8468666123</v>
      </c>
      <c r="N98" s="54">
        <f t="shared" si="20"/>
        <v>2458333.3333333335</v>
      </c>
      <c r="O98" s="55">
        <f t="shared" si="21"/>
        <v>634994.51353327907</v>
      </c>
      <c r="P98" s="53">
        <f t="shared" si="22"/>
        <v>22124999.999999698</v>
      </c>
      <c r="R98" s="4">
        <v>87</v>
      </c>
      <c r="S98" s="65">
        <v>3.1339468836701689E-2</v>
      </c>
      <c r="T98" s="54">
        <f t="shared" si="23"/>
        <v>6672790.7235049186</v>
      </c>
      <c r="U98" s="54">
        <f t="shared" si="24"/>
        <v>6310729.531710051</v>
      </c>
      <c r="V98" s="44">
        <f t="shared" si="25"/>
        <v>362061.19179486728</v>
      </c>
      <c r="W98" s="58">
        <f>W97-U98</f>
        <v>5242152.6719237566</v>
      </c>
    </row>
    <row r="99" spans="1:23" x14ac:dyDescent="0.25">
      <c r="A99" s="122" t="s">
        <v>73</v>
      </c>
      <c r="B99" s="128">
        <v>7.7200000000000005E-2</v>
      </c>
      <c r="C99" s="126">
        <f t="shared" si="27"/>
        <v>0.10100595471426943</v>
      </c>
      <c r="D99" s="127">
        <f t="shared" si="28"/>
        <v>2.8839592609559261E-2</v>
      </c>
      <c r="F99" s="4">
        <v>88</v>
      </c>
      <c r="G99" s="44">
        <f t="shared" si="15"/>
        <v>6672790.7235049186</v>
      </c>
      <c r="H99" s="54">
        <f t="shared" si="16"/>
        <v>5304297.2802456673</v>
      </c>
      <c r="I99" s="55">
        <f t="shared" si="17"/>
        <v>1368493.4432592508</v>
      </c>
      <c r="J99" s="53">
        <f t="shared" si="18"/>
        <v>47675893.513733067</v>
      </c>
      <c r="K99" s="52"/>
      <c r="L99" s="4">
        <v>88</v>
      </c>
      <c r="M99" s="54">
        <f t="shared" si="19"/>
        <v>3029828.395513284</v>
      </c>
      <c r="N99" s="54">
        <f t="shared" si="20"/>
        <v>2458333.3333333335</v>
      </c>
      <c r="O99" s="55">
        <f t="shared" si="21"/>
        <v>571495.06217995042</v>
      </c>
      <c r="P99" s="53">
        <f t="shared" si="22"/>
        <v>19666666.666666366</v>
      </c>
      <c r="R99" s="4">
        <v>88</v>
      </c>
      <c r="S99" s="65">
        <v>3.332712436440155E-2</v>
      </c>
      <c r="T99" s="58">
        <f>SUM(U99:V99)</f>
        <v>5416858.5459581399</v>
      </c>
      <c r="U99" s="58">
        <f>W98</f>
        <v>5242152.6719237566</v>
      </c>
      <c r="V99" s="44">
        <f>W98*S99</f>
        <v>174705.87403438293</v>
      </c>
      <c r="W99" s="58">
        <f>W98-U99</f>
        <v>0</v>
      </c>
    </row>
    <row r="100" spans="1:23" x14ac:dyDescent="0.25">
      <c r="A100" s="122" t="s">
        <v>72</v>
      </c>
      <c r="B100" s="128">
        <v>9.2999999999999999E-2</v>
      </c>
      <c r="C100" s="126">
        <f t="shared" si="27"/>
        <v>0.10100595471426943</v>
      </c>
      <c r="D100" s="127">
        <f t="shared" si="28"/>
        <v>3.1339468836701689E-2</v>
      </c>
      <c r="F100" s="4">
        <v>89</v>
      </c>
      <c r="G100" s="44">
        <f t="shared" si="15"/>
        <v>6672790.7235049186</v>
      </c>
      <c r="H100" s="54">
        <f t="shared" si="16"/>
        <v>5441308.7922906391</v>
      </c>
      <c r="I100" s="55">
        <f t="shared" si="17"/>
        <v>1231481.93121428</v>
      </c>
      <c r="J100" s="53">
        <f t="shared" si="18"/>
        <v>42234584.721442431</v>
      </c>
      <c r="K100" s="52"/>
      <c r="L100" s="4">
        <v>89</v>
      </c>
      <c r="M100" s="54">
        <f t="shared" si="19"/>
        <v>2966328.9441599553</v>
      </c>
      <c r="N100" s="54">
        <f t="shared" si="20"/>
        <v>2458333.3333333335</v>
      </c>
      <c r="O100" s="55">
        <f t="shared" si="21"/>
        <v>507995.61082662171</v>
      </c>
      <c r="P100" s="53">
        <f t="shared" si="22"/>
        <v>17208333.333333034</v>
      </c>
      <c r="R100" s="4">
        <v>89</v>
      </c>
      <c r="S100" s="65"/>
      <c r="T100" s="54"/>
      <c r="U100" s="54"/>
      <c r="V100" s="44"/>
      <c r="W100" s="58"/>
    </row>
    <row r="101" spans="1:23" x14ac:dyDescent="0.25">
      <c r="A101" s="122" t="s">
        <v>71</v>
      </c>
      <c r="B101" s="128">
        <v>0.1057</v>
      </c>
      <c r="C101" s="126">
        <f t="shared" si="27"/>
        <v>0.10100595471426943</v>
      </c>
      <c r="D101" s="127">
        <f t="shared" si="28"/>
        <v>3.332712436440155E-2</v>
      </c>
      <c r="F101" s="4">
        <v>90</v>
      </c>
      <c r="G101" s="44">
        <f t="shared" si="15"/>
        <v>6672790.7235049186</v>
      </c>
      <c r="H101" s="54">
        <f t="shared" si="16"/>
        <v>5581859.3507806044</v>
      </c>
      <c r="I101" s="55">
        <f t="shared" si="17"/>
        <v>1090931.3727243142</v>
      </c>
      <c r="J101" s="53">
        <f t="shared" si="18"/>
        <v>36652725.370661825</v>
      </c>
      <c r="K101" s="52"/>
      <c r="L101" s="4">
        <v>90</v>
      </c>
      <c r="M101" s="54">
        <f t="shared" si="19"/>
        <v>2902829.4928066265</v>
      </c>
      <c r="N101" s="54">
        <f t="shared" si="20"/>
        <v>2458333.3333333335</v>
      </c>
      <c r="O101" s="55">
        <f t="shared" si="21"/>
        <v>444496.15947329305</v>
      </c>
      <c r="P101" s="53">
        <f t="shared" si="22"/>
        <v>14749999.9999997</v>
      </c>
      <c r="R101" s="4">
        <v>90</v>
      </c>
      <c r="S101" s="65"/>
      <c r="T101" s="54"/>
      <c r="U101" s="54"/>
      <c r="V101" s="44"/>
      <c r="W101" s="58"/>
    </row>
    <row r="102" spans="1:23" x14ac:dyDescent="0.25">
      <c r="A102" s="122" t="s">
        <v>70</v>
      </c>
      <c r="B102" s="128">
        <v>0.1099</v>
      </c>
      <c r="C102" s="126">
        <f t="shared" si="27"/>
        <v>0.10100595471426943</v>
      </c>
      <c r="D102" s="127">
        <f t="shared" si="28"/>
        <v>3.398027333697784E-2</v>
      </c>
      <c r="F102" s="4">
        <v>91</v>
      </c>
      <c r="G102" s="44">
        <f t="shared" si="15"/>
        <v>6672790.7235049186</v>
      </c>
      <c r="H102" s="54">
        <f t="shared" si="16"/>
        <v>5726040.3702949155</v>
      </c>
      <c r="I102" s="55">
        <f t="shared" si="17"/>
        <v>946750.35321000265</v>
      </c>
      <c r="J102" s="53">
        <f t="shared" si="18"/>
        <v>30926685.000366911</v>
      </c>
      <c r="K102" s="52"/>
      <c r="L102" s="4">
        <v>91</v>
      </c>
      <c r="M102" s="54">
        <f t="shared" si="19"/>
        <v>2839330.0414532977</v>
      </c>
      <c r="N102" s="54">
        <f t="shared" si="20"/>
        <v>2458333.3333333335</v>
      </c>
      <c r="O102" s="55">
        <f t="shared" si="21"/>
        <v>380996.70811996434</v>
      </c>
      <c r="P102" s="53">
        <f t="shared" si="22"/>
        <v>12291666.666666366</v>
      </c>
      <c r="R102" s="4">
        <v>91</v>
      </c>
      <c r="S102" s="65"/>
      <c r="T102" s="54"/>
      <c r="U102" s="54"/>
      <c r="V102" s="44"/>
      <c r="W102" s="58"/>
    </row>
    <row r="103" spans="1:23" x14ac:dyDescent="0.25">
      <c r="A103" s="122" t="s">
        <v>69</v>
      </c>
      <c r="B103" s="128">
        <v>0.11600000000000001</v>
      </c>
      <c r="C103" s="126">
        <f t="shared" si="27"/>
        <v>0.10100595471426943</v>
      </c>
      <c r="D103" s="127">
        <f t="shared" si="28"/>
        <v>3.4925235997996795E-2</v>
      </c>
      <c r="F103" s="4">
        <v>92</v>
      </c>
      <c r="G103" s="44">
        <f t="shared" si="15"/>
        <v>6672790.7235049186</v>
      </c>
      <c r="H103" s="54">
        <f t="shared" si="16"/>
        <v>5873945.6266775895</v>
      </c>
      <c r="I103" s="55">
        <f t="shared" si="17"/>
        <v>798845.0968273296</v>
      </c>
      <c r="J103" s="53">
        <f t="shared" si="18"/>
        <v>25052739.373689324</v>
      </c>
      <c r="K103" s="52"/>
      <c r="L103" s="4">
        <v>92</v>
      </c>
      <c r="M103" s="54">
        <f t="shared" si="19"/>
        <v>2775830.5900999689</v>
      </c>
      <c r="N103" s="54">
        <f t="shared" si="20"/>
        <v>2458333.3333333335</v>
      </c>
      <c r="O103" s="55">
        <f t="shared" si="21"/>
        <v>317497.25676663563</v>
      </c>
      <c r="P103" s="53">
        <f t="shared" si="22"/>
        <v>9833333.3333330322</v>
      </c>
      <c r="R103" s="4">
        <v>92</v>
      </c>
      <c r="S103" s="65"/>
      <c r="T103" s="54"/>
      <c r="U103" s="54"/>
      <c r="V103" s="44"/>
      <c r="W103" s="58"/>
    </row>
    <row r="104" spans="1:23" x14ac:dyDescent="0.25">
      <c r="A104" s="122" t="s">
        <v>68</v>
      </c>
      <c r="B104" s="128">
        <v>0.1263</v>
      </c>
      <c r="C104" s="126">
        <f t="shared" si="27"/>
        <v>0.10100595471426943</v>
      </c>
      <c r="D104" s="127">
        <f t="shared" si="28"/>
        <v>3.651110320209372E-2</v>
      </c>
      <c r="F104" s="4">
        <v>93</v>
      </c>
      <c r="G104" s="44">
        <f t="shared" si="15"/>
        <v>6672790.7235049186</v>
      </c>
      <c r="H104" s="54">
        <f t="shared" si="16"/>
        <v>6025671.3180294447</v>
      </c>
      <c r="I104" s="55">
        <f t="shared" si="17"/>
        <v>647119.4054754742</v>
      </c>
      <c r="J104" s="53">
        <f t="shared" si="18"/>
        <v>19027068.055659879</v>
      </c>
      <c r="K104" s="52"/>
      <c r="L104" s="4">
        <v>93</v>
      </c>
      <c r="M104" s="54">
        <f t="shared" si="19"/>
        <v>2712331.1387466406</v>
      </c>
      <c r="N104" s="54">
        <f t="shared" si="20"/>
        <v>2458333.3333333335</v>
      </c>
      <c r="O104" s="55">
        <f t="shared" si="21"/>
        <v>253997.80541330695</v>
      </c>
      <c r="P104" s="53">
        <f t="shared" si="22"/>
        <v>7374999.9999996983</v>
      </c>
      <c r="R104" s="4">
        <v>93</v>
      </c>
      <c r="S104" s="65"/>
      <c r="T104" s="54"/>
      <c r="U104" s="54"/>
      <c r="V104" s="44"/>
      <c r="W104" s="58"/>
    </row>
    <row r="105" spans="1:23" x14ac:dyDescent="0.25">
      <c r="A105" s="122" t="s">
        <v>67</v>
      </c>
      <c r="B105" s="128">
        <v>0.13420000000000001</v>
      </c>
      <c r="C105" s="126">
        <f t="shared" si="27"/>
        <v>0.10100595471426943</v>
      </c>
      <c r="D105" s="127">
        <f t="shared" si="28"/>
        <v>3.7719278744181128E-2</v>
      </c>
      <c r="F105" s="4">
        <v>94</v>
      </c>
      <c r="G105" s="44">
        <f t="shared" si="15"/>
        <v>6672790.7235049186</v>
      </c>
      <c r="H105" s="54">
        <f t="shared" si="16"/>
        <v>6181316.1272756923</v>
      </c>
      <c r="I105" s="55">
        <f t="shared" si="17"/>
        <v>491474.59622922656</v>
      </c>
      <c r="J105" s="53">
        <f t="shared" si="18"/>
        <v>12845751.928384187</v>
      </c>
      <c r="K105" s="52"/>
      <c r="L105" s="4">
        <v>94</v>
      </c>
      <c r="M105" s="54">
        <f t="shared" si="19"/>
        <v>2648831.6873933119</v>
      </c>
      <c r="N105" s="54">
        <f t="shared" si="20"/>
        <v>2458333.3333333335</v>
      </c>
      <c r="O105" s="55">
        <f t="shared" si="21"/>
        <v>190498.35405997827</v>
      </c>
      <c r="P105" s="53">
        <f t="shared" si="22"/>
        <v>4916666.6666663643</v>
      </c>
      <c r="R105" s="4">
        <v>94</v>
      </c>
      <c r="S105" s="65"/>
      <c r="T105" s="54"/>
      <c r="U105" s="54"/>
      <c r="V105" s="44"/>
      <c r="W105" s="58"/>
    </row>
    <row r="106" spans="1:23" x14ac:dyDescent="0.25">
      <c r="A106" s="122" t="s">
        <v>66</v>
      </c>
      <c r="B106" s="128">
        <v>0.1391</v>
      </c>
      <c r="C106" s="126">
        <f t="shared" si="27"/>
        <v>0.10100595471426943</v>
      </c>
      <c r="D106" s="127">
        <f t="shared" si="28"/>
        <v>3.8465134177600557E-2</v>
      </c>
      <c r="F106" s="4">
        <v>95</v>
      </c>
      <c r="G106" s="44">
        <f t="shared" si="15"/>
        <v>6672790.7235049186</v>
      </c>
      <c r="H106" s="54">
        <f t="shared" si="16"/>
        <v>6340981.2863496533</v>
      </c>
      <c r="I106" s="55">
        <f t="shared" si="17"/>
        <v>331809.43715526501</v>
      </c>
      <c r="J106" s="53">
        <f t="shared" si="18"/>
        <v>6504770.6420345334</v>
      </c>
      <c r="K106" s="52"/>
      <c r="L106" s="4">
        <v>95</v>
      </c>
      <c r="M106" s="54">
        <f t="shared" si="19"/>
        <v>2585332.2360399831</v>
      </c>
      <c r="N106" s="54">
        <f t="shared" si="20"/>
        <v>2458333.3333333335</v>
      </c>
      <c r="O106" s="55">
        <f t="shared" si="21"/>
        <v>126998.90270664956</v>
      </c>
      <c r="P106" s="53">
        <f t="shared" si="22"/>
        <v>2458333.3333330308</v>
      </c>
      <c r="R106" s="4">
        <v>95</v>
      </c>
      <c r="S106" s="65"/>
      <c r="T106" s="54"/>
      <c r="U106" s="54"/>
      <c r="V106" s="44"/>
      <c r="W106" s="58"/>
    </row>
    <row r="107" spans="1:23" x14ac:dyDescent="0.25">
      <c r="A107" s="122" t="s">
        <v>65</v>
      </c>
      <c r="B107" s="128">
        <v>0.1439</v>
      </c>
      <c r="C107" s="126">
        <f t="shared" si="27"/>
        <v>0.10100595471426943</v>
      </c>
      <c r="D107" s="127">
        <f t="shared" si="28"/>
        <v>3.9193180183997089E-2</v>
      </c>
      <c r="F107" s="4">
        <v>96</v>
      </c>
      <c r="G107" s="44">
        <f t="shared" si="15"/>
        <v>6672790.7235049186</v>
      </c>
      <c r="H107" s="54">
        <f t="shared" si="16"/>
        <v>6504770.6420343695</v>
      </c>
      <c r="I107" s="55">
        <f t="shared" si="17"/>
        <v>168020.08147054879</v>
      </c>
      <c r="J107" s="53">
        <f t="shared" si="18"/>
        <v>1.6391277313232422E-7</v>
      </c>
      <c r="K107" s="52"/>
      <c r="L107" s="4">
        <v>96</v>
      </c>
      <c r="M107" s="54">
        <f t="shared" si="19"/>
        <v>2521832.7846866543</v>
      </c>
      <c r="N107" s="54">
        <f t="shared" si="20"/>
        <v>2458333.3333333335</v>
      </c>
      <c r="O107" s="55">
        <f t="shared" si="21"/>
        <v>63499.451353320866</v>
      </c>
      <c r="P107" s="56">
        <f>P106-N107</f>
        <v>-3.0267983675003052E-7</v>
      </c>
      <c r="R107" s="4">
        <v>96</v>
      </c>
      <c r="S107" s="65"/>
      <c r="T107" s="44"/>
      <c r="U107" s="44"/>
      <c r="V107" s="44"/>
      <c r="W107" s="58"/>
    </row>
    <row r="108" spans="1:23" x14ac:dyDescent="0.25">
      <c r="A108" s="122" t="s">
        <v>64</v>
      </c>
      <c r="B108" s="128">
        <v>0.1331</v>
      </c>
      <c r="C108" s="126">
        <f t="shared" si="27"/>
        <v>0.10100595471426943</v>
      </c>
      <c r="D108" s="127">
        <f t="shared" si="28"/>
        <v>3.7551472836943933E-2</v>
      </c>
      <c r="I108" s="129">
        <f>SUM(I11:I107)</f>
        <v>404587909.45647216</v>
      </c>
      <c r="J108" s="51"/>
      <c r="K108" s="52"/>
      <c r="O108" s="129">
        <f>SUM(O11:O107)</f>
        <v>295653445.50109762</v>
      </c>
      <c r="V108" s="130">
        <f>SUM(V11:V107)</f>
        <v>349949651.49088609</v>
      </c>
    </row>
    <row r="109" spans="1:23" x14ac:dyDescent="0.25">
      <c r="A109" s="122" t="s">
        <v>63</v>
      </c>
      <c r="B109" s="128">
        <v>0.12529999999999999</v>
      </c>
      <c r="C109" s="126">
        <f t="shared" si="27"/>
        <v>0.10100595471426943</v>
      </c>
      <c r="D109" s="127">
        <f>NOMINAL((1+B109)*(1+C109)-1,$E$7)/$E$7</f>
        <v>3.6357666468054495E-2</v>
      </c>
      <c r="J109" s="51"/>
      <c r="K109" s="52"/>
    </row>
    <row r="110" spans="1:23" x14ac:dyDescent="0.25">
      <c r="J110" s="51"/>
      <c r="K110" s="52"/>
    </row>
    <row r="111" spans="1:23" x14ac:dyDescent="0.25">
      <c r="A111" s="143" t="s">
        <v>207</v>
      </c>
      <c r="B111" s="143"/>
      <c r="C111" s="143"/>
      <c r="D111" s="143"/>
      <c r="E111" s="143"/>
      <c r="F111" s="143"/>
      <c r="J111" s="51"/>
      <c r="K111" s="52"/>
    </row>
    <row r="112" spans="1:23" x14ac:dyDescent="0.25">
      <c r="J112" s="51"/>
      <c r="K112" s="52"/>
    </row>
    <row r="113" spans="2:25" x14ac:dyDescent="0.25">
      <c r="H113" s="162" t="s">
        <v>370</v>
      </c>
      <c r="I113" s="162"/>
      <c r="J113" s="162"/>
      <c r="K113" s="162"/>
      <c r="L113" s="162"/>
      <c r="N113" s="162" t="s">
        <v>369</v>
      </c>
      <c r="O113" s="162"/>
      <c r="P113" s="162"/>
      <c r="Q113" s="162"/>
      <c r="R113" s="162"/>
      <c r="S113" s="77"/>
      <c r="T113" s="162" t="s">
        <v>368</v>
      </c>
      <c r="U113" s="162"/>
      <c r="V113" s="162"/>
      <c r="W113" s="162"/>
      <c r="X113" s="162"/>
      <c r="Y113" s="162"/>
    </row>
    <row r="114" spans="2:25" x14ac:dyDescent="0.25">
      <c r="B114" s="138" t="s">
        <v>237</v>
      </c>
      <c r="C114" s="88">
        <f>(8+5)/165</f>
        <v>7.8787878787878782E-2</v>
      </c>
      <c r="D114" s="4" t="s">
        <v>35</v>
      </c>
      <c r="H114" s="135" t="s">
        <v>366</v>
      </c>
      <c r="I114" s="135" t="s">
        <v>162</v>
      </c>
      <c r="J114" s="135" t="s">
        <v>365</v>
      </c>
      <c r="K114" s="135" t="s">
        <v>164</v>
      </c>
      <c r="L114" s="135" t="s">
        <v>367</v>
      </c>
      <c r="N114" s="135" t="s">
        <v>366</v>
      </c>
      <c r="O114" s="135" t="s">
        <v>162</v>
      </c>
      <c r="P114" s="135" t="s">
        <v>164</v>
      </c>
      <c r="Q114" s="135" t="s">
        <v>365</v>
      </c>
      <c r="R114" s="135" t="s">
        <v>367</v>
      </c>
      <c r="S114" s="10"/>
      <c r="T114" s="137" t="s">
        <v>366</v>
      </c>
      <c r="U114" s="137" t="s">
        <v>160</v>
      </c>
      <c r="V114" s="137" t="s">
        <v>162</v>
      </c>
      <c r="W114" s="137" t="s">
        <v>365</v>
      </c>
      <c r="X114" s="137" t="s">
        <v>164</v>
      </c>
      <c r="Y114" s="137" t="s">
        <v>364</v>
      </c>
    </row>
    <row r="115" spans="2:25" x14ac:dyDescent="0.25">
      <c r="B115" s="138" t="s">
        <v>236</v>
      </c>
      <c r="C115" s="88">
        <f>1/(1-C114/C116)^C116-1</f>
        <v>8.25395830079938E-2</v>
      </c>
      <c r="D115" s="4" t="s">
        <v>37</v>
      </c>
      <c r="H115" s="136">
        <v>0</v>
      </c>
      <c r="I115" s="5">
        <v>0</v>
      </c>
      <c r="J115" s="5">
        <v>0</v>
      </c>
      <c r="K115" s="4">
        <v>0</v>
      </c>
      <c r="L115" s="74">
        <f>C123</f>
        <v>236000000</v>
      </c>
      <c r="N115" s="5">
        <v>0</v>
      </c>
      <c r="O115" s="5">
        <v>0</v>
      </c>
      <c r="P115" s="5">
        <v>0</v>
      </c>
      <c r="Q115" s="5"/>
      <c r="R115" s="89">
        <f>C123</f>
        <v>236000000</v>
      </c>
      <c r="S115" s="10"/>
      <c r="T115" s="4">
        <v>0</v>
      </c>
      <c r="U115" s="134">
        <f>C128</f>
        <v>1.4767968333037063E-2</v>
      </c>
      <c r="V115" s="5">
        <v>0</v>
      </c>
      <c r="W115" s="5">
        <v>0</v>
      </c>
      <c r="X115" s="5">
        <v>0</v>
      </c>
      <c r="Y115" s="89">
        <f>C123</f>
        <v>236000000</v>
      </c>
    </row>
    <row r="116" spans="2:25" x14ac:dyDescent="0.25">
      <c r="B116" s="138" t="s">
        <v>6</v>
      </c>
      <c r="C116" s="4">
        <v>6</v>
      </c>
      <c r="D116" s="4"/>
      <c r="H116" s="4">
        <v>1</v>
      </c>
      <c r="I116" s="54">
        <f t="shared" ref="I116:I179" si="29">PMT($C$128,$C$127,-$C$123)</f>
        <v>3638602.1006295285</v>
      </c>
      <c r="J116" s="54">
        <f t="shared" ref="J116:J179" si="30">I116-K116</f>
        <v>153361.57403278165</v>
      </c>
      <c r="K116" s="93">
        <f t="shared" ref="K116:K179" si="31">L115*$C$128</f>
        <v>3485240.5265967469</v>
      </c>
      <c r="L116" s="74">
        <f t="shared" ref="L116:L179" si="32">L115-J116</f>
        <v>235846638.42596722</v>
      </c>
      <c r="N116" s="4">
        <v>1</v>
      </c>
      <c r="O116" s="54">
        <f t="shared" ref="O116:O179" si="33">P116+Q116</f>
        <v>4577833.1191893397</v>
      </c>
      <c r="P116" s="74">
        <f t="shared" ref="P116:P179" si="34">R115*C$128</f>
        <v>3485240.5265967469</v>
      </c>
      <c r="Q116" s="54">
        <f t="shared" ref="Q116:Q179" si="35">$C$123/$C$127</f>
        <v>1092592.5925925926</v>
      </c>
      <c r="R116" s="74">
        <f t="shared" ref="R116:R179" si="36">R115-Q116</f>
        <v>234907407.4074074</v>
      </c>
      <c r="S116" s="77"/>
      <c r="T116" s="4">
        <v>1</v>
      </c>
      <c r="U116" s="15">
        <f t="shared" ref="U116:U179" si="37">F131</f>
        <v>1.3925192740219083E-2</v>
      </c>
      <c r="V116" s="133">
        <f t="shared" ref="V116:V147" si="38">PMT($U$115,$C$127,-$C$123)</f>
        <v>3638602.1006295285</v>
      </c>
      <c r="W116" s="132">
        <f t="shared" ref="W116:W147" si="39">V116-X116</f>
        <v>352256.61393782496</v>
      </c>
      <c r="X116" s="132">
        <f t="shared" ref="X116:X147" si="40">Y115*U116</f>
        <v>3286345.4866917036</v>
      </c>
      <c r="Y116" s="27">
        <f t="shared" ref="Y116:Y147" si="41">Y115-W116</f>
        <v>235647743.38606218</v>
      </c>
    </row>
    <row r="117" spans="2:25" x14ac:dyDescent="0.25">
      <c r="H117" s="4">
        <v>2</v>
      </c>
      <c r="I117" s="54">
        <f t="shared" si="29"/>
        <v>3638602.1006295285</v>
      </c>
      <c r="J117" s="54">
        <f t="shared" si="30"/>
        <v>155626.41290160269</v>
      </c>
      <c r="K117" s="93">
        <f t="shared" si="31"/>
        <v>3482975.6877279258</v>
      </c>
      <c r="L117" s="74">
        <f t="shared" si="32"/>
        <v>235691012.01306561</v>
      </c>
      <c r="N117" s="4">
        <v>2</v>
      </c>
      <c r="O117" s="54">
        <f t="shared" si="33"/>
        <v>4561697.7463810211</v>
      </c>
      <c r="P117" s="74">
        <f t="shared" si="34"/>
        <v>3469105.1537884283</v>
      </c>
      <c r="Q117" s="54">
        <f t="shared" si="35"/>
        <v>1092592.5925925926</v>
      </c>
      <c r="R117" s="74">
        <f t="shared" si="36"/>
        <v>233814814.81481481</v>
      </c>
      <c r="S117" s="77"/>
      <c r="T117" s="4">
        <v>2</v>
      </c>
      <c r="U117" s="15">
        <f t="shared" si="37"/>
        <v>1.3925192740219083E-2</v>
      </c>
      <c r="V117" s="133">
        <f t="shared" si="38"/>
        <v>3638602.1006295285</v>
      </c>
      <c r="W117" s="132">
        <f t="shared" si="39"/>
        <v>357161.85518092616</v>
      </c>
      <c r="X117" s="132">
        <f t="shared" si="40"/>
        <v>3281440.2454486024</v>
      </c>
      <c r="Y117" s="27">
        <f t="shared" si="41"/>
        <v>235290581.53088126</v>
      </c>
    </row>
    <row r="118" spans="2:25" x14ac:dyDescent="0.25">
      <c r="B118" s="138" t="s">
        <v>234</v>
      </c>
      <c r="C118" s="114">
        <v>9.7000000000000003E-2</v>
      </c>
      <c r="D118" s="4" t="s">
        <v>233</v>
      </c>
      <c r="H118" s="4">
        <v>3</v>
      </c>
      <c r="I118" s="54">
        <f t="shared" si="29"/>
        <v>3638602.1006295285</v>
      </c>
      <c r="J118" s="54">
        <f t="shared" si="30"/>
        <v>157924.69883911777</v>
      </c>
      <c r="K118" s="93">
        <f t="shared" si="31"/>
        <v>3480677.4017904107</v>
      </c>
      <c r="L118" s="74">
        <f t="shared" si="32"/>
        <v>235533087.31422648</v>
      </c>
      <c r="N118" s="4">
        <v>3</v>
      </c>
      <c r="O118" s="54">
        <f t="shared" si="33"/>
        <v>4545562.3735727025</v>
      </c>
      <c r="P118" s="74">
        <f t="shared" si="34"/>
        <v>3452969.7809801102</v>
      </c>
      <c r="Q118" s="54">
        <f t="shared" si="35"/>
        <v>1092592.5925925926</v>
      </c>
      <c r="R118" s="74">
        <f t="shared" si="36"/>
        <v>232722222.22222221</v>
      </c>
      <c r="S118" s="77"/>
      <c r="T118" s="4">
        <v>3</v>
      </c>
      <c r="U118" s="15">
        <f t="shared" si="37"/>
        <v>1.3862104339041892E-2</v>
      </c>
      <c r="V118" s="133">
        <f t="shared" si="38"/>
        <v>3638602.1006295285</v>
      </c>
      <c r="W118" s="132">
        <f t="shared" si="39"/>
        <v>376979.50945460936</v>
      </c>
      <c r="X118" s="132">
        <f t="shared" si="40"/>
        <v>3261622.5911749192</v>
      </c>
      <c r="Y118" s="27">
        <f t="shared" si="41"/>
        <v>234913602.02142665</v>
      </c>
    </row>
    <row r="119" spans="2:25" x14ac:dyDescent="0.25">
      <c r="B119" s="138" t="s">
        <v>6</v>
      </c>
      <c r="C119" s="4">
        <v>12</v>
      </c>
      <c r="D119" s="4" t="s">
        <v>53</v>
      </c>
      <c r="H119" s="4">
        <v>4</v>
      </c>
      <c r="I119" s="54">
        <f t="shared" si="29"/>
        <v>3638602.1006295285</v>
      </c>
      <c r="J119" s="54">
        <f t="shared" si="30"/>
        <v>160256.92579057859</v>
      </c>
      <c r="K119" s="93">
        <f t="shared" si="31"/>
        <v>3478345.1748389499</v>
      </c>
      <c r="L119" s="74">
        <f t="shared" si="32"/>
        <v>235372830.3884359</v>
      </c>
      <c r="N119" s="4">
        <v>4</v>
      </c>
      <c r="O119" s="54">
        <f t="shared" si="33"/>
        <v>4529427.0007643839</v>
      </c>
      <c r="P119" s="74">
        <f t="shared" si="34"/>
        <v>3436834.4081717916</v>
      </c>
      <c r="Q119" s="54">
        <f t="shared" si="35"/>
        <v>1092592.5925925926</v>
      </c>
      <c r="R119" s="74">
        <f t="shared" si="36"/>
        <v>231629629.62962961</v>
      </c>
      <c r="S119" s="77"/>
      <c r="T119" s="4">
        <v>4</v>
      </c>
      <c r="U119" s="15">
        <f t="shared" si="37"/>
        <v>1.3775287216740484E-2</v>
      </c>
      <c r="V119" s="133">
        <f t="shared" si="38"/>
        <v>3638602.1006295285</v>
      </c>
      <c r="W119" s="132">
        <f t="shared" si="39"/>
        <v>402599.76166530838</v>
      </c>
      <c r="X119" s="132">
        <f t="shared" si="40"/>
        <v>3236002.3389642201</v>
      </c>
      <c r="Y119" s="27">
        <f t="shared" si="41"/>
        <v>234511002.25976133</v>
      </c>
    </row>
    <row r="120" spans="2:25" x14ac:dyDescent="0.25">
      <c r="B120" s="138" t="s">
        <v>232</v>
      </c>
      <c r="C120" s="88">
        <f>EFFECT(C118,C119)</f>
        <v>0.10143079604845218</v>
      </c>
      <c r="D120" s="4" t="s">
        <v>37</v>
      </c>
      <c r="H120" s="4">
        <v>5</v>
      </c>
      <c r="I120" s="54">
        <f t="shared" si="29"/>
        <v>3638602.1006295285</v>
      </c>
      <c r="J120" s="54">
        <f t="shared" si="30"/>
        <v>162623.59499580367</v>
      </c>
      <c r="K120" s="93">
        <f t="shared" si="31"/>
        <v>3475978.5056337249</v>
      </c>
      <c r="L120" s="74">
        <f t="shared" si="32"/>
        <v>235210206.7934401</v>
      </c>
      <c r="N120" s="4">
        <v>5</v>
      </c>
      <c r="O120" s="54">
        <f t="shared" si="33"/>
        <v>4513291.6279560663</v>
      </c>
      <c r="P120" s="74">
        <f t="shared" si="34"/>
        <v>3420699.0353634735</v>
      </c>
      <c r="Q120" s="54">
        <f t="shared" si="35"/>
        <v>1092592.5925925926</v>
      </c>
      <c r="R120" s="74">
        <f t="shared" si="36"/>
        <v>230537037.03703701</v>
      </c>
      <c r="S120" s="77"/>
      <c r="T120" s="4">
        <v>5</v>
      </c>
      <c r="U120" s="15">
        <f t="shared" si="37"/>
        <v>1.365676827729434E-2</v>
      </c>
      <c r="V120" s="133">
        <f t="shared" si="38"/>
        <v>3638602.1006295285</v>
      </c>
      <c r="W120" s="132">
        <f t="shared" si="39"/>
        <v>435939.68429191876</v>
      </c>
      <c r="X120" s="132">
        <f t="shared" si="40"/>
        <v>3202662.4163376098</v>
      </c>
      <c r="Y120" s="27">
        <f t="shared" si="41"/>
        <v>234075062.5754694</v>
      </c>
    </row>
    <row r="121" spans="2:25" x14ac:dyDescent="0.25">
      <c r="B121" s="138" t="s">
        <v>36</v>
      </c>
      <c r="C121" s="115">
        <f>(1+C115)*(1+C120)-1</f>
        <v>0.19234243466645418</v>
      </c>
      <c r="D121" s="4" t="s">
        <v>37</v>
      </c>
      <c r="H121" s="4">
        <v>6</v>
      </c>
      <c r="I121" s="54">
        <f t="shared" si="29"/>
        <v>3638602.1006295285</v>
      </c>
      <c r="J121" s="54">
        <f t="shared" si="30"/>
        <v>165025.21509690629</v>
      </c>
      <c r="K121" s="93">
        <f t="shared" si="31"/>
        <v>3473576.8855326222</v>
      </c>
      <c r="L121" s="74">
        <f t="shared" si="32"/>
        <v>235045181.57834318</v>
      </c>
      <c r="N121" s="4">
        <v>6</v>
      </c>
      <c r="O121" s="54">
        <f t="shared" si="33"/>
        <v>4497156.2551477477</v>
      </c>
      <c r="P121" s="74">
        <f t="shared" si="34"/>
        <v>3404563.6625551549</v>
      </c>
      <c r="Q121" s="54">
        <f t="shared" si="35"/>
        <v>1092592.5925925926</v>
      </c>
      <c r="R121" s="74">
        <f t="shared" si="36"/>
        <v>229444444.44444442</v>
      </c>
      <c r="S121" s="77"/>
      <c r="T121" s="4">
        <v>6</v>
      </c>
      <c r="U121" s="15">
        <f t="shared" si="37"/>
        <v>1.3355836257070264E-2</v>
      </c>
      <c r="V121" s="133">
        <f t="shared" si="38"/>
        <v>3638602.1006295285</v>
      </c>
      <c r="W121" s="132">
        <f t="shared" si="39"/>
        <v>512333.89300808357</v>
      </c>
      <c r="X121" s="132">
        <f t="shared" si="40"/>
        <v>3126268.2076214449</v>
      </c>
      <c r="Y121" s="27">
        <f t="shared" si="41"/>
        <v>233562728.68246132</v>
      </c>
    </row>
    <row r="122" spans="2:25" x14ac:dyDescent="0.25">
      <c r="H122" s="4">
        <v>7</v>
      </c>
      <c r="I122" s="54">
        <f t="shared" si="29"/>
        <v>3638602.1006295285</v>
      </c>
      <c r="J122" s="54">
        <f t="shared" si="30"/>
        <v>167462.30224760994</v>
      </c>
      <c r="K122" s="93">
        <f t="shared" si="31"/>
        <v>3471139.7983819186</v>
      </c>
      <c r="L122" s="74">
        <f t="shared" si="32"/>
        <v>234877719.27609557</v>
      </c>
      <c r="N122" s="4">
        <v>7</v>
      </c>
      <c r="O122" s="54">
        <f t="shared" si="33"/>
        <v>4481020.8823394291</v>
      </c>
      <c r="P122" s="74">
        <f t="shared" si="34"/>
        <v>3388428.2897468368</v>
      </c>
      <c r="Q122" s="54">
        <f t="shared" si="35"/>
        <v>1092592.5925925926</v>
      </c>
      <c r="R122" s="74">
        <f t="shared" si="36"/>
        <v>228351851.85185182</v>
      </c>
      <c r="S122" s="77"/>
      <c r="T122" s="4">
        <v>7</v>
      </c>
      <c r="U122" s="15">
        <f t="shared" si="37"/>
        <v>1.3316166661387241E-2</v>
      </c>
      <c r="V122" s="133">
        <f t="shared" si="38"/>
        <v>3638602.1006295285</v>
      </c>
      <c r="W122" s="132">
        <f t="shared" si="39"/>
        <v>528441.87960550375</v>
      </c>
      <c r="X122" s="132">
        <f t="shared" si="40"/>
        <v>3110160.2210240248</v>
      </c>
      <c r="Y122" s="27">
        <f t="shared" si="41"/>
        <v>233034286.80285582</v>
      </c>
    </row>
    <row r="123" spans="2:25" x14ac:dyDescent="0.25">
      <c r="B123" s="99" t="s">
        <v>363</v>
      </c>
      <c r="C123" s="27">
        <v>236000000</v>
      </c>
      <c r="D123" s="4"/>
      <c r="H123" s="4">
        <v>8</v>
      </c>
      <c r="I123" s="54">
        <f t="shared" si="29"/>
        <v>3638602.1006295285</v>
      </c>
      <c r="J123" s="54">
        <f t="shared" si="30"/>
        <v>169935.38022418041</v>
      </c>
      <c r="K123" s="93">
        <f t="shared" si="31"/>
        <v>3468666.7204053481</v>
      </c>
      <c r="L123" s="74">
        <f t="shared" si="32"/>
        <v>234707783.8958714</v>
      </c>
      <c r="N123" s="4">
        <v>8</v>
      </c>
      <c r="O123" s="54">
        <f t="shared" si="33"/>
        <v>4464885.5095311115</v>
      </c>
      <c r="P123" s="74">
        <f t="shared" si="34"/>
        <v>3372292.9169385186</v>
      </c>
      <c r="Q123" s="54">
        <f t="shared" si="35"/>
        <v>1092592.5925925926</v>
      </c>
      <c r="R123" s="74">
        <f t="shared" si="36"/>
        <v>227259259.25925922</v>
      </c>
      <c r="S123" s="77"/>
      <c r="T123" s="4">
        <v>8</v>
      </c>
      <c r="U123" s="15">
        <f t="shared" si="37"/>
        <v>1.3228833371251358E-2</v>
      </c>
      <c r="V123" s="133">
        <f t="shared" si="38"/>
        <v>3638602.1006295285</v>
      </c>
      <c r="W123" s="132">
        <f t="shared" si="39"/>
        <v>555830.35072614951</v>
      </c>
      <c r="X123" s="132">
        <f t="shared" si="40"/>
        <v>3082771.749903379</v>
      </c>
      <c r="Y123" s="27">
        <f t="shared" si="41"/>
        <v>232478456.45212966</v>
      </c>
    </row>
    <row r="124" spans="2:25" x14ac:dyDescent="0.25">
      <c r="B124" s="138" t="s">
        <v>360</v>
      </c>
      <c r="C124" s="115">
        <f>(1+C120)*(1+C115)-1</f>
        <v>0.19234243466645418</v>
      </c>
      <c r="D124" s="4" t="s">
        <v>37</v>
      </c>
      <c r="H124" s="4">
        <v>9</v>
      </c>
      <c r="I124" s="54">
        <f t="shared" si="29"/>
        <v>3638602.1006295285</v>
      </c>
      <c r="J124" s="54">
        <f t="shared" si="30"/>
        <v>172444.98053799337</v>
      </c>
      <c r="K124" s="93">
        <f t="shared" si="31"/>
        <v>3466157.1200915352</v>
      </c>
      <c r="L124" s="74">
        <f t="shared" si="32"/>
        <v>234535338.91533342</v>
      </c>
      <c r="N124" s="4">
        <v>9</v>
      </c>
      <c r="O124" s="54">
        <f t="shared" si="33"/>
        <v>4448750.1367227929</v>
      </c>
      <c r="P124" s="74">
        <f t="shared" si="34"/>
        <v>3356157.5441302001</v>
      </c>
      <c r="Q124" s="54">
        <f t="shared" si="35"/>
        <v>1092592.5925925926</v>
      </c>
      <c r="R124" s="74">
        <f t="shared" si="36"/>
        <v>226166666.66666663</v>
      </c>
      <c r="S124" s="77"/>
      <c r="T124" s="4">
        <v>9</v>
      </c>
      <c r="U124" s="15">
        <f t="shared" si="37"/>
        <v>1.3101655133067602E-2</v>
      </c>
      <c r="V124" s="133">
        <f t="shared" si="38"/>
        <v>3638602.1006295285</v>
      </c>
      <c r="W124" s="132">
        <f t="shared" si="39"/>
        <v>592749.53832585085</v>
      </c>
      <c r="X124" s="132">
        <f t="shared" si="40"/>
        <v>3045852.5623036777</v>
      </c>
      <c r="Y124" s="27">
        <f t="shared" si="41"/>
        <v>231885706.91380382</v>
      </c>
    </row>
    <row r="125" spans="2:25" x14ac:dyDescent="0.25">
      <c r="B125" s="99" t="s">
        <v>362</v>
      </c>
      <c r="C125" s="4">
        <v>12</v>
      </c>
      <c r="D125" s="4" t="s">
        <v>204</v>
      </c>
      <c r="H125" s="4">
        <v>10</v>
      </c>
      <c r="I125" s="54">
        <f t="shared" si="29"/>
        <v>3638602.1006295285</v>
      </c>
      <c r="J125" s="54">
        <f t="shared" si="30"/>
        <v>174991.64254976949</v>
      </c>
      <c r="K125" s="93">
        <f t="shared" si="31"/>
        <v>3463610.458079759</v>
      </c>
      <c r="L125" s="74">
        <f t="shared" si="32"/>
        <v>234360347.27278364</v>
      </c>
      <c r="N125" s="4">
        <v>10</v>
      </c>
      <c r="O125" s="54">
        <f t="shared" si="33"/>
        <v>4432614.7639144743</v>
      </c>
      <c r="P125" s="74">
        <f t="shared" si="34"/>
        <v>3340022.1713218819</v>
      </c>
      <c r="Q125" s="54">
        <f t="shared" si="35"/>
        <v>1092592.5925925926</v>
      </c>
      <c r="R125" s="74">
        <f t="shared" si="36"/>
        <v>225074074.07407403</v>
      </c>
      <c r="S125" s="77"/>
      <c r="T125" s="4">
        <v>10</v>
      </c>
      <c r="U125" s="15">
        <f t="shared" si="37"/>
        <v>1.2998193347758091E-2</v>
      </c>
      <c r="V125" s="133">
        <f t="shared" si="38"/>
        <v>3638602.1006295285</v>
      </c>
      <c r="W125" s="132">
        <f t="shared" si="39"/>
        <v>624506.84758234117</v>
      </c>
      <c r="X125" s="132">
        <f t="shared" si="40"/>
        <v>3014095.2530471873</v>
      </c>
      <c r="Y125" s="27">
        <f t="shared" si="41"/>
        <v>231261200.06622148</v>
      </c>
    </row>
    <row r="126" spans="2:25" x14ac:dyDescent="0.25">
      <c r="B126" s="99" t="s">
        <v>361</v>
      </c>
      <c r="C126" s="4">
        <v>18</v>
      </c>
      <c r="D126" s="4" t="s">
        <v>11</v>
      </c>
      <c r="H126" s="4">
        <v>11</v>
      </c>
      <c r="I126" s="54">
        <f t="shared" si="29"/>
        <v>3638602.1006295285</v>
      </c>
      <c r="J126" s="54">
        <f t="shared" si="30"/>
        <v>177575.91358549101</v>
      </c>
      <c r="K126" s="93">
        <f t="shared" si="31"/>
        <v>3461026.1870440375</v>
      </c>
      <c r="L126" s="74">
        <f t="shared" si="32"/>
        <v>234182771.35919815</v>
      </c>
      <c r="N126" s="4">
        <v>11</v>
      </c>
      <c r="O126" s="54">
        <f t="shared" si="33"/>
        <v>4416479.3911061557</v>
      </c>
      <c r="P126" s="74">
        <f t="shared" si="34"/>
        <v>3323886.7985135633</v>
      </c>
      <c r="Q126" s="54">
        <f t="shared" si="35"/>
        <v>1092592.5925925926</v>
      </c>
      <c r="R126" s="74">
        <f t="shared" si="36"/>
        <v>223981481.48148143</v>
      </c>
      <c r="S126" s="77"/>
      <c r="T126" s="4">
        <v>11</v>
      </c>
      <c r="U126" s="15">
        <f t="shared" si="37"/>
        <v>1.296633555374016E-2</v>
      </c>
      <c r="V126" s="133">
        <f t="shared" si="38"/>
        <v>3638602.1006295285</v>
      </c>
      <c r="W126" s="132">
        <f t="shared" si="39"/>
        <v>639991.78001026483</v>
      </c>
      <c r="X126" s="132">
        <f t="shared" si="40"/>
        <v>2998610.3206192637</v>
      </c>
      <c r="Y126" s="27">
        <f t="shared" si="41"/>
        <v>230621208.28621122</v>
      </c>
    </row>
    <row r="127" spans="2:25" x14ac:dyDescent="0.25">
      <c r="B127" s="99" t="s">
        <v>361</v>
      </c>
      <c r="C127" s="4">
        <f>C126*12</f>
        <v>216</v>
      </c>
      <c r="D127" s="4" t="s">
        <v>53</v>
      </c>
      <c r="H127" s="4">
        <v>12</v>
      </c>
      <c r="I127" s="54">
        <f t="shared" si="29"/>
        <v>3638602.1006295285</v>
      </c>
      <c r="J127" s="54">
        <f t="shared" si="30"/>
        <v>180198.34905403154</v>
      </c>
      <c r="K127" s="93">
        <f t="shared" si="31"/>
        <v>3458403.751575497</v>
      </c>
      <c r="L127" s="74">
        <f t="shared" si="32"/>
        <v>234002573.01014411</v>
      </c>
      <c r="N127" s="4">
        <v>12</v>
      </c>
      <c r="O127" s="54">
        <f t="shared" si="33"/>
        <v>4400344.018297838</v>
      </c>
      <c r="P127" s="74">
        <f t="shared" si="34"/>
        <v>3307751.4257052452</v>
      </c>
      <c r="Q127" s="54">
        <f t="shared" si="35"/>
        <v>1092592.5925925926</v>
      </c>
      <c r="R127" s="74">
        <f t="shared" si="36"/>
        <v>222888888.88888884</v>
      </c>
      <c r="S127" s="77"/>
      <c r="T127" s="4">
        <v>12</v>
      </c>
      <c r="U127" s="15">
        <f t="shared" si="37"/>
        <v>1.2934466734703109E-2</v>
      </c>
      <c r="V127" s="133">
        <f t="shared" si="38"/>
        <v>3638602.1006295285</v>
      </c>
      <c r="W127" s="132">
        <f t="shared" si="39"/>
        <v>655639.75373449223</v>
      </c>
      <c r="X127" s="132">
        <f t="shared" si="40"/>
        <v>2982962.3468950363</v>
      </c>
      <c r="Y127" s="27">
        <f t="shared" si="41"/>
        <v>229965568.53247672</v>
      </c>
    </row>
    <row r="128" spans="2:25" x14ac:dyDescent="0.25">
      <c r="B128" s="99" t="s">
        <v>57</v>
      </c>
      <c r="C128" s="88">
        <f>NOMINAL(C124,C125)/C125</f>
        <v>1.4767968333037063E-2</v>
      </c>
      <c r="D128" s="4" t="s">
        <v>204</v>
      </c>
      <c r="H128" s="4">
        <v>13</v>
      </c>
      <c r="I128" s="54">
        <f t="shared" si="29"/>
        <v>3638602.1006295285</v>
      </c>
      <c r="J128" s="54">
        <f t="shared" si="30"/>
        <v>182859.51256652689</v>
      </c>
      <c r="K128" s="93">
        <f t="shared" si="31"/>
        <v>3455742.5880630016</v>
      </c>
      <c r="L128" s="74">
        <f t="shared" si="32"/>
        <v>233819713.49757758</v>
      </c>
      <c r="N128" s="4">
        <v>13</v>
      </c>
      <c r="O128" s="54">
        <f t="shared" si="33"/>
        <v>4384208.6454895195</v>
      </c>
      <c r="P128" s="74">
        <f t="shared" si="34"/>
        <v>3291616.0528969266</v>
      </c>
      <c r="Q128" s="54">
        <f t="shared" si="35"/>
        <v>1092592.5925925926</v>
      </c>
      <c r="R128" s="74">
        <f t="shared" si="36"/>
        <v>221796296.29629624</v>
      </c>
      <c r="S128" s="77"/>
      <c r="T128" s="4">
        <v>13</v>
      </c>
      <c r="U128" s="15">
        <f t="shared" si="37"/>
        <v>1.296633555374016E-2</v>
      </c>
      <c r="V128" s="133">
        <f t="shared" si="38"/>
        <v>3638602.1006295285</v>
      </c>
      <c r="W128" s="132">
        <f t="shared" si="39"/>
        <v>656791.37323080609</v>
      </c>
      <c r="X128" s="132">
        <f t="shared" si="40"/>
        <v>2981810.7273987224</v>
      </c>
      <c r="Y128" s="27">
        <f t="shared" si="41"/>
        <v>229308777.15924591</v>
      </c>
    </row>
    <row r="129" spans="1:25" x14ac:dyDescent="0.25">
      <c r="H129" s="4">
        <v>14</v>
      </c>
      <c r="I129" s="54">
        <f t="shared" si="29"/>
        <v>3638602.1006295285</v>
      </c>
      <c r="J129" s="54">
        <f t="shared" si="30"/>
        <v>185559.9760575043</v>
      </c>
      <c r="K129" s="93">
        <f t="shared" si="31"/>
        <v>3453042.1245720242</v>
      </c>
      <c r="L129" s="74">
        <f t="shared" si="32"/>
        <v>233634153.52152008</v>
      </c>
      <c r="N129" s="4">
        <v>14</v>
      </c>
      <c r="O129" s="54">
        <f t="shared" si="33"/>
        <v>4368073.2726812009</v>
      </c>
      <c r="P129" s="74">
        <f t="shared" si="34"/>
        <v>3275480.6800886085</v>
      </c>
      <c r="Q129" s="54">
        <f t="shared" si="35"/>
        <v>1092592.5925925926</v>
      </c>
      <c r="R129" s="74">
        <f t="shared" si="36"/>
        <v>220703703.70370364</v>
      </c>
      <c r="S129" s="77"/>
      <c r="T129" s="4">
        <v>14</v>
      </c>
      <c r="U129" s="15">
        <f t="shared" si="37"/>
        <v>1.3085745498605306E-2</v>
      </c>
      <c r="V129" s="133">
        <f t="shared" si="38"/>
        <v>3638602.1006295285</v>
      </c>
      <c r="W129" s="132">
        <f t="shared" si="39"/>
        <v>637925.80212723929</v>
      </c>
      <c r="X129" s="132">
        <f t="shared" si="40"/>
        <v>3000676.2985022892</v>
      </c>
      <c r="Y129" s="27">
        <f t="shared" si="41"/>
        <v>228670851.35711867</v>
      </c>
    </row>
    <row r="130" spans="1:25" x14ac:dyDescent="0.25">
      <c r="C130" s="48"/>
      <c r="D130" s="139" t="s">
        <v>55</v>
      </c>
      <c r="E130" s="139" t="s">
        <v>360</v>
      </c>
      <c r="F130" s="139" t="s">
        <v>359</v>
      </c>
      <c r="H130" s="4">
        <v>15</v>
      </c>
      <c r="I130" s="54">
        <f t="shared" si="29"/>
        <v>3638602.1006295285</v>
      </c>
      <c r="J130" s="54">
        <f t="shared" si="30"/>
        <v>188300.31990780029</v>
      </c>
      <c r="K130" s="93">
        <f t="shared" si="31"/>
        <v>3450301.7807217282</v>
      </c>
      <c r="L130" s="74">
        <f t="shared" si="32"/>
        <v>233445853.20161226</v>
      </c>
      <c r="N130" s="4">
        <v>15</v>
      </c>
      <c r="O130" s="54">
        <f t="shared" si="33"/>
        <v>4351937.8998728823</v>
      </c>
      <c r="P130" s="74">
        <f t="shared" si="34"/>
        <v>3259345.3072802899</v>
      </c>
      <c r="Q130" s="54">
        <f t="shared" si="35"/>
        <v>1092592.5925925926</v>
      </c>
      <c r="R130" s="74">
        <f t="shared" si="36"/>
        <v>219611111.11111104</v>
      </c>
      <c r="S130" s="77"/>
      <c r="T130" s="4">
        <v>15</v>
      </c>
      <c r="U130" s="15">
        <f t="shared" si="37"/>
        <v>1.3395488777808939E-2</v>
      </c>
      <c r="V130" s="133">
        <f t="shared" si="38"/>
        <v>3638602.1006295285</v>
      </c>
      <c r="W130" s="132">
        <f t="shared" si="39"/>
        <v>575444.27746322937</v>
      </c>
      <c r="X130" s="132">
        <f t="shared" si="40"/>
        <v>3063157.8231662991</v>
      </c>
      <c r="Y130" s="27">
        <f t="shared" si="41"/>
        <v>228095407.07965544</v>
      </c>
    </row>
    <row r="131" spans="1:25" x14ac:dyDescent="0.25">
      <c r="A131" s="59">
        <v>1</v>
      </c>
      <c r="B131" s="59" t="s">
        <v>358</v>
      </c>
      <c r="C131" s="140">
        <v>7.1800000000000003E-2</v>
      </c>
      <c r="D131" s="63">
        <f t="shared" ref="D131:D194" si="42">$C$120</f>
        <v>0.10143079604845218</v>
      </c>
      <c r="E131" s="63">
        <f t="shared" ref="E131:E194" si="43">(1+D131)*(1+C131)-1</f>
        <v>0.18051352720473113</v>
      </c>
      <c r="F131" s="64">
        <f t="shared" ref="F131:F194" si="44">NOMINAL(E131,$C$125)/$C$125</f>
        <v>1.3925192740219083E-2</v>
      </c>
      <c r="H131" s="4">
        <v>16</v>
      </c>
      <c r="I131" s="54">
        <f t="shared" si="29"/>
        <v>3638602.1006295285</v>
      </c>
      <c r="J131" s="54">
        <f t="shared" si="30"/>
        <v>191081.13306929963</v>
      </c>
      <c r="K131" s="93">
        <f t="shared" si="31"/>
        <v>3447520.9675602289</v>
      </c>
      <c r="L131" s="74">
        <f t="shared" si="32"/>
        <v>233254772.06854296</v>
      </c>
      <c r="N131" s="4">
        <v>16</v>
      </c>
      <c r="O131" s="54">
        <f t="shared" si="33"/>
        <v>4335802.5270645646</v>
      </c>
      <c r="P131" s="74">
        <f t="shared" si="34"/>
        <v>3243209.9344719718</v>
      </c>
      <c r="Q131" s="54">
        <f t="shared" si="35"/>
        <v>1092592.5925925926</v>
      </c>
      <c r="R131" s="74">
        <f t="shared" si="36"/>
        <v>218518518.51851845</v>
      </c>
      <c r="S131" s="77"/>
      <c r="T131" s="4">
        <v>16</v>
      </c>
      <c r="U131" s="15">
        <f t="shared" si="37"/>
        <v>1.3284418680545418E-2</v>
      </c>
      <c r="V131" s="133">
        <f t="shared" si="38"/>
        <v>3638602.1006295285</v>
      </c>
      <c r="W131" s="132">
        <f t="shared" si="39"/>
        <v>608487.21387394238</v>
      </c>
      <c r="X131" s="132">
        <f t="shared" si="40"/>
        <v>3030114.8867555861</v>
      </c>
      <c r="Y131" s="27">
        <f t="shared" si="41"/>
        <v>227486919.86578149</v>
      </c>
    </row>
    <row r="132" spans="1:25" x14ac:dyDescent="0.25">
      <c r="A132" s="59">
        <v>2</v>
      </c>
      <c r="B132" s="59" t="s">
        <v>357</v>
      </c>
      <c r="C132" s="140">
        <v>7.1800000000000003E-2</v>
      </c>
      <c r="D132" s="63">
        <f t="shared" si="42"/>
        <v>0.10143079604845218</v>
      </c>
      <c r="E132" s="63">
        <f t="shared" si="43"/>
        <v>0.18051352720473113</v>
      </c>
      <c r="F132" s="64">
        <f t="shared" si="44"/>
        <v>1.3925192740219083E-2</v>
      </c>
      <c r="H132" s="4">
        <v>17</v>
      </c>
      <c r="I132" s="54">
        <f t="shared" si="29"/>
        <v>3638602.1006295285</v>
      </c>
      <c r="J132" s="54">
        <f t="shared" si="30"/>
        <v>193903.01319150813</v>
      </c>
      <c r="K132" s="93">
        <f t="shared" si="31"/>
        <v>3444699.0874380204</v>
      </c>
      <c r="L132" s="74">
        <f t="shared" si="32"/>
        <v>233060869.05535144</v>
      </c>
      <c r="N132" s="4">
        <v>17</v>
      </c>
      <c r="O132" s="54">
        <f t="shared" si="33"/>
        <v>4319667.1542562461</v>
      </c>
      <c r="P132" s="74">
        <f t="shared" si="34"/>
        <v>3227074.5616636532</v>
      </c>
      <c r="Q132" s="54">
        <f t="shared" si="35"/>
        <v>1092592.5925925926</v>
      </c>
      <c r="R132" s="74">
        <f t="shared" si="36"/>
        <v>217425925.92592585</v>
      </c>
      <c r="S132" s="77"/>
      <c r="T132" s="4">
        <v>17</v>
      </c>
      <c r="U132" s="15">
        <f t="shared" si="37"/>
        <v>1.3324101947257194E-2</v>
      </c>
      <c r="V132" s="133">
        <f t="shared" si="38"/>
        <v>3638602.1006295285</v>
      </c>
      <c r="W132" s="132">
        <f t="shared" si="39"/>
        <v>607543.18867032835</v>
      </c>
      <c r="X132" s="132">
        <f t="shared" si="40"/>
        <v>3031058.9119592002</v>
      </c>
      <c r="Y132" s="27">
        <f t="shared" si="41"/>
        <v>226879376.67711115</v>
      </c>
    </row>
    <row r="133" spans="1:25" x14ac:dyDescent="0.25">
      <c r="A133" s="59">
        <v>3</v>
      </c>
      <c r="B133" s="59" t="s">
        <v>356</v>
      </c>
      <c r="C133" s="140">
        <v>7.0999999999999994E-2</v>
      </c>
      <c r="D133" s="63">
        <f t="shared" si="42"/>
        <v>0.10143079604845218</v>
      </c>
      <c r="E133" s="63">
        <f t="shared" si="43"/>
        <v>0.17963238256789227</v>
      </c>
      <c r="F133" s="64">
        <f t="shared" si="44"/>
        <v>1.3862104339041892E-2</v>
      </c>
      <c r="H133" s="4">
        <v>18</v>
      </c>
      <c r="I133" s="54">
        <f t="shared" si="29"/>
        <v>3638602.1006295285</v>
      </c>
      <c r="J133" s="54">
        <f t="shared" si="30"/>
        <v>196766.56675000116</v>
      </c>
      <c r="K133" s="93">
        <f t="shared" si="31"/>
        <v>3441835.5338795274</v>
      </c>
      <c r="L133" s="74">
        <f t="shared" si="32"/>
        <v>232864102.48860145</v>
      </c>
      <c r="N133" s="4">
        <v>18</v>
      </c>
      <c r="O133" s="54">
        <f t="shared" si="33"/>
        <v>4303531.7814479275</v>
      </c>
      <c r="P133" s="74">
        <f t="shared" si="34"/>
        <v>3210939.1888553351</v>
      </c>
      <c r="Q133" s="54">
        <f t="shared" si="35"/>
        <v>1092592.5925925926</v>
      </c>
      <c r="R133" s="74">
        <f t="shared" si="36"/>
        <v>216333333.33333325</v>
      </c>
      <c r="S133" s="77"/>
      <c r="T133" s="4">
        <v>18</v>
      </c>
      <c r="U133" s="15">
        <f t="shared" si="37"/>
        <v>1.3324101947257194E-2</v>
      </c>
      <c r="V133" s="133">
        <f t="shared" si="38"/>
        <v>3638602.1006295285</v>
      </c>
      <c r="W133" s="132">
        <f t="shared" si="39"/>
        <v>615638.15605353331</v>
      </c>
      <c r="X133" s="132">
        <f t="shared" si="40"/>
        <v>3022963.9445759952</v>
      </c>
      <c r="Y133" s="27">
        <f t="shared" si="41"/>
        <v>226263738.52105761</v>
      </c>
    </row>
    <row r="134" spans="1:25" x14ac:dyDescent="0.25">
      <c r="A134" s="59">
        <v>4</v>
      </c>
      <c r="B134" s="59" t="s">
        <v>355</v>
      </c>
      <c r="C134" s="140">
        <v>6.9900000000000004E-2</v>
      </c>
      <c r="D134" s="63">
        <f t="shared" si="42"/>
        <v>0.10143079604845218</v>
      </c>
      <c r="E134" s="63">
        <f t="shared" si="43"/>
        <v>0.17842080869223897</v>
      </c>
      <c r="F134" s="64">
        <f t="shared" si="44"/>
        <v>1.3775287216740484E-2</v>
      </c>
      <c r="H134" s="4">
        <v>19</v>
      </c>
      <c r="I134" s="54">
        <f t="shared" si="29"/>
        <v>3638602.1006295285</v>
      </c>
      <c r="J134" s="54">
        <f t="shared" si="30"/>
        <v>199672.40917676548</v>
      </c>
      <c r="K134" s="93">
        <f t="shared" si="31"/>
        <v>3438929.691452763</v>
      </c>
      <c r="L134" s="74">
        <f t="shared" si="32"/>
        <v>232664430.07942468</v>
      </c>
      <c r="N134" s="4">
        <v>19</v>
      </c>
      <c r="O134" s="54">
        <f t="shared" si="33"/>
        <v>4287396.4086396089</v>
      </c>
      <c r="P134" s="74">
        <f t="shared" si="34"/>
        <v>3194803.8160470165</v>
      </c>
      <c r="Q134" s="54">
        <f t="shared" si="35"/>
        <v>1092592.5925925926</v>
      </c>
      <c r="R134" s="74">
        <f t="shared" si="36"/>
        <v>215240740.74074066</v>
      </c>
      <c r="S134" s="77"/>
      <c r="T134" s="4">
        <v>19</v>
      </c>
      <c r="U134" s="15">
        <f t="shared" si="37"/>
        <v>1.3530179834374989E-2</v>
      </c>
      <c r="V134" s="133">
        <f t="shared" si="38"/>
        <v>3638602.1006295285</v>
      </c>
      <c r="W134" s="132">
        <f t="shared" si="39"/>
        <v>577213.02844161959</v>
      </c>
      <c r="X134" s="132">
        <f t="shared" si="40"/>
        <v>3061389.0721879089</v>
      </c>
      <c r="Y134" s="27">
        <f t="shared" si="41"/>
        <v>225686525.492616</v>
      </c>
    </row>
    <row r="135" spans="1:25" x14ac:dyDescent="0.25">
      <c r="A135" s="59">
        <v>5</v>
      </c>
      <c r="B135" s="59" t="s">
        <v>354</v>
      </c>
      <c r="C135" s="140">
        <v>6.8400000000000002E-2</v>
      </c>
      <c r="D135" s="63">
        <f t="shared" si="42"/>
        <v>0.10143079604845218</v>
      </c>
      <c r="E135" s="63">
        <f t="shared" si="43"/>
        <v>0.17676866249816636</v>
      </c>
      <c r="F135" s="64">
        <f t="shared" si="44"/>
        <v>1.365676827729434E-2</v>
      </c>
      <c r="H135" s="4">
        <v>20</v>
      </c>
      <c r="I135" s="54">
        <f t="shared" si="29"/>
        <v>3638602.1006295285</v>
      </c>
      <c r="J135" s="54">
        <f t="shared" si="30"/>
        <v>202621.1649924689</v>
      </c>
      <c r="K135" s="93">
        <f t="shared" si="31"/>
        <v>3435980.9356370596</v>
      </c>
      <c r="L135" s="74">
        <f t="shared" si="32"/>
        <v>232461808.9144322</v>
      </c>
      <c r="N135" s="4">
        <v>20</v>
      </c>
      <c r="O135" s="54">
        <f t="shared" si="33"/>
        <v>4271261.0358312912</v>
      </c>
      <c r="P135" s="74">
        <f t="shared" si="34"/>
        <v>3178668.4432386984</v>
      </c>
      <c r="Q135" s="54">
        <f t="shared" si="35"/>
        <v>1092592.5925925926</v>
      </c>
      <c r="R135" s="74">
        <f t="shared" si="36"/>
        <v>214148148.14814806</v>
      </c>
      <c r="S135" s="77"/>
      <c r="T135" s="4">
        <v>20</v>
      </c>
      <c r="U135" s="15">
        <f t="shared" si="37"/>
        <v>1.3585583678140445E-2</v>
      </c>
      <c r="V135" s="133">
        <f t="shared" si="38"/>
        <v>3638602.1006295285</v>
      </c>
      <c r="W135" s="132">
        <f t="shared" si="39"/>
        <v>572518.92352081742</v>
      </c>
      <c r="X135" s="132">
        <f t="shared" si="40"/>
        <v>3066083.1771087111</v>
      </c>
      <c r="Y135" s="27">
        <f t="shared" si="41"/>
        <v>225114006.56909519</v>
      </c>
    </row>
    <row r="136" spans="1:25" x14ac:dyDescent="0.25">
      <c r="A136" s="59">
        <v>6</v>
      </c>
      <c r="B136" s="59" t="s">
        <v>353</v>
      </c>
      <c r="C136" s="140">
        <v>6.4600000000000005E-2</v>
      </c>
      <c r="D136" s="63">
        <f t="shared" si="42"/>
        <v>0.10143079604845218</v>
      </c>
      <c r="E136" s="63">
        <f t="shared" si="43"/>
        <v>0.17258322547318228</v>
      </c>
      <c r="F136" s="64">
        <f t="shared" si="44"/>
        <v>1.3355836257070264E-2</v>
      </c>
      <c r="H136" s="4">
        <v>21</v>
      </c>
      <c r="I136" s="54">
        <f t="shared" si="29"/>
        <v>3638602.1006295285</v>
      </c>
      <c r="J136" s="54">
        <f t="shared" si="30"/>
        <v>205613.46794068115</v>
      </c>
      <c r="K136" s="93">
        <f t="shared" si="31"/>
        <v>3432988.6326888474</v>
      </c>
      <c r="L136" s="74">
        <f t="shared" si="32"/>
        <v>232256195.44649151</v>
      </c>
      <c r="N136" s="4">
        <v>21</v>
      </c>
      <c r="O136" s="54">
        <f t="shared" si="33"/>
        <v>4255125.6630229726</v>
      </c>
      <c r="P136" s="74">
        <f t="shared" si="34"/>
        <v>3162533.0704303798</v>
      </c>
      <c r="Q136" s="54">
        <f t="shared" si="35"/>
        <v>1092592.5925925926</v>
      </c>
      <c r="R136" s="74">
        <f t="shared" si="36"/>
        <v>213055555.55555546</v>
      </c>
      <c r="S136" s="77"/>
      <c r="T136" s="4">
        <v>21</v>
      </c>
      <c r="U136" s="15">
        <f t="shared" si="37"/>
        <v>1.3633046187103481E-2</v>
      </c>
      <c r="V136" s="133">
        <f t="shared" si="38"/>
        <v>3638602.1006295285</v>
      </c>
      <c r="W136" s="132">
        <f t="shared" si="39"/>
        <v>569612.4517091373</v>
      </c>
      <c r="X136" s="132">
        <f t="shared" si="40"/>
        <v>3068989.6489203912</v>
      </c>
      <c r="Y136" s="27">
        <f t="shared" si="41"/>
        <v>224544394.11738604</v>
      </c>
    </row>
    <row r="137" spans="1:25" x14ac:dyDescent="0.25">
      <c r="A137" s="59">
        <v>7</v>
      </c>
      <c r="B137" s="59" t="s">
        <v>352</v>
      </c>
      <c r="C137" s="140">
        <v>6.4100000000000004E-2</v>
      </c>
      <c r="D137" s="63">
        <f t="shared" si="42"/>
        <v>0.10143079604845218</v>
      </c>
      <c r="E137" s="63">
        <f t="shared" si="43"/>
        <v>0.17203251007515807</v>
      </c>
      <c r="F137" s="64">
        <f t="shared" si="44"/>
        <v>1.3316166661387241E-2</v>
      </c>
      <c r="H137" s="4">
        <v>22</v>
      </c>
      <c r="I137" s="54">
        <f t="shared" si="29"/>
        <v>3638602.1006295285</v>
      </c>
      <c r="J137" s="54">
        <f t="shared" si="30"/>
        <v>208649.96112407511</v>
      </c>
      <c r="K137" s="93">
        <f t="shared" si="31"/>
        <v>3429952.1395054534</v>
      </c>
      <c r="L137" s="74">
        <f t="shared" si="32"/>
        <v>232047545.48536745</v>
      </c>
      <c r="N137" s="4">
        <v>22</v>
      </c>
      <c r="O137" s="54">
        <f t="shared" si="33"/>
        <v>4238990.2902146541</v>
      </c>
      <c r="P137" s="74">
        <f t="shared" si="34"/>
        <v>3146397.6976220617</v>
      </c>
      <c r="Q137" s="54">
        <f t="shared" si="35"/>
        <v>1092592.5925925926</v>
      </c>
      <c r="R137" s="74">
        <f t="shared" si="36"/>
        <v>211962962.96296287</v>
      </c>
      <c r="S137" s="77"/>
      <c r="T137" s="4">
        <v>22</v>
      </c>
      <c r="U137" s="15">
        <f t="shared" si="37"/>
        <v>1.3625137466440007E-2</v>
      </c>
      <c r="V137" s="133">
        <f t="shared" si="38"/>
        <v>3638602.1006295285</v>
      </c>
      <c r="W137" s="132">
        <f t="shared" si="39"/>
        <v>579153.86346166069</v>
      </c>
      <c r="X137" s="132">
        <f t="shared" si="40"/>
        <v>3059448.2371678678</v>
      </c>
      <c r="Y137" s="27">
        <f t="shared" si="41"/>
        <v>223965240.25392437</v>
      </c>
    </row>
    <row r="138" spans="1:25" x14ac:dyDescent="0.25">
      <c r="A138" s="59">
        <v>8</v>
      </c>
      <c r="B138" s="59" t="s">
        <v>351</v>
      </c>
      <c r="C138" s="140">
        <v>6.3E-2</v>
      </c>
      <c r="D138" s="63">
        <f t="shared" si="42"/>
        <v>0.10143079604845218</v>
      </c>
      <c r="E138" s="63">
        <f t="shared" si="43"/>
        <v>0.17082093619950456</v>
      </c>
      <c r="F138" s="64">
        <f t="shared" si="44"/>
        <v>1.3228833371251358E-2</v>
      </c>
      <c r="H138" s="4">
        <v>23</v>
      </c>
      <c r="I138" s="54">
        <f t="shared" si="29"/>
        <v>3638602.1006295285</v>
      </c>
      <c r="J138" s="54">
        <f t="shared" si="30"/>
        <v>211731.29714264488</v>
      </c>
      <c r="K138" s="93">
        <f t="shared" si="31"/>
        <v>3426870.8034868836</v>
      </c>
      <c r="L138" s="74">
        <f t="shared" si="32"/>
        <v>231835814.18822479</v>
      </c>
      <c r="N138" s="4">
        <v>23</v>
      </c>
      <c r="O138" s="54">
        <f t="shared" si="33"/>
        <v>4222854.9174063355</v>
      </c>
      <c r="P138" s="74">
        <f t="shared" si="34"/>
        <v>3130262.3248137431</v>
      </c>
      <c r="Q138" s="54">
        <f t="shared" si="35"/>
        <v>1092592.5925925926</v>
      </c>
      <c r="R138" s="74">
        <f t="shared" si="36"/>
        <v>210870370.37037027</v>
      </c>
      <c r="S138" s="77"/>
      <c r="T138" s="4">
        <v>23</v>
      </c>
      <c r="U138" s="15">
        <f t="shared" si="37"/>
        <v>1.4192837788660873E-2</v>
      </c>
      <c r="V138" s="133">
        <f t="shared" si="38"/>
        <v>3638602.1006295285</v>
      </c>
      <c r="W138" s="132">
        <f t="shared" si="39"/>
        <v>459899.77540711965</v>
      </c>
      <c r="X138" s="132">
        <f t="shared" si="40"/>
        <v>3178702.3252224089</v>
      </c>
      <c r="Y138" s="27">
        <f t="shared" si="41"/>
        <v>223505340.47851726</v>
      </c>
    </row>
    <row r="139" spans="1:25" x14ac:dyDescent="0.25">
      <c r="A139" s="59">
        <v>9</v>
      </c>
      <c r="B139" s="59" t="s">
        <v>350</v>
      </c>
      <c r="C139" s="140">
        <v>6.1400000000000003E-2</v>
      </c>
      <c r="D139" s="63">
        <f t="shared" si="42"/>
        <v>0.10143079604845218</v>
      </c>
      <c r="E139" s="63">
        <f t="shared" si="43"/>
        <v>0.16905864692582706</v>
      </c>
      <c r="F139" s="64">
        <f t="shared" si="44"/>
        <v>1.3101655133067602E-2</v>
      </c>
      <c r="H139" s="4">
        <v>24</v>
      </c>
      <c r="I139" s="54">
        <f t="shared" si="29"/>
        <v>3638602.1006295285</v>
      </c>
      <c r="J139" s="54">
        <f t="shared" si="30"/>
        <v>214858.13823396014</v>
      </c>
      <c r="K139" s="93">
        <f t="shared" si="31"/>
        <v>3423743.9623955684</v>
      </c>
      <c r="L139" s="74">
        <f t="shared" si="32"/>
        <v>231620956.04999083</v>
      </c>
      <c r="N139" s="4">
        <v>24</v>
      </c>
      <c r="O139" s="54">
        <f t="shared" si="33"/>
        <v>4206719.5445980178</v>
      </c>
      <c r="P139" s="74">
        <f t="shared" si="34"/>
        <v>3114126.952005425</v>
      </c>
      <c r="Q139" s="54">
        <f t="shared" si="35"/>
        <v>1092592.5925925926</v>
      </c>
      <c r="R139" s="74">
        <f t="shared" si="36"/>
        <v>209777777.77777767</v>
      </c>
      <c r="S139" s="77"/>
      <c r="T139" s="4">
        <v>24</v>
      </c>
      <c r="U139" s="15">
        <f t="shared" si="37"/>
        <v>1.4137797880192871E-2</v>
      </c>
      <c r="V139" s="133">
        <f t="shared" si="38"/>
        <v>3638602.1006295285</v>
      </c>
      <c r="W139" s="132">
        <f t="shared" si="39"/>
        <v>478728.77180056134</v>
      </c>
      <c r="X139" s="132">
        <f t="shared" si="40"/>
        <v>3159873.3288289672</v>
      </c>
      <c r="Y139" s="27">
        <f t="shared" si="41"/>
        <v>223026611.70671672</v>
      </c>
    </row>
    <row r="140" spans="1:25" x14ac:dyDescent="0.25">
      <c r="A140" s="59">
        <v>10</v>
      </c>
      <c r="B140" s="59" t="s">
        <v>349</v>
      </c>
      <c r="C140" s="140">
        <v>6.0100000000000001E-2</v>
      </c>
      <c r="D140" s="63">
        <f t="shared" si="42"/>
        <v>0.10143079604845218</v>
      </c>
      <c r="E140" s="63">
        <f t="shared" si="43"/>
        <v>0.16762678689096422</v>
      </c>
      <c r="F140" s="64">
        <f t="shared" si="44"/>
        <v>1.2998193347758091E-2</v>
      </c>
      <c r="H140" s="4">
        <v>25</v>
      </c>
      <c r="I140" s="54">
        <f t="shared" si="29"/>
        <v>3638602.1006295285</v>
      </c>
      <c r="J140" s="54">
        <f t="shared" si="30"/>
        <v>218031.15641549462</v>
      </c>
      <c r="K140" s="93">
        <f t="shared" si="31"/>
        <v>3420570.9442140339</v>
      </c>
      <c r="L140" s="74">
        <f t="shared" si="32"/>
        <v>231402924.89357534</v>
      </c>
      <c r="N140" s="4">
        <v>25</v>
      </c>
      <c r="O140" s="54">
        <f t="shared" si="33"/>
        <v>4190584.1717896992</v>
      </c>
      <c r="P140" s="74">
        <f t="shared" si="34"/>
        <v>3097991.5791971069</v>
      </c>
      <c r="Q140" s="54">
        <f t="shared" si="35"/>
        <v>1092592.5925925926</v>
      </c>
      <c r="R140" s="74">
        <f t="shared" si="36"/>
        <v>208685185.18518507</v>
      </c>
      <c r="S140" s="77"/>
      <c r="T140" s="4">
        <v>25</v>
      </c>
      <c r="U140" s="15">
        <f t="shared" si="37"/>
        <v>1.4263555140161532E-2</v>
      </c>
      <c r="V140" s="133">
        <f t="shared" si="38"/>
        <v>3638602.1006295285</v>
      </c>
      <c r="W140" s="132">
        <f t="shared" si="39"/>
        <v>457449.72682737932</v>
      </c>
      <c r="X140" s="132">
        <f t="shared" si="40"/>
        <v>3181152.3738021492</v>
      </c>
      <c r="Y140" s="27">
        <f t="shared" si="41"/>
        <v>222569161.97988933</v>
      </c>
    </row>
    <row r="141" spans="1:25" x14ac:dyDescent="0.25">
      <c r="A141" s="59">
        <v>11</v>
      </c>
      <c r="B141" s="59" t="s">
        <v>348</v>
      </c>
      <c r="C141" s="140">
        <v>5.9700000000000003E-2</v>
      </c>
      <c r="D141" s="63">
        <f t="shared" si="42"/>
        <v>0.10143079604845218</v>
      </c>
      <c r="E141" s="63">
        <f t="shared" si="43"/>
        <v>0.1671862145725449</v>
      </c>
      <c r="F141" s="64">
        <f t="shared" si="44"/>
        <v>1.296633555374016E-2</v>
      </c>
      <c r="H141" s="4">
        <v>26</v>
      </c>
      <c r="I141" s="54">
        <f t="shared" si="29"/>
        <v>3638602.1006295285</v>
      </c>
      <c r="J141" s="54">
        <f t="shared" si="30"/>
        <v>221251.0336290542</v>
      </c>
      <c r="K141" s="93">
        <f t="shared" si="31"/>
        <v>3417351.0670004743</v>
      </c>
      <c r="L141" s="74">
        <f t="shared" si="32"/>
        <v>231181673.85994628</v>
      </c>
      <c r="N141" s="4">
        <v>26</v>
      </c>
      <c r="O141" s="54">
        <f t="shared" si="33"/>
        <v>4174448.7989813806</v>
      </c>
      <c r="P141" s="74">
        <f t="shared" si="34"/>
        <v>3081856.2063887883</v>
      </c>
      <c r="Q141" s="54">
        <f t="shared" si="35"/>
        <v>1092592.5925925926</v>
      </c>
      <c r="R141" s="74">
        <f t="shared" si="36"/>
        <v>207592592.59259248</v>
      </c>
      <c r="S141" s="77"/>
      <c r="T141" s="4">
        <v>26</v>
      </c>
      <c r="U141" s="15">
        <f t="shared" si="37"/>
        <v>1.4585027459394384E-2</v>
      </c>
      <c r="V141" s="133">
        <f t="shared" si="38"/>
        <v>3638602.1006295285</v>
      </c>
      <c r="W141" s="132">
        <f t="shared" si="39"/>
        <v>392424.76153844595</v>
      </c>
      <c r="X141" s="132">
        <f t="shared" si="40"/>
        <v>3246177.3390910826</v>
      </c>
      <c r="Y141" s="27">
        <f t="shared" si="41"/>
        <v>222176737.21835089</v>
      </c>
    </row>
    <row r="142" spans="1:25" x14ac:dyDescent="0.25">
      <c r="A142" s="59">
        <v>12</v>
      </c>
      <c r="B142" s="59" t="s">
        <v>347</v>
      </c>
      <c r="C142" s="140">
        <v>5.9299999999999999E-2</v>
      </c>
      <c r="D142" s="63">
        <f t="shared" si="42"/>
        <v>0.10143079604845218</v>
      </c>
      <c r="E142" s="63">
        <f t="shared" si="43"/>
        <v>0.16674564225412536</v>
      </c>
      <c r="F142" s="64">
        <f t="shared" si="44"/>
        <v>1.2934466734703109E-2</v>
      </c>
      <c r="H142" s="4">
        <v>27</v>
      </c>
      <c r="I142" s="54">
        <f t="shared" si="29"/>
        <v>3638602.1006295285</v>
      </c>
      <c r="J142" s="54">
        <f t="shared" si="30"/>
        <v>224518.4618873396</v>
      </c>
      <c r="K142" s="93">
        <f t="shared" si="31"/>
        <v>3414083.6387421889</v>
      </c>
      <c r="L142" s="74">
        <f t="shared" si="32"/>
        <v>230957155.39805895</v>
      </c>
      <c r="N142" s="4">
        <v>27</v>
      </c>
      <c r="O142" s="54">
        <f t="shared" si="33"/>
        <v>4158313.426173063</v>
      </c>
      <c r="P142" s="74">
        <f t="shared" si="34"/>
        <v>3065720.8335804702</v>
      </c>
      <c r="Q142" s="54">
        <f t="shared" si="35"/>
        <v>1092592.5925925926</v>
      </c>
      <c r="R142" s="74">
        <f t="shared" si="36"/>
        <v>206499999.99999988</v>
      </c>
      <c r="S142" s="77"/>
      <c r="T142" s="4">
        <v>27</v>
      </c>
      <c r="U142" s="15">
        <f t="shared" si="37"/>
        <v>1.4796118483076715E-2</v>
      </c>
      <c r="V142" s="133">
        <f t="shared" si="38"/>
        <v>3638602.1006295285</v>
      </c>
      <c r="W142" s="132">
        <f t="shared" si="39"/>
        <v>351248.77256340859</v>
      </c>
      <c r="X142" s="132">
        <f t="shared" si="40"/>
        <v>3287353.3280661199</v>
      </c>
      <c r="Y142" s="27">
        <f t="shared" si="41"/>
        <v>221825488.44578749</v>
      </c>
    </row>
    <row r="143" spans="1:25" x14ac:dyDescent="0.25">
      <c r="A143" s="59">
        <v>13</v>
      </c>
      <c r="B143" s="59" t="s">
        <v>346</v>
      </c>
      <c r="C143" s="140">
        <v>5.9700000000000003E-2</v>
      </c>
      <c r="D143" s="63">
        <f t="shared" si="42"/>
        <v>0.10143079604845218</v>
      </c>
      <c r="E143" s="63">
        <f t="shared" si="43"/>
        <v>0.1671862145725449</v>
      </c>
      <c r="F143" s="64">
        <f t="shared" si="44"/>
        <v>1.296633555374016E-2</v>
      </c>
      <c r="H143" s="4">
        <v>28</v>
      </c>
      <c r="I143" s="54">
        <f t="shared" si="29"/>
        <v>3638602.1006295285</v>
      </c>
      <c r="J143" s="54">
        <f t="shared" si="30"/>
        <v>227834.14342267392</v>
      </c>
      <c r="K143" s="93">
        <f t="shared" si="31"/>
        <v>3410767.9572068546</v>
      </c>
      <c r="L143" s="74">
        <f t="shared" si="32"/>
        <v>230729321.25463629</v>
      </c>
      <c r="N143" s="4">
        <v>28</v>
      </c>
      <c r="O143" s="54">
        <f t="shared" si="33"/>
        <v>4142178.0533647444</v>
      </c>
      <c r="P143" s="74">
        <f t="shared" si="34"/>
        <v>3049585.4607721516</v>
      </c>
      <c r="Q143" s="54">
        <f t="shared" si="35"/>
        <v>1092592.5925925926</v>
      </c>
      <c r="R143" s="74">
        <f t="shared" si="36"/>
        <v>205407407.40740728</v>
      </c>
      <c r="S143" s="77"/>
      <c r="T143" s="4">
        <v>28</v>
      </c>
      <c r="U143" s="15">
        <f t="shared" si="37"/>
        <v>1.4991143402279583E-2</v>
      </c>
      <c r="V143" s="133">
        <f t="shared" si="38"/>
        <v>3638602.1006295285</v>
      </c>
      <c r="W143" s="132">
        <f t="shared" si="39"/>
        <v>313184.3930580155</v>
      </c>
      <c r="X143" s="132">
        <f t="shared" si="40"/>
        <v>3325417.707571513</v>
      </c>
      <c r="Y143" s="27">
        <f t="shared" si="41"/>
        <v>221512304.05272949</v>
      </c>
    </row>
    <row r="144" spans="1:25" x14ac:dyDescent="0.25">
      <c r="A144" s="59">
        <v>14</v>
      </c>
      <c r="B144" s="59" t="s">
        <v>345</v>
      </c>
      <c r="C144" s="140">
        <v>6.1199999999999997E-2</v>
      </c>
      <c r="D144" s="63">
        <f t="shared" si="42"/>
        <v>0.10143079604845218</v>
      </c>
      <c r="E144" s="63">
        <f t="shared" si="43"/>
        <v>0.16883836076661729</v>
      </c>
      <c r="F144" s="64">
        <f t="shared" si="44"/>
        <v>1.3085745498605306E-2</v>
      </c>
      <c r="H144" s="4">
        <v>29</v>
      </c>
      <c r="I144" s="54">
        <f t="shared" si="29"/>
        <v>3638602.1006295285</v>
      </c>
      <c r="J144" s="54">
        <f t="shared" si="30"/>
        <v>231198.79083792446</v>
      </c>
      <c r="K144" s="93">
        <f t="shared" si="31"/>
        <v>3407403.3097916041</v>
      </c>
      <c r="L144" s="74">
        <f t="shared" si="32"/>
        <v>230498122.46379837</v>
      </c>
      <c r="N144" s="4">
        <v>29</v>
      </c>
      <c r="O144" s="54">
        <f t="shared" si="33"/>
        <v>4126042.6805564258</v>
      </c>
      <c r="P144" s="74">
        <f t="shared" si="34"/>
        <v>3033450.0879638335</v>
      </c>
      <c r="Q144" s="54">
        <f t="shared" si="35"/>
        <v>1092592.5925925926</v>
      </c>
      <c r="R144" s="74">
        <f t="shared" si="36"/>
        <v>204314814.81481469</v>
      </c>
      <c r="S144" s="77"/>
      <c r="T144" s="4">
        <v>29</v>
      </c>
      <c r="U144" s="15">
        <f t="shared" si="37"/>
        <v>1.5263487654975094E-2</v>
      </c>
      <c r="V144" s="133">
        <f t="shared" si="38"/>
        <v>3638602.1006295285</v>
      </c>
      <c r="W144" s="132">
        <f t="shared" si="39"/>
        <v>257551.78229560237</v>
      </c>
      <c r="X144" s="132">
        <f t="shared" si="40"/>
        <v>3381050.3183339261</v>
      </c>
      <c r="Y144" s="27">
        <f t="shared" si="41"/>
        <v>221254752.27043387</v>
      </c>
    </row>
    <row r="145" spans="1:25" x14ac:dyDescent="0.25">
      <c r="A145" s="59">
        <v>15</v>
      </c>
      <c r="B145" s="59" t="s">
        <v>344</v>
      </c>
      <c r="C145" s="140">
        <v>6.5100000000000005E-2</v>
      </c>
      <c r="D145" s="63">
        <f t="shared" si="42"/>
        <v>0.10143079604845218</v>
      </c>
      <c r="E145" s="63">
        <f t="shared" si="43"/>
        <v>0.17313394087120626</v>
      </c>
      <c r="F145" s="64">
        <f t="shared" si="44"/>
        <v>1.3395488777808939E-2</v>
      </c>
      <c r="H145" s="4">
        <v>30</v>
      </c>
      <c r="I145" s="54">
        <f t="shared" si="29"/>
        <v>3638602.1006295285</v>
      </c>
      <c r="J145" s="54">
        <f t="shared" si="30"/>
        <v>234613.12725965539</v>
      </c>
      <c r="K145" s="93">
        <f t="shared" si="31"/>
        <v>3403988.9733698731</v>
      </c>
      <c r="L145" s="74">
        <f t="shared" si="32"/>
        <v>230263509.33653873</v>
      </c>
      <c r="N145" s="4">
        <v>30</v>
      </c>
      <c r="O145" s="54">
        <f t="shared" si="33"/>
        <v>4109907.3077481072</v>
      </c>
      <c r="P145" s="74">
        <f t="shared" si="34"/>
        <v>3017314.7151555149</v>
      </c>
      <c r="Q145" s="54">
        <f t="shared" si="35"/>
        <v>1092592.5925925926</v>
      </c>
      <c r="R145" s="74">
        <f t="shared" si="36"/>
        <v>203222222.22222209</v>
      </c>
      <c r="S145" s="77"/>
      <c r="T145" s="4">
        <v>30</v>
      </c>
      <c r="U145" s="15">
        <f t="shared" si="37"/>
        <v>1.5030098968031425E-2</v>
      </c>
      <c r="V145" s="133">
        <f t="shared" si="38"/>
        <v>3638602.1006295285</v>
      </c>
      <c r="W145" s="132">
        <f t="shared" si="39"/>
        <v>313121.27685763175</v>
      </c>
      <c r="X145" s="132">
        <f t="shared" si="40"/>
        <v>3325480.8237718968</v>
      </c>
      <c r="Y145" s="27">
        <f t="shared" si="41"/>
        <v>220941630.99357623</v>
      </c>
    </row>
    <row r="146" spans="1:25" x14ac:dyDescent="0.25">
      <c r="A146" s="59">
        <v>16</v>
      </c>
      <c r="B146" s="59" t="s">
        <v>343</v>
      </c>
      <c r="C146" s="140">
        <v>6.3700000000000007E-2</v>
      </c>
      <c r="D146" s="63">
        <f t="shared" si="42"/>
        <v>0.10143079604845218</v>
      </c>
      <c r="E146" s="63">
        <f t="shared" si="43"/>
        <v>0.17159193775673875</v>
      </c>
      <c r="F146" s="64">
        <f t="shared" si="44"/>
        <v>1.3284418680545418E-2</v>
      </c>
      <c r="H146" s="4">
        <v>31</v>
      </c>
      <c r="I146" s="54">
        <f t="shared" si="29"/>
        <v>3638602.1006295285</v>
      </c>
      <c r="J146" s="54">
        <f t="shared" si="30"/>
        <v>238077.88649354037</v>
      </c>
      <c r="K146" s="93">
        <f t="shared" si="31"/>
        <v>3400524.2141359881</v>
      </c>
      <c r="L146" s="74">
        <f t="shared" si="32"/>
        <v>230025431.4500452</v>
      </c>
      <c r="N146" s="4">
        <v>31</v>
      </c>
      <c r="O146" s="54">
        <f t="shared" si="33"/>
        <v>4093771.9349397896</v>
      </c>
      <c r="P146" s="74">
        <f t="shared" si="34"/>
        <v>3001179.3423471968</v>
      </c>
      <c r="Q146" s="54">
        <f t="shared" si="35"/>
        <v>1092592.5925925926</v>
      </c>
      <c r="R146" s="74">
        <f t="shared" si="36"/>
        <v>202129629.62962949</v>
      </c>
      <c r="S146" s="77"/>
      <c r="T146" s="4">
        <v>31</v>
      </c>
      <c r="U146" s="15">
        <f t="shared" si="37"/>
        <v>1.5092393686610306E-2</v>
      </c>
      <c r="V146" s="133">
        <f t="shared" si="38"/>
        <v>3638602.1006295285</v>
      </c>
      <c r="W146" s="132">
        <f t="shared" si="39"/>
        <v>304064.02391269477</v>
      </c>
      <c r="X146" s="132">
        <f t="shared" si="40"/>
        <v>3334538.0767168337</v>
      </c>
      <c r="Y146" s="27">
        <f t="shared" si="41"/>
        <v>220637566.96966353</v>
      </c>
    </row>
    <row r="147" spans="1:25" x14ac:dyDescent="0.25">
      <c r="A147" s="59">
        <v>17</v>
      </c>
      <c r="B147" s="59" t="s">
        <v>342</v>
      </c>
      <c r="C147" s="140">
        <v>6.4199999999999993E-2</v>
      </c>
      <c r="D147" s="63">
        <f t="shared" si="42"/>
        <v>0.10143079604845218</v>
      </c>
      <c r="E147" s="63">
        <f t="shared" si="43"/>
        <v>0.17214265315476274</v>
      </c>
      <c r="F147" s="64">
        <f t="shared" si="44"/>
        <v>1.3324101947257194E-2</v>
      </c>
      <c r="H147" s="4">
        <v>32</v>
      </c>
      <c r="I147" s="54">
        <f t="shared" si="29"/>
        <v>3638602.1006295285</v>
      </c>
      <c r="J147" s="54">
        <f t="shared" si="30"/>
        <v>241593.81318207365</v>
      </c>
      <c r="K147" s="93">
        <f t="shared" si="31"/>
        <v>3397008.2874474549</v>
      </c>
      <c r="L147" s="74">
        <f t="shared" si="32"/>
        <v>229783837.63686311</v>
      </c>
      <c r="N147" s="4">
        <v>32</v>
      </c>
      <c r="O147" s="54">
        <f t="shared" si="33"/>
        <v>4077636.562131471</v>
      </c>
      <c r="P147" s="74">
        <f t="shared" si="34"/>
        <v>2985043.9695388782</v>
      </c>
      <c r="Q147" s="54">
        <f t="shared" si="35"/>
        <v>1092592.5925925926</v>
      </c>
      <c r="R147" s="74">
        <f t="shared" si="36"/>
        <v>201037037.0370369</v>
      </c>
      <c r="S147" s="77"/>
      <c r="T147" s="4">
        <v>32</v>
      </c>
      <c r="U147" s="15">
        <f t="shared" si="37"/>
        <v>1.5333389327704783E-2</v>
      </c>
      <c r="V147" s="133">
        <f t="shared" si="38"/>
        <v>3638602.1006295285</v>
      </c>
      <c r="W147" s="132">
        <f t="shared" si="39"/>
        <v>255480.38596614031</v>
      </c>
      <c r="X147" s="132">
        <f t="shared" si="40"/>
        <v>3383121.7146633882</v>
      </c>
      <c r="Y147" s="27">
        <f t="shared" si="41"/>
        <v>220382086.58369738</v>
      </c>
    </row>
    <row r="148" spans="1:25" x14ac:dyDescent="0.25">
      <c r="A148" s="59">
        <v>18</v>
      </c>
      <c r="B148" s="59" t="s">
        <v>341</v>
      </c>
      <c r="C148" s="140">
        <v>6.4199999999999993E-2</v>
      </c>
      <c r="D148" s="63">
        <f t="shared" si="42"/>
        <v>0.10143079604845218</v>
      </c>
      <c r="E148" s="63">
        <f t="shared" si="43"/>
        <v>0.17214265315476274</v>
      </c>
      <c r="F148" s="64">
        <f t="shared" si="44"/>
        <v>1.3324101947257194E-2</v>
      </c>
      <c r="H148" s="4">
        <v>33</v>
      </c>
      <c r="I148" s="54">
        <f t="shared" si="29"/>
        <v>3638602.1006295285</v>
      </c>
      <c r="J148" s="54">
        <f t="shared" si="30"/>
        <v>245161.66296460433</v>
      </c>
      <c r="K148" s="93">
        <f t="shared" si="31"/>
        <v>3393440.4376649242</v>
      </c>
      <c r="L148" s="74">
        <f t="shared" si="32"/>
        <v>229538675.9738985</v>
      </c>
      <c r="N148" s="4">
        <v>33</v>
      </c>
      <c r="O148" s="54">
        <f t="shared" si="33"/>
        <v>4061501.1893231524</v>
      </c>
      <c r="P148" s="74">
        <f t="shared" si="34"/>
        <v>2968908.5967305601</v>
      </c>
      <c r="Q148" s="54">
        <f t="shared" si="35"/>
        <v>1092592.5925925926</v>
      </c>
      <c r="R148" s="74">
        <f t="shared" si="36"/>
        <v>199944444.4444443</v>
      </c>
      <c r="S148" s="77"/>
      <c r="T148" s="4">
        <v>33</v>
      </c>
      <c r="U148" s="15">
        <f t="shared" si="37"/>
        <v>1.5442020153054514E-2</v>
      </c>
      <c r="V148" s="133">
        <f t="shared" ref="V148:V179" si="45">PMT($U$115,$C$127,-$C$123)</f>
        <v>3638602.1006295285</v>
      </c>
      <c r="W148" s="132">
        <f t="shared" ref="W148:W179" si="46">V148-X148</f>
        <v>235457.47823186871</v>
      </c>
      <c r="X148" s="132">
        <f t="shared" ref="X148:X179" si="47">Y147*U148</f>
        <v>3403144.6223976598</v>
      </c>
      <c r="Y148" s="27">
        <f t="shared" ref="Y148:Y179" si="48">Y147-W148</f>
        <v>220146629.1054655</v>
      </c>
    </row>
    <row r="149" spans="1:25" x14ac:dyDescent="0.25">
      <c r="A149" s="59">
        <v>19</v>
      </c>
      <c r="B149" s="59" t="s">
        <v>340</v>
      </c>
      <c r="C149" s="140">
        <v>6.6799999999999998E-2</v>
      </c>
      <c r="D149" s="63">
        <f t="shared" si="42"/>
        <v>0.10143079604845218</v>
      </c>
      <c r="E149" s="63">
        <f t="shared" si="43"/>
        <v>0.17500637322448864</v>
      </c>
      <c r="F149" s="64">
        <f t="shared" si="44"/>
        <v>1.3530179834374989E-2</v>
      </c>
      <c r="H149" s="4">
        <v>34</v>
      </c>
      <c r="I149" s="54">
        <f t="shared" si="29"/>
        <v>3638602.1006295285</v>
      </c>
      <c r="J149" s="54">
        <f t="shared" si="30"/>
        <v>248782.20263974043</v>
      </c>
      <c r="K149" s="93">
        <f t="shared" si="31"/>
        <v>3389819.8979897881</v>
      </c>
      <c r="L149" s="74">
        <f t="shared" si="32"/>
        <v>229289893.77125877</v>
      </c>
      <c r="N149" s="4">
        <v>34</v>
      </c>
      <c r="O149" s="54">
        <f t="shared" si="33"/>
        <v>4045365.8165148338</v>
      </c>
      <c r="P149" s="74">
        <f t="shared" si="34"/>
        <v>2952773.2239222415</v>
      </c>
      <c r="Q149" s="54">
        <f t="shared" si="35"/>
        <v>1092592.5925925926</v>
      </c>
      <c r="R149" s="74">
        <f t="shared" si="36"/>
        <v>198851851.8518517</v>
      </c>
      <c r="S149" s="77"/>
      <c r="T149" s="4">
        <v>34</v>
      </c>
      <c r="U149" s="15">
        <f t="shared" si="37"/>
        <v>1.5581500785152969E-2</v>
      </c>
      <c r="V149" s="133">
        <f t="shared" si="45"/>
        <v>3638602.1006295285</v>
      </c>
      <c r="W149" s="132">
        <f t="shared" si="46"/>
        <v>208387.22637393838</v>
      </c>
      <c r="X149" s="132">
        <f t="shared" si="47"/>
        <v>3430214.8742555901</v>
      </c>
      <c r="Y149" s="27">
        <f t="shared" si="48"/>
        <v>219938241.87909156</v>
      </c>
    </row>
    <row r="150" spans="1:25" x14ac:dyDescent="0.25">
      <c r="A150" s="59">
        <v>20</v>
      </c>
      <c r="B150" s="59" t="s">
        <v>339</v>
      </c>
      <c r="C150" s="140">
        <v>6.7500000000000004E-2</v>
      </c>
      <c r="D150" s="63">
        <f t="shared" si="42"/>
        <v>0.10143079604845218</v>
      </c>
      <c r="E150" s="63">
        <f t="shared" si="43"/>
        <v>0.17577737478172262</v>
      </c>
      <c r="F150" s="64">
        <f t="shared" si="44"/>
        <v>1.3585583678140445E-2</v>
      </c>
      <c r="H150" s="4">
        <v>35</v>
      </c>
      <c r="I150" s="54">
        <f t="shared" si="29"/>
        <v>3638602.1006295285</v>
      </c>
      <c r="J150" s="54">
        <f t="shared" si="30"/>
        <v>252456.21033014683</v>
      </c>
      <c r="K150" s="93">
        <f t="shared" si="31"/>
        <v>3386145.8902993817</v>
      </c>
      <c r="L150" s="74">
        <f t="shared" si="32"/>
        <v>229037437.56092861</v>
      </c>
      <c r="N150" s="4">
        <v>35</v>
      </c>
      <c r="O150" s="54">
        <f t="shared" si="33"/>
        <v>4029230.4437065162</v>
      </c>
      <c r="P150" s="74">
        <f t="shared" si="34"/>
        <v>2936637.8511139234</v>
      </c>
      <c r="Q150" s="54">
        <f t="shared" si="35"/>
        <v>1092592.5925925926</v>
      </c>
      <c r="R150" s="74">
        <f t="shared" si="36"/>
        <v>197759259.2592591</v>
      </c>
      <c r="S150" s="77"/>
      <c r="T150" s="4">
        <v>35</v>
      </c>
      <c r="U150" s="15">
        <f t="shared" si="37"/>
        <v>1.5805777306439062E-2</v>
      </c>
      <c r="V150" s="133">
        <f t="shared" si="45"/>
        <v>3638602.1006295285</v>
      </c>
      <c r="W150" s="132">
        <f t="shared" si="46"/>
        <v>162307.22831887798</v>
      </c>
      <c r="X150" s="132">
        <f t="shared" si="47"/>
        <v>3476294.8723106505</v>
      </c>
      <c r="Y150" s="27">
        <f t="shared" si="48"/>
        <v>219775934.65077269</v>
      </c>
    </row>
    <row r="151" spans="1:25" x14ac:dyDescent="0.25">
      <c r="A151" s="59">
        <v>21</v>
      </c>
      <c r="B151" s="59" t="s">
        <v>338</v>
      </c>
      <c r="C151" s="140">
        <v>6.8099999999999994E-2</v>
      </c>
      <c r="D151" s="63">
        <f t="shared" si="42"/>
        <v>0.10143079604845218</v>
      </c>
      <c r="E151" s="63">
        <f t="shared" si="43"/>
        <v>0.17643823325935193</v>
      </c>
      <c r="F151" s="64">
        <f t="shared" si="44"/>
        <v>1.3633046187103481E-2</v>
      </c>
      <c r="H151" s="4">
        <v>36</v>
      </c>
      <c r="I151" s="54">
        <f t="shared" si="29"/>
        <v>3638602.1006295285</v>
      </c>
      <c r="J151" s="54">
        <f t="shared" si="30"/>
        <v>256184.47564978106</v>
      </c>
      <c r="K151" s="93">
        <f t="shared" si="31"/>
        <v>3382417.6249797475</v>
      </c>
      <c r="L151" s="74">
        <f t="shared" si="32"/>
        <v>228781253.08527884</v>
      </c>
      <c r="N151" s="4">
        <v>36</v>
      </c>
      <c r="O151" s="54">
        <f t="shared" si="33"/>
        <v>4013095.0708981976</v>
      </c>
      <c r="P151" s="74">
        <f t="shared" si="34"/>
        <v>2920502.4783056048</v>
      </c>
      <c r="Q151" s="54">
        <f t="shared" si="35"/>
        <v>1092592.5925925926</v>
      </c>
      <c r="R151" s="74">
        <f t="shared" si="36"/>
        <v>196666666.66666651</v>
      </c>
      <c r="S151" s="77"/>
      <c r="T151" s="4">
        <v>36</v>
      </c>
      <c r="U151" s="15">
        <f t="shared" si="37"/>
        <v>1.596013401400076E-2</v>
      </c>
      <c r="V151" s="133">
        <f t="shared" si="45"/>
        <v>3638602.1006295285</v>
      </c>
      <c r="W151" s="132">
        <f t="shared" si="46"/>
        <v>130948.73055092292</v>
      </c>
      <c r="X151" s="132">
        <f t="shared" si="47"/>
        <v>3507653.3700786056</v>
      </c>
      <c r="Y151" s="27">
        <f t="shared" si="48"/>
        <v>219644985.92022178</v>
      </c>
    </row>
    <row r="152" spans="1:25" x14ac:dyDescent="0.25">
      <c r="A152" s="59">
        <v>22</v>
      </c>
      <c r="B152" s="59" t="s">
        <v>337</v>
      </c>
      <c r="C152" s="140">
        <v>6.8000000000000005E-2</v>
      </c>
      <c r="D152" s="63">
        <f t="shared" si="42"/>
        <v>0.10143079604845218</v>
      </c>
      <c r="E152" s="63">
        <f t="shared" si="43"/>
        <v>0.17632809017974704</v>
      </c>
      <c r="F152" s="64">
        <f t="shared" si="44"/>
        <v>1.3625137466440007E-2</v>
      </c>
      <c r="H152" s="4">
        <v>37</v>
      </c>
      <c r="I152" s="54">
        <f t="shared" si="29"/>
        <v>3638602.1006295285</v>
      </c>
      <c r="J152" s="54">
        <f t="shared" si="30"/>
        <v>259967.7998735928</v>
      </c>
      <c r="K152" s="93">
        <f t="shared" si="31"/>
        <v>3378634.3007559357</v>
      </c>
      <c r="L152" s="74">
        <f t="shared" si="32"/>
        <v>228521285.28540525</v>
      </c>
      <c r="N152" s="4">
        <v>37</v>
      </c>
      <c r="O152" s="54">
        <f t="shared" si="33"/>
        <v>3996959.698089879</v>
      </c>
      <c r="P152" s="74">
        <f t="shared" si="34"/>
        <v>2904367.1054972867</v>
      </c>
      <c r="Q152" s="54">
        <f t="shared" si="35"/>
        <v>1092592.5925925926</v>
      </c>
      <c r="R152" s="74">
        <f t="shared" si="36"/>
        <v>195574074.07407391</v>
      </c>
      <c r="S152" s="77"/>
      <c r="T152" s="4">
        <v>37</v>
      </c>
      <c r="U152" s="15">
        <f t="shared" si="37"/>
        <v>1.5805777306439062E-2</v>
      </c>
      <c r="V152" s="133">
        <f t="shared" si="45"/>
        <v>3638602.1006295285</v>
      </c>
      <c r="W152" s="132">
        <f t="shared" si="46"/>
        <v>166942.36669855984</v>
      </c>
      <c r="X152" s="132">
        <f t="shared" si="47"/>
        <v>3471659.7339309687</v>
      </c>
      <c r="Y152" s="27">
        <f t="shared" si="48"/>
        <v>219478043.55352321</v>
      </c>
    </row>
    <row r="153" spans="1:25" x14ac:dyDescent="0.25">
      <c r="A153" s="59">
        <v>23</v>
      </c>
      <c r="B153" s="59" t="s">
        <v>336</v>
      </c>
      <c r="C153" s="140">
        <v>7.5200000000000003E-2</v>
      </c>
      <c r="D153" s="63">
        <f t="shared" si="42"/>
        <v>0.10143079604845218</v>
      </c>
      <c r="E153" s="63">
        <f t="shared" si="43"/>
        <v>0.18425839191129567</v>
      </c>
      <c r="F153" s="64">
        <f t="shared" si="44"/>
        <v>1.4192837788660873E-2</v>
      </c>
      <c r="H153" s="4">
        <v>38</v>
      </c>
      <c r="I153" s="54">
        <f t="shared" si="29"/>
        <v>3638602.1006295285</v>
      </c>
      <c r="J153" s="54">
        <f t="shared" si="30"/>
        <v>263806.99610973522</v>
      </c>
      <c r="K153" s="93">
        <f t="shared" si="31"/>
        <v>3374795.1045197933</v>
      </c>
      <c r="L153" s="74">
        <f t="shared" si="32"/>
        <v>228257478.28929552</v>
      </c>
      <c r="N153" s="4">
        <v>38</v>
      </c>
      <c r="O153" s="54">
        <f t="shared" si="33"/>
        <v>3980824.3252815604</v>
      </c>
      <c r="P153" s="74">
        <f t="shared" si="34"/>
        <v>2888231.7326889681</v>
      </c>
      <c r="Q153" s="54">
        <f t="shared" si="35"/>
        <v>1092592.5925925926</v>
      </c>
      <c r="R153" s="74">
        <f t="shared" si="36"/>
        <v>194481481.48148131</v>
      </c>
      <c r="S153" s="77"/>
      <c r="T153" s="4">
        <v>38</v>
      </c>
      <c r="U153" s="15">
        <f t="shared" si="37"/>
        <v>1.5929283304340514E-2</v>
      </c>
      <c r="V153" s="133">
        <f t="shared" si="45"/>
        <v>3638602.1006295285</v>
      </c>
      <c r="W153" s="132">
        <f t="shared" si="46"/>
        <v>142474.16578307096</v>
      </c>
      <c r="X153" s="132">
        <f t="shared" si="47"/>
        <v>3496127.9348464576</v>
      </c>
      <c r="Y153" s="27">
        <f t="shared" si="48"/>
        <v>219335569.38774014</v>
      </c>
    </row>
    <row r="154" spans="1:25" x14ac:dyDescent="0.25">
      <c r="A154" s="59">
        <v>24</v>
      </c>
      <c r="B154" s="59" t="s">
        <v>335</v>
      </c>
      <c r="C154" s="140">
        <v>7.4499999999999997E-2</v>
      </c>
      <c r="D154" s="63">
        <f t="shared" si="42"/>
        <v>0.10143079604845218</v>
      </c>
      <c r="E154" s="63">
        <f t="shared" si="43"/>
        <v>0.18348739035406192</v>
      </c>
      <c r="F154" s="64">
        <f t="shared" si="44"/>
        <v>1.4137797880192871E-2</v>
      </c>
      <c r="H154" s="4">
        <v>39</v>
      </c>
      <c r="I154" s="54">
        <f t="shared" si="29"/>
        <v>3638602.1006295285</v>
      </c>
      <c r="J154" s="54">
        <f t="shared" si="30"/>
        <v>267702.88947431743</v>
      </c>
      <c r="K154" s="93">
        <f t="shared" si="31"/>
        <v>3370899.2111552111</v>
      </c>
      <c r="L154" s="74">
        <f t="shared" si="32"/>
        <v>227989775.39982122</v>
      </c>
      <c r="N154" s="4">
        <v>39</v>
      </c>
      <c r="O154" s="54">
        <f t="shared" si="33"/>
        <v>3964688.9524732428</v>
      </c>
      <c r="P154" s="74">
        <f t="shared" si="34"/>
        <v>2872096.35988065</v>
      </c>
      <c r="Q154" s="54">
        <f t="shared" si="35"/>
        <v>1092592.5925925926</v>
      </c>
      <c r="R154" s="74">
        <f t="shared" si="36"/>
        <v>193388888.88888872</v>
      </c>
      <c r="S154" s="77"/>
      <c r="T154" s="4">
        <v>39</v>
      </c>
      <c r="U154" s="15">
        <f t="shared" si="37"/>
        <v>1.5821224592079908E-2</v>
      </c>
      <c r="V154" s="133">
        <f t="shared" si="45"/>
        <v>3638602.1006295285</v>
      </c>
      <c r="W154" s="132">
        <f t="shared" si="46"/>
        <v>168444.79631436523</v>
      </c>
      <c r="X154" s="132">
        <f t="shared" si="47"/>
        <v>3470157.3043151633</v>
      </c>
      <c r="Y154" s="27">
        <f t="shared" si="48"/>
        <v>219167124.59142578</v>
      </c>
    </row>
    <row r="155" spans="1:25" x14ac:dyDescent="0.25">
      <c r="A155" s="59">
        <v>25</v>
      </c>
      <c r="B155" s="59" t="s">
        <v>334</v>
      </c>
      <c r="C155" s="140">
        <v>7.6100000000000001E-2</v>
      </c>
      <c r="D155" s="63">
        <f t="shared" si="42"/>
        <v>0.10143079604845218</v>
      </c>
      <c r="E155" s="63">
        <f t="shared" si="43"/>
        <v>0.18524967962773942</v>
      </c>
      <c r="F155" s="64">
        <f t="shared" si="44"/>
        <v>1.4263555140161532E-2</v>
      </c>
      <c r="H155" s="4">
        <v>40</v>
      </c>
      <c r="I155" s="54">
        <f t="shared" si="29"/>
        <v>3638602.1006295285</v>
      </c>
      <c r="J155" s="54">
        <f t="shared" si="30"/>
        <v>271656.31726873619</v>
      </c>
      <c r="K155" s="93">
        <f t="shared" si="31"/>
        <v>3366945.7833607923</v>
      </c>
      <c r="L155" s="74">
        <f t="shared" si="32"/>
        <v>227718119.08255249</v>
      </c>
      <c r="N155" s="4">
        <v>40</v>
      </c>
      <c r="O155" s="54">
        <f t="shared" si="33"/>
        <v>3948553.5796649242</v>
      </c>
      <c r="P155" s="74">
        <f t="shared" si="34"/>
        <v>2855960.9870723318</v>
      </c>
      <c r="Q155" s="54">
        <f t="shared" si="35"/>
        <v>1092592.5925925926</v>
      </c>
      <c r="R155" s="74">
        <f t="shared" si="36"/>
        <v>192296296.29629612</v>
      </c>
      <c r="S155" s="77"/>
      <c r="T155" s="4">
        <v>40</v>
      </c>
      <c r="U155" s="15">
        <f t="shared" si="37"/>
        <v>1.6091134690570552E-2</v>
      </c>
      <c r="V155" s="133">
        <f t="shared" si="45"/>
        <v>3638602.1006295285</v>
      </c>
      <c r="W155" s="132">
        <f t="shared" si="46"/>
        <v>111954.37908383878</v>
      </c>
      <c r="X155" s="132">
        <f t="shared" si="47"/>
        <v>3526647.7215456897</v>
      </c>
      <c r="Y155" s="27">
        <f t="shared" si="48"/>
        <v>219055170.21234193</v>
      </c>
    </row>
    <row r="156" spans="1:25" x14ac:dyDescent="0.25">
      <c r="A156" s="59">
        <v>26</v>
      </c>
      <c r="B156" s="59" t="s">
        <v>333</v>
      </c>
      <c r="C156" s="140">
        <v>8.0199999999999994E-2</v>
      </c>
      <c r="D156" s="63">
        <f t="shared" si="42"/>
        <v>0.10143079604845218</v>
      </c>
      <c r="E156" s="63">
        <f t="shared" si="43"/>
        <v>0.18976554589153816</v>
      </c>
      <c r="F156" s="64">
        <f t="shared" si="44"/>
        <v>1.4585027459394384E-2</v>
      </c>
      <c r="H156" s="4">
        <v>41</v>
      </c>
      <c r="I156" s="54">
        <f t="shared" si="29"/>
        <v>3638602.1006295285</v>
      </c>
      <c r="J156" s="54">
        <f t="shared" si="30"/>
        <v>275668.12915963028</v>
      </c>
      <c r="K156" s="93">
        <f t="shared" si="31"/>
        <v>3362933.9714698982</v>
      </c>
      <c r="L156" s="74">
        <f t="shared" si="32"/>
        <v>227442450.95339286</v>
      </c>
      <c r="N156" s="4">
        <v>41</v>
      </c>
      <c r="O156" s="54">
        <f t="shared" si="33"/>
        <v>3932418.2068566056</v>
      </c>
      <c r="P156" s="74">
        <f t="shared" si="34"/>
        <v>2839825.6142640132</v>
      </c>
      <c r="Q156" s="54">
        <f t="shared" si="35"/>
        <v>1092592.5925925926</v>
      </c>
      <c r="R156" s="74">
        <f t="shared" si="36"/>
        <v>191203703.70370352</v>
      </c>
      <c r="S156" s="77"/>
      <c r="T156" s="4">
        <v>41</v>
      </c>
      <c r="U156" s="15">
        <f t="shared" si="37"/>
        <v>1.6060327712754452E-2</v>
      </c>
      <c r="V156" s="133">
        <f t="shared" si="45"/>
        <v>3638602.1006295285</v>
      </c>
      <c r="W156" s="132">
        <f t="shared" si="46"/>
        <v>120504.27984610992</v>
      </c>
      <c r="X156" s="132">
        <f t="shared" si="47"/>
        <v>3518097.8207834186</v>
      </c>
      <c r="Y156" s="27">
        <f t="shared" si="48"/>
        <v>218934665.93249583</v>
      </c>
    </row>
    <row r="157" spans="1:25" x14ac:dyDescent="0.25">
      <c r="A157" s="59">
        <v>27</v>
      </c>
      <c r="B157" s="59" t="s">
        <v>332</v>
      </c>
      <c r="C157" s="140">
        <v>8.2900000000000001E-2</v>
      </c>
      <c r="D157" s="63">
        <f t="shared" si="42"/>
        <v>0.10143079604845218</v>
      </c>
      <c r="E157" s="63">
        <f t="shared" si="43"/>
        <v>0.19273940904086873</v>
      </c>
      <c r="F157" s="64">
        <f t="shared" si="44"/>
        <v>1.4796118483076715E-2</v>
      </c>
      <c r="H157" s="4">
        <v>42</v>
      </c>
      <c r="I157" s="54">
        <f t="shared" si="29"/>
        <v>3638602.1006295285</v>
      </c>
      <c r="J157" s="54">
        <f t="shared" si="30"/>
        <v>279739.18736148765</v>
      </c>
      <c r="K157" s="93">
        <f t="shared" si="31"/>
        <v>3358862.9132680409</v>
      </c>
      <c r="L157" s="74">
        <f t="shared" si="32"/>
        <v>227162711.76603138</v>
      </c>
      <c r="N157" s="4">
        <v>42</v>
      </c>
      <c r="O157" s="54">
        <f t="shared" si="33"/>
        <v>3916282.8340482879</v>
      </c>
      <c r="P157" s="74">
        <f t="shared" si="34"/>
        <v>2823690.2414556951</v>
      </c>
      <c r="Q157" s="54">
        <f t="shared" si="35"/>
        <v>1092592.5925925926</v>
      </c>
      <c r="R157" s="74">
        <f t="shared" si="36"/>
        <v>190111111.11111093</v>
      </c>
      <c r="S157" s="77"/>
      <c r="T157" s="4">
        <v>42</v>
      </c>
      <c r="U157" s="15">
        <f t="shared" si="37"/>
        <v>1.6137325901377064E-2</v>
      </c>
      <c r="V157" s="133">
        <f t="shared" si="45"/>
        <v>3638602.1006295285</v>
      </c>
      <c r="W157" s="132">
        <f t="shared" si="46"/>
        <v>105582.04536772892</v>
      </c>
      <c r="X157" s="132">
        <f t="shared" si="47"/>
        <v>3533020.0552617996</v>
      </c>
      <c r="Y157" s="27">
        <f t="shared" si="48"/>
        <v>218829083.88712811</v>
      </c>
    </row>
    <row r="158" spans="1:25" x14ac:dyDescent="0.25">
      <c r="A158" s="59">
        <v>28</v>
      </c>
      <c r="B158" s="59" t="s">
        <v>331</v>
      </c>
      <c r="C158" s="140">
        <v>8.5400000000000004E-2</v>
      </c>
      <c r="D158" s="63">
        <f t="shared" si="42"/>
        <v>0.10143079604845218</v>
      </c>
      <c r="E158" s="63">
        <f t="shared" si="43"/>
        <v>0.19549298603098997</v>
      </c>
      <c r="F158" s="64">
        <f t="shared" si="44"/>
        <v>1.4991143402279583E-2</v>
      </c>
      <c r="H158" s="4">
        <v>43</v>
      </c>
      <c r="I158" s="54">
        <f t="shared" si="29"/>
        <v>3638602.1006295285</v>
      </c>
      <c r="J158" s="54">
        <f t="shared" si="30"/>
        <v>283870.36682195123</v>
      </c>
      <c r="K158" s="93">
        <f t="shared" si="31"/>
        <v>3354731.7338075773</v>
      </c>
      <c r="L158" s="74">
        <f t="shared" si="32"/>
        <v>226878841.39920944</v>
      </c>
      <c r="N158" s="4">
        <v>43</v>
      </c>
      <c r="O158" s="54">
        <f t="shared" si="33"/>
        <v>3900147.4612399694</v>
      </c>
      <c r="P158" s="74">
        <f t="shared" si="34"/>
        <v>2807554.8686473765</v>
      </c>
      <c r="Q158" s="54">
        <f t="shared" si="35"/>
        <v>1092592.5925925926</v>
      </c>
      <c r="R158" s="74">
        <f t="shared" si="36"/>
        <v>189018518.51851833</v>
      </c>
      <c r="S158" s="77"/>
      <c r="T158" s="4">
        <v>43</v>
      </c>
      <c r="U158" s="15">
        <f t="shared" si="37"/>
        <v>1.6221949846720207E-2</v>
      </c>
      <c r="V158" s="133">
        <f t="shared" si="45"/>
        <v>3638602.1006295285</v>
      </c>
      <c r="W158" s="132">
        <f t="shared" si="46"/>
        <v>88767.676808807068</v>
      </c>
      <c r="X158" s="132">
        <f t="shared" si="47"/>
        <v>3549834.4238207215</v>
      </c>
      <c r="Y158" s="27">
        <f t="shared" si="48"/>
        <v>218740316.21031931</v>
      </c>
    </row>
    <row r="159" spans="1:25" x14ac:dyDescent="0.25">
      <c r="A159" s="59">
        <v>29</v>
      </c>
      <c r="B159" s="59" t="s">
        <v>330</v>
      </c>
      <c r="C159" s="140">
        <v>8.8900000000000007E-2</v>
      </c>
      <c r="D159" s="63">
        <f t="shared" si="42"/>
        <v>0.10143079604845218</v>
      </c>
      <c r="E159" s="63">
        <f t="shared" si="43"/>
        <v>0.19934799381715962</v>
      </c>
      <c r="F159" s="64">
        <f t="shared" si="44"/>
        <v>1.5263487654975094E-2</v>
      </c>
      <c r="H159" s="4">
        <v>44</v>
      </c>
      <c r="I159" s="54">
        <f t="shared" si="29"/>
        <v>3638602.1006295285</v>
      </c>
      <c r="J159" s="54">
        <f t="shared" si="30"/>
        <v>288062.55540986545</v>
      </c>
      <c r="K159" s="93">
        <f t="shared" si="31"/>
        <v>3350539.5452196631</v>
      </c>
      <c r="L159" s="74">
        <f t="shared" si="32"/>
        <v>226590778.84379956</v>
      </c>
      <c r="N159" s="4">
        <v>44</v>
      </c>
      <c r="O159" s="54">
        <f t="shared" si="33"/>
        <v>3884012.0884316508</v>
      </c>
      <c r="P159" s="74">
        <f t="shared" si="34"/>
        <v>2791419.4958390584</v>
      </c>
      <c r="Q159" s="54">
        <f t="shared" si="35"/>
        <v>1092592.5925925926</v>
      </c>
      <c r="R159" s="74">
        <f t="shared" si="36"/>
        <v>187925925.92592573</v>
      </c>
      <c r="S159" s="77"/>
      <c r="T159" s="4">
        <v>44</v>
      </c>
      <c r="U159" s="15">
        <f t="shared" si="37"/>
        <v>1.6214259963212019E-2</v>
      </c>
      <c r="V159" s="133">
        <f t="shared" si="45"/>
        <v>3638602.1006295285</v>
      </c>
      <c r="W159" s="132">
        <f t="shared" si="46"/>
        <v>91889.749160211068</v>
      </c>
      <c r="X159" s="132">
        <f t="shared" si="47"/>
        <v>3546712.3514693175</v>
      </c>
      <c r="Y159" s="27">
        <f t="shared" si="48"/>
        <v>218648426.46115911</v>
      </c>
    </row>
    <row r="160" spans="1:25" x14ac:dyDescent="0.25">
      <c r="A160" s="59">
        <v>30</v>
      </c>
      <c r="B160" s="59" t="s">
        <v>329</v>
      </c>
      <c r="C160" s="140">
        <v>8.5900000000000004E-2</v>
      </c>
      <c r="D160" s="63">
        <f t="shared" si="42"/>
        <v>0.10143079604845218</v>
      </c>
      <c r="E160" s="63">
        <f t="shared" si="43"/>
        <v>0.19604370142901439</v>
      </c>
      <c r="F160" s="64">
        <f t="shared" si="44"/>
        <v>1.5030098968031425E-2</v>
      </c>
      <c r="H160" s="4">
        <v>45</v>
      </c>
      <c r="I160" s="54">
        <f t="shared" si="29"/>
        <v>3638602.1006295285</v>
      </c>
      <c r="J160" s="54">
        <f t="shared" si="30"/>
        <v>292316.65410609217</v>
      </c>
      <c r="K160" s="93">
        <f t="shared" si="31"/>
        <v>3346285.4465234363</v>
      </c>
      <c r="L160" s="74">
        <f t="shared" si="32"/>
        <v>226298462.18969348</v>
      </c>
      <c r="N160" s="4">
        <v>45</v>
      </c>
      <c r="O160" s="54">
        <f t="shared" si="33"/>
        <v>3867876.7156233322</v>
      </c>
      <c r="P160" s="74">
        <f t="shared" si="34"/>
        <v>2775284.1230307398</v>
      </c>
      <c r="Q160" s="54">
        <f t="shared" si="35"/>
        <v>1092592.5925925926</v>
      </c>
      <c r="R160" s="74">
        <f t="shared" si="36"/>
        <v>186833333.33333313</v>
      </c>
      <c r="S160" s="77"/>
      <c r="T160" s="4">
        <v>45</v>
      </c>
      <c r="U160" s="15">
        <f t="shared" si="37"/>
        <v>1.5882987908754087E-2</v>
      </c>
      <c r="V160" s="133">
        <f t="shared" si="45"/>
        <v>3638602.1006295285</v>
      </c>
      <c r="W160" s="132">
        <f t="shared" si="46"/>
        <v>165811.78687883122</v>
      </c>
      <c r="X160" s="132">
        <f t="shared" si="47"/>
        <v>3472790.3137506973</v>
      </c>
      <c r="Y160" s="27">
        <f t="shared" si="48"/>
        <v>218482614.67428029</v>
      </c>
    </row>
    <row r="161" spans="1:25" x14ac:dyDescent="0.25">
      <c r="A161" s="59">
        <v>31</v>
      </c>
      <c r="B161" s="59" t="s">
        <v>328</v>
      </c>
      <c r="C161" s="140">
        <v>8.6699999999999999E-2</v>
      </c>
      <c r="D161" s="63">
        <f t="shared" si="42"/>
        <v>0.10143079604845218</v>
      </c>
      <c r="E161" s="63">
        <f t="shared" si="43"/>
        <v>0.19692484606585303</v>
      </c>
      <c r="F161" s="64">
        <f t="shared" si="44"/>
        <v>1.5092393686610306E-2</v>
      </c>
      <c r="H161" s="4">
        <v>46</v>
      </c>
      <c r="I161" s="54">
        <f t="shared" si="29"/>
        <v>3638602.1006295285</v>
      </c>
      <c r="J161" s="54">
        <f t="shared" si="30"/>
        <v>296633.57719715033</v>
      </c>
      <c r="K161" s="93">
        <f t="shared" si="31"/>
        <v>3341968.5234323782</v>
      </c>
      <c r="L161" s="74">
        <f t="shared" si="32"/>
        <v>226001828.61249632</v>
      </c>
      <c r="N161" s="4">
        <v>46</v>
      </c>
      <c r="O161" s="54">
        <f t="shared" si="33"/>
        <v>3851741.3428150145</v>
      </c>
      <c r="P161" s="74">
        <f t="shared" si="34"/>
        <v>2759148.7502224217</v>
      </c>
      <c r="Q161" s="54">
        <f t="shared" si="35"/>
        <v>1092592.5925925926</v>
      </c>
      <c r="R161" s="74">
        <f t="shared" si="36"/>
        <v>185740740.74074054</v>
      </c>
      <c r="S161" s="77"/>
      <c r="T161" s="4">
        <v>46</v>
      </c>
      <c r="U161" s="15">
        <f t="shared" si="37"/>
        <v>1.5333389327704783E-2</v>
      </c>
      <c r="V161" s="133">
        <f t="shared" si="45"/>
        <v>3638602.1006295285</v>
      </c>
      <c r="W161" s="132">
        <f t="shared" si="46"/>
        <v>288523.1084938827</v>
      </c>
      <c r="X161" s="132">
        <f t="shared" si="47"/>
        <v>3350078.9921356458</v>
      </c>
      <c r="Y161" s="27">
        <f t="shared" si="48"/>
        <v>218194091.56578639</v>
      </c>
    </row>
    <row r="162" spans="1:25" x14ac:dyDescent="0.25">
      <c r="A162" s="59">
        <v>32</v>
      </c>
      <c r="B162" s="59" t="s">
        <v>327</v>
      </c>
      <c r="C162" s="140">
        <v>8.9800000000000005E-2</v>
      </c>
      <c r="D162" s="63">
        <f t="shared" si="42"/>
        <v>0.10143079604845218</v>
      </c>
      <c r="E162" s="63">
        <f t="shared" si="43"/>
        <v>0.20033928153360336</v>
      </c>
      <c r="F162" s="64">
        <f t="shared" si="44"/>
        <v>1.5333389327704783E-2</v>
      </c>
      <c r="H162" s="4">
        <v>47</v>
      </c>
      <c r="I162" s="54">
        <f t="shared" si="29"/>
        <v>3638602.1006295285</v>
      </c>
      <c r="J162" s="54">
        <f t="shared" si="30"/>
        <v>301014.25247171335</v>
      </c>
      <c r="K162" s="93">
        <f t="shared" si="31"/>
        <v>3337587.8481578152</v>
      </c>
      <c r="L162" s="74">
        <f t="shared" si="32"/>
        <v>225700814.3600246</v>
      </c>
      <c r="N162" s="4">
        <v>47</v>
      </c>
      <c r="O162" s="54">
        <f t="shared" si="33"/>
        <v>3835605.9700066959</v>
      </c>
      <c r="P162" s="74">
        <f t="shared" si="34"/>
        <v>2743013.3774141031</v>
      </c>
      <c r="Q162" s="54">
        <f t="shared" si="35"/>
        <v>1092592.5925925926</v>
      </c>
      <c r="R162" s="74">
        <f t="shared" si="36"/>
        <v>184648148.14814794</v>
      </c>
      <c r="S162" s="77"/>
      <c r="T162" s="4">
        <v>47</v>
      </c>
      <c r="U162" s="15">
        <f t="shared" si="37"/>
        <v>1.4702359881726412E-2</v>
      </c>
      <c r="V162" s="133">
        <f t="shared" si="45"/>
        <v>3638602.1006295285</v>
      </c>
      <c r="W162" s="132">
        <f t="shared" si="46"/>
        <v>430634.04236297123</v>
      </c>
      <c r="X162" s="132">
        <f t="shared" si="47"/>
        <v>3207968.0582665573</v>
      </c>
      <c r="Y162" s="27">
        <f t="shared" si="48"/>
        <v>217763457.52342343</v>
      </c>
    </row>
    <row r="163" spans="1:25" x14ac:dyDescent="0.25">
      <c r="A163" s="59">
        <v>33</v>
      </c>
      <c r="B163" s="59" t="s">
        <v>326</v>
      </c>
      <c r="C163" s="140">
        <v>9.1200000000000003E-2</v>
      </c>
      <c r="D163" s="63">
        <f t="shared" si="42"/>
        <v>0.10143079604845218</v>
      </c>
      <c r="E163" s="63">
        <f t="shared" si="43"/>
        <v>0.20188128464807087</v>
      </c>
      <c r="F163" s="64">
        <f t="shared" si="44"/>
        <v>1.5442020153054514E-2</v>
      </c>
      <c r="H163" s="4">
        <v>48</v>
      </c>
      <c r="I163" s="54">
        <f t="shared" si="29"/>
        <v>3638602.1006295285</v>
      </c>
      <c r="J163" s="54">
        <f t="shared" si="30"/>
        <v>305459.6214200086</v>
      </c>
      <c r="K163" s="93">
        <f t="shared" si="31"/>
        <v>3333142.4792095199</v>
      </c>
      <c r="L163" s="74">
        <f t="shared" si="32"/>
        <v>225395354.73860461</v>
      </c>
      <c r="N163" s="4">
        <v>48</v>
      </c>
      <c r="O163" s="54">
        <f t="shared" si="33"/>
        <v>3819470.5971983774</v>
      </c>
      <c r="P163" s="74">
        <f t="shared" si="34"/>
        <v>2726878.004605785</v>
      </c>
      <c r="Q163" s="54">
        <f t="shared" si="35"/>
        <v>1092592.5925925926</v>
      </c>
      <c r="R163" s="74">
        <f t="shared" si="36"/>
        <v>183555555.55555534</v>
      </c>
      <c r="S163" s="77"/>
      <c r="T163" s="4">
        <v>48</v>
      </c>
      <c r="U163" s="15">
        <f t="shared" si="37"/>
        <v>1.3877880488099459E-2</v>
      </c>
      <c r="V163" s="133">
        <f t="shared" si="45"/>
        <v>3638602.1006295285</v>
      </c>
      <c r="W163" s="132">
        <f t="shared" si="46"/>
        <v>616506.86244413536</v>
      </c>
      <c r="X163" s="132">
        <f t="shared" si="47"/>
        <v>3022095.2381853932</v>
      </c>
      <c r="Y163" s="27">
        <f t="shared" si="48"/>
        <v>217146950.6609793</v>
      </c>
    </row>
    <row r="164" spans="1:25" x14ac:dyDescent="0.25">
      <c r="A164" s="59">
        <v>34</v>
      </c>
      <c r="B164" s="59" t="s">
        <v>325</v>
      </c>
      <c r="C164" s="140">
        <v>9.2999999999999999E-2</v>
      </c>
      <c r="D164" s="63">
        <f t="shared" si="42"/>
        <v>0.10143079604845218</v>
      </c>
      <c r="E164" s="63">
        <f t="shared" si="43"/>
        <v>0.20386386008095814</v>
      </c>
      <c r="F164" s="64">
        <f t="shared" si="44"/>
        <v>1.5581500785152969E-2</v>
      </c>
      <c r="H164" s="4">
        <v>49</v>
      </c>
      <c r="I164" s="54">
        <f t="shared" si="29"/>
        <v>3638602.1006295285</v>
      </c>
      <c r="J164" s="54">
        <f t="shared" si="30"/>
        <v>309970.63943616068</v>
      </c>
      <c r="K164" s="93">
        <f t="shared" si="31"/>
        <v>3328631.4611933678</v>
      </c>
      <c r="L164" s="74">
        <f t="shared" si="32"/>
        <v>225085384.09916845</v>
      </c>
      <c r="N164" s="4">
        <v>49</v>
      </c>
      <c r="O164" s="54">
        <f t="shared" si="33"/>
        <v>3803335.2243900588</v>
      </c>
      <c r="P164" s="74">
        <f t="shared" si="34"/>
        <v>2710742.6317974664</v>
      </c>
      <c r="Q164" s="54">
        <f t="shared" si="35"/>
        <v>1092592.5925925926</v>
      </c>
      <c r="R164" s="74">
        <f t="shared" si="36"/>
        <v>182462962.96296275</v>
      </c>
      <c r="S164" s="77"/>
      <c r="T164" s="4">
        <v>49</v>
      </c>
      <c r="U164" s="15">
        <f t="shared" si="37"/>
        <v>1.3149367553625169E-2</v>
      </c>
      <c r="V164" s="133">
        <f t="shared" si="45"/>
        <v>3638602.1006295285</v>
      </c>
      <c r="W164" s="132">
        <f t="shared" si="46"/>
        <v>783257.03323940188</v>
      </c>
      <c r="X164" s="132">
        <f t="shared" si="47"/>
        <v>2855345.0673901266</v>
      </c>
      <c r="Y164" s="27">
        <f t="shared" si="48"/>
        <v>216363693.62773991</v>
      </c>
    </row>
    <row r="165" spans="1:25" x14ac:dyDescent="0.25">
      <c r="A165" s="59">
        <v>35</v>
      </c>
      <c r="B165" s="59" t="s">
        <v>324</v>
      </c>
      <c r="C165" s="140">
        <v>9.5899999999999999E-2</v>
      </c>
      <c r="D165" s="63">
        <f t="shared" si="42"/>
        <v>0.10143079604845218</v>
      </c>
      <c r="E165" s="63">
        <f t="shared" si="43"/>
        <v>0.20705800938949892</v>
      </c>
      <c r="F165" s="64">
        <f t="shared" si="44"/>
        <v>1.5805777306439062E-2</v>
      </c>
      <c r="H165" s="4">
        <v>50</v>
      </c>
      <c r="I165" s="54">
        <f t="shared" si="29"/>
        <v>3638602.1006295285</v>
      </c>
      <c r="J165" s="54">
        <f t="shared" si="30"/>
        <v>314548.27602352481</v>
      </c>
      <c r="K165" s="93">
        <f t="shared" si="31"/>
        <v>3324053.8246060037</v>
      </c>
      <c r="L165" s="74">
        <f t="shared" si="32"/>
        <v>224770835.82314491</v>
      </c>
      <c r="N165" s="4">
        <v>50</v>
      </c>
      <c r="O165" s="54">
        <f t="shared" si="33"/>
        <v>3787199.8515817411</v>
      </c>
      <c r="P165" s="74">
        <f t="shared" si="34"/>
        <v>2694607.2589891483</v>
      </c>
      <c r="Q165" s="54">
        <f t="shared" si="35"/>
        <v>1092592.5925925926</v>
      </c>
      <c r="R165" s="74">
        <f t="shared" si="36"/>
        <v>181370370.37037015</v>
      </c>
      <c r="S165" s="77"/>
      <c r="T165" s="4">
        <v>50</v>
      </c>
      <c r="U165" s="15">
        <f t="shared" si="37"/>
        <v>1.260717379462073E-2</v>
      </c>
      <c r="V165" s="133">
        <f t="shared" si="45"/>
        <v>3638602.1006295285</v>
      </c>
      <c r="W165" s="132">
        <f t="shared" si="46"/>
        <v>910867.41221853765</v>
      </c>
      <c r="X165" s="132">
        <f t="shared" si="47"/>
        <v>2727734.6884109909</v>
      </c>
      <c r="Y165" s="27">
        <f t="shared" si="48"/>
        <v>215452826.21552137</v>
      </c>
    </row>
    <row r="166" spans="1:25" x14ac:dyDescent="0.25">
      <c r="A166" s="59">
        <v>36</v>
      </c>
      <c r="B166" s="59" t="s">
        <v>323</v>
      </c>
      <c r="C166" s="140">
        <v>9.7900000000000001E-2</v>
      </c>
      <c r="D166" s="63">
        <f t="shared" si="42"/>
        <v>0.10143079604845218</v>
      </c>
      <c r="E166" s="63">
        <f t="shared" si="43"/>
        <v>0.20926087098159574</v>
      </c>
      <c r="F166" s="64">
        <f t="shared" si="44"/>
        <v>1.596013401400076E-2</v>
      </c>
      <c r="H166" s="4">
        <v>51</v>
      </c>
      <c r="I166" s="54">
        <f t="shared" si="29"/>
        <v>3638602.1006295285</v>
      </c>
      <c r="J166" s="54">
        <f t="shared" si="30"/>
        <v>319193.51500305207</v>
      </c>
      <c r="K166" s="93">
        <f t="shared" si="31"/>
        <v>3319408.5856264764</v>
      </c>
      <c r="L166" s="74">
        <f t="shared" si="32"/>
        <v>224451642.30814186</v>
      </c>
      <c r="N166" s="4">
        <v>51</v>
      </c>
      <c r="O166" s="54">
        <f t="shared" si="33"/>
        <v>3771064.4787734225</v>
      </c>
      <c r="P166" s="74">
        <f t="shared" si="34"/>
        <v>2678471.8861808297</v>
      </c>
      <c r="Q166" s="54">
        <f t="shared" si="35"/>
        <v>1092592.5925925926</v>
      </c>
      <c r="R166" s="74">
        <f t="shared" si="36"/>
        <v>180277777.77777755</v>
      </c>
      <c r="S166" s="77"/>
      <c r="T166" s="4">
        <v>51</v>
      </c>
      <c r="U166" s="15">
        <f t="shared" si="37"/>
        <v>1.2310809647347876E-2</v>
      </c>
      <c r="V166" s="133">
        <f t="shared" si="45"/>
        <v>3638602.1006295285</v>
      </c>
      <c r="W166" s="132">
        <f t="shared" si="46"/>
        <v>986203.369107123</v>
      </c>
      <c r="X166" s="132">
        <f t="shared" si="47"/>
        <v>2652398.7315224055</v>
      </c>
      <c r="Y166" s="27">
        <f t="shared" si="48"/>
        <v>214466622.84641424</v>
      </c>
    </row>
    <row r="167" spans="1:25" x14ac:dyDescent="0.25">
      <c r="A167" s="59">
        <v>37</v>
      </c>
      <c r="B167" s="59" t="s">
        <v>322</v>
      </c>
      <c r="C167" s="140">
        <v>9.5899999999999999E-2</v>
      </c>
      <c r="D167" s="63">
        <f t="shared" si="42"/>
        <v>0.10143079604845218</v>
      </c>
      <c r="E167" s="63">
        <f t="shared" si="43"/>
        <v>0.20705800938949892</v>
      </c>
      <c r="F167" s="64">
        <f t="shared" si="44"/>
        <v>1.5805777306439062E-2</v>
      </c>
      <c r="H167" s="4">
        <v>52</v>
      </c>
      <c r="I167" s="54">
        <f t="shared" si="29"/>
        <v>3638602.1006295285</v>
      </c>
      <c r="J167" s="54">
        <f t="shared" si="30"/>
        <v>323907.35472472757</v>
      </c>
      <c r="K167" s="93">
        <f t="shared" si="31"/>
        <v>3314694.7459048009</v>
      </c>
      <c r="L167" s="74">
        <f t="shared" si="32"/>
        <v>224127734.95341712</v>
      </c>
      <c r="N167" s="4">
        <v>52</v>
      </c>
      <c r="O167" s="54">
        <f t="shared" si="33"/>
        <v>3754929.105965104</v>
      </c>
      <c r="P167" s="74">
        <f t="shared" si="34"/>
        <v>2662336.5133725116</v>
      </c>
      <c r="Q167" s="54">
        <f t="shared" si="35"/>
        <v>1092592.5925925926</v>
      </c>
      <c r="R167" s="74">
        <f t="shared" si="36"/>
        <v>179185185.18518496</v>
      </c>
      <c r="S167" s="77"/>
      <c r="T167" s="4">
        <v>52</v>
      </c>
      <c r="U167" s="15">
        <f t="shared" si="37"/>
        <v>1.225463324285303E-2</v>
      </c>
      <c r="V167" s="133">
        <f t="shared" si="45"/>
        <v>3638602.1006295285</v>
      </c>
      <c r="W167" s="132">
        <f t="shared" si="46"/>
        <v>1010392.2948134374</v>
      </c>
      <c r="X167" s="132">
        <f t="shared" si="47"/>
        <v>2628209.8058160911</v>
      </c>
      <c r="Y167" s="27">
        <f t="shared" si="48"/>
        <v>213456230.55160081</v>
      </c>
    </row>
    <row r="168" spans="1:25" x14ac:dyDescent="0.25">
      <c r="A168" s="59">
        <v>38</v>
      </c>
      <c r="B168" s="59" t="s">
        <v>321</v>
      </c>
      <c r="C168" s="140">
        <v>9.7500000000000003E-2</v>
      </c>
      <c r="D168" s="63">
        <f t="shared" si="42"/>
        <v>0.10143079604845218</v>
      </c>
      <c r="E168" s="63">
        <f t="shared" si="43"/>
        <v>0.2088202986631762</v>
      </c>
      <c r="F168" s="64">
        <f t="shared" si="44"/>
        <v>1.5929283304340514E-2</v>
      </c>
      <c r="H168" s="4">
        <v>53</v>
      </c>
      <c r="I168" s="54">
        <f t="shared" si="29"/>
        <v>3638602.1006295285</v>
      </c>
      <c r="J168" s="54">
        <f t="shared" si="30"/>
        <v>328690.80828214064</v>
      </c>
      <c r="K168" s="93">
        <f t="shared" si="31"/>
        <v>3309911.2923473879</v>
      </c>
      <c r="L168" s="74">
        <f t="shared" si="32"/>
        <v>223799044.14513499</v>
      </c>
      <c r="N168" s="4">
        <v>53</v>
      </c>
      <c r="O168" s="54">
        <f t="shared" si="33"/>
        <v>3738793.7331567854</v>
      </c>
      <c r="P168" s="74">
        <f t="shared" si="34"/>
        <v>2646201.140564193</v>
      </c>
      <c r="Q168" s="54">
        <f t="shared" si="35"/>
        <v>1092592.5925925926</v>
      </c>
      <c r="R168" s="74">
        <f t="shared" si="36"/>
        <v>178092592.59259236</v>
      </c>
      <c r="S168" s="77"/>
      <c r="T168" s="4">
        <v>53</v>
      </c>
      <c r="U168" s="15">
        <f t="shared" si="37"/>
        <v>1.2101981331857248E-2</v>
      </c>
      <c r="V168" s="133">
        <f t="shared" si="45"/>
        <v>3638602.1006295285</v>
      </c>
      <c r="W168" s="132">
        <f t="shared" si="46"/>
        <v>1055358.7833254389</v>
      </c>
      <c r="X168" s="132">
        <f t="shared" si="47"/>
        <v>2583243.3173040897</v>
      </c>
      <c r="Y168" s="27">
        <f t="shared" si="48"/>
        <v>212400871.76827538</v>
      </c>
    </row>
    <row r="169" spans="1:25" x14ac:dyDescent="0.25">
      <c r="A169" s="59">
        <v>39</v>
      </c>
      <c r="B169" s="59" t="s">
        <v>320</v>
      </c>
      <c r="C169" s="140">
        <v>9.6100000000000005E-2</v>
      </c>
      <c r="D169" s="63">
        <f t="shared" si="42"/>
        <v>0.10143079604845218</v>
      </c>
      <c r="E169" s="63">
        <f t="shared" si="43"/>
        <v>0.20727829554870847</v>
      </c>
      <c r="F169" s="64">
        <f t="shared" si="44"/>
        <v>1.5821224592079908E-2</v>
      </c>
      <c r="H169" s="4">
        <v>54</v>
      </c>
      <c r="I169" s="54">
        <f t="shared" si="29"/>
        <v>3638602.1006295285</v>
      </c>
      <c r="J169" s="54">
        <f t="shared" si="30"/>
        <v>333544.90373021131</v>
      </c>
      <c r="K169" s="93">
        <f t="shared" si="31"/>
        <v>3305057.1968993172</v>
      </c>
      <c r="L169" s="74">
        <f t="shared" si="32"/>
        <v>223465499.24140477</v>
      </c>
      <c r="N169" s="4">
        <v>54</v>
      </c>
      <c r="O169" s="54">
        <f t="shared" si="33"/>
        <v>3722658.3603484677</v>
      </c>
      <c r="P169" s="74">
        <f t="shared" si="34"/>
        <v>2630065.7677558749</v>
      </c>
      <c r="Q169" s="54">
        <f t="shared" si="35"/>
        <v>1092592.5925925926</v>
      </c>
      <c r="R169" s="74">
        <f t="shared" si="36"/>
        <v>176999999.99999976</v>
      </c>
      <c r="S169" s="77"/>
      <c r="T169" s="4">
        <v>54</v>
      </c>
      <c r="U169" s="15">
        <f t="shared" si="37"/>
        <v>1.1715202410271131E-2</v>
      </c>
      <c r="V169" s="133">
        <f t="shared" si="45"/>
        <v>3638602.1006295285</v>
      </c>
      <c r="W169" s="132">
        <f t="shared" si="46"/>
        <v>1150282.8957461393</v>
      </c>
      <c r="X169" s="132">
        <f t="shared" si="47"/>
        <v>2488319.2048833892</v>
      </c>
      <c r="Y169" s="27">
        <f t="shared" si="48"/>
        <v>211250588.87252924</v>
      </c>
    </row>
    <row r="170" spans="1:25" x14ac:dyDescent="0.25">
      <c r="A170" s="59">
        <v>40</v>
      </c>
      <c r="B170" s="59" t="s">
        <v>319</v>
      </c>
      <c r="C170" s="140">
        <v>9.9599999999999994E-2</v>
      </c>
      <c r="D170" s="63">
        <f t="shared" si="42"/>
        <v>0.10143079604845218</v>
      </c>
      <c r="E170" s="63">
        <f t="shared" si="43"/>
        <v>0.2111333033348779</v>
      </c>
      <c r="F170" s="64">
        <f t="shared" si="44"/>
        <v>1.6091134690570552E-2</v>
      </c>
      <c r="H170" s="4">
        <v>55</v>
      </c>
      <c r="I170" s="54">
        <f t="shared" si="29"/>
        <v>3638602.1006295285</v>
      </c>
      <c r="J170" s="54">
        <f t="shared" si="30"/>
        <v>338470.68430614518</v>
      </c>
      <c r="K170" s="93">
        <f t="shared" si="31"/>
        <v>3300131.4163233833</v>
      </c>
      <c r="L170" s="74">
        <f t="shared" si="32"/>
        <v>223127028.55709863</v>
      </c>
      <c r="N170" s="4">
        <v>55</v>
      </c>
      <c r="O170" s="54">
        <f t="shared" si="33"/>
        <v>3706522.9875401491</v>
      </c>
      <c r="P170" s="74">
        <f t="shared" si="34"/>
        <v>2613930.3949475568</v>
      </c>
      <c r="Q170" s="54">
        <f t="shared" si="35"/>
        <v>1092592.5925925926</v>
      </c>
      <c r="R170" s="74">
        <f t="shared" si="36"/>
        <v>175907407.40740716</v>
      </c>
      <c r="S170" s="77"/>
      <c r="T170" s="4">
        <v>55</v>
      </c>
      <c r="U170" s="15">
        <f t="shared" si="37"/>
        <v>1.1707127197034595E-2</v>
      </c>
      <c r="V170" s="133">
        <f t="shared" si="45"/>
        <v>3638602.1006295285</v>
      </c>
      <c r="W170" s="132">
        <f t="shared" si="46"/>
        <v>1165464.5862503676</v>
      </c>
      <c r="X170" s="132">
        <f t="shared" si="47"/>
        <v>2473137.5143791609</v>
      </c>
      <c r="Y170" s="27">
        <f t="shared" si="48"/>
        <v>210085124.28627887</v>
      </c>
    </row>
    <row r="171" spans="1:25" x14ac:dyDescent="0.25">
      <c r="A171" s="59">
        <v>41</v>
      </c>
      <c r="B171" s="59" t="s">
        <v>318</v>
      </c>
      <c r="C171" s="140">
        <v>9.9199999999999997E-2</v>
      </c>
      <c r="D171" s="63">
        <f t="shared" si="42"/>
        <v>0.10143079604845218</v>
      </c>
      <c r="E171" s="63">
        <f t="shared" si="43"/>
        <v>0.21069273101645858</v>
      </c>
      <c r="F171" s="64">
        <f t="shared" si="44"/>
        <v>1.6060327712754452E-2</v>
      </c>
      <c r="H171" s="4">
        <v>56</v>
      </c>
      <c r="I171" s="54">
        <f t="shared" si="29"/>
        <v>3638602.1006295285</v>
      </c>
      <c r="J171" s="54">
        <f t="shared" si="30"/>
        <v>343469.20865363954</v>
      </c>
      <c r="K171" s="93">
        <f t="shared" si="31"/>
        <v>3295132.891975889</v>
      </c>
      <c r="L171" s="74">
        <f t="shared" si="32"/>
        <v>222783559.348445</v>
      </c>
      <c r="N171" s="4">
        <v>56</v>
      </c>
      <c r="O171" s="54">
        <f t="shared" si="33"/>
        <v>3690387.6147318305</v>
      </c>
      <c r="P171" s="74">
        <f t="shared" si="34"/>
        <v>2597795.0221392382</v>
      </c>
      <c r="Q171" s="54">
        <f t="shared" si="35"/>
        <v>1092592.5925925926</v>
      </c>
      <c r="R171" s="74">
        <f t="shared" si="36"/>
        <v>174814814.81481457</v>
      </c>
      <c r="S171" s="77"/>
      <c r="T171" s="4">
        <v>56</v>
      </c>
      <c r="U171" s="15">
        <f t="shared" si="37"/>
        <v>1.1480732870776222E-2</v>
      </c>
      <c r="V171" s="133">
        <f t="shared" si="45"/>
        <v>3638602.1006295285</v>
      </c>
      <c r="W171" s="132">
        <f t="shared" si="46"/>
        <v>1226670.9085749388</v>
      </c>
      <c r="X171" s="132">
        <f t="shared" si="47"/>
        <v>2411931.1920545897</v>
      </c>
      <c r="Y171" s="27">
        <f t="shared" si="48"/>
        <v>208858453.37770393</v>
      </c>
    </row>
    <row r="172" spans="1:25" x14ac:dyDescent="0.25">
      <c r="A172" s="59">
        <v>42</v>
      </c>
      <c r="B172" s="59" t="s">
        <v>317</v>
      </c>
      <c r="C172" s="140">
        <v>0.1002</v>
      </c>
      <c r="D172" s="63">
        <f t="shared" si="42"/>
        <v>0.10143079604845218</v>
      </c>
      <c r="E172" s="63">
        <f t="shared" si="43"/>
        <v>0.21179416181250721</v>
      </c>
      <c r="F172" s="64">
        <f t="shared" si="44"/>
        <v>1.6137325901377064E-2</v>
      </c>
      <c r="H172" s="4">
        <v>57</v>
      </c>
      <c r="I172" s="54">
        <f t="shared" si="29"/>
        <v>3638602.1006295285</v>
      </c>
      <c r="J172" s="54">
        <f t="shared" si="30"/>
        <v>348541.55105040967</v>
      </c>
      <c r="K172" s="93">
        <f t="shared" si="31"/>
        <v>3290060.5495791188</v>
      </c>
      <c r="L172" s="74">
        <f t="shared" si="32"/>
        <v>222435017.79739457</v>
      </c>
      <c r="N172" s="4">
        <v>57</v>
      </c>
      <c r="O172" s="54">
        <f t="shared" si="33"/>
        <v>3674252.2419235129</v>
      </c>
      <c r="P172" s="74">
        <f t="shared" si="34"/>
        <v>2581659.6493309201</v>
      </c>
      <c r="Q172" s="54">
        <f t="shared" si="35"/>
        <v>1092592.5925925926</v>
      </c>
      <c r="R172" s="74">
        <f t="shared" si="36"/>
        <v>173722222.22222197</v>
      </c>
      <c r="S172" s="77"/>
      <c r="T172" s="4">
        <v>57</v>
      </c>
      <c r="U172" s="15">
        <f t="shared" si="37"/>
        <v>1.1415946271428057E-2</v>
      </c>
      <c r="V172" s="133">
        <f t="shared" si="45"/>
        <v>3638602.1006295285</v>
      </c>
      <c r="W172" s="132">
        <f t="shared" si="46"/>
        <v>1254285.2185360985</v>
      </c>
      <c r="X172" s="132">
        <f t="shared" si="47"/>
        <v>2384316.88209343</v>
      </c>
      <c r="Y172" s="27">
        <f t="shared" si="48"/>
        <v>207604168.15916783</v>
      </c>
    </row>
    <row r="173" spans="1:25" x14ac:dyDescent="0.25">
      <c r="A173" s="59">
        <v>43</v>
      </c>
      <c r="B173" s="59" t="s">
        <v>316</v>
      </c>
      <c r="C173" s="140">
        <v>0.1013</v>
      </c>
      <c r="D173" s="63">
        <f t="shared" si="42"/>
        <v>0.10143079604845218</v>
      </c>
      <c r="E173" s="63">
        <f t="shared" si="43"/>
        <v>0.21300573568816028</v>
      </c>
      <c r="F173" s="64">
        <f t="shared" si="44"/>
        <v>1.6221949846720207E-2</v>
      </c>
      <c r="H173" s="4">
        <v>58</v>
      </c>
      <c r="I173" s="54">
        <f t="shared" si="29"/>
        <v>3638602.1006295285</v>
      </c>
      <c r="J173" s="54">
        <f t="shared" si="30"/>
        <v>353688.8016390698</v>
      </c>
      <c r="K173" s="93">
        <f t="shared" si="31"/>
        <v>3284913.2989904587</v>
      </c>
      <c r="L173" s="74">
        <f t="shared" si="32"/>
        <v>222081328.99575549</v>
      </c>
      <c r="N173" s="4">
        <v>58</v>
      </c>
      <c r="O173" s="54">
        <f t="shared" si="33"/>
        <v>3658116.8691151943</v>
      </c>
      <c r="P173" s="74">
        <f t="shared" si="34"/>
        <v>2565524.2765226015</v>
      </c>
      <c r="Q173" s="54">
        <f t="shared" si="35"/>
        <v>1092592.5925925926</v>
      </c>
      <c r="R173" s="74">
        <f t="shared" si="36"/>
        <v>172629629.62962937</v>
      </c>
      <c r="S173" s="77"/>
      <c r="T173" s="4">
        <v>58</v>
      </c>
      <c r="U173" s="15">
        <f t="shared" si="37"/>
        <v>1.1383535845438386E-2</v>
      </c>
      <c r="V173" s="133">
        <f t="shared" si="45"/>
        <v>3638602.1006295285</v>
      </c>
      <c r="W173" s="132">
        <f t="shared" si="46"/>
        <v>1275332.6107272231</v>
      </c>
      <c r="X173" s="132">
        <f t="shared" si="47"/>
        <v>2363269.4899023054</v>
      </c>
      <c r="Y173" s="27">
        <f t="shared" si="48"/>
        <v>206328835.54844061</v>
      </c>
    </row>
    <row r="174" spans="1:25" x14ac:dyDescent="0.25">
      <c r="A174" s="59">
        <v>44</v>
      </c>
      <c r="B174" s="59" t="s">
        <v>315</v>
      </c>
      <c r="C174" s="140">
        <v>0.1012</v>
      </c>
      <c r="D174" s="63">
        <f t="shared" si="42"/>
        <v>0.10143079604845218</v>
      </c>
      <c r="E174" s="63">
        <f t="shared" si="43"/>
        <v>0.2128955926085554</v>
      </c>
      <c r="F174" s="64">
        <f t="shared" si="44"/>
        <v>1.6214259963212019E-2</v>
      </c>
      <c r="H174" s="4">
        <v>59</v>
      </c>
      <c r="I174" s="54">
        <f t="shared" si="29"/>
        <v>3638602.1006295285</v>
      </c>
      <c r="J174" s="54">
        <f t="shared" si="30"/>
        <v>358912.06666142587</v>
      </c>
      <c r="K174" s="93">
        <f t="shared" si="31"/>
        <v>3279690.0339681027</v>
      </c>
      <c r="L174" s="74">
        <f t="shared" si="32"/>
        <v>221722416.92909408</v>
      </c>
      <c r="N174" s="4">
        <v>59</v>
      </c>
      <c r="O174" s="54">
        <f t="shared" si="33"/>
        <v>3641981.4963068757</v>
      </c>
      <c r="P174" s="74">
        <f t="shared" si="34"/>
        <v>2549388.9037142834</v>
      </c>
      <c r="Q174" s="54">
        <f t="shared" si="35"/>
        <v>1092592.5925925926</v>
      </c>
      <c r="R174" s="74">
        <f t="shared" si="36"/>
        <v>171537037.03703678</v>
      </c>
      <c r="S174" s="77"/>
      <c r="T174" s="4">
        <v>59</v>
      </c>
      <c r="U174" s="15">
        <f t="shared" si="37"/>
        <v>1.1326790094413397E-2</v>
      </c>
      <c r="V174" s="133">
        <f t="shared" si="45"/>
        <v>3638602.1006295285</v>
      </c>
      <c r="W174" s="132">
        <f t="shared" si="46"/>
        <v>1301558.6899476005</v>
      </c>
      <c r="X174" s="132">
        <f t="shared" si="47"/>
        <v>2337043.410681928</v>
      </c>
      <c r="Y174" s="27">
        <f t="shared" si="48"/>
        <v>205027276.858493</v>
      </c>
    </row>
    <row r="175" spans="1:25" x14ac:dyDescent="0.25">
      <c r="A175" s="59">
        <v>45</v>
      </c>
      <c r="B175" s="59" t="s">
        <v>314</v>
      </c>
      <c r="C175" s="140">
        <v>9.69E-2</v>
      </c>
      <c r="D175" s="63">
        <f t="shared" si="42"/>
        <v>0.10143079604845218</v>
      </c>
      <c r="E175" s="63">
        <f t="shared" si="43"/>
        <v>0.20815944018554711</v>
      </c>
      <c r="F175" s="64">
        <f t="shared" si="44"/>
        <v>1.5882987908754087E-2</v>
      </c>
      <c r="H175" s="4">
        <v>60</v>
      </c>
      <c r="I175" s="54">
        <f t="shared" si="29"/>
        <v>3638602.1006295285</v>
      </c>
      <c r="J175" s="54">
        <f t="shared" si="30"/>
        <v>364212.46869622637</v>
      </c>
      <c r="K175" s="93">
        <f t="shared" si="31"/>
        <v>3274389.6319333022</v>
      </c>
      <c r="L175" s="74">
        <f t="shared" si="32"/>
        <v>221358204.46039784</v>
      </c>
      <c r="N175" s="4">
        <v>60</v>
      </c>
      <c r="O175" s="54">
        <f t="shared" si="33"/>
        <v>3625846.1234985571</v>
      </c>
      <c r="P175" s="74">
        <f t="shared" si="34"/>
        <v>2533253.5309059648</v>
      </c>
      <c r="Q175" s="54">
        <f t="shared" si="35"/>
        <v>1092592.5925925926</v>
      </c>
      <c r="R175" s="74">
        <f t="shared" si="36"/>
        <v>170444444.44444418</v>
      </c>
      <c r="S175" s="77"/>
      <c r="T175" s="4">
        <v>60</v>
      </c>
      <c r="U175" s="15">
        <f t="shared" si="37"/>
        <v>1.1318680698725991E-2</v>
      </c>
      <c r="V175" s="133">
        <f t="shared" si="45"/>
        <v>3638602.1006295285</v>
      </c>
      <c r="W175" s="132">
        <f t="shared" si="46"/>
        <v>1317963.8193389536</v>
      </c>
      <c r="X175" s="132">
        <f t="shared" si="47"/>
        <v>2320638.2812905749</v>
      </c>
      <c r="Y175" s="27">
        <f t="shared" si="48"/>
        <v>203709313.03915405</v>
      </c>
    </row>
    <row r="176" spans="1:25" x14ac:dyDescent="0.25">
      <c r="A176" s="59">
        <v>46</v>
      </c>
      <c r="B176" s="59" t="s">
        <v>313</v>
      </c>
      <c r="C176" s="140">
        <v>8.9800000000000005E-2</v>
      </c>
      <c r="D176" s="63">
        <f t="shared" si="42"/>
        <v>0.10143079604845218</v>
      </c>
      <c r="E176" s="63">
        <f t="shared" si="43"/>
        <v>0.20033928153360336</v>
      </c>
      <c r="F176" s="64">
        <f t="shared" si="44"/>
        <v>1.5333389327704783E-2</v>
      </c>
      <c r="H176" s="4">
        <v>61</v>
      </c>
      <c r="I176" s="54">
        <f t="shared" si="29"/>
        <v>3638602.1006295285</v>
      </c>
      <c r="J176" s="54">
        <f t="shared" si="30"/>
        <v>369591.14690042986</v>
      </c>
      <c r="K176" s="93">
        <f t="shared" si="31"/>
        <v>3269010.9537290987</v>
      </c>
      <c r="L176" s="74">
        <f t="shared" si="32"/>
        <v>220988613.31349742</v>
      </c>
      <c r="N176" s="4">
        <v>61</v>
      </c>
      <c r="O176" s="54">
        <f t="shared" si="33"/>
        <v>3609710.7506902395</v>
      </c>
      <c r="P176" s="74">
        <f t="shared" si="34"/>
        <v>2517118.1580976467</v>
      </c>
      <c r="Q176" s="54">
        <f t="shared" si="35"/>
        <v>1092592.5925925926</v>
      </c>
      <c r="R176" s="74">
        <f t="shared" si="36"/>
        <v>169351851.85185158</v>
      </c>
      <c r="S176" s="77"/>
      <c r="T176" s="4">
        <v>61</v>
      </c>
      <c r="U176" s="15">
        <f t="shared" si="37"/>
        <v>1.1083196508805404E-2</v>
      </c>
      <c r="V176" s="133">
        <f t="shared" si="45"/>
        <v>3638602.1006295285</v>
      </c>
      <c r="W176" s="132">
        <f t="shared" si="46"/>
        <v>1380851.7535428293</v>
      </c>
      <c r="X176" s="132">
        <f t="shared" si="47"/>
        <v>2257750.3470866992</v>
      </c>
      <c r="Y176" s="27">
        <f t="shared" si="48"/>
        <v>202328461.28561121</v>
      </c>
    </row>
    <row r="177" spans="1:25" x14ac:dyDescent="0.25">
      <c r="A177" s="59">
        <v>47</v>
      </c>
      <c r="B177" s="59" t="s">
        <v>312</v>
      </c>
      <c r="C177" s="140">
        <v>8.1699999999999995E-2</v>
      </c>
      <c r="D177" s="63">
        <f t="shared" si="42"/>
        <v>0.10143079604845218</v>
      </c>
      <c r="E177" s="63">
        <f t="shared" si="43"/>
        <v>0.19141769208561077</v>
      </c>
      <c r="F177" s="64">
        <f t="shared" si="44"/>
        <v>1.4702359881726412E-2</v>
      </c>
      <c r="H177" s="4">
        <v>62</v>
      </c>
      <c r="I177" s="54">
        <f t="shared" si="29"/>
        <v>3638602.1006295285</v>
      </c>
      <c r="J177" s="54">
        <f t="shared" si="30"/>
        <v>375049.2572540259</v>
      </c>
      <c r="K177" s="93">
        <f t="shared" si="31"/>
        <v>3263552.8433755026</v>
      </c>
      <c r="L177" s="74">
        <f t="shared" si="32"/>
        <v>220613564.05624339</v>
      </c>
      <c r="N177" s="4">
        <v>62</v>
      </c>
      <c r="O177" s="54">
        <f t="shared" si="33"/>
        <v>3593575.3778819209</v>
      </c>
      <c r="P177" s="74">
        <f t="shared" si="34"/>
        <v>2500982.7852893281</v>
      </c>
      <c r="Q177" s="54">
        <f t="shared" si="35"/>
        <v>1092592.5925925926</v>
      </c>
      <c r="R177" s="74">
        <f t="shared" si="36"/>
        <v>168259259.25925899</v>
      </c>
      <c r="S177" s="77"/>
      <c r="T177" s="4">
        <v>62</v>
      </c>
      <c r="U177" s="15">
        <f t="shared" si="37"/>
        <v>1.1009992377589262E-2</v>
      </c>
      <c r="V177" s="133">
        <f t="shared" si="45"/>
        <v>3638602.1006295285</v>
      </c>
      <c r="W177" s="132">
        <f t="shared" si="46"/>
        <v>1410967.284105585</v>
      </c>
      <c r="X177" s="132">
        <f t="shared" si="47"/>
        <v>2227634.8165239436</v>
      </c>
      <c r="Y177" s="27">
        <f t="shared" si="48"/>
        <v>200917494.00150561</v>
      </c>
    </row>
    <row r="178" spans="1:25" x14ac:dyDescent="0.25">
      <c r="A178" s="59">
        <v>48</v>
      </c>
      <c r="B178" s="59" t="s">
        <v>311</v>
      </c>
      <c r="C178" s="140">
        <v>7.1199999999999999E-2</v>
      </c>
      <c r="D178" s="63">
        <f t="shared" si="42"/>
        <v>0.10143079604845218</v>
      </c>
      <c r="E178" s="63">
        <f t="shared" si="43"/>
        <v>0.17985266872710182</v>
      </c>
      <c r="F178" s="64">
        <f t="shared" si="44"/>
        <v>1.3877880488099459E-2</v>
      </c>
      <c r="H178" s="4">
        <v>63</v>
      </c>
      <c r="I178" s="54">
        <f t="shared" si="29"/>
        <v>3638602.1006295285</v>
      </c>
      <c r="J178" s="54">
        <f t="shared" si="30"/>
        <v>380587.97280848259</v>
      </c>
      <c r="K178" s="93">
        <f t="shared" si="31"/>
        <v>3258014.1278210459</v>
      </c>
      <c r="L178" s="74">
        <f t="shared" si="32"/>
        <v>220232976.08343491</v>
      </c>
      <c r="N178" s="4">
        <v>63</v>
      </c>
      <c r="O178" s="54">
        <f t="shared" si="33"/>
        <v>3577440.0050736023</v>
      </c>
      <c r="P178" s="74">
        <f t="shared" si="34"/>
        <v>2484847.41248101</v>
      </c>
      <c r="Q178" s="54">
        <f t="shared" si="35"/>
        <v>1092592.5925925926</v>
      </c>
      <c r="R178" s="74">
        <f t="shared" si="36"/>
        <v>167166666.66666639</v>
      </c>
      <c r="S178" s="77"/>
      <c r="T178" s="4">
        <v>63</v>
      </c>
      <c r="U178" s="15">
        <f t="shared" si="37"/>
        <v>1.0993716871974923E-2</v>
      </c>
      <c r="V178" s="133">
        <f t="shared" si="45"/>
        <v>3638602.1006295285</v>
      </c>
      <c r="W178" s="132">
        <f t="shared" si="46"/>
        <v>1429772.0569502558</v>
      </c>
      <c r="X178" s="132">
        <f t="shared" si="47"/>
        <v>2208830.0436792728</v>
      </c>
      <c r="Y178" s="27">
        <f t="shared" si="48"/>
        <v>199487721.94455537</v>
      </c>
    </row>
    <row r="179" spans="1:25" x14ac:dyDescent="0.25">
      <c r="A179" s="59">
        <v>49</v>
      </c>
      <c r="B179" s="59" t="s">
        <v>310</v>
      </c>
      <c r="C179" s="140">
        <v>6.2E-2</v>
      </c>
      <c r="D179" s="63">
        <f t="shared" si="42"/>
        <v>0.10143079604845218</v>
      </c>
      <c r="E179" s="63">
        <f t="shared" si="43"/>
        <v>0.16971950540345637</v>
      </c>
      <c r="F179" s="64">
        <f t="shared" si="44"/>
        <v>1.3149367553625169E-2</v>
      </c>
      <c r="H179" s="4">
        <v>64</v>
      </c>
      <c r="I179" s="54">
        <f t="shared" si="29"/>
        <v>3638602.1006295285</v>
      </c>
      <c r="J179" s="54">
        <f t="shared" si="30"/>
        <v>386208.48393885279</v>
      </c>
      <c r="K179" s="93">
        <f t="shared" si="31"/>
        <v>3252393.6166906757</v>
      </c>
      <c r="L179" s="74">
        <f t="shared" si="32"/>
        <v>219846767.59949607</v>
      </c>
      <c r="N179" s="4">
        <v>64</v>
      </c>
      <c r="O179" s="54">
        <f t="shared" si="33"/>
        <v>3561304.6322652837</v>
      </c>
      <c r="P179" s="74">
        <f t="shared" si="34"/>
        <v>2468712.0396726914</v>
      </c>
      <c r="Q179" s="54">
        <f t="shared" si="35"/>
        <v>1092592.5925925926</v>
      </c>
      <c r="R179" s="74">
        <f t="shared" si="36"/>
        <v>166074074.07407379</v>
      </c>
      <c r="S179" s="77"/>
      <c r="T179" s="4">
        <v>64</v>
      </c>
      <c r="U179" s="15">
        <f t="shared" si="37"/>
        <v>1.0977438483722679E-2</v>
      </c>
      <c r="V179" s="133">
        <f t="shared" si="45"/>
        <v>3638602.1006295285</v>
      </c>
      <c r="W179" s="132">
        <f t="shared" si="46"/>
        <v>1448737.9047251972</v>
      </c>
      <c r="X179" s="132">
        <f t="shared" si="47"/>
        <v>2189864.1959043313</v>
      </c>
      <c r="Y179" s="27">
        <f t="shared" si="48"/>
        <v>198038984.03983018</v>
      </c>
    </row>
    <row r="180" spans="1:25" x14ac:dyDescent="0.25">
      <c r="A180" s="59">
        <v>50</v>
      </c>
      <c r="B180" s="59" t="s">
        <v>309</v>
      </c>
      <c r="C180" s="140">
        <v>5.5199999999999999E-2</v>
      </c>
      <c r="D180" s="63">
        <f t="shared" si="42"/>
        <v>0.10143079604845218</v>
      </c>
      <c r="E180" s="63">
        <f t="shared" si="43"/>
        <v>0.16222977599032662</v>
      </c>
      <c r="F180" s="64">
        <f t="shared" si="44"/>
        <v>1.260717379462073E-2</v>
      </c>
      <c r="H180" s="4">
        <v>65</v>
      </c>
      <c r="I180" s="54">
        <f t="shared" ref="I180:I243" si="49">PMT($C$128,$C$127,-$C$123)</f>
        <v>3638602.1006295285</v>
      </c>
      <c r="J180" s="54">
        <f t="shared" ref="J180:J243" si="50">I180-K180</f>
        <v>391911.99859961215</v>
      </c>
      <c r="K180" s="93">
        <f t="shared" ref="K180:K243" si="51">L179*$C$128</f>
        <v>3246690.1020299164</v>
      </c>
      <c r="L180" s="74">
        <f t="shared" ref="L180:L243" si="52">L179-J180</f>
        <v>219454855.60089645</v>
      </c>
      <c r="N180" s="4">
        <v>65</v>
      </c>
      <c r="O180" s="54">
        <f t="shared" ref="O180:O243" si="53">P180+Q180</f>
        <v>3545169.2594569661</v>
      </c>
      <c r="P180" s="74">
        <f t="shared" ref="P180:P243" si="54">R179*C$128</f>
        <v>2452576.6668643733</v>
      </c>
      <c r="Q180" s="54">
        <f t="shared" ref="Q180:Q243" si="55">$C$123/$C$127</f>
        <v>1092592.5925925926</v>
      </c>
      <c r="R180" s="74">
        <f t="shared" ref="R180:R243" si="56">R179-Q180</f>
        <v>164981481.48148119</v>
      </c>
      <c r="S180" s="77"/>
      <c r="T180" s="4">
        <v>65</v>
      </c>
      <c r="U180" s="15">
        <f t="shared" ref="U180:U243" si="57">F195</f>
        <v>1.0953015494061802E-2</v>
      </c>
      <c r="V180" s="133">
        <f t="shared" ref="V180:V211" si="58">PMT($U$115,$C$127,-$C$123)</f>
        <v>3638602.1006295285</v>
      </c>
      <c r="W180" s="132">
        <f t="shared" ref="W180:W211" si="59">V180-X180</f>
        <v>1469478.0400130106</v>
      </c>
      <c r="X180" s="132">
        <f t="shared" ref="X180:X211" si="60">Y179*U180</f>
        <v>2169124.0606165179</v>
      </c>
      <c r="Y180" s="27">
        <f t="shared" ref="Y180:Y211" si="61">Y179-W180</f>
        <v>196569505.99981716</v>
      </c>
    </row>
    <row r="181" spans="1:25" x14ac:dyDescent="0.25">
      <c r="A181" s="59">
        <v>51</v>
      </c>
      <c r="B181" s="59" t="s">
        <v>308</v>
      </c>
      <c r="C181" s="140">
        <v>5.1499999999999997E-2</v>
      </c>
      <c r="D181" s="63">
        <f t="shared" si="42"/>
        <v>0.10143079604845218</v>
      </c>
      <c r="E181" s="63">
        <f t="shared" si="43"/>
        <v>0.15815448204494764</v>
      </c>
      <c r="F181" s="64">
        <f t="shared" si="44"/>
        <v>1.2310809647347876E-2</v>
      </c>
      <c r="H181" s="4">
        <v>66</v>
      </c>
      <c r="I181" s="54">
        <f t="shared" si="49"/>
        <v>3638602.1006295285</v>
      </c>
      <c r="J181" s="54">
        <f t="shared" si="50"/>
        <v>397699.74258426856</v>
      </c>
      <c r="K181" s="93">
        <f t="shared" si="51"/>
        <v>3240902.35804526</v>
      </c>
      <c r="L181" s="74">
        <f t="shared" si="52"/>
        <v>219057155.85831219</v>
      </c>
      <c r="N181" s="4">
        <v>66</v>
      </c>
      <c r="O181" s="54">
        <f t="shared" si="53"/>
        <v>3529033.8866486475</v>
      </c>
      <c r="P181" s="74">
        <f t="shared" si="54"/>
        <v>2436441.2940560547</v>
      </c>
      <c r="Q181" s="54">
        <f t="shared" si="55"/>
        <v>1092592.5925925926</v>
      </c>
      <c r="R181" s="74">
        <f t="shared" si="56"/>
        <v>163888888.8888886</v>
      </c>
      <c r="S181" s="77"/>
      <c r="T181" s="4">
        <v>66</v>
      </c>
      <c r="U181" s="15">
        <f t="shared" si="57"/>
        <v>1.093672989454153E-2</v>
      </c>
      <c r="V181" s="133">
        <f t="shared" si="58"/>
        <v>3638602.1006295285</v>
      </c>
      <c r="W181" s="132">
        <f t="shared" si="59"/>
        <v>1488774.5080060675</v>
      </c>
      <c r="X181" s="132">
        <f t="shared" si="60"/>
        <v>2149827.592623461</v>
      </c>
      <c r="Y181" s="27">
        <f t="shared" si="61"/>
        <v>195080731.4918111</v>
      </c>
    </row>
    <row r="182" spans="1:25" x14ac:dyDescent="0.25">
      <c r="A182" s="59">
        <v>52</v>
      </c>
      <c r="B182" s="59" t="s">
        <v>307</v>
      </c>
      <c r="C182" s="140">
        <v>5.0799999999999998E-2</v>
      </c>
      <c r="D182" s="63">
        <f t="shared" si="42"/>
        <v>0.10143079604845218</v>
      </c>
      <c r="E182" s="63">
        <f t="shared" si="43"/>
        <v>0.15738348048771345</v>
      </c>
      <c r="F182" s="64">
        <f t="shared" si="44"/>
        <v>1.225463324285303E-2</v>
      </c>
      <c r="H182" s="4">
        <v>67</v>
      </c>
      <c r="I182" s="54">
        <f t="shared" si="49"/>
        <v>3638602.1006295285</v>
      </c>
      <c r="J182" s="54">
        <f t="shared" si="50"/>
        <v>403572.95978881</v>
      </c>
      <c r="K182" s="93">
        <f t="shared" si="51"/>
        <v>3235029.1408407185</v>
      </c>
      <c r="L182" s="74">
        <f t="shared" si="52"/>
        <v>218653582.89852339</v>
      </c>
      <c r="N182" s="4">
        <v>67</v>
      </c>
      <c r="O182" s="54">
        <f t="shared" si="53"/>
        <v>3512898.5138403289</v>
      </c>
      <c r="P182" s="74">
        <f t="shared" si="54"/>
        <v>2420305.9212477366</v>
      </c>
      <c r="Q182" s="54">
        <f t="shared" si="55"/>
        <v>1092592.5925925926</v>
      </c>
      <c r="R182" s="74">
        <f t="shared" si="56"/>
        <v>162796296.296296</v>
      </c>
      <c r="S182" s="77"/>
      <c r="T182" s="4">
        <v>67</v>
      </c>
      <c r="U182" s="15">
        <f t="shared" si="57"/>
        <v>1.0928586012456609E-2</v>
      </c>
      <c r="V182" s="133">
        <f t="shared" si="58"/>
        <v>3638602.1006295285</v>
      </c>
      <c r="W182" s="132">
        <f t="shared" si="59"/>
        <v>1506645.547148318</v>
      </c>
      <c r="X182" s="132">
        <f t="shared" si="60"/>
        <v>2131956.5534812105</v>
      </c>
      <c r="Y182" s="27">
        <f t="shared" si="61"/>
        <v>193574085.94466278</v>
      </c>
    </row>
    <row r="183" spans="1:25" x14ac:dyDescent="0.25">
      <c r="A183" s="59">
        <v>53</v>
      </c>
      <c r="B183" s="59" t="s">
        <v>306</v>
      </c>
      <c r="C183" s="140">
        <v>4.8899999999999999E-2</v>
      </c>
      <c r="D183" s="63">
        <f t="shared" si="42"/>
        <v>0.10143079604845218</v>
      </c>
      <c r="E183" s="63">
        <f t="shared" si="43"/>
        <v>0.15529076197522151</v>
      </c>
      <c r="F183" s="64">
        <f t="shared" si="44"/>
        <v>1.2101981331857248E-2</v>
      </c>
      <c r="H183" s="4">
        <v>68</v>
      </c>
      <c r="I183" s="54">
        <f t="shared" si="49"/>
        <v>3638602.1006295285</v>
      </c>
      <c r="J183" s="54">
        <f t="shared" si="50"/>
        <v>409532.91247904068</v>
      </c>
      <c r="K183" s="93">
        <f t="shared" si="51"/>
        <v>3229069.1881504878</v>
      </c>
      <c r="L183" s="74">
        <f t="shared" si="52"/>
        <v>218244049.98604435</v>
      </c>
      <c r="N183" s="4">
        <v>68</v>
      </c>
      <c r="O183" s="54">
        <f t="shared" si="53"/>
        <v>3496763.1410320103</v>
      </c>
      <c r="P183" s="74">
        <f t="shared" si="54"/>
        <v>2404170.548439418</v>
      </c>
      <c r="Q183" s="54">
        <f t="shared" si="55"/>
        <v>1092592.5925925926</v>
      </c>
      <c r="R183" s="74">
        <f t="shared" si="56"/>
        <v>161703703.7037034</v>
      </c>
      <c r="S183" s="77"/>
      <c r="T183" s="4">
        <v>68</v>
      </c>
      <c r="U183" s="15">
        <f t="shared" si="57"/>
        <v>1.0977438483722679E-2</v>
      </c>
      <c r="V183" s="133">
        <f t="shared" si="58"/>
        <v>3638602.1006295285</v>
      </c>
      <c r="W183" s="132">
        <f t="shared" si="59"/>
        <v>1513654.480129146</v>
      </c>
      <c r="X183" s="132">
        <f t="shared" si="60"/>
        <v>2124947.6205003825</v>
      </c>
      <c r="Y183" s="27">
        <f t="shared" si="61"/>
        <v>192060431.46453363</v>
      </c>
    </row>
    <row r="184" spans="1:25" x14ac:dyDescent="0.25">
      <c r="A184" s="59">
        <v>54</v>
      </c>
      <c r="B184" s="59" t="s">
        <v>305</v>
      </c>
      <c r="C184" s="140">
        <v>4.41E-2</v>
      </c>
      <c r="D184" s="63">
        <f t="shared" si="42"/>
        <v>0.10143079604845218</v>
      </c>
      <c r="E184" s="63">
        <f t="shared" si="43"/>
        <v>0.15000389415418902</v>
      </c>
      <c r="F184" s="64">
        <f t="shared" si="44"/>
        <v>1.1715202410271131E-2</v>
      </c>
      <c r="H184" s="4">
        <v>69</v>
      </c>
      <c r="I184" s="54">
        <f t="shared" si="49"/>
        <v>3638602.1006295285</v>
      </c>
      <c r="J184" s="54">
        <f t="shared" si="50"/>
        <v>415580.88156186789</v>
      </c>
      <c r="K184" s="93">
        <f t="shared" si="51"/>
        <v>3223021.2190676606</v>
      </c>
      <c r="L184" s="74">
        <f t="shared" si="52"/>
        <v>217828469.10448247</v>
      </c>
      <c r="N184" s="4">
        <v>69</v>
      </c>
      <c r="O184" s="54">
        <f t="shared" si="53"/>
        <v>3480627.7682236927</v>
      </c>
      <c r="P184" s="74">
        <f t="shared" si="54"/>
        <v>2388035.1756310998</v>
      </c>
      <c r="Q184" s="54">
        <f t="shared" si="55"/>
        <v>1092592.5925925926</v>
      </c>
      <c r="R184" s="74">
        <f t="shared" si="56"/>
        <v>160611111.11111081</v>
      </c>
      <c r="S184" s="77"/>
      <c r="T184" s="4">
        <v>69</v>
      </c>
      <c r="U184" s="15">
        <f t="shared" si="57"/>
        <v>1.0961157211764494E-2</v>
      </c>
      <c r="V184" s="133">
        <f t="shared" si="58"/>
        <v>3638602.1006295285</v>
      </c>
      <c r="W184" s="132">
        <f t="shared" si="59"/>
        <v>1533397.5171874552</v>
      </c>
      <c r="X184" s="132">
        <f t="shared" si="60"/>
        <v>2105204.5834420733</v>
      </c>
      <c r="Y184" s="27">
        <f t="shared" si="61"/>
        <v>190527033.94734618</v>
      </c>
    </row>
    <row r="185" spans="1:25" x14ac:dyDescent="0.25">
      <c r="A185" s="59">
        <v>55</v>
      </c>
      <c r="B185" s="59" t="s">
        <v>304</v>
      </c>
      <c r="C185" s="140">
        <v>4.3999999999999997E-2</v>
      </c>
      <c r="D185" s="63">
        <f t="shared" si="42"/>
        <v>0.10143079604845218</v>
      </c>
      <c r="E185" s="63">
        <f t="shared" si="43"/>
        <v>0.14989375107458414</v>
      </c>
      <c r="F185" s="64">
        <f t="shared" si="44"/>
        <v>1.1707127197034595E-2</v>
      </c>
      <c r="H185" s="4">
        <v>70</v>
      </c>
      <c r="I185" s="54">
        <f t="shared" si="49"/>
        <v>3638602.1006295285</v>
      </c>
      <c r="J185" s="54">
        <f t="shared" si="50"/>
        <v>421718.16686058929</v>
      </c>
      <c r="K185" s="93">
        <f t="shared" si="51"/>
        <v>3216883.9337689392</v>
      </c>
      <c r="L185" s="74">
        <f t="shared" si="52"/>
        <v>217406750.93762189</v>
      </c>
      <c r="N185" s="4">
        <v>70</v>
      </c>
      <c r="O185" s="54">
        <f t="shared" si="53"/>
        <v>3464492.3954153741</v>
      </c>
      <c r="P185" s="74">
        <f t="shared" si="54"/>
        <v>2371899.8028227817</v>
      </c>
      <c r="Q185" s="54">
        <f t="shared" si="55"/>
        <v>1092592.5925925926</v>
      </c>
      <c r="R185" s="74">
        <f t="shared" si="56"/>
        <v>159518518.51851821</v>
      </c>
      <c r="S185" s="77"/>
      <c r="T185" s="4">
        <v>70</v>
      </c>
      <c r="U185" s="15">
        <f t="shared" si="57"/>
        <v>1.0944873055032112E-2</v>
      </c>
      <c r="V185" s="133">
        <f t="shared" si="58"/>
        <v>3638602.1006295285</v>
      </c>
      <c r="W185" s="132">
        <f t="shared" si="59"/>
        <v>1553307.9005240309</v>
      </c>
      <c r="X185" s="132">
        <f t="shared" si="60"/>
        <v>2085294.2001054976</v>
      </c>
      <c r="Y185" s="27">
        <f t="shared" si="61"/>
        <v>188973726.04682216</v>
      </c>
    </row>
    <row r="186" spans="1:25" x14ac:dyDescent="0.25">
      <c r="A186" s="59">
        <v>56</v>
      </c>
      <c r="B186" s="59" t="s">
        <v>303</v>
      </c>
      <c r="C186" s="140">
        <v>4.1200000000000001E-2</v>
      </c>
      <c r="D186" s="63">
        <f t="shared" si="42"/>
        <v>0.10143079604845218</v>
      </c>
      <c r="E186" s="63">
        <f t="shared" si="43"/>
        <v>0.14680974484564824</v>
      </c>
      <c r="F186" s="64">
        <f t="shared" si="44"/>
        <v>1.1480732870776222E-2</v>
      </c>
      <c r="H186" s="4">
        <v>71</v>
      </c>
      <c r="I186" s="54">
        <f t="shared" si="49"/>
        <v>3638602.1006295285</v>
      </c>
      <c r="J186" s="54">
        <f t="shared" si="50"/>
        <v>427946.08739425289</v>
      </c>
      <c r="K186" s="93">
        <f t="shared" si="51"/>
        <v>3210656.0132352756</v>
      </c>
      <c r="L186" s="74">
        <f t="shared" si="52"/>
        <v>216978804.85022762</v>
      </c>
      <c r="N186" s="4">
        <v>71</v>
      </c>
      <c r="O186" s="54">
        <f t="shared" si="53"/>
        <v>3448357.0226070555</v>
      </c>
      <c r="P186" s="74">
        <f t="shared" si="54"/>
        <v>2355764.4300144631</v>
      </c>
      <c r="Q186" s="54">
        <f t="shared" si="55"/>
        <v>1092592.5925925926</v>
      </c>
      <c r="R186" s="74">
        <f t="shared" si="56"/>
        <v>158425925.92592561</v>
      </c>
      <c r="S186" s="77"/>
      <c r="T186" s="4">
        <v>71</v>
      </c>
      <c r="U186" s="15">
        <f t="shared" si="57"/>
        <v>1.1050668537084807E-2</v>
      </c>
      <c r="V186" s="133">
        <f t="shared" si="58"/>
        <v>3638602.1006295285</v>
      </c>
      <c r="W186" s="132">
        <f t="shared" si="59"/>
        <v>1550316.0918682271</v>
      </c>
      <c r="X186" s="132">
        <f t="shared" si="60"/>
        <v>2088286.0087613014</v>
      </c>
      <c r="Y186" s="27">
        <f t="shared" si="61"/>
        <v>187423409.95495394</v>
      </c>
    </row>
    <row r="187" spans="1:25" x14ac:dyDescent="0.25">
      <c r="A187" s="59">
        <v>57</v>
      </c>
      <c r="B187" s="59" t="s">
        <v>302</v>
      </c>
      <c r="C187" s="140">
        <v>4.0399999999999998E-2</v>
      </c>
      <c r="D187" s="63">
        <f t="shared" si="42"/>
        <v>0.10143079604845218</v>
      </c>
      <c r="E187" s="63">
        <f t="shared" si="43"/>
        <v>0.1459286002088096</v>
      </c>
      <c r="F187" s="64">
        <f t="shared" si="44"/>
        <v>1.1415946271428057E-2</v>
      </c>
      <c r="H187" s="4">
        <v>72</v>
      </c>
      <c r="I187" s="54">
        <f t="shared" si="49"/>
        <v>3638602.1006295285</v>
      </c>
      <c r="J187" s="54">
        <f t="shared" si="50"/>
        <v>434265.98166113859</v>
      </c>
      <c r="K187" s="93">
        <f t="shared" si="51"/>
        <v>3204336.1189683899</v>
      </c>
      <c r="L187" s="74">
        <f t="shared" si="52"/>
        <v>216544538.86856648</v>
      </c>
      <c r="N187" s="4">
        <v>72</v>
      </c>
      <c r="O187" s="54">
        <f t="shared" si="53"/>
        <v>3432221.6497987378</v>
      </c>
      <c r="P187" s="74">
        <f t="shared" si="54"/>
        <v>2339629.057206145</v>
      </c>
      <c r="Q187" s="54">
        <f t="shared" si="55"/>
        <v>1092592.5925925926</v>
      </c>
      <c r="R187" s="74">
        <f t="shared" si="56"/>
        <v>157333333.33333302</v>
      </c>
      <c r="S187" s="77"/>
      <c r="T187" s="4">
        <v>72</v>
      </c>
      <c r="U187" s="15">
        <f t="shared" si="57"/>
        <v>1.1172589123109589E-2</v>
      </c>
      <c r="V187" s="133">
        <f t="shared" si="58"/>
        <v>3638602.1006295285</v>
      </c>
      <c r="W187" s="132">
        <f t="shared" si="59"/>
        <v>1544597.3491507007</v>
      </c>
      <c r="X187" s="132">
        <f t="shared" si="60"/>
        <v>2094004.7514788278</v>
      </c>
      <c r="Y187" s="27">
        <f t="shared" si="61"/>
        <v>185878812.60580325</v>
      </c>
    </row>
    <row r="188" spans="1:25" x14ac:dyDescent="0.25">
      <c r="A188" s="59">
        <v>58</v>
      </c>
      <c r="B188" s="59" t="s">
        <v>301</v>
      </c>
      <c r="C188" s="140">
        <v>0.04</v>
      </c>
      <c r="D188" s="63">
        <f t="shared" si="42"/>
        <v>0.10143079604845218</v>
      </c>
      <c r="E188" s="63">
        <f t="shared" si="43"/>
        <v>0.14548802789039028</v>
      </c>
      <c r="F188" s="64">
        <f t="shared" si="44"/>
        <v>1.1383535845438386E-2</v>
      </c>
      <c r="H188" s="4">
        <v>73</v>
      </c>
      <c r="I188" s="54">
        <f t="shared" si="49"/>
        <v>3638602.1006295285</v>
      </c>
      <c r="J188" s="54">
        <f t="shared" si="50"/>
        <v>440679.20792642515</v>
      </c>
      <c r="K188" s="93">
        <f t="shared" si="51"/>
        <v>3197922.8927031034</v>
      </c>
      <c r="L188" s="74">
        <f t="shared" si="52"/>
        <v>216103859.66064006</v>
      </c>
      <c r="N188" s="4">
        <v>73</v>
      </c>
      <c r="O188" s="54">
        <f t="shared" si="53"/>
        <v>3416086.2769904193</v>
      </c>
      <c r="P188" s="74">
        <f t="shared" si="54"/>
        <v>2323493.6843978264</v>
      </c>
      <c r="Q188" s="54">
        <f t="shared" si="55"/>
        <v>1092592.5925925926</v>
      </c>
      <c r="R188" s="74">
        <f t="shared" si="56"/>
        <v>156240740.74074042</v>
      </c>
      <c r="S188" s="77"/>
      <c r="T188" s="4">
        <v>73</v>
      </c>
      <c r="U188" s="15">
        <f t="shared" si="57"/>
        <v>1.1286235961134317E-2</v>
      </c>
      <c r="V188" s="133">
        <f t="shared" si="58"/>
        <v>3638602.1006295285</v>
      </c>
      <c r="W188" s="132">
        <f t="shared" si="59"/>
        <v>1540729.9613849651</v>
      </c>
      <c r="X188" s="132">
        <f t="shared" si="60"/>
        <v>2097872.1392445634</v>
      </c>
      <c r="Y188" s="27">
        <f t="shared" si="61"/>
        <v>184338082.6444183</v>
      </c>
    </row>
    <row r="189" spans="1:25" x14ac:dyDescent="0.25">
      <c r="A189" s="59">
        <v>59</v>
      </c>
      <c r="B189" s="59" t="s">
        <v>300</v>
      </c>
      <c r="C189" s="140">
        <v>3.9300000000000002E-2</v>
      </c>
      <c r="D189" s="63">
        <f t="shared" si="42"/>
        <v>0.10143079604845218</v>
      </c>
      <c r="E189" s="63">
        <f t="shared" si="43"/>
        <v>0.14471702633315631</v>
      </c>
      <c r="F189" s="64">
        <f t="shared" si="44"/>
        <v>1.1326790094413397E-2</v>
      </c>
      <c r="H189" s="4">
        <v>74</v>
      </c>
      <c r="I189" s="54">
        <f t="shared" si="49"/>
        <v>3638602.1006295285</v>
      </c>
      <c r="J189" s="54">
        <f t="shared" si="50"/>
        <v>447187.1445141104</v>
      </c>
      <c r="K189" s="93">
        <f t="shared" si="51"/>
        <v>3191414.9561154181</v>
      </c>
      <c r="L189" s="74">
        <f t="shared" si="52"/>
        <v>215656672.51612595</v>
      </c>
      <c r="N189" s="4">
        <v>74</v>
      </c>
      <c r="O189" s="54">
        <f t="shared" si="53"/>
        <v>3399950.9041821007</v>
      </c>
      <c r="P189" s="74">
        <f t="shared" si="54"/>
        <v>2307358.3115895083</v>
      </c>
      <c r="Q189" s="54">
        <f t="shared" si="55"/>
        <v>1092592.5925925926</v>
      </c>
      <c r="R189" s="74">
        <f t="shared" si="56"/>
        <v>155148148.14814782</v>
      </c>
      <c r="S189" s="77"/>
      <c r="T189" s="4">
        <v>74</v>
      </c>
      <c r="U189" s="15">
        <f t="shared" si="57"/>
        <v>1.1464540499890097E-2</v>
      </c>
      <c r="V189" s="133">
        <f t="shared" si="58"/>
        <v>3638602.1006295285</v>
      </c>
      <c r="W189" s="132">
        <f t="shared" si="59"/>
        <v>1525250.6864805073</v>
      </c>
      <c r="X189" s="132">
        <f t="shared" si="60"/>
        <v>2113351.4141490213</v>
      </c>
      <c r="Y189" s="27">
        <f t="shared" si="61"/>
        <v>182812831.95793778</v>
      </c>
    </row>
    <row r="190" spans="1:25" x14ac:dyDescent="0.25">
      <c r="A190" s="59">
        <v>60</v>
      </c>
      <c r="B190" s="59" t="s">
        <v>299</v>
      </c>
      <c r="C190" s="140">
        <v>3.9199999999999999E-2</v>
      </c>
      <c r="D190" s="63">
        <f t="shared" si="42"/>
        <v>0.10143079604845218</v>
      </c>
      <c r="E190" s="63">
        <f t="shared" si="43"/>
        <v>0.14460688325355142</v>
      </c>
      <c r="F190" s="64">
        <f t="shared" si="44"/>
        <v>1.1318680698725991E-2</v>
      </c>
      <c r="H190" s="4">
        <v>75</v>
      </c>
      <c r="I190" s="54">
        <f t="shared" si="49"/>
        <v>3638602.1006295285</v>
      </c>
      <c r="J190" s="54">
        <f t="shared" si="50"/>
        <v>453791.19010323612</v>
      </c>
      <c r="K190" s="93">
        <f t="shared" si="51"/>
        <v>3184810.9105262924</v>
      </c>
      <c r="L190" s="74">
        <f t="shared" si="52"/>
        <v>215202881.32602271</v>
      </c>
      <c r="N190" s="4">
        <v>75</v>
      </c>
      <c r="O190" s="54">
        <f t="shared" si="53"/>
        <v>3383815.5313737821</v>
      </c>
      <c r="P190" s="74">
        <f t="shared" si="54"/>
        <v>2291222.9387811897</v>
      </c>
      <c r="Q190" s="54">
        <f t="shared" si="55"/>
        <v>1092592.5925925926</v>
      </c>
      <c r="R190" s="74">
        <f t="shared" si="56"/>
        <v>154055555.55555522</v>
      </c>
      <c r="S190" s="77"/>
      <c r="T190" s="4">
        <v>75</v>
      </c>
      <c r="U190" s="15">
        <f t="shared" si="57"/>
        <v>1.1553563275223278E-2</v>
      </c>
      <c r="V190" s="133">
        <f t="shared" si="58"/>
        <v>3638602.1006295285</v>
      </c>
      <c r="W190" s="132">
        <f t="shared" si="59"/>
        <v>1526462.4790807343</v>
      </c>
      <c r="X190" s="132">
        <f t="shared" si="60"/>
        <v>2112139.6215487942</v>
      </c>
      <c r="Y190" s="27">
        <f t="shared" si="61"/>
        <v>181286369.47885704</v>
      </c>
    </row>
    <row r="191" spans="1:25" x14ac:dyDescent="0.25">
      <c r="A191" s="59">
        <v>61</v>
      </c>
      <c r="B191" s="59" t="s">
        <v>298</v>
      </c>
      <c r="C191" s="140">
        <v>3.6299999999999999E-2</v>
      </c>
      <c r="D191" s="63">
        <f t="shared" si="42"/>
        <v>0.10143079604845218</v>
      </c>
      <c r="E191" s="63">
        <f t="shared" si="43"/>
        <v>0.14141273394501108</v>
      </c>
      <c r="F191" s="64">
        <f t="shared" si="44"/>
        <v>1.1083196508805404E-2</v>
      </c>
      <c r="H191" s="4">
        <v>76</v>
      </c>
      <c r="I191" s="54">
        <f t="shared" si="49"/>
        <v>3638602.1006295285</v>
      </c>
      <c r="J191" s="54">
        <f t="shared" si="50"/>
        <v>460492.76402849192</v>
      </c>
      <c r="K191" s="93">
        <f t="shared" si="51"/>
        <v>3178109.3366010366</v>
      </c>
      <c r="L191" s="74">
        <f t="shared" si="52"/>
        <v>214742388.56199422</v>
      </c>
      <c r="N191" s="4">
        <v>76</v>
      </c>
      <c r="O191" s="54">
        <f t="shared" si="53"/>
        <v>3367680.1585654644</v>
      </c>
      <c r="P191" s="74">
        <f t="shared" si="54"/>
        <v>2275087.5659728716</v>
      </c>
      <c r="Q191" s="54">
        <f t="shared" si="55"/>
        <v>1092592.5925925926</v>
      </c>
      <c r="R191" s="74">
        <f t="shared" si="56"/>
        <v>152962962.96296263</v>
      </c>
      <c r="S191" s="77"/>
      <c r="T191" s="4">
        <v>76</v>
      </c>
      <c r="U191" s="15">
        <f t="shared" si="57"/>
        <v>1.1779778605556013E-2</v>
      </c>
      <c r="V191" s="133">
        <f t="shared" si="58"/>
        <v>3638602.1006295285</v>
      </c>
      <c r="W191" s="132">
        <f t="shared" si="59"/>
        <v>1503088.8039635657</v>
      </c>
      <c r="X191" s="132">
        <f t="shared" si="60"/>
        <v>2135513.2966659628</v>
      </c>
      <c r="Y191" s="27">
        <f t="shared" si="61"/>
        <v>179783280.67489347</v>
      </c>
    </row>
    <row r="192" spans="1:25" x14ac:dyDescent="0.25">
      <c r="A192" s="59">
        <v>62</v>
      </c>
      <c r="B192" s="59" t="s">
        <v>297</v>
      </c>
      <c r="C192" s="140">
        <v>3.5400000000000001E-2</v>
      </c>
      <c r="D192" s="63">
        <f t="shared" si="42"/>
        <v>0.10143079604845218</v>
      </c>
      <c r="E192" s="63">
        <f t="shared" si="43"/>
        <v>0.14042144622856756</v>
      </c>
      <c r="F192" s="64">
        <f t="shared" si="44"/>
        <v>1.1009992377589262E-2</v>
      </c>
      <c r="H192" s="4">
        <v>77</v>
      </c>
      <c r="I192" s="54">
        <f t="shared" si="49"/>
        <v>3638602.1006295285</v>
      </c>
      <c r="J192" s="54">
        <f t="shared" si="50"/>
        <v>467293.30658525741</v>
      </c>
      <c r="K192" s="93">
        <f t="shared" si="51"/>
        <v>3171308.7940442711</v>
      </c>
      <c r="L192" s="74">
        <f t="shared" si="52"/>
        <v>214275095.25540897</v>
      </c>
      <c r="N192" s="4">
        <v>77</v>
      </c>
      <c r="O192" s="54">
        <f t="shared" si="53"/>
        <v>3351544.7857571458</v>
      </c>
      <c r="P192" s="74">
        <f t="shared" si="54"/>
        <v>2258952.193164553</v>
      </c>
      <c r="Q192" s="54">
        <f t="shared" si="55"/>
        <v>1092592.5925925926</v>
      </c>
      <c r="R192" s="74">
        <f t="shared" si="56"/>
        <v>151870370.37037003</v>
      </c>
      <c r="S192" s="77"/>
      <c r="T192" s="4">
        <v>77</v>
      </c>
      <c r="U192" s="15">
        <f t="shared" si="57"/>
        <v>1.1876557972231971E-2</v>
      </c>
      <c r="V192" s="133">
        <f t="shared" si="58"/>
        <v>3638602.1006295285</v>
      </c>
      <c r="W192" s="132">
        <f t="shared" si="59"/>
        <v>1503395.5452561043</v>
      </c>
      <c r="X192" s="132">
        <f t="shared" si="60"/>
        <v>2135206.5553734242</v>
      </c>
      <c r="Y192" s="27">
        <f t="shared" si="61"/>
        <v>178279885.12963736</v>
      </c>
    </row>
    <row r="193" spans="1:25" x14ac:dyDescent="0.25">
      <c r="A193" s="59">
        <v>63</v>
      </c>
      <c r="B193" s="59" t="s">
        <v>296</v>
      </c>
      <c r="C193" s="140">
        <v>3.5200000000000002E-2</v>
      </c>
      <c r="D193" s="63">
        <f t="shared" si="42"/>
        <v>0.10143079604845218</v>
      </c>
      <c r="E193" s="63">
        <f t="shared" si="43"/>
        <v>0.14020116006935757</v>
      </c>
      <c r="F193" s="64">
        <f t="shared" si="44"/>
        <v>1.0993716871974923E-2</v>
      </c>
      <c r="H193" s="4">
        <v>78</v>
      </c>
      <c r="I193" s="54">
        <f t="shared" si="49"/>
        <v>3638602.1006295285</v>
      </c>
      <c r="J193" s="54">
        <f t="shared" si="50"/>
        <v>474194.27933914866</v>
      </c>
      <c r="K193" s="93">
        <f t="shared" si="51"/>
        <v>3164407.8212903799</v>
      </c>
      <c r="L193" s="74">
        <f t="shared" si="52"/>
        <v>213800900.97606984</v>
      </c>
      <c r="N193" s="4">
        <v>78</v>
      </c>
      <c r="O193" s="54">
        <f t="shared" si="53"/>
        <v>3335409.4129488273</v>
      </c>
      <c r="P193" s="74">
        <f t="shared" si="54"/>
        <v>2242816.8203562349</v>
      </c>
      <c r="Q193" s="54">
        <f t="shared" si="55"/>
        <v>1092592.5925925926</v>
      </c>
      <c r="R193" s="74">
        <f t="shared" si="56"/>
        <v>150777777.77777743</v>
      </c>
      <c r="S193" s="77"/>
      <c r="T193" s="4">
        <v>78</v>
      </c>
      <c r="U193" s="15">
        <f t="shared" si="57"/>
        <v>1.1965183034677196E-2</v>
      </c>
      <c r="V193" s="133">
        <f t="shared" si="58"/>
        <v>3638602.1006295285</v>
      </c>
      <c r="W193" s="132">
        <f t="shared" si="59"/>
        <v>1505450.6436521923</v>
      </c>
      <c r="X193" s="132">
        <f t="shared" si="60"/>
        <v>2133151.4569773362</v>
      </c>
      <c r="Y193" s="27">
        <f t="shared" si="61"/>
        <v>176774434.48598516</v>
      </c>
    </row>
    <row r="194" spans="1:25" x14ac:dyDescent="0.25">
      <c r="A194" s="59">
        <v>64</v>
      </c>
      <c r="B194" s="59" t="s">
        <v>295</v>
      </c>
      <c r="C194" s="140">
        <v>3.5000000000000003E-2</v>
      </c>
      <c r="D194" s="63">
        <f t="shared" si="42"/>
        <v>0.10143079604845218</v>
      </c>
      <c r="E194" s="63">
        <f t="shared" si="43"/>
        <v>0.13998087391014802</v>
      </c>
      <c r="F194" s="64">
        <f t="shared" si="44"/>
        <v>1.0977438483722679E-2</v>
      </c>
      <c r="H194" s="4">
        <v>79</v>
      </c>
      <c r="I194" s="54">
        <f t="shared" si="49"/>
        <v>3638602.1006295285</v>
      </c>
      <c r="J194" s="54">
        <f t="shared" si="50"/>
        <v>481197.16544013657</v>
      </c>
      <c r="K194" s="93">
        <f t="shared" si="51"/>
        <v>3157404.935189392</v>
      </c>
      <c r="L194" s="74">
        <f t="shared" si="52"/>
        <v>213319703.8106297</v>
      </c>
      <c r="N194" s="4">
        <v>79</v>
      </c>
      <c r="O194" s="54">
        <f t="shared" si="53"/>
        <v>3319274.0401405087</v>
      </c>
      <c r="P194" s="74">
        <f t="shared" si="54"/>
        <v>2226681.4475479163</v>
      </c>
      <c r="Q194" s="54">
        <f t="shared" si="55"/>
        <v>1092592.5925925926</v>
      </c>
      <c r="R194" s="74">
        <f t="shared" si="56"/>
        <v>149685185.18518484</v>
      </c>
      <c r="S194" s="77"/>
      <c r="T194" s="4">
        <v>79</v>
      </c>
      <c r="U194" s="15">
        <f t="shared" si="57"/>
        <v>1.225463324285303E-2</v>
      </c>
      <c r="V194" s="133">
        <f t="shared" si="58"/>
        <v>3638602.1006295285</v>
      </c>
      <c r="W194" s="132">
        <f t="shared" si="59"/>
        <v>1472296.2392910295</v>
      </c>
      <c r="X194" s="132">
        <f t="shared" si="60"/>
        <v>2166305.861338499</v>
      </c>
      <c r="Y194" s="27">
        <f t="shared" si="61"/>
        <v>175302138.24669412</v>
      </c>
    </row>
    <row r="195" spans="1:25" x14ac:dyDescent="0.25">
      <c r="A195" s="59">
        <v>65</v>
      </c>
      <c r="B195" s="59" t="s">
        <v>294</v>
      </c>
      <c r="C195" s="140">
        <v>3.4700000000000002E-2</v>
      </c>
      <c r="D195" s="63">
        <f t="shared" ref="D195:D258" si="62">$C$120</f>
        <v>0.10143079604845218</v>
      </c>
      <c r="E195" s="63">
        <f t="shared" ref="E195:E258" si="63">(1+D195)*(1+C195)-1</f>
        <v>0.13965044467133336</v>
      </c>
      <c r="F195" s="64">
        <f t="shared" ref="F195:F258" si="64">NOMINAL(E195,$C$125)/$C$125</f>
        <v>1.0953015494061802E-2</v>
      </c>
      <c r="H195" s="4">
        <v>80</v>
      </c>
      <c r="I195" s="54">
        <f t="shared" si="49"/>
        <v>3638602.1006295285</v>
      </c>
      <c r="J195" s="54">
        <f t="shared" si="50"/>
        <v>488303.4699413036</v>
      </c>
      <c r="K195" s="93">
        <f t="shared" si="51"/>
        <v>3150298.6306882249</v>
      </c>
      <c r="L195" s="74">
        <f t="shared" si="52"/>
        <v>212831400.34068838</v>
      </c>
      <c r="N195" s="4">
        <v>80</v>
      </c>
      <c r="O195" s="54">
        <f t="shared" si="53"/>
        <v>3303138.667332191</v>
      </c>
      <c r="P195" s="74">
        <f t="shared" si="54"/>
        <v>2210546.0747395982</v>
      </c>
      <c r="Q195" s="54">
        <f t="shared" si="55"/>
        <v>1092592.5925925926</v>
      </c>
      <c r="R195" s="74">
        <f t="shared" si="56"/>
        <v>148592592.59259224</v>
      </c>
      <c r="S195" s="77"/>
      <c r="T195" s="4">
        <v>80</v>
      </c>
      <c r="U195" s="15">
        <f t="shared" si="57"/>
        <v>1.2286738244371431E-2</v>
      </c>
      <c r="V195" s="133">
        <f t="shared" si="58"/>
        <v>3638602.1006295285</v>
      </c>
      <c r="W195" s="132">
        <f t="shared" si="59"/>
        <v>1484710.6143137841</v>
      </c>
      <c r="X195" s="132">
        <f t="shared" si="60"/>
        <v>2153891.4863157445</v>
      </c>
      <c r="Y195" s="27">
        <f t="shared" si="61"/>
        <v>173817427.63238034</v>
      </c>
    </row>
    <row r="196" spans="1:25" x14ac:dyDescent="0.25">
      <c r="A196" s="59">
        <v>66</v>
      </c>
      <c r="B196" s="59" t="s">
        <v>293</v>
      </c>
      <c r="C196" s="140">
        <v>3.4500000000000003E-2</v>
      </c>
      <c r="D196" s="63">
        <f t="shared" si="62"/>
        <v>0.10143079604845218</v>
      </c>
      <c r="E196" s="63">
        <f t="shared" si="63"/>
        <v>0.13943015851212381</v>
      </c>
      <c r="F196" s="64">
        <f t="shared" si="64"/>
        <v>1.093672989454153E-2</v>
      </c>
      <c r="H196" s="4">
        <v>81</v>
      </c>
      <c r="I196" s="54">
        <f t="shared" si="49"/>
        <v>3638602.1006295285</v>
      </c>
      <c r="J196" s="54">
        <f t="shared" si="50"/>
        <v>495514.72012230894</v>
      </c>
      <c r="K196" s="93">
        <f t="shared" si="51"/>
        <v>3143087.3805072196</v>
      </c>
      <c r="L196" s="74">
        <f t="shared" si="52"/>
        <v>212335885.62056607</v>
      </c>
      <c r="N196" s="4">
        <v>81</v>
      </c>
      <c r="O196" s="54">
        <f t="shared" si="53"/>
        <v>3287003.2945238724</v>
      </c>
      <c r="P196" s="74">
        <f t="shared" si="54"/>
        <v>2194410.7019312796</v>
      </c>
      <c r="Q196" s="54">
        <f t="shared" si="55"/>
        <v>1092592.5925925926</v>
      </c>
      <c r="R196" s="74">
        <f t="shared" si="56"/>
        <v>147499999.99999964</v>
      </c>
      <c r="S196" s="77"/>
      <c r="T196" s="4">
        <v>81</v>
      </c>
      <c r="U196" s="15">
        <f t="shared" si="57"/>
        <v>1.2294762744976095E-2</v>
      </c>
      <c r="V196" s="133">
        <f t="shared" si="58"/>
        <v>3638602.1006295285</v>
      </c>
      <c r="W196" s="132">
        <f t="shared" si="59"/>
        <v>1501558.0669473601</v>
      </c>
      <c r="X196" s="132">
        <f t="shared" si="60"/>
        <v>2137044.0336821685</v>
      </c>
      <c r="Y196" s="27">
        <f t="shared" si="61"/>
        <v>172315869.56543297</v>
      </c>
    </row>
    <row r="197" spans="1:25" x14ac:dyDescent="0.25">
      <c r="A197" s="59">
        <v>67</v>
      </c>
      <c r="B197" s="59" t="s">
        <v>292</v>
      </c>
      <c r="C197" s="140">
        <v>3.44E-2</v>
      </c>
      <c r="D197" s="63">
        <f t="shared" si="62"/>
        <v>0.10143079604845218</v>
      </c>
      <c r="E197" s="63">
        <f t="shared" si="63"/>
        <v>0.13932001543251893</v>
      </c>
      <c r="F197" s="64">
        <f t="shared" si="64"/>
        <v>1.0928586012456609E-2</v>
      </c>
      <c r="H197" s="4">
        <v>82</v>
      </c>
      <c r="I197" s="54">
        <f t="shared" si="49"/>
        <v>3638602.1006295285</v>
      </c>
      <c r="J197" s="54">
        <f t="shared" si="50"/>
        <v>502832.46581762889</v>
      </c>
      <c r="K197" s="93">
        <f t="shared" si="51"/>
        <v>3135769.6348118996</v>
      </c>
      <c r="L197" s="74">
        <f t="shared" si="52"/>
        <v>211833053.15474844</v>
      </c>
      <c r="N197" s="4">
        <v>82</v>
      </c>
      <c r="O197" s="54">
        <f t="shared" si="53"/>
        <v>3270867.9217155538</v>
      </c>
      <c r="P197" s="74">
        <f t="shared" si="54"/>
        <v>2178275.3291229615</v>
      </c>
      <c r="Q197" s="54">
        <f t="shared" si="55"/>
        <v>1092592.5925925926</v>
      </c>
      <c r="R197" s="74">
        <f t="shared" si="56"/>
        <v>146407407.40740705</v>
      </c>
      <c r="S197" s="77"/>
      <c r="T197" s="4">
        <v>82</v>
      </c>
      <c r="U197" s="15">
        <f t="shared" si="57"/>
        <v>1.2407032347660163E-2</v>
      </c>
      <c r="V197" s="133">
        <f t="shared" si="58"/>
        <v>3638602.1006295285</v>
      </c>
      <c r="W197" s="132">
        <f t="shared" si="59"/>
        <v>1500673.5329160122</v>
      </c>
      <c r="X197" s="132">
        <f t="shared" si="60"/>
        <v>2137928.5677135163</v>
      </c>
      <c r="Y197" s="27">
        <f t="shared" si="61"/>
        <v>170815196.03251696</v>
      </c>
    </row>
    <row r="198" spans="1:25" x14ac:dyDescent="0.25">
      <c r="A198" s="59">
        <v>68</v>
      </c>
      <c r="B198" s="59" t="s">
        <v>291</v>
      </c>
      <c r="C198" s="140">
        <v>3.5000000000000003E-2</v>
      </c>
      <c r="D198" s="63">
        <f t="shared" si="62"/>
        <v>0.10143079604845218</v>
      </c>
      <c r="E198" s="63">
        <f t="shared" si="63"/>
        <v>0.13998087391014802</v>
      </c>
      <c r="F198" s="64">
        <f t="shared" si="64"/>
        <v>1.0977438483722679E-2</v>
      </c>
      <c r="H198" s="4">
        <v>83</v>
      </c>
      <c r="I198" s="54">
        <f t="shared" si="49"/>
        <v>3638602.1006295285</v>
      </c>
      <c r="J198" s="54">
        <f t="shared" si="50"/>
        <v>510258.27974964678</v>
      </c>
      <c r="K198" s="93">
        <f t="shared" si="51"/>
        <v>3128343.8208798817</v>
      </c>
      <c r="L198" s="74">
        <f t="shared" si="52"/>
        <v>211322794.87499881</v>
      </c>
      <c r="N198" s="4">
        <v>83</v>
      </c>
      <c r="O198" s="54">
        <f t="shared" si="53"/>
        <v>3254732.5489072353</v>
      </c>
      <c r="P198" s="74">
        <f t="shared" si="54"/>
        <v>2162139.9563146429</v>
      </c>
      <c r="Q198" s="54">
        <f t="shared" si="55"/>
        <v>1092592.5925925926</v>
      </c>
      <c r="R198" s="74">
        <f t="shared" si="56"/>
        <v>145314814.81481445</v>
      </c>
      <c r="S198" s="77"/>
      <c r="T198" s="4">
        <v>83</v>
      </c>
      <c r="U198" s="15">
        <f t="shared" si="57"/>
        <v>1.2479133411900767E-2</v>
      </c>
      <c r="V198" s="133">
        <f t="shared" si="58"/>
        <v>3638602.1006295285</v>
      </c>
      <c r="W198" s="132">
        <f t="shared" si="59"/>
        <v>1506976.4805597668</v>
      </c>
      <c r="X198" s="132">
        <f t="shared" si="60"/>
        <v>2131625.6200697618</v>
      </c>
      <c r="Y198" s="27">
        <f t="shared" si="61"/>
        <v>169308219.55195719</v>
      </c>
    </row>
    <row r="199" spans="1:25" x14ac:dyDescent="0.25">
      <c r="A199" s="59">
        <v>69</v>
      </c>
      <c r="B199" s="59" t="s">
        <v>290</v>
      </c>
      <c r="C199" s="140">
        <v>3.4799999999999998E-2</v>
      </c>
      <c r="D199" s="63">
        <f t="shared" si="62"/>
        <v>0.10143079604845218</v>
      </c>
      <c r="E199" s="63">
        <f t="shared" si="63"/>
        <v>0.13976058775093825</v>
      </c>
      <c r="F199" s="64">
        <f t="shared" si="64"/>
        <v>1.0961157211764494E-2</v>
      </c>
      <c r="H199" s="4">
        <v>84</v>
      </c>
      <c r="I199" s="54">
        <f t="shared" si="49"/>
        <v>3638602.1006295285</v>
      </c>
      <c r="J199" s="54">
        <f t="shared" si="50"/>
        <v>517793.7578666592</v>
      </c>
      <c r="K199" s="93">
        <f t="shared" si="51"/>
        <v>3120808.3427628693</v>
      </c>
      <c r="L199" s="74">
        <f t="shared" si="52"/>
        <v>210805001.11713216</v>
      </c>
      <c r="N199" s="4">
        <v>84</v>
      </c>
      <c r="O199" s="54">
        <f t="shared" si="53"/>
        <v>3238597.1760989176</v>
      </c>
      <c r="P199" s="74">
        <f t="shared" si="54"/>
        <v>2146004.5835063248</v>
      </c>
      <c r="Q199" s="54">
        <f t="shared" si="55"/>
        <v>1092592.5925925926</v>
      </c>
      <c r="R199" s="74">
        <f t="shared" si="56"/>
        <v>144222222.22222185</v>
      </c>
      <c r="S199" s="77"/>
      <c r="T199" s="4">
        <v>84</v>
      </c>
      <c r="U199" s="15">
        <f t="shared" si="57"/>
        <v>1.2567180303781011E-2</v>
      </c>
      <c r="V199" s="133">
        <f t="shared" si="58"/>
        <v>3638602.1006295285</v>
      </c>
      <c r="W199" s="132">
        <f t="shared" si="59"/>
        <v>1510875.1786079411</v>
      </c>
      <c r="X199" s="132">
        <f t="shared" si="60"/>
        <v>2127726.9220215874</v>
      </c>
      <c r="Y199" s="27">
        <f t="shared" si="61"/>
        <v>167797344.37334925</v>
      </c>
    </row>
    <row r="200" spans="1:25" x14ac:dyDescent="0.25">
      <c r="A200" s="59">
        <v>70</v>
      </c>
      <c r="B200" s="59" t="s">
        <v>289</v>
      </c>
      <c r="C200" s="140">
        <v>3.4599999999999999E-2</v>
      </c>
      <c r="D200" s="63">
        <f t="shared" si="62"/>
        <v>0.10143079604845218</v>
      </c>
      <c r="E200" s="63">
        <f t="shared" si="63"/>
        <v>0.13954030159172848</v>
      </c>
      <c r="F200" s="64">
        <f t="shared" si="64"/>
        <v>1.0944873055032112E-2</v>
      </c>
      <c r="H200" s="4">
        <v>85</v>
      </c>
      <c r="I200" s="54">
        <f t="shared" si="49"/>
        <v>3638602.1006295285</v>
      </c>
      <c r="J200" s="54">
        <f t="shared" si="50"/>
        <v>525440.51968587842</v>
      </c>
      <c r="K200" s="93">
        <f t="shared" si="51"/>
        <v>3113161.5809436501</v>
      </c>
      <c r="L200" s="74">
        <f t="shared" si="52"/>
        <v>210279560.59744629</v>
      </c>
      <c r="N200" s="4">
        <v>85</v>
      </c>
      <c r="O200" s="54">
        <f t="shared" si="53"/>
        <v>3222461.803290599</v>
      </c>
      <c r="P200" s="74">
        <f t="shared" si="54"/>
        <v>2129869.2106980062</v>
      </c>
      <c r="Q200" s="54">
        <f t="shared" si="55"/>
        <v>1092592.5925925926</v>
      </c>
      <c r="R200" s="74">
        <f t="shared" si="56"/>
        <v>143129629.62962925</v>
      </c>
      <c r="S200" s="77"/>
      <c r="T200" s="4">
        <v>85</v>
      </c>
      <c r="U200" s="15">
        <f t="shared" si="57"/>
        <v>1.2551178040961064E-2</v>
      </c>
      <c r="V200" s="133">
        <f t="shared" si="58"/>
        <v>3638602.1006295285</v>
      </c>
      <c r="W200" s="132">
        <f t="shared" si="59"/>
        <v>1532547.756599166</v>
      </c>
      <c r="X200" s="132">
        <f t="shared" si="60"/>
        <v>2106054.3440303626</v>
      </c>
      <c r="Y200" s="27">
        <f t="shared" si="61"/>
        <v>166264796.61675009</v>
      </c>
    </row>
    <row r="201" spans="1:25" x14ac:dyDescent="0.25">
      <c r="A201" s="59">
        <v>71</v>
      </c>
      <c r="B201" s="59" t="s">
        <v>288</v>
      </c>
      <c r="C201" s="140">
        <v>3.5900000000000001E-2</v>
      </c>
      <c r="D201" s="63">
        <f t="shared" si="62"/>
        <v>0.10143079604845218</v>
      </c>
      <c r="E201" s="63">
        <f t="shared" si="63"/>
        <v>0.14097216162659176</v>
      </c>
      <c r="F201" s="64">
        <f t="shared" si="64"/>
        <v>1.1050668537084807E-2</v>
      </c>
      <c r="H201" s="4">
        <v>86</v>
      </c>
      <c r="I201" s="54">
        <f t="shared" si="49"/>
        <v>3638602.1006295285</v>
      </c>
      <c r="J201" s="54">
        <f t="shared" si="50"/>
        <v>533200.20864149369</v>
      </c>
      <c r="K201" s="93">
        <f t="shared" si="51"/>
        <v>3105401.8919880348</v>
      </c>
      <c r="L201" s="74">
        <f t="shared" si="52"/>
        <v>209746360.38880479</v>
      </c>
      <c r="N201" s="4">
        <v>86</v>
      </c>
      <c r="O201" s="54">
        <f t="shared" si="53"/>
        <v>3206326.4304822804</v>
      </c>
      <c r="P201" s="74">
        <f t="shared" si="54"/>
        <v>2113733.8378896881</v>
      </c>
      <c r="Q201" s="54">
        <f t="shared" si="55"/>
        <v>1092592.5925925926</v>
      </c>
      <c r="R201" s="74">
        <f t="shared" si="56"/>
        <v>142037037.03703666</v>
      </c>
      <c r="S201" s="77"/>
      <c r="T201" s="4">
        <v>86</v>
      </c>
      <c r="U201" s="15">
        <f t="shared" si="57"/>
        <v>1.2551178040961064E-2</v>
      </c>
      <c r="V201" s="133">
        <f t="shared" si="58"/>
        <v>3638602.1006295285</v>
      </c>
      <c r="W201" s="132">
        <f t="shared" si="59"/>
        <v>1551783.0363485173</v>
      </c>
      <c r="X201" s="132">
        <f t="shared" si="60"/>
        <v>2086819.0642810112</v>
      </c>
      <c r="Y201" s="27">
        <f t="shared" si="61"/>
        <v>164713013.58040157</v>
      </c>
    </row>
    <row r="202" spans="1:25" x14ac:dyDescent="0.25">
      <c r="A202" s="59">
        <v>72</v>
      </c>
      <c r="B202" s="59" t="s">
        <v>287</v>
      </c>
      <c r="C202" s="140">
        <v>3.7400000000000003E-2</v>
      </c>
      <c r="D202" s="63">
        <f t="shared" si="62"/>
        <v>0.10143079604845218</v>
      </c>
      <c r="E202" s="63">
        <f t="shared" si="63"/>
        <v>0.14262430782066438</v>
      </c>
      <c r="F202" s="64">
        <f t="shared" si="64"/>
        <v>1.1172589123109589E-2</v>
      </c>
      <c r="H202" s="4">
        <v>87</v>
      </c>
      <c r="I202" s="54">
        <f t="shared" si="49"/>
        <v>3638602.1006295285</v>
      </c>
      <c r="J202" s="54">
        <f t="shared" si="50"/>
        <v>541074.49243788002</v>
      </c>
      <c r="K202" s="93">
        <f t="shared" si="51"/>
        <v>3097527.6081916485</v>
      </c>
      <c r="L202" s="74">
        <f t="shared" si="52"/>
        <v>209205285.89636692</v>
      </c>
      <c r="N202" s="4">
        <v>87</v>
      </c>
      <c r="O202" s="54">
        <f t="shared" si="53"/>
        <v>3190191.0576739628</v>
      </c>
      <c r="P202" s="74">
        <f t="shared" si="54"/>
        <v>2097598.46508137</v>
      </c>
      <c r="Q202" s="54">
        <f t="shared" si="55"/>
        <v>1092592.5925925926</v>
      </c>
      <c r="R202" s="74">
        <f t="shared" si="56"/>
        <v>140944444.44444406</v>
      </c>
      <c r="S202" s="77"/>
      <c r="T202" s="4">
        <v>87</v>
      </c>
      <c r="U202" s="15">
        <f t="shared" si="57"/>
        <v>1.2543175866227774E-2</v>
      </c>
      <c r="V202" s="133">
        <f t="shared" si="58"/>
        <v>3638602.1006295285</v>
      </c>
      <c r="W202" s="132">
        <f t="shared" si="59"/>
        <v>1572577.803834188</v>
      </c>
      <c r="X202" s="132">
        <f t="shared" si="60"/>
        <v>2066024.2967953405</v>
      </c>
      <c r="Y202" s="27">
        <f t="shared" si="61"/>
        <v>163140435.77656737</v>
      </c>
    </row>
    <row r="203" spans="1:25" x14ac:dyDescent="0.25">
      <c r="A203" s="59">
        <v>73</v>
      </c>
      <c r="B203" s="59" t="s">
        <v>286</v>
      </c>
      <c r="C203" s="140">
        <v>3.8800000000000001E-2</v>
      </c>
      <c r="D203" s="63">
        <f t="shared" si="62"/>
        <v>0.10143079604845218</v>
      </c>
      <c r="E203" s="63">
        <f t="shared" si="63"/>
        <v>0.1441663109351321</v>
      </c>
      <c r="F203" s="64">
        <f t="shared" si="64"/>
        <v>1.1286235961134317E-2</v>
      </c>
      <c r="H203" s="4">
        <v>88</v>
      </c>
      <c r="I203" s="54">
        <f t="shared" si="49"/>
        <v>3638602.1006295285</v>
      </c>
      <c r="J203" s="54">
        <f t="shared" si="50"/>
        <v>549065.06340801669</v>
      </c>
      <c r="K203" s="93">
        <f t="shared" si="51"/>
        <v>3089537.0372215118</v>
      </c>
      <c r="L203" s="74">
        <f t="shared" si="52"/>
        <v>208656220.83295891</v>
      </c>
      <c r="N203" s="4">
        <v>88</v>
      </c>
      <c r="O203" s="54">
        <f t="shared" si="53"/>
        <v>3174055.6848656442</v>
      </c>
      <c r="P203" s="74">
        <f t="shared" si="54"/>
        <v>2081463.0922730514</v>
      </c>
      <c r="Q203" s="54">
        <f t="shared" si="55"/>
        <v>1092592.5925925926</v>
      </c>
      <c r="R203" s="74">
        <f t="shared" si="56"/>
        <v>139851851.85185146</v>
      </c>
      <c r="S203" s="77"/>
      <c r="T203" s="4">
        <v>88</v>
      </c>
      <c r="U203" s="15">
        <f t="shared" si="57"/>
        <v>1.2519165167216739E-2</v>
      </c>
      <c r="V203" s="133">
        <f t="shared" si="58"/>
        <v>3638602.1006295285</v>
      </c>
      <c r="W203" s="132">
        <f t="shared" si="59"/>
        <v>1596220.0396909667</v>
      </c>
      <c r="X203" s="132">
        <f t="shared" si="60"/>
        <v>2042382.0609385618</v>
      </c>
      <c r="Y203" s="27">
        <f t="shared" si="61"/>
        <v>161544215.7368764</v>
      </c>
    </row>
    <row r="204" spans="1:25" x14ac:dyDescent="0.25">
      <c r="A204" s="59">
        <v>74</v>
      </c>
      <c r="B204" s="59" t="s">
        <v>285</v>
      </c>
      <c r="C204" s="140">
        <v>4.1000000000000002E-2</v>
      </c>
      <c r="D204" s="63">
        <f t="shared" si="62"/>
        <v>0.10143079604845218</v>
      </c>
      <c r="E204" s="63">
        <f t="shared" si="63"/>
        <v>0.14658945868643869</v>
      </c>
      <c r="F204" s="64">
        <f t="shared" si="64"/>
        <v>1.1464540499890097E-2</v>
      </c>
      <c r="H204" s="4">
        <v>89</v>
      </c>
      <c r="I204" s="54">
        <f t="shared" si="49"/>
        <v>3638602.1006295285</v>
      </c>
      <c r="J204" s="54">
        <f t="shared" si="50"/>
        <v>557173.63887720322</v>
      </c>
      <c r="K204" s="93">
        <f t="shared" si="51"/>
        <v>3081428.4617523253</v>
      </c>
      <c r="L204" s="74">
        <f t="shared" si="52"/>
        <v>208099047.19408169</v>
      </c>
      <c r="N204" s="4">
        <v>89</v>
      </c>
      <c r="O204" s="54">
        <f t="shared" si="53"/>
        <v>3157920.3120573256</v>
      </c>
      <c r="P204" s="74">
        <f t="shared" si="54"/>
        <v>2065327.719464733</v>
      </c>
      <c r="Q204" s="54">
        <f t="shared" si="55"/>
        <v>1092592.5925925926</v>
      </c>
      <c r="R204" s="74">
        <f t="shared" si="56"/>
        <v>138759259.25925887</v>
      </c>
      <c r="S204" s="77"/>
      <c r="T204" s="4">
        <v>89</v>
      </c>
      <c r="U204" s="15">
        <f t="shared" si="57"/>
        <v>1.2447095467260638E-2</v>
      </c>
      <c r="V204" s="133">
        <f t="shared" si="58"/>
        <v>3638602.1006295285</v>
      </c>
      <c r="W204" s="132">
        <f t="shared" si="59"/>
        <v>1627845.8251688797</v>
      </c>
      <c r="X204" s="132">
        <f t="shared" si="60"/>
        <v>2010756.2754606488</v>
      </c>
      <c r="Y204" s="27">
        <f t="shared" si="61"/>
        <v>159916369.91170752</v>
      </c>
    </row>
    <row r="205" spans="1:25" x14ac:dyDescent="0.25">
      <c r="A205" s="59">
        <v>75</v>
      </c>
      <c r="B205" s="59" t="s">
        <v>284</v>
      </c>
      <c r="C205" s="140">
        <v>4.2099999999999999E-2</v>
      </c>
      <c r="D205" s="63">
        <f t="shared" si="62"/>
        <v>0.10143079604845218</v>
      </c>
      <c r="E205" s="63">
        <f t="shared" si="63"/>
        <v>0.14780103256209198</v>
      </c>
      <c r="F205" s="64">
        <f t="shared" si="64"/>
        <v>1.1553563275223278E-2</v>
      </c>
      <c r="H205" s="4">
        <v>90</v>
      </c>
      <c r="I205" s="54">
        <f t="shared" si="49"/>
        <v>3638602.1006295285</v>
      </c>
      <c r="J205" s="54">
        <f t="shared" si="50"/>
        <v>565401.96153214481</v>
      </c>
      <c r="K205" s="93">
        <f t="shared" si="51"/>
        <v>3073200.1390973837</v>
      </c>
      <c r="L205" s="74">
        <f t="shared" si="52"/>
        <v>207533645.23254955</v>
      </c>
      <c r="N205" s="4">
        <v>90</v>
      </c>
      <c r="O205" s="54">
        <f t="shared" si="53"/>
        <v>3141784.939249007</v>
      </c>
      <c r="P205" s="74">
        <f t="shared" si="54"/>
        <v>2049192.3466564147</v>
      </c>
      <c r="Q205" s="54">
        <f t="shared" si="55"/>
        <v>1092592.5925925926</v>
      </c>
      <c r="R205" s="74">
        <f t="shared" si="56"/>
        <v>137666666.66666627</v>
      </c>
      <c r="S205" s="77"/>
      <c r="T205" s="4">
        <v>90</v>
      </c>
      <c r="U205" s="15">
        <f t="shared" si="57"/>
        <v>1.2527169429481955E-2</v>
      </c>
      <c r="V205" s="133">
        <f t="shared" si="58"/>
        <v>3638602.1006295285</v>
      </c>
      <c r="W205" s="132">
        <f t="shared" si="59"/>
        <v>1635302.6401978582</v>
      </c>
      <c r="X205" s="132">
        <f t="shared" si="60"/>
        <v>2003299.4604316703</v>
      </c>
      <c r="Y205" s="27">
        <f t="shared" si="61"/>
        <v>158281067.27150965</v>
      </c>
    </row>
    <row r="206" spans="1:25" x14ac:dyDescent="0.25">
      <c r="A206" s="59">
        <v>76</v>
      </c>
      <c r="B206" s="59" t="s">
        <v>283</v>
      </c>
      <c r="C206" s="140">
        <v>4.4900000000000002E-2</v>
      </c>
      <c r="D206" s="63">
        <f t="shared" si="62"/>
        <v>0.10143079604845218</v>
      </c>
      <c r="E206" s="63">
        <f t="shared" si="63"/>
        <v>0.15088503879102766</v>
      </c>
      <c r="F206" s="64">
        <f t="shared" si="64"/>
        <v>1.1779778605556013E-2</v>
      </c>
      <c r="H206" s="4">
        <v>91</v>
      </c>
      <c r="I206" s="54">
        <f t="shared" si="49"/>
        <v>3638602.1006295285</v>
      </c>
      <c r="J206" s="54">
        <f t="shared" si="50"/>
        <v>573751.79979548883</v>
      </c>
      <c r="K206" s="93">
        <f t="shared" si="51"/>
        <v>3064850.3008340397</v>
      </c>
      <c r="L206" s="74">
        <f t="shared" si="52"/>
        <v>206959893.43275407</v>
      </c>
      <c r="N206" s="4">
        <v>91</v>
      </c>
      <c r="O206" s="54">
        <f t="shared" si="53"/>
        <v>3125649.5664406889</v>
      </c>
      <c r="P206" s="74">
        <f t="shared" si="54"/>
        <v>2033056.9738480963</v>
      </c>
      <c r="Q206" s="54">
        <f t="shared" si="55"/>
        <v>1092592.5925925926</v>
      </c>
      <c r="R206" s="74">
        <f t="shared" si="56"/>
        <v>136574074.07407367</v>
      </c>
      <c r="S206" s="77"/>
      <c r="T206" s="4">
        <v>91</v>
      </c>
      <c r="U206" s="15">
        <f t="shared" si="57"/>
        <v>1.2439084238323517E-2</v>
      </c>
      <c r="V206" s="133">
        <f t="shared" si="58"/>
        <v>3638602.1006295285</v>
      </c>
      <c r="W206" s="132">
        <f t="shared" si="59"/>
        <v>1669730.5715074686</v>
      </c>
      <c r="X206" s="132">
        <f t="shared" si="60"/>
        <v>1968871.5291220599</v>
      </c>
      <c r="Y206" s="27">
        <f t="shared" si="61"/>
        <v>156611336.70000219</v>
      </c>
    </row>
    <row r="207" spans="1:25" x14ac:dyDescent="0.25">
      <c r="A207" s="59">
        <v>77</v>
      </c>
      <c r="B207" s="59" t="s">
        <v>282</v>
      </c>
      <c r="C207" s="140">
        <v>4.6100000000000002E-2</v>
      </c>
      <c r="D207" s="63">
        <f t="shared" si="62"/>
        <v>0.10143079604845218</v>
      </c>
      <c r="E207" s="63">
        <f t="shared" si="63"/>
        <v>0.15220675574628584</v>
      </c>
      <c r="F207" s="64">
        <f t="shared" si="64"/>
        <v>1.1876557972231971E-2</v>
      </c>
      <c r="H207" s="4">
        <v>92</v>
      </c>
      <c r="I207" s="54">
        <f t="shared" si="49"/>
        <v>3638602.1006295285</v>
      </c>
      <c r="J207" s="54">
        <f t="shared" si="50"/>
        <v>582224.94820589107</v>
      </c>
      <c r="K207" s="93">
        <f t="shared" si="51"/>
        <v>3056377.1524236375</v>
      </c>
      <c r="L207" s="74">
        <f t="shared" si="52"/>
        <v>206377668.48454818</v>
      </c>
      <c r="N207" s="4">
        <v>92</v>
      </c>
      <c r="O207" s="54">
        <f t="shared" si="53"/>
        <v>3109514.1936323708</v>
      </c>
      <c r="P207" s="74">
        <f t="shared" si="54"/>
        <v>2016921.601039778</v>
      </c>
      <c r="Q207" s="54">
        <f t="shared" si="55"/>
        <v>1092592.5925925926</v>
      </c>
      <c r="R207" s="74">
        <f t="shared" si="56"/>
        <v>135481481.48148108</v>
      </c>
      <c r="S207" s="77"/>
      <c r="T207" s="4">
        <v>92</v>
      </c>
      <c r="U207" s="15">
        <f t="shared" si="57"/>
        <v>1.2366951781244584E-2</v>
      </c>
      <c r="V207" s="133">
        <f t="shared" si="58"/>
        <v>3638602.1006295285</v>
      </c>
      <c r="W207" s="132">
        <f t="shared" si="59"/>
        <v>1701797.2512643412</v>
      </c>
      <c r="X207" s="132">
        <f t="shared" si="60"/>
        <v>1936804.8493651873</v>
      </c>
      <c r="Y207" s="27">
        <f t="shared" si="61"/>
        <v>154909539.44873786</v>
      </c>
    </row>
    <row r="208" spans="1:25" x14ac:dyDescent="0.25">
      <c r="A208" s="59">
        <v>78</v>
      </c>
      <c r="B208" s="59" t="s">
        <v>281</v>
      </c>
      <c r="C208" s="140">
        <v>4.7199999999999999E-2</v>
      </c>
      <c r="D208" s="63">
        <f t="shared" si="62"/>
        <v>0.10143079604845218</v>
      </c>
      <c r="E208" s="63">
        <f t="shared" si="63"/>
        <v>0.15341832962193891</v>
      </c>
      <c r="F208" s="64">
        <f t="shared" si="64"/>
        <v>1.1965183034677196E-2</v>
      </c>
      <c r="H208" s="4">
        <v>93</v>
      </c>
      <c r="I208" s="54">
        <f t="shared" si="49"/>
        <v>3638602.1006295285</v>
      </c>
      <c r="J208" s="54">
        <f t="shared" si="50"/>
        <v>590823.22780370014</v>
      </c>
      <c r="K208" s="93">
        <f t="shared" si="51"/>
        <v>3047778.8728258284</v>
      </c>
      <c r="L208" s="74">
        <f t="shared" si="52"/>
        <v>205786845.25674447</v>
      </c>
      <c r="N208" s="4">
        <v>93</v>
      </c>
      <c r="O208" s="54">
        <f t="shared" si="53"/>
        <v>3093378.8208240522</v>
      </c>
      <c r="P208" s="74">
        <f t="shared" si="54"/>
        <v>2000786.2282314596</v>
      </c>
      <c r="Q208" s="54">
        <f t="shared" si="55"/>
        <v>1092592.5925925926</v>
      </c>
      <c r="R208" s="74">
        <f t="shared" si="56"/>
        <v>134388888.88888848</v>
      </c>
      <c r="S208" s="77"/>
      <c r="T208" s="4">
        <v>93</v>
      </c>
      <c r="U208" s="15">
        <f t="shared" si="57"/>
        <v>1.2286738244371431E-2</v>
      </c>
      <c r="V208" s="133">
        <f t="shared" si="58"/>
        <v>3638602.1006295285</v>
      </c>
      <c r="W208" s="132">
        <f t="shared" si="59"/>
        <v>1735269.1378667562</v>
      </c>
      <c r="X208" s="132">
        <f t="shared" si="60"/>
        <v>1903332.9627627723</v>
      </c>
      <c r="Y208" s="27">
        <f t="shared" si="61"/>
        <v>153174270.31087109</v>
      </c>
    </row>
    <row r="209" spans="1:25" x14ac:dyDescent="0.25">
      <c r="A209" s="59">
        <v>79</v>
      </c>
      <c r="B209" s="59" t="s">
        <v>280</v>
      </c>
      <c r="C209" s="140">
        <v>5.0799999999999998E-2</v>
      </c>
      <c r="D209" s="63">
        <f t="shared" si="62"/>
        <v>0.10143079604845218</v>
      </c>
      <c r="E209" s="63">
        <f t="shared" si="63"/>
        <v>0.15738348048771345</v>
      </c>
      <c r="F209" s="64">
        <f t="shared" si="64"/>
        <v>1.225463324285303E-2</v>
      </c>
      <c r="H209" s="4">
        <v>94</v>
      </c>
      <c r="I209" s="54">
        <f t="shared" si="49"/>
        <v>3638602.1006295285</v>
      </c>
      <c r="J209" s="54">
        <f t="shared" si="50"/>
        <v>599548.48652232811</v>
      </c>
      <c r="K209" s="93">
        <f t="shared" si="51"/>
        <v>3039053.6141072004</v>
      </c>
      <c r="L209" s="74">
        <f t="shared" si="52"/>
        <v>205187296.77022216</v>
      </c>
      <c r="N209" s="4">
        <v>94</v>
      </c>
      <c r="O209" s="54">
        <f t="shared" si="53"/>
        <v>3077243.4480157341</v>
      </c>
      <c r="P209" s="74">
        <f t="shared" si="54"/>
        <v>1984650.8554231415</v>
      </c>
      <c r="Q209" s="54">
        <f t="shared" si="55"/>
        <v>1092592.5925925926</v>
      </c>
      <c r="R209" s="74">
        <f t="shared" si="56"/>
        <v>133296296.29629588</v>
      </c>
      <c r="S209" s="77"/>
      <c r="T209" s="4">
        <v>94</v>
      </c>
      <c r="U209" s="15">
        <f t="shared" si="57"/>
        <v>1.2045677252681797E-2</v>
      </c>
      <c r="V209" s="133">
        <f t="shared" si="58"/>
        <v>3638602.1006295285</v>
      </c>
      <c r="W209" s="132">
        <f t="shared" si="59"/>
        <v>1793514.2770497359</v>
      </c>
      <c r="X209" s="132">
        <f t="shared" si="60"/>
        <v>1845087.8235797926</v>
      </c>
      <c r="Y209" s="27">
        <f t="shared" si="61"/>
        <v>151380756.03382134</v>
      </c>
    </row>
    <row r="210" spans="1:25" x14ac:dyDescent="0.25">
      <c r="A210" s="59">
        <v>80</v>
      </c>
      <c r="B210" s="59" t="s">
        <v>279</v>
      </c>
      <c r="C210" s="140">
        <v>5.1200000000000002E-2</v>
      </c>
      <c r="D210" s="63">
        <f t="shared" si="62"/>
        <v>0.10143079604845218</v>
      </c>
      <c r="E210" s="63">
        <f t="shared" si="63"/>
        <v>0.15782405280613276</v>
      </c>
      <c r="F210" s="64">
        <f t="shared" si="64"/>
        <v>1.2286738244371431E-2</v>
      </c>
      <c r="H210" s="4">
        <v>95</v>
      </c>
      <c r="I210" s="54">
        <f t="shared" si="49"/>
        <v>3638602.1006295285</v>
      </c>
      <c r="J210" s="54">
        <f t="shared" si="50"/>
        <v>608402.59958540974</v>
      </c>
      <c r="K210" s="93">
        <f t="shared" si="51"/>
        <v>3030199.5010441188</v>
      </c>
      <c r="L210" s="74">
        <f t="shared" si="52"/>
        <v>204578894.17063674</v>
      </c>
      <c r="N210" s="4">
        <v>95</v>
      </c>
      <c r="O210" s="54">
        <f t="shared" si="53"/>
        <v>3061108.075207416</v>
      </c>
      <c r="P210" s="74">
        <f t="shared" si="54"/>
        <v>1968515.4826148232</v>
      </c>
      <c r="Q210" s="54">
        <f t="shared" si="55"/>
        <v>1092592.5925925926</v>
      </c>
      <c r="R210" s="74">
        <f t="shared" si="56"/>
        <v>132203703.70370328</v>
      </c>
      <c r="S210" s="77"/>
      <c r="T210" s="4">
        <v>95</v>
      </c>
      <c r="U210" s="15">
        <f t="shared" si="57"/>
        <v>1.1844309495768979E-2</v>
      </c>
      <c r="V210" s="133">
        <f t="shared" si="58"/>
        <v>3638602.1006295285</v>
      </c>
      <c r="W210" s="132">
        <f t="shared" si="59"/>
        <v>1845601.5744614513</v>
      </c>
      <c r="X210" s="132">
        <f t="shared" si="60"/>
        <v>1793000.5261680773</v>
      </c>
      <c r="Y210" s="27">
        <f t="shared" si="61"/>
        <v>149535154.45935988</v>
      </c>
    </row>
    <row r="211" spans="1:25" x14ac:dyDescent="0.25">
      <c r="A211" s="59">
        <v>81</v>
      </c>
      <c r="B211" s="59" t="s">
        <v>278</v>
      </c>
      <c r="C211" s="140">
        <v>5.1299999999999998E-2</v>
      </c>
      <c r="D211" s="63">
        <f t="shared" si="62"/>
        <v>0.10143079604845218</v>
      </c>
      <c r="E211" s="63">
        <f t="shared" si="63"/>
        <v>0.15793419588573765</v>
      </c>
      <c r="F211" s="64">
        <f t="shared" si="64"/>
        <v>1.2294762744976095E-2</v>
      </c>
      <c r="H211" s="4">
        <v>96</v>
      </c>
      <c r="I211" s="54">
        <f t="shared" si="49"/>
        <v>3638602.1006295285</v>
      </c>
      <c r="J211" s="54">
        <f t="shared" si="50"/>
        <v>617387.46990982443</v>
      </c>
      <c r="K211" s="93">
        <f t="shared" si="51"/>
        <v>3021214.6307197041</v>
      </c>
      <c r="L211" s="74">
        <f t="shared" si="52"/>
        <v>203961506.70072693</v>
      </c>
      <c r="N211" s="4">
        <v>96</v>
      </c>
      <c r="O211" s="54">
        <f t="shared" si="53"/>
        <v>3044972.7023990974</v>
      </c>
      <c r="P211" s="74">
        <f t="shared" si="54"/>
        <v>1952380.1098065048</v>
      </c>
      <c r="Q211" s="54">
        <f t="shared" si="55"/>
        <v>1092592.5925925926</v>
      </c>
      <c r="R211" s="74">
        <f t="shared" si="56"/>
        <v>131111111.11111069</v>
      </c>
      <c r="S211" s="77"/>
      <c r="T211" s="4">
        <v>96</v>
      </c>
      <c r="U211" s="15">
        <f t="shared" si="57"/>
        <v>1.1553563275223278E-2</v>
      </c>
      <c r="V211" s="133">
        <f t="shared" si="58"/>
        <v>3638602.1006295285</v>
      </c>
      <c r="W211" s="132">
        <f t="shared" si="59"/>
        <v>1910938.2317130279</v>
      </c>
      <c r="X211" s="132">
        <f t="shared" si="60"/>
        <v>1727663.8689165006</v>
      </c>
      <c r="Y211" s="27">
        <f t="shared" si="61"/>
        <v>147624216.22764686</v>
      </c>
    </row>
    <row r="212" spans="1:25" x14ac:dyDescent="0.25">
      <c r="A212" s="59">
        <v>82</v>
      </c>
      <c r="B212" s="59" t="s">
        <v>277</v>
      </c>
      <c r="C212" s="140">
        <v>5.2699999999999997E-2</v>
      </c>
      <c r="D212" s="63">
        <f t="shared" si="62"/>
        <v>0.10143079604845218</v>
      </c>
      <c r="E212" s="63">
        <f t="shared" si="63"/>
        <v>0.1594761990002056</v>
      </c>
      <c r="F212" s="64">
        <f t="shared" si="64"/>
        <v>1.2407032347660163E-2</v>
      </c>
      <c r="H212" s="4">
        <v>97</v>
      </c>
      <c r="I212" s="54">
        <f t="shared" si="49"/>
        <v>3638602.1006295285</v>
      </c>
      <c r="J212" s="54">
        <f t="shared" si="50"/>
        <v>626505.02851466648</v>
      </c>
      <c r="K212" s="93">
        <f t="shared" si="51"/>
        <v>3012097.072114862</v>
      </c>
      <c r="L212" s="74">
        <f t="shared" si="52"/>
        <v>203335001.67221227</v>
      </c>
      <c r="N212" s="4">
        <v>97</v>
      </c>
      <c r="O212" s="54">
        <f t="shared" si="53"/>
        <v>3028837.3295907788</v>
      </c>
      <c r="P212" s="74">
        <f t="shared" si="54"/>
        <v>1936244.7369981864</v>
      </c>
      <c r="Q212" s="54">
        <f t="shared" si="55"/>
        <v>1092592.5925925926</v>
      </c>
      <c r="R212" s="74">
        <f t="shared" si="56"/>
        <v>130018518.51851809</v>
      </c>
      <c r="S212" s="77"/>
      <c r="T212" s="4">
        <v>97</v>
      </c>
      <c r="U212" s="15">
        <f t="shared" si="57"/>
        <v>1.1367326347182294E-2</v>
      </c>
      <c r="V212" s="133">
        <f t="shared" ref="V212:V243" si="65">PMT($U$115,$C$127,-$C$123)</f>
        <v>3638602.1006295285</v>
      </c>
      <c r="W212" s="132">
        <f t="shared" ref="W212:W243" si="66">V212-X212</f>
        <v>1960509.4580228624</v>
      </c>
      <c r="X212" s="132">
        <f t="shared" ref="X212:X243" si="67">Y211*U212</f>
        <v>1678092.6426066661</v>
      </c>
      <c r="Y212" s="27">
        <f t="shared" ref="Y212:Y243" si="68">Y211-W212</f>
        <v>145663706.76962399</v>
      </c>
    </row>
    <row r="213" spans="1:25" x14ac:dyDescent="0.25">
      <c r="A213" s="59">
        <v>83</v>
      </c>
      <c r="B213" s="59" t="s">
        <v>276</v>
      </c>
      <c r="C213" s="140">
        <v>5.3600000000000002E-2</v>
      </c>
      <c r="D213" s="63">
        <f t="shared" si="62"/>
        <v>0.10143079604845218</v>
      </c>
      <c r="E213" s="63">
        <f t="shared" si="63"/>
        <v>0.16046748671664934</v>
      </c>
      <c r="F213" s="64">
        <f t="shared" si="64"/>
        <v>1.2479133411900767E-2</v>
      </c>
      <c r="H213" s="4">
        <v>98</v>
      </c>
      <c r="I213" s="54">
        <f t="shared" si="49"/>
        <v>3638602.1006295285</v>
      </c>
      <c r="J213" s="54">
        <f t="shared" si="50"/>
        <v>635757.23493625969</v>
      </c>
      <c r="K213" s="93">
        <f t="shared" si="51"/>
        <v>3002844.8656932688</v>
      </c>
      <c r="L213" s="74">
        <f t="shared" si="52"/>
        <v>202699244.43727601</v>
      </c>
      <c r="N213" s="4">
        <v>98</v>
      </c>
      <c r="O213" s="54">
        <f t="shared" si="53"/>
        <v>3012701.9567824607</v>
      </c>
      <c r="P213" s="74">
        <f t="shared" si="54"/>
        <v>1920109.3641898681</v>
      </c>
      <c r="Q213" s="54">
        <f t="shared" si="55"/>
        <v>1092592.5925925926</v>
      </c>
      <c r="R213" s="74">
        <f t="shared" si="56"/>
        <v>128925925.92592549</v>
      </c>
      <c r="S213" s="77"/>
      <c r="T213" s="4">
        <v>98</v>
      </c>
      <c r="U213" s="15">
        <f t="shared" si="57"/>
        <v>1.1334898774880475E-2</v>
      </c>
      <c r="V213" s="133">
        <f t="shared" si="65"/>
        <v>3638602.1006295285</v>
      </c>
      <c r="W213" s="132">
        <f t="shared" si="66"/>
        <v>1987518.7292219687</v>
      </c>
      <c r="X213" s="132">
        <f t="shared" si="67"/>
        <v>1651083.3714075598</v>
      </c>
      <c r="Y213" s="27">
        <f t="shared" si="68"/>
        <v>143676188.04040202</v>
      </c>
    </row>
    <row r="214" spans="1:25" x14ac:dyDescent="0.25">
      <c r="A214" s="59">
        <v>84</v>
      </c>
      <c r="B214" s="59" t="s">
        <v>275</v>
      </c>
      <c r="C214" s="140">
        <v>5.4699999999999999E-2</v>
      </c>
      <c r="D214" s="63">
        <f t="shared" si="62"/>
        <v>0.10143079604845218</v>
      </c>
      <c r="E214" s="63">
        <f t="shared" si="63"/>
        <v>0.16167906059230241</v>
      </c>
      <c r="F214" s="64">
        <f t="shared" si="64"/>
        <v>1.2567180303781011E-2</v>
      </c>
      <c r="H214" s="4">
        <v>99</v>
      </c>
      <c r="I214" s="54">
        <f t="shared" si="49"/>
        <v>3638602.1006295285</v>
      </c>
      <c r="J214" s="54">
        <f t="shared" si="50"/>
        <v>645146.07764929766</v>
      </c>
      <c r="K214" s="93">
        <f t="shared" si="51"/>
        <v>2993456.0229802309</v>
      </c>
      <c r="L214" s="74">
        <f t="shared" si="52"/>
        <v>202054098.35962671</v>
      </c>
      <c r="N214" s="4">
        <v>99</v>
      </c>
      <c r="O214" s="54">
        <f t="shared" si="53"/>
        <v>2996566.5839741426</v>
      </c>
      <c r="P214" s="74">
        <f t="shared" si="54"/>
        <v>1903973.9913815497</v>
      </c>
      <c r="Q214" s="54">
        <f t="shared" si="55"/>
        <v>1092592.5925925926</v>
      </c>
      <c r="R214" s="74">
        <f t="shared" si="56"/>
        <v>127833333.3333329</v>
      </c>
      <c r="S214" s="77"/>
      <c r="T214" s="4">
        <v>99</v>
      </c>
      <c r="U214" s="15">
        <f t="shared" si="57"/>
        <v>1.1367326347182294E-2</v>
      </c>
      <c r="V214" s="133">
        <f t="shared" si="65"/>
        <v>3638602.1006295285</v>
      </c>
      <c r="W214" s="132">
        <f t="shared" si="66"/>
        <v>2005387.9828551491</v>
      </c>
      <c r="X214" s="132">
        <f t="shared" si="67"/>
        <v>1633214.1177743794</v>
      </c>
      <c r="Y214" s="27">
        <f t="shared" si="68"/>
        <v>141670800.05754688</v>
      </c>
    </row>
    <row r="215" spans="1:25" x14ac:dyDescent="0.25">
      <c r="A215" s="59">
        <v>85</v>
      </c>
      <c r="B215" s="59" t="s">
        <v>274</v>
      </c>
      <c r="C215" s="140">
        <v>5.45E-2</v>
      </c>
      <c r="D215" s="63">
        <f t="shared" si="62"/>
        <v>0.10143079604845218</v>
      </c>
      <c r="E215" s="63">
        <f t="shared" si="63"/>
        <v>0.16145877443309287</v>
      </c>
      <c r="F215" s="64">
        <f t="shared" si="64"/>
        <v>1.2551178040961064E-2</v>
      </c>
      <c r="H215" s="4">
        <v>100</v>
      </c>
      <c r="I215" s="54">
        <f t="shared" si="49"/>
        <v>3638602.1006295285</v>
      </c>
      <c r="J215" s="54">
        <f t="shared" si="50"/>
        <v>654673.57449420542</v>
      </c>
      <c r="K215" s="93">
        <f t="shared" si="51"/>
        <v>2983928.5261353231</v>
      </c>
      <c r="L215" s="74">
        <f t="shared" si="52"/>
        <v>201399424.7851325</v>
      </c>
      <c r="N215" s="4">
        <v>100</v>
      </c>
      <c r="O215" s="54">
        <f t="shared" si="53"/>
        <v>2980431.211165824</v>
      </c>
      <c r="P215" s="74">
        <f t="shared" si="54"/>
        <v>1887838.6185732314</v>
      </c>
      <c r="Q215" s="54">
        <f t="shared" si="55"/>
        <v>1092592.5925925926</v>
      </c>
      <c r="R215" s="74">
        <f t="shared" si="56"/>
        <v>126740740.7407403</v>
      </c>
      <c r="S215" s="77"/>
      <c r="T215" s="4">
        <v>100</v>
      </c>
      <c r="U215" s="15">
        <f t="shared" si="57"/>
        <v>1.1440246595857184E-2</v>
      </c>
      <c r="V215" s="133">
        <f t="shared" si="65"/>
        <v>3638602.1006295285</v>
      </c>
      <c r="W215" s="132">
        <f t="shared" si="66"/>
        <v>2017853.2125388139</v>
      </c>
      <c r="X215" s="132">
        <f t="shared" si="67"/>
        <v>1620748.8880907146</v>
      </c>
      <c r="Y215" s="27">
        <f t="shared" si="68"/>
        <v>139652946.84500808</v>
      </c>
    </row>
    <row r="216" spans="1:25" x14ac:dyDescent="0.25">
      <c r="A216" s="59">
        <v>86</v>
      </c>
      <c r="B216" s="59" t="s">
        <v>273</v>
      </c>
      <c r="C216" s="140">
        <v>5.45E-2</v>
      </c>
      <c r="D216" s="63">
        <f t="shared" si="62"/>
        <v>0.10143079604845218</v>
      </c>
      <c r="E216" s="63">
        <f t="shared" si="63"/>
        <v>0.16145877443309287</v>
      </c>
      <c r="F216" s="64">
        <f t="shared" si="64"/>
        <v>1.2551178040961064E-2</v>
      </c>
      <c r="H216" s="4">
        <v>101</v>
      </c>
      <c r="I216" s="54">
        <f t="shared" si="49"/>
        <v>3638602.1006295285</v>
      </c>
      <c r="J216" s="54">
        <f t="shared" si="50"/>
        <v>664341.77311081206</v>
      </c>
      <c r="K216" s="93">
        <f t="shared" si="51"/>
        <v>2974260.3275187165</v>
      </c>
      <c r="L216" s="74">
        <f t="shared" si="52"/>
        <v>200735083.01202169</v>
      </c>
      <c r="N216" s="4">
        <v>101</v>
      </c>
      <c r="O216" s="54">
        <f t="shared" si="53"/>
        <v>2964295.8383575054</v>
      </c>
      <c r="P216" s="74">
        <f t="shared" si="54"/>
        <v>1871703.245764913</v>
      </c>
      <c r="Q216" s="54">
        <f t="shared" si="55"/>
        <v>1092592.5925925926</v>
      </c>
      <c r="R216" s="74">
        <f t="shared" si="56"/>
        <v>125648148.1481477</v>
      </c>
      <c r="S216" s="77"/>
      <c r="T216" s="4">
        <v>101</v>
      </c>
      <c r="U216" s="15">
        <f t="shared" si="57"/>
        <v>1.1440246595857184E-2</v>
      </c>
      <c r="V216" s="133">
        <f t="shared" si="65"/>
        <v>3638602.1006295285</v>
      </c>
      <c r="W216" s="132">
        <f t="shared" si="66"/>
        <v>2040937.9508845005</v>
      </c>
      <c r="X216" s="132">
        <f t="shared" si="67"/>
        <v>1597664.149745028</v>
      </c>
      <c r="Y216" s="27">
        <f t="shared" si="68"/>
        <v>137612008.89412358</v>
      </c>
    </row>
    <row r="217" spans="1:25" x14ac:dyDescent="0.25">
      <c r="A217" s="59">
        <v>87</v>
      </c>
      <c r="B217" s="59" t="s">
        <v>272</v>
      </c>
      <c r="C217" s="140">
        <v>5.4399999999999997E-2</v>
      </c>
      <c r="D217" s="63">
        <f t="shared" si="62"/>
        <v>0.10143079604845218</v>
      </c>
      <c r="E217" s="63">
        <f t="shared" si="63"/>
        <v>0.16134863135348798</v>
      </c>
      <c r="F217" s="64">
        <f t="shared" si="64"/>
        <v>1.2543175866227774E-2</v>
      </c>
      <c r="H217" s="4">
        <v>102</v>
      </c>
      <c r="I217" s="54">
        <f t="shared" si="49"/>
        <v>3638602.1006295285</v>
      </c>
      <c r="J217" s="54">
        <f t="shared" si="50"/>
        <v>674152.75137842633</v>
      </c>
      <c r="K217" s="93">
        <f t="shared" si="51"/>
        <v>2964449.3492511022</v>
      </c>
      <c r="L217" s="74">
        <f t="shared" si="52"/>
        <v>200060930.26064327</v>
      </c>
      <c r="N217" s="4">
        <v>102</v>
      </c>
      <c r="O217" s="54">
        <f t="shared" si="53"/>
        <v>2948160.4655491873</v>
      </c>
      <c r="P217" s="74">
        <f t="shared" si="54"/>
        <v>1855567.8729565947</v>
      </c>
      <c r="Q217" s="54">
        <f t="shared" si="55"/>
        <v>1092592.5925925926</v>
      </c>
      <c r="R217" s="74">
        <f t="shared" si="56"/>
        <v>124555555.55555511</v>
      </c>
      <c r="S217" s="77"/>
      <c r="T217" s="4">
        <v>102</v>
      </c>
      <c r="U217" s="15">
        <f t="shared" si="57"/>
        <v>1.1399742486502662E-2</v>
      </c>
      <c r="V217" s="133">
        <f t="shared" si="65"/>
        <v>3638602.1006295285</v>
      </c>
      <c r="W217" s="132">
        <f t="shared" si="66"/>
        <v>2069860.6361862058</v>
      </c>
      <c r="X217" s="132">
        <f t="shared" si="67"/>
        <v>1568741.4644433227</v>
      </c>
      <c r="Y217" s="27">
        <f t="shared" si="68"/>
        <v>135542148.25793737</v>
      </c>
    </row>
    <row r="218" spans="1:25" x14ac:dyDescent="0.25">
      <c r="A218" s="59">
        <v>88</v>
      </c>
      <c r="B218" s="59" t="s">
        <v>271</v>
      </c>
      <c r="C218" s="140">
        <v>5.4100000000000002E-2</v>
      </c>
      <c r="D218" s="63">
        <f t="shared" si="62"/>
        <v>0.10143079604845218</v>
      </c>
      <c r="E218" s="63">
        <f t="shared" si="63"/>
        <v>0.16101820211467355</v>
      </c>
      <c r="F218" s="64">
        <f t="shared" si="64"/>
        <v>1.2519165167216739E-2</v>
      </c>
      <c r="H218" s="4">
        <v>103</v>
      </c>
      <c r="I218" s="54">
        <f t="shared" si="49"/>
        <v>3638602.1006295285</v>
      </c>
      <c r="J218" s="54">
        <f t="shared" si="50"/>
        <v>684108.61786241224</v>
      </c>
      <c r="K218" s="93">
        <f t="shared" si="51"/>
        <v>2954493.4827671163</v>
      </c>
      <c r="L218" s="74">
        <f t="shared" si="52"/>
        <v>199376821.64278087</v>
      </c>
      <c r="N218" s="4">
        <v>103</v>
      </c>
      <c r="O218" s="54">
        <f t="shared" si="53"/>
        <v>2932025.0927408691</v>
      </c>
      <c r="P218" s="74">
        <f t="shared" si="54"/>
        <v>1839432.5001482763</v>
      </c>
      <c r="Q218" s="54">
        <f t="shared" si="55"/>
        <v>1092592.5925925926</v>
      </c>
      <c r="R218" s="74">
        <f t="shared" si="56"/>
        <v>123462962.96296251</v>
      </c>
      <c r="S218" s="77"/>
      <c r="T218" s="4">
        <v>103</v>
      </c>
      <c r="U218" s="15">
        <f t="shared" si="57"/>
        <v>1.1407844735916939E-2</v>
      </c>
      <c r="V218" s="133">
        <f t="shared" si="65"/>
        <v>3638602.1006295285</v>
      </c>
      <c r="W218" s="132">
        <f t="shared" si="66"/>
        <v>2092358.3181303444</v>
      </c>
      <c r="X218" s="132">
        <f t="shared" si="67"/>
        <v>1546243.7824991841</v>
      </c>
      <c r="Y218" s="27">
        <f t="shared" si="68"/>
        <v>133449789.93980703</v>
      </c>
    </row>
    <row r="219" spans="1:25" x14ac:dyDescent="0.25">
      <c r="A219" s="59">
        <v>89</v>
      </c>
      <c r="B219" s="59" t="s">
        <v>270</v>
      </c>
      <c r="C219" s="140">
        <v>5.3199999999999997E-2</v>
      </c>
      <c r="D219" s="63">
        <f t="shared" si="62"/>
        <v>0.10143079604845218</v>
      </c>
      <c r="E219" s="63">
        <f t="shared" si="63"/>
        <v>0.1600269143982298</v>
      </c>
      <c r="F219" s="64">
        <f t="shared" si="64"/>
        <v>1.2447095467260638E-2</v>
      </c>
      <c r="H219" s="4">
        <v>104</v>
      </c>
      <c r="I219" s="54">
        <f t="shared" si="49"/>
        <v>3638602.1006295285</v>
      </c>
      <c r="J219" s="54">
        <f t="shared" si="50"/>
        <v>694211.51226736233</v>
      </c>
      <c r="K219" s="93">
        <f t="shared" si="51"/>
        <v>2944390.5883621662</v>
      </c>
      <c r="L219" s="74">
        <f t="shared" si="52"/>
        <v>198682610.13051352</v>
      </c>
      <c r="N219" s="4">
        <v>104</v>
      </c>
      <c r="O219" s="54">
        <f t="shared" si="53"/>
        <v>2915889.7199325506</v>
      </c>
      <c r="P219" s="74">
        <f t="shared" si="54"/>
        <v>1823297.127339958</v>
      </c>
      <c r="Q219" s="54">
        <f t="shared" si="55"/>
        <v>1092592.5925925926</v>
      </c>
      <c r="R219" s="74">
        <f t="shared" si="56"/>
        <v>122370370.37036991</v>
      </c>
      <c r="S219" s="77"/>
      <c r="T219" s="4">
        <v>104</v>
      </c>
      <c r="U219" s="15">
        <f t="shared" si="57"/>
        <v>1.143214720126684E-2</v>
      </c>
      <c r="V219" s="133">
        <f t="shared" si="65"/>
        <v>3638602.1006295285</v>
      </c>
      <c r="W219" s="132">
        <f t="shared" si="66"/>
        <v>2112984.4580595158</v>
      </c>
      <c r="X219" s="132">
        <f t="shared" si="67"/>
        <v>1525617.6425700127</v>
      </c>
      <c r="Y219" s="27">
        <f t="shared" si="68"/>
        <v>131336805.48174751</v>
      </c>
    </row>
    <row r="220" spans="1:25" x14ac:dyDescent="0.25">
      <c r="A220" s="59">
        <v>90</v>
      </c>
      <c r="B220" s="59" t="s">
        <v>269</v>
      </c>
      <c r="C220" s="140">
        <v>5.4199999999999998E-2</v>
      </c>
      <c r="D220" s="63">
        <f t="shared" si="62"/>
        <v>0.10143079604845218</v>
      </c>
      <c r="E220" s="63">
        <f t="shared" si="63"/>
        <v>0.16112834519427821</v>
      </c>
      <c r="F220" s="64">
        <f t="shared" si="64"/>
        <v>1.2527169429481955E-2</v>
      </c>
      <c r="H220" s="4">
        <v>105</v>
      </c>
      <c r="I220" s="54">
        <f t="shared" si="49"/>
        <v>3638602.1006295285</v>
      </c>
      <c r="J220" s="54">
        <f t="shared" si="50"/>
        <v>704463.60589695629</v>
      </c>
      <c r="K220" s="93">
        <f t="shared" si="51"/>
        <v>2934138.4947325722</v>
      </c>
      <c r="L220" s="74">
        <f t="shared" si="52"/>
        <v>197978146.52461657</v>
      </c>
      <c r="N220" s="4">
        <v>105</v>
      </c>
      <c r="O220" s="54">
        <f t="shared" si="53"/>
        <v>2899754.347124232</v>
      </c>
      <c r="P220" s="74">
        <f t="shared" si="54"/>
        <v>1807161.7545316396</v>
      </c>
      <c r="Q220" s="54">
        <f t="shared" si="55"/>
        <v>1092592.5925925926</v>
      </c>
      <c r="R220" s="74">
        <f t="shared" si="56"/>
        <v>121277777.77777731</v>
      </c>
      <c r="S220" s="77"/>
      <c r="T220" s="4">
        <v>105</v>
      </c>
      <c r="U220" s="15">
        <f t="shared" si="57"/>
        <v>1.1407844735916939E-2</v>
      </c>
      <c r="V220" s="133">
        <f t="shared" si="65"/>
        <v>3638602.1006295285</v>
      </c>
      <c r="W220" s="132">
        <f t="shared" si="66"/>
        <v>2140332.2155824285</v>
      </c>
      <c r="X220" s="132">
        <f t="shared" si="67"/>
        <v>1498269.8850471003</v>
      </c>
      <c r="Y220" s="27">
        <f t="shared" si="68"/>
        <v>129196473.26616508</v>
      </c>
    </row>
    <row r="221" spans="1:25" x14ac:dyDescent="0.25">
      <c r="A221" s="59">
        <v>91</v>
      </c>
      <c r="B221" s="59" t="s">
        <v>268</v>
      </c>
      <c r="C221" s="140">
        <v>5.3100000000000001E-2</v>
      </c>
      <c r="D221" s="63">
        <f t="shared" si="62"/>
        <v>0.10143079604845218</v>
      </c>
      <c r="E221" s="63">
        <f t="shared" si="63"/>
        <v>0.15991677131862492</v>
      </c>
      <c r="F221" s="64">
        <f t="shared" si="64"/>
        <v>1.2439084238323517E-2</v>
      </c>
      <c r="H221" s="4">
        <v>106</v>
      </c>
      <c r="I221" s="54">
        <f t="shared" si="49"/>
        <v>3638602.1006295285</v>
      </c>
      <c r="J221" s="54">
        <f t="shared" si="50"/>
        <v>714867.10212061927</v>
      </c>
      <c r="K221" s="93">
        <f t="shared" si="51"/>
        <v>2923734.9985089093</v>
      </c>
      <c r="L221" s="74">
        <f t="shared" si="52"/>
        <v>197263279.42249596</v>
      </c>
      <c r="N221" s="4">
        <v>106</v>
      </c>
      <c r="O221" s="54">
        <f t="shared" si="53"/>
        <v>2883618.9743159139</v>
      </c>
      <c r="P221" s="74">
        <f t="shared" si="54"/>
        <v>1791026.3817233213</v>
      </c>
      <c r="Q221" s="54">
        <f t="shared" si="55"/>
        <v>1092592.5925925926</v>
      </c>
      <c r="R221" s="74">
        <f t="shared" si="56"/>
        <v>120185185.18518472</v>
      </c>
      <c r="S221" s="77"/>
      <c r="T221" s="4">
        <v>106</v>
      </c>
      <c r="U221" s="15">
        <f t="shared" si="57"/>
        <v>1.1359220526278246E-2</v>
      </c>
      <c r="V221" s="133">
        <f t="shared" si="65"/>
        <v>3638602.1006295285</v>
      </c>
      <c r="W221" s="132">
        <f t="shared" si="66"/>
        <v>2171030.8695817478</v>
      </c>
      <c r="X221" s="132">
        <f t="shared" si="67"/>
        <v>1467571.231047781</v>
      </c>
      <c r="Y221" s="27">
        <f t="shared" si="68"/>
        <v>127025442.39658333</v>
      </c>
    </row>
    <row r="222" spans="1:25" x14ac:dyDescent="0.25">
      <c r="A222" s="59">
        <v>92</v>
      </c>
      <c r="B222" s="59" t="s">
        <v>267</v>
      </c>
      <c r="C222" s="140">
        <v>5.2200000000000003E-2</v>
      </c>
      <c r="D222" s="63">
        <f t="shared" si="62"/>
        <v>0.10143079604845218</v>
      </c>
      <c r="E222" s="63">
        <f t="shared" si="63"/>
        <v>0.15892548360218139</v>
      </c>
      <c r="F222" s="64">
        <f t="shared" si="64"/>
        <v>1.2366951781244584E-2</v>
      </c>
      <c r="H222" s="4">
        <v>107</v>
      </c>
      <c r="I222" s="54">
        <f t="shared" si="49"/>
        <v>3638602.1006295285</v>
      </c>
      <c r="J222" s="54">
        <f t="shared" si="50"/>
        <v>725424.23684706632</v>
      </c>
      <c r="K222" s="93">
        <f t="shared" si="51"/>
        <v>2913177.8637824622</v>
      </c>
      <c r="L222" s="74">
        <f t="shared" si="52"/>
        <v>196537855.18564889</v>
      </c>
      <c r="N222" s="4">
        <v>107</v>
      </c>
      <c r="O222" s="54">
        <f t="shared" si="53"/>
        <v>2867483.6015075957</v>
      </c>
      <c r="P222" s="74">
        <f t="shared" si="54"/>
        <v>1774891.0089150029</v>
      </c>
      <c r="Q222" s="54">
        <f t="shared" si="55"/>
        <v>1092592.5925925926</v>
      </c>
      <c r="R222" s="74">
        <f t="shared" si="56"/>
        <v>119092592.59259212</v>
      </c>
      <c r="S222" s="77"/>
      <c r="T222" s="4">
        <v>107</v>
      </c>
      <c r="U222" s="15">
        <f t="shared" si="57"/>
        <v>1.1294348219022643E-2</v>
      </c>
      <c r="V222" s="133">
        <f t="shared" si="65"/>
        <v>3638602.1006295285</v>
      </c>
      <c r="W222" s="132">
        <f t="shared" si="66"/>
        <v>2203932.5215271143</v>
      </c>
      <c r="X222" s="132">
        <f t="shared" si="67"/>
        <v>1434669.5791024142</v>
      </c>
      <c r="Y222" s="27">
        <f t="shared" si="68"/>
        <v>124821509.87505622</v>
      </c>
    </row>
    <row r="223" spans="1:25" x14ac:dyDescent="0.25">
      <c r="A223" s="59">
        <v>93</v>
      </c>
      <c r="B223" s="59" t="s">
        <v>266</v>
      </c>
      <c r="C223" s="140">
        <v>5.1200000000000002E-2</v>
      </c>
      <c r="D223" s="63">
        <f t="shared" si="62"/>
        <v>0.10143079604845218</v>
      </c>
      <c r="E223" s="63">
        <f t="shared" si="63"/>
        <v>0.15782405280613276</v>
      </c>
      <c r="F223" s="64">
        <f t="shared" si="64"/>
        <v>1.2286738244371431E-2</v>
      </c>
      <c r="H223" s="4">
        <v>108</v>
      </c>
      <c r="I223" s="54">
        <f t="shared" si="49"/>
        <v>3638602.1006295285</v>
      </c>
      <c r="J223" s="54">
        <f t="shared" si="50"/>
        <v>736137.27900484158</v>
      </c>
      <c r="K223" s="93">
        <f t="shared" si="51"/>
        <v>2902464.8216246869</v>
      </c>
      <c r="L223" s="74">
        <f t="shared" si="52"/>
        <v>195801717.90664405</v>
      </c>
      <c r="N223" s="4">
        <v>108</v>
      </c>
      <c r="O223" s="54">
        <f t="shared" si="53"/>
        <v>2851348.2286992772</v>
      </c>
      <c r="P223" s="74">
        <f t="shared" si="54"/>
        <v>1758755.6361066846</v>
      </c>
      <c r="Q223" s="54">
        <f t="shared" si="55"/>
        <v>1092592.5925925926</v>
      </c>
      <c r="R223" s="74">
        <f t="shared" si="56"/>
        <v>117999999.99999952</v>
      </c>
      <c r="S223" s="77"/>
      <c r="T223" s="4">
        <v>108</v>
      </c>
      <c r="U223" s="15">
        <f t="shared" si="57"/>
        <v>1.1229430103867788E-2</v>
      </c>
      <c r="V223" s="133">
        <f t="shared" si="65"/>
        <v>3638602.1006295285</v>
      </c>
      <c r="W223" s="132">
        <f t="shared" si="66"/>
        <v>2236927.6800283417</v>
      </c>
      <c r="X223" s="132">
        <f t="shared" si="67"/>
        <v>1401674.4206011868</v>
      </c>
      <c r="Y223" s="27">
        <f t="shared" si="68"/>
        <v>122584582.19502789</v>
      </c>
    </row>
    <row r="224" spans="1:25" x14ac:dyDescent="0.25">
      <c r="A224" s="59">
        <v>94</v>
      </c>
      <c r="B224" s="59" t="s">
        <v>265</v>
      </c>
      <c r="C224" s="140">
        <v>4.82E-2</v>
      </c>
      <c r="D224" s="63">
        <f t="shared" si="62"/>
        <v>0.10143079604845218</v>
      </c>
      <c r="E224" s="63">
        <f t="shared" si="63"/>
        <v>0.15451976041798754</v>
      </c>
      <c r="F224" s="64">
        <f t="shared" si="64"/>
        <v>1.2045677252681797E-2</v>
      </c>
      <c r="H224" s="4">
        <v>109</v>
      </c>
      <c r="I224" s="54">
        <f t="shared" si="49"/>
        <v>3638602.1006295285</v>
      </c>
      <c r="J224" s="54">
        <f t="shared" si="50"/>
        <v>747008.53102995316</v>
      </c>
      <c r="K224" s="93">
        <f t="shared" si="51"/>
        <v>2891593.5695995754</v>
      </c>
      <c r="L224" s="74">
        <f t="shared" si="52"/>
        <v>195054709.37561411</v>
      </c>
      <c r="N224" s="4">
        <v>109</v>
      </c>
      <c r="O224" s="54">
        <f t="shared" si="53"/>
        <v>2835212.855890959</v>
      </c>
      <c r="P224" s="74">
        <f t="shared" si="54"/>
        <v>1742620.2632983665</v>
      </c>
      <c r="Q224" s="54">
        <f t="shared" si="55"/>
        <v>1092592.5925925926</v>
      </c>
      <c r="R224" s="74">
        <f t="shared" si="56"/>
        <v>116907407.40740693</v>
      </c>
      <c r="S224" s="77"/>
      <c r="T224" s="4">
        <v>109</v>
      </c>
      <c r="U224" s="15">
        <f t="shared" si="57"/>
        <v>1.1213193409666422E-2</v>
      </c>
      <c r="V224" s="133">
        <f t="shared" si="65"/>
        <v>3638602.1006295285</v>
      </c>
      <c r="W224" s="132">
        <f t="shared" si="66"/>
        <v>2264037.4714335301</v>
      </c>
      <c r="X224" s="132">
        <f t="shared" si="67"/>
        <v>1374564.6291959984</v>
      </c>
      <c r="Y224" s="27">
        <f t="shared" si="68"/>
        <v>120320544.72359435</v>
      </c>
    </row>
    <row r="225" spans="1:25" x14ac:dyDescent="0.25">
      <c r="A225" s="59">
        <v>95</v>
      </c>
      <c r="B225" s="59" t="s">
        <v>264</v>
      </c>
      <c r="C225" s="140">
        <v>4.5699999999999998E-2</v>
      </c>
      <c r="D225" s="63">
        <f t="shared" si="62"/>
        <v>0.10143079604845218</v>
      </c>
      <c r="E225" s="63">
        <f t="shared" si="63"/>
        <v>0.15176618342786652</v>
      </c>
      <c r="F225" s="64">
        <f t="shared" si="64"/>
        <v>1.1844309495768979E-2</v>
      </c>
      <c r="H225" s="4">
        <v>110</v>
      </c>
      <c r="I225" s="54">
        <f t="shared" si="49"/>
        <v>3638602.1006295285</v>
      </c>
      <c r="J225" s="54">
        <f t="shared" si="50"/>
        <v>758040.32936071185</v>
      </c>
      <c r="K225" s="93">
        <f t="shared" si="51"/>
        <v>2880561.7712688167</v>
      </c>
      <c r="L225" s="74">
        <f t="shared" si="52"/>
        <v>194296669.04625338</v>
      </c>
      <c r="N225" s="4">
        <v>110</v>
      </c>
      <c r="O225" s="54">
        <f t="shared" si="53"/>
        <v>2819077.4830826409</v>
      </c>
      <c r="P225" s="74">
        <f t="shared" si="54"/>
        <v>1726484.8904900481</v>
      </c>
      <c r="Q225" s="54">
        <f t="shared" si="55"/>
        <v>1092592.5925925926</v>
      </c>
      <c r="R225" s="74">
        <f t="shared" si="56"/>
        <v>115814814.81481433</v>
      </c>
      <c r="S225" s="77"/>
      <c r="T225" s="4">
        <v>110</v>
      </c>
      <c r="U225" s="15">
        <f t="shared" si="57"/>
        <v>1.1334898774880475E-2</v>
      </c>
      <c r="V225" s="133">
        <f t="shared" si="65"/>
        <v>3638602.1006295285</v>
      </c>
      <c r="W225" s="132">
        <f t="shared" si="66"/>
        <v>2274780.9056491074</v>
      </c>
      <c r="X225" s="132">
        <f t="shared" si="67"/>
        <v>1363821.1949804211</v>
      </c>
      <c r="Y225" s="27">
        <f t="shared" si="68"/>
        <v>118045763.81794524</v>
      </c>
    </row>
    <row r="226" spans="1:25" x14ac:dyDescent="0.25">
      <c r="A226" s="59">
        <v>96</v>
      </c>
      <c r="B226" s="59" t="s">
        <v>263</v>
      </c>
      <c r="C226" s="140">
        <v>4.2099999999999999E-2</v>
      </c>
      <c r="D226" s="63">
        <f t="shared" si="62"/>
        <v>0.10143079604845218</v>
      </c>
      <c r="E226" s="63">
        <f t="shared" si="63"/>
        <v>0.14780103256209198</v>
      </c>
      <c r="F226" s="64">
        <f t="shared" si="64"/>
        <v>1.1553563275223278E-2</v>
      </c>
      <c r="H226" s="4">
        <v>111</v>
      </c>
      <c r="I226" s="54">
        <f t="shared" si="49"/>
        <v>3638602.1006295285</v>
      </c>
      <c r="J226" s="54">
        <f t="shared" si="50"/>
        <v>769235.04493987607</v>
      </c>
      <c r="K226" s="93">
        <f t="shared" si="51"/>
        <v>2869367.0556896525</v>
      </c>
      <c r="L226" s="74">
        <f t="shared" si="52"/>
        <v>193527434.00131351</v>
      </c>
      <c r="N226" s="4">
        <v>111</v>
      </c>
      <c r="O226" s="54">
        <f t="shared" si="53"/>
        <v>2802942.1102743223</v>
      </c>
      <c r="P226" s="74">
        <f t="shared" si="54"/>
        <v>1710349.5176817297</v>
      </c>
      <c r="Q226" s="54">
        <f t="shared" si="55"/>
        <v>1092592.5925925926</v>
      </c>
      <c r="R226" s="74">
        <f t="shared" si="56"/>
        <v>114722222.22222173</v>
      </c>
      <c r="S226" s="77"/>
      <c r="T226" s="4">
        <v>111</v>
      </c>
      <c r="U226" s="15">
        <f t="shared" si="57"/>
        <v>1.143214720126684E-2</v>
      </c>
      <c r="V226" s="133">
        <f t="shared" si="65"/>
        <v>3638602.1006295285</v>
      </c>
      <c r="W226" s="132">
        <f t="shared" si="66"/>
        <v>2289085.5521767996</v>
      </c>
      <c r="X226" s="132">
        <f t="shared" si="67"/>
        <v>1349516.5484527291</v>
      </c>
      <c r="Y226" s="27">
        <f t="shared" si="68"/>
        <v>115756678.26576844</v>
      </c>
    </row>
    <row r="227" spans="1:25" x14ac:dyDescent="0.25">
      <c r="A227" s="59">
        <v>97</v>
      </c>
      <c r="B227" s="59" t="s">
        <v>262</v>
      </c>
      <c r="C227" s="140">
        <v>3.9800000000000002E-2</v>
      </c>
      <c r="D227" s="63">
        <f t="shared" si="62"/>
        <v>0.10143079604845218</v>
      </c>
      <c r="E227" s="63">
        <f t="shared" si="63"/>
        <v>0.14526774173118073</v>
      </c>
      <c r="F227" s="64">
        <f t="shared" si="64"/>
        <v>1.1367326347182294E-2</v>
      </c>
      <c r="H227" s="4">
        <v>112</v>
      </c>
      <c r="I227" s="54">
        <f t="shared" si="49"/>
        <v>3638602.1006295285</v>
      </c>
      <c r="J227" s="54">
        <f t="shared" si="50"/>
        <v>780595.0837242105</v>
      </c>
      <c r="K227" s="93">
        <f t="shared" si="51"/>
        <v>2858007.016905318</v>
      </c>
      <c r="L227" s="74">
        <f t="shared" si="52"/>
        <v>192746838.91758931</v>
      </c>
      <c r="N227" s="4">
        <v>112</v>
      </c>
      <c r="O227" s="54">
        <f t="shared" si="53"/>
        <v>2786806.7374660037</v>
      </c>
      <c r="P227" s="74">
        <f t="shared" si="54"/>
        <v>1694214.1448734114</v>
      </c>
      <c r="Q227" s="54">
        <f t="shared" si="55"/>
        <v>1092592.5925925926</v>
      </c>
      <c r="R227" s="74">
        <f t="shared" si="56"/>
        <v>113629629.62962914</v>
      </c>
      <c r="S227" s="77"/>
      <c r="T227" s="4">
        <v>112</v>
      </c>
      <c r="U227" s="15">
        <f t="shared" si="57"/>
        <v>1.1415946271428057E-2</v>
      </c>
      <c r="V227" s="133">
        <f t="shared" si="65"/>
        <v>3638602.1006295285</v>
      </c>
      <c r="W227" s="132">
        <f t="shared" si="66"/>
        <v>2317130.0809885319</v>
      </c>
      <c r="X227" s="132">
        <f t="shared" si="67"/>
        <v>1321472.0196409964</v>
      </c>
      <c r="Y227" s="27">
        <f t="shared" si="68"/>
        <v>113439548.18477991</v>
      </c>
    </row>
    <row r="228" spans="1:25" x14ac:dyDescent="0.25">
      <c r="A228" s="59">
        <v>98</v>
      </c>
      <c r="B228" s="59" t="s">
        <v>261</v>
      </c>
      <c r="C228" s="140">
        <v>3.9399999999999998E-2</v>
      </c>
      <c r="D228" s="63">
        <f t="shared" si="62"/>
        <v>0.10143079604845218</v>
      </c>
      <c r="E228" s="63">
        <f t="shared" si="63"/>
        <v>0.14482716941276141</v>
      </c>
      <c r="F228" s="64">
        <f t="shared" si="64"/>
        <v>1.1334898774880475E-2</v>
      </c>
      <c r="H228" s="4">
        <v>113</v>
      </c>
      <c r="I228" s="54">
        <f t="shared" si="49"/>
        <v>3638602.1006295285</v>
      </c>
      <c r="J228" s="54">
        <f t="shared" si="50"/>
        <v>792122.88720157417</v>
      </c>
      <c r="K228" s="93">
        <f t="shared" si="51"/>
        <v>2846479.2134279544</v>
      </c>
      <c r="L228" s="74">
        <f t="shared" si="52"/>
        <v>191954716.03038773</v>
      </c>
      <c r="N228" s="4">
        <v>113</v>
      </c>
      <c r="O228" s="54">
        <f t="shared" si="53"/>
        <v>2770671.3646576856</v>
      </c>
      <c r="P228" s="74">
        <f t="shared" si="54"/>
        <v>1678078.772065093</v>
      </c>
      <c r="Q228" s="54">
        <f t="shared" si="55"/>
        <v>1092592.5925925926</v>
      </c>
      <c r="R228" s="74">
        <f t="shared" si="56"/>
        <v>112537037.03703654</v>
      </c>
      <c r="S228" s="77"/>
      <c r="T228" s="4">
        <v>113</v>
      </c>
      <c r="U228" s="15">
        <f t="shared" si="57"/>
        <v>1.159399970095798E-2</v>
      </c>
      <c r="V228" s="133">
        <f t="shared" si="65"/>
        <v>3638602.1006295285</v>
      </c>
      <c r="W228" s="132">
        <f t="shared" si="66"/>
        <v>2323384.0128983818</v>
      </c>
      <c r="X228" s="132">
        <f t="shared" si="67"/>
        <v>1315218.0877311467</v>
      </c>
      <c r="Y228" s="27">
        <f t="shared" si="68"/>
        <v>111116164.17188153</v>
      </c>
    </row>
    <row r="229" spans="1:25" x14ac:dyDescent="0.25">
      <c r="A229" s="59">
        <v>99</v>
      </c>
      <c r="B229" s="59" t="s">
        <v>260</v>
      </c>
      <c r="C229" s="140">
        <v>3.9800000000000002E-2</v>
      </c>
      <c r="D229" s="63">
        <f t="shared" si="62"/>
        <v>0.10143079604845218</v>
      </c>
      <c r="E229" s="63">
        <f t="shared" si="63"/>
        <v>0.14526774173118073</v>
      </c>
      <c r="F229" s="64">
        <f t="shared" si="64"/>
        <v>1.1367326347182294E-2</v>
      </c>
      <c r="H229" s="4">
        <v>114</v>
      </c>
      <c r="I229" s="54">
        <f t="shared" si="49"/>
        <v>3638602.1006295285</v>
      </c>
      <c r="J229" s="54">
        <f t="shared" si="50"/>
        <v>803820.93291564053</v>
      </c>
      <c r="K229" s="93">
        <f t="shared" si="51"/>
        <v>2834781.167713888</v>
      </c>
      <c r="L229" s="74">
        <f t="shared" si="52"/>
        <v>191150895.0974721</v>
      </c>
      <c r="N229" s="4">
        <v>114</v>
      </c>
      <c r="O229" s="54">
        <f t="shared" si="53"/>
        <v>2754535.9918493675</v>
      </c>
      <c r="P229" s="74">
        <f t="shared" si="54"/>
        <v>1661943.3992567747</v>
      </c>
      <c r="Q229" s="54">
        <f t="shared" si="55"/>
        <v>1092592.5925925926</v>
      </c>
      <c r="R229" s="74">
        <f t="shared" si="56"/>
        <v>111444444.44444394</v>
      </c>
      <c r="S229" s="77"/>
      <c r="T229" s="4">
        <v>114</v>
      </c>
      <c r="U229" s="15">
        <f t="shared" si="57"/>
        <v>1.1650580843357572E-2</v>
      </c>
      <c r="V229" s="133">
        <f t="shared" si="65"/>
        <v>3638602.1006295285</v>
      </c>
      <c r="W229" s="132">
        <f t="shared" si="66"/>
        <v>2344034.2469412307</v>
      </c>
      <c r="X229" s="132">
        <f t="shared" si="67"/>
        <v>1294567.8536882978</v>
      </c>
      <c r="Y229" s="27">
        <f t="shared" si="68"/>
        <v>108772129.9249403</v>
      </c>
    </row>
    <row r="230" spans="1:25" x14ac:dyDescent="0.25">
      <c r="A230" s="59">
        <v>100</v>
      </c>
      <c r="B230" s="59" t="s">
        <v>259</v>
      </c>
      <c r="C230" s="140">
        <v>4.07E-2</v>
      </c>
      <c r="D230" s="63">
        <f t="shared" si="62"/>
        <v>0.10143079604845218</v>
      </c>
      <c r="E230" s="63">
        <f t="shared" si="63"/>
        <v>0.14625902944762403</v>
      </c>
      <c r="F230" s="64">
        <f t="shared" si="64"/>
        <v>1.1440246595857184E-2</v>
      </c>
      <c r="H230" s="4">
        <v>115</v>
      </c>
      <c r="I230" s="54">
        <f t="shared" si="49"/>
        <v>3638602.1006295285</v>
      </c>
      <c r="J230" s="54">
        <f t="shared" si="50"/>
        <v>815691.73499837099</v>
      </c>
      <c r="K230" s="93">
        <f t="shared" si="51"/>
        <v>2822910.3656311575</v>
      </c>
      <c r="L230" s="74">
        <f t="shared" si="52"/>
        <v>190335203.36247373</v>
      </c>
      <c r="N230" s="4">
        <v>115</v>
      </c>
      <c r="O230" s="54">
        <f t="shared" si="53"/>
        <v>2738400.6190410489</v>
      </c>
      <c r="P230" s="74">
        <f t="shared" si="54"/>
        <v>1645808.0264484563</v>
      </c>
      <c r="Q230" s="54">
        <f t="shared" si="55"/>
        <v>1092592.5925925926</v>
      </c>
      <c r="R230" s="74">
        <f t="shared" si="56"/>
        <v>110351851.85185134</v>
      </c>
      <c r="S230" s="77"/>
      <c r="T230" s="4">
        <v>115</v>
      </c>
      <c r="U230" s="15">
        <f t="shared" si="57"/>
        <v>1.1674819252168955E-2</v>
      </c>
      <c r="V230" s="133">
        <f t="shared" si="65"/>
        <v>3638602.1006295285</v>
      </c>
      <c r="W230" s="132">
        <f t="shared" si="66"/>
        <v>2368707.1440824126</v>
      </c>
      <c r="X230" s="132">
        <f t="shared" si="67"/>
        <v>1269894.9565471159</v>
      </c>
      <c r="Y230" s="27">
        <f t="shared" si="68"/>
        <v>106403422.78085789</v>
      </c>
    </row>
    <row r="231" spans="1:25" x14ac:dyDescent="0.25">
      <c r="A231" s="59">
        <v>101</v>
      </c>
      <c r="B231" s="59" t="s">
        <v>258</v>
      </c>
      <c r="C231" s="140">
        <v>4.07E-2</v>
      </c>
      <c r="D231" s="63">
        <f t="shared" si="62"/>
        <v>0.10143079604845218</v>
      </c>
      <c r="E231" s="63">
        <f t="shared" si="63"/>
        <v>0.14625902944762403</v>
      </c>
      <c r="F231" s="64">
        <f t="shared" si="64"/>
        <v>1.1440246595857184E-2</v>
      </c>
      <c r="H231" s="4">
        <v>116</v>
      </c>
      <c r="I231" s="54">
        <f t="shared" si="49"/>
        <v>3638602.1006295285</v>
      </c>
      <c r="J231" s="54">
        <f t="shared" si="50"/>
        <v>827737.84471034724</v>
      </c>
      <c r="K231" s="93">
        <f t="shared" si="51"/>
        <v>2810864.2559191813</v>
      </c>
      <c r="L231" s="74">
        <f t="shared" si="52"/>
        <v>189507465.51776338</v>
      </c>
      <c r="N231" s="4">
        <v>116</v>
      </c>
      <c r="O231" s="54">
        <f t="shared" si="53"/>
        <v>2722265.2462327303</v>
      </c>
      <c r="P231" s="74">
        <f t="shared" si="54"/>
        <v>1629672.653640138</v>
      </c>
      <c r="Q231" s="54">
        <f t="shared" si="55"/>
        <v>1092592.5925925926</v>
      </c>
      <c r="R231" s="74">
        <f t="shared" si="56"/>
        <v>109259259.25925875</v>
      </c>
      <c r="S231" s="77"/>
      <c r="T231" s="4">
        <v>116</v>
      </c>
      <c r="U231" s="15">
        <f t="shared" si="57"/>
        <v>1.1658661022761363E-2</v>
      </c>
      <c r="V231" s="133">
        <f t="shared" si="65"/>
        <v>3638602.1006295285</v>
      </c>
      <c r="W231" s="132">
        <f t="shared" si="66"/>
        <v>2398080.662765942</v>
      </c>
      <c r="X231" s="132">
        <f t="shared" si="67"/>
        <v>1240521.4378635865</v>
      </c>
      <c r="Y231" s="27">
        <f t="shared" si="68"/>
        <v>104005342.11809196</v>
      </c>
    </row>
    <row r="232" spans="1:25" x14ac:dyDescent="0.25">
      <c r="A232" s="59">
        <v>102</v>
      </c>
      <c r="B232" s="59" t="s">
        <v>257</v>
      </c>
      <c r="C232" s="140">
        <v>4.02E-2</v>
      </c>
      <c r="D232" s="63">
        <f t="shared" si="62"/>
        <v>0.10143079604845218</v>
      </c>
      <c r="E232" s="63">
        <f t="shared" si="63"/>
        <v>0.14570831404960005</v>
      </c>
      <c r="F232" s="64">
        <f t="shared" si="64"/>
        <v>1.1399742486502662E-2</v>
      </c>
      <c r="H232" s="4">
        <v>117</v>
      </c>
      <c r="I232" s="54">
        <f t="shared" si="49"/>
        <v>3638602.1006295285</v>
      </c>
      <c r="J232" s="54">
        <f t="shared" si="50"/>
        <v>839961.85098908609</v>
      </c>
      <c r="K232" s="93">
        <f t="shared" si="51"/>
        <v>2798640.2496404424</v>
      </c>
      <c r="L232" s="74">
        <f t="shared" si="52"/>
        <v>188667503.6667743</v>
      </c>
      <c r="N232" s="4">
        <v>117</v>
      </c>
      <c r="O232" s="54">
        <f t="shared" si="53"/>
        <v>2706129.8734244122</v>
      </c>
      <c r="P232" s="74">
        <f t="shared" si="54"/>
        <v>1613537.2808318196</v>
      </c>
      <c r="Q232" s="54">
        <f t="shared" si="55"/>
        <v>1092592.5925925926</v>
      </c>
      <c r="R232" s="74">
        <f t="shared" si="56"/>
        <v>108166666.66666615</v>
      </c>
      <c r="S232" s="77"/>
      <c r="T232" s="4">
        <v>117</v>
      </c>
      <c r="U232" s="15">
        <f t="shared" si="57"/>
        <v>1.176363880668263E-2</v>
      </c>
      <c r="V232" s="133">
        <f t="shared" si="65"/>
        <v>3638602.1006295285</v>
      </c>
      <c r="W232" s="132">
        <f t="shared" si="66"/>
        <v>2415120.8219868382</v>
      </c>
      <c r="X232" s="132">
        <f t="shared" si="67"/>
        <v>1223481.27864269</v>
      </c>
      <c r="Y232" s="27">
        <f t="shared" si="68"/>
        <v>101590221.29610512</v>
      </c>
    </row>
    <row r="233" spans="1:25" x14ac:dyDescent="0.25">
      <c r="A233" s="59">
        <v>103</v>
      </c>
      <c r="B233" s="59" t="s">
        <v>256</v>
      </c>
      <c r="C233" s="140">
        <v>4.0300000000000002E-2</v>
      </c>
      <c r="D233" s="63">
        <f t="shared" si="62"/>
        <v>0.10143079604845218</v>
      </c>
      <c r="E233" s="63">
        <f t="shared" si="63"/>
        <v>0.14581845712920471</v>
      </c>
      <c r="F233" s="64">
        <f t="shared" si="64"/>
        <v>1.1407844735916939E-2</v>
      </c>
      <c r="H233" s="4">
        <v>118</v>
      </c>
      <c r="I233" s="54">
        <f t="shared" si="49"/>
        <v>3638602.1006295285</v>
      </c>
      <c r="J233" s="54">
        <f t="shared" si="50"/>
        <v>852366.38100545155</v>
      </c>
      <c r="K233" s="93">
        <f t="shared" si="51"/>
        <v>2786235.719624077</v>
      </c>
      <c r="L233" s="74">
        <f t="shared" si="52"/>
        <v>187815137.28576884</v>
      </c>
      <c r="N233" s="4">
        <v>118</v>
      </c>
      <c r="O233" s="54">
        <f t="shared" si="53"/>
        <v>2689994.5006160941</v>
      </c>
      <c r="P233" s="74">
        <f t="shared" si="54"/>
        <v>1597401.9080235013</v>
      </c>
      <c r="Q233" s="54">
        <f t="shared" si="55"/>
        <v>1092592.5925925926</v>
      </c>
      <c r="R233" s="74">
        <f t="shared" si="56"/>
        <v>107074074.07407355</v>
      </c>
      <c r="S233" s="77"/>
      <c r="T233" s="4">
        <v>118</v>
      </c>
      <c r="U233" s="15">
        <f t="shared" si="57"/>
        <v>1.1747496175203986E-2</v>
      </c>
      <c r="V233" s="133">
        <f t="shared" si="65"/>
        <v>3638602.1006295285</v>
      </c>
      <c r="W233" s="132">
        <f t="shared" si="66"/>
        <v>2445171.364515407</v>
      </c>
      <c r="X233" s="132">
        <f t="shared" si="67"/>
        <v>1193430.7361141215</v>
      </c>
      <c r="Y233" s="27">
        <f t="shared" si="68"/>
        <v>99145049.931589708</v>
      </c>
    </row>
    <row r="234" spans="1:25" x14ac:dyDescent="0.25">
      <c r="A234" s="59">
        <v>104</v>
      </c>
      <c r="B234" s="59" t="s">
        <v>255</v>
      </c>
      <c r="C234" s="140">
        <v>4.0599999999999997E-2</v>
      </c>
      <c r="D234" s="63">
        <f t="shared" si="62"/>
        <v>0.10143079604845218</v>
      </c>
      <c r="E234" s="63">
        <f t="shared" si="63"/>
        <v>0.14614888636801937</v>
      </c>
      <c r="F234" s="64">
        <f t="shared" si="64"/>
        <v>1.143214720126684E-2</v>
      </c>
      <c r="H234" s="4">
        <v>119</v>
      </c>
      <c r="I234" s="54">
        <f t="shared" si="49"/>
        <v>3638602.1006295285</v>
      </c>
      <c r="J234" s="54">
        <f t="shared" si="50"/>
        <v>864954.10072828596</v>
      </c>
      <c r="K234" s="93">
        <f t="shared" si="51"/>
        <v>2773647.9999012426</v>
      </c>
      <c r="L234" s="74">
        <f t="shared" si="52"/>
        <v>186950183.18504056</v>
      </c>
      <c r="N234" s="4">
        <v>119</v>
      </c>
      <c r="O234" s="54">
        <f t="shared" si="53"/>
        <v>2673859.1278077755</v>
      </c>
      <c r="P234" s="74">
        <f t="shared" si="54"/>
        <v>1581266.5352151829</v>
      </c>
      <c r="Q234" s="54">
        <f t="shared" si="55"/>
        <v>1092592.5925925926</v>
      </c>
      <c r="R234" s="74">
        <f t="shared" si="56"/>
        <v>105981481.48148096</v>
      </c>
      <c r="S234" s="77"/>
      <c r="T234" s="4">
        <v>119</v>
      </c>
      <c r="U234" s="15">
        <f t="shared" si="57"/>
        <v>1.1715202410271131E-2</v>
      </c>
      <c r="V234" s="133">
        <f t="shared" si="65"/>
        <v>3638602.1006295285</v>
      </c>
      <c r="W234" s="132">
        <f t="shared" si="66"/>
        <v>2477097.7727045175</v>
      </c>
      <c r="X234" s="132">
        <f t="shared" si="67"/>
        <v>1161504.3279250113</v>
      </c>
      <c r="Y234" s="27">
        <f t="shared" si="68"/>
        <v>96667952.158885196</v>
      </c>
    </row>
    <row r="235" spans="1:25" x14ac:dyDescent="0.25">
      <c r="A235" s="59">
        <v>105</v>
      </c>
      <c r="B235" s="59" t="s">
        <v>254</v>
      </c>
      <c r="C235" s="140">
        <v>4.0300000000000002E-2</v>
      </c>
      <c r="D235" s="63">
        <f t="shared" si="62"/>
        <v>0.10143079604845218</v>
      </c>
      <c r="E235" s="63">
        <f t="shared" si="63"/>
        <v>0.14581845712920471</v>
      </c>
      <c r="F235" s="64">
        <f t="shared" si="64"/>
        <v>1.1407844735916939E-2</v>
      </c>
      <c r="H235" s="4">
        <v>120</v>
      </c>
      <c r="I235" s="54">
        <f t="shared" si="49"/>
        <v>3638602.1006295285</v>
      </c>
      <c r="J235" s="54">
        <f t="shared" si="50"/>
        <v>877727.71549737174</v>
      </c>
      <c r="K235" s="93">
        <f t="shared" si="51"/>
        <v>2760874.3851321568</v>
      </c>
      <c r="L235" s="74">
        <f t="shared" si="52"/>
        <v>186072455.46954319</v>
      </c>
      <c r="N235" s="4">
        <v>120</v>
      </c>
      <c r="O235" s="54">
        <f t="shared" si="53"/>
        <v>2657723.7549994569</v>
      </c>
      <c r="P235" s="74">
        <f t="shared" si="54"/>
        <v>1565131.1624068646</v>
      </c>
      <c r="Q235" s="54">
        <f t="shared" si="55"/>
        <v>1092592.5925925926</v>
      </c>
      <c r="R235" s="74">
        <f t="shared" si="56"/>
        <v>104888888.88888836</v>
      </c>
      <c r="S235" s="77"/>
      <c r="T235" s="4">
        <v>120</v>
      </c>
      <c r="U235" s="15">
        <f t="shared" si="57"/>
        <v>1.179591557286308E-2</v>
      </c>
      <c r="V235" s="133">
        <f t="shared" si="65"/>
        <v>3638602.1006295285</v>
      </c>
      <c r="W235" s="132">
        <f t="shared" si="66"/>
        <v>2498315.0983617511</v>
      </c>
      <c r="X235" s="132">
        <f t="shared" si="67"/>
        <v>1140287.0022677772</v>
      </c>
      <c r="Y235" s="27">
        <f t="shared" si="68"/>
        <v>94169637.06052345</v>
      </c>
    </row>
    <row r="236" spans="1:25" x14ac:dyDescent="0.25">
      <c r="A236" s="59">
        <v>106</v>
      </c>
      <c r="B236" s="59" t="s">
        <v>253</v>
      </c>
      <c r="C236" s="140">
        <v>3.9699999999999999E-2</v>
      </c>
      <c r="D236" s="63">
        <f t="shared" si="62"/>
        <v>0.10143079604845218</v>
      </c>
      <c r="E236" s="63">
        <f t="shared" si="63"/>
        <v>0.14515759865157585</v>
      </c>
      <c r="F236" s="64">
        <f t="shared" si="64"/>
        <v>1.1359220526278246E-2</v>
      </c>
      <c r="H236" s="4">
        <v>121</v>
      </c>
      <c r="I236" s="54">
        <f t="shared" si="49"/>
        <v>3638602.1006295285</v>
      </c>
      <c r="J236" s="54">
        <f t="shared" si="50"/>
        <v>890689.97060486581</v>
      </c>
      <c r="K236" s="93">
        <f t="shared" si="51"/>
        <v>2747912.1300246627</v>
      </c>
      <c r="L236" s="74">
        <f t="shared" si="52"/>
        <v>185181765.49893832</v>
      </c>
      <c r="N236" s="4">
        <v>121</v>
      </c>
      <c r="O236" s="54">
        <f t="shared" si="53"/>
        <v>2641588.3821911388</v>
      </c>
      <c r="P236" s="74">
        <f t="shared" si="54"/>
        <v>1548995.7895985462</v>
      </c>
      <c r="Q236" s="54">
        <f t="shared" si="55"/>
        <v>1092592.5925925926</v>
      </c>
      <c r="R236" s="74">
        <f t="shared" si="56"/>
        <v>103796296.29629576</v>
      </c>
      <c r="S236" s="77"/>
      <c r="T236" s="4">
        <v>121</v>
      </c>
      <c r="U236" s="15">
        <f t="shared" si="57"/>
        <v>1.1723276914576308E-2</v>
      </c>
      <c r="V236" s="133">
        <f t="shared" si="65"/>
        <v>3638602.1006295285</v>
      </c>
      <c r="W236" s="132">
        <f t="shared" si="66"/>
        <v>2534625.3684238642</v>
      </c>
      <c r="X236" s="132">
        <f t="shared" si="67"/>
        <v>1103976.732205664</v>
      </c>
      <c r="Y236" s="27">
        <f t="shared" si="68"/>
        <v>91635011.692099586</v>
      </c>
    </row>
    <row r="237" spans="1:25" x14ac:dyDescent="0.25">
      <c r="A237" s="59">
        <v>107</v>
      </c>
      <c r="B237" s="59" t="s">
        <v>252</v>
      </c>
      <c r="C237" s="140">
        <v>3.8899999999999997E-2</v>
      </c>
      <c r="D237" s="63">
        <f t="shared" si="62"/>
        <v>0.10143079604845218</v>
      </c>
      <c r="E237" s="63">
        <f t="shared" si="63"/>
        <v>0.14427645401473699</v>
      </c>
      <c r="F237" s="64">
        <f t="shared" si="64"/>
        <v>1.1294348219022643E-2</v>
      </c>
      <c r="H237" s="4">
        <v>122</v>
      </c>
      <c r="I237" s="54">
        <f t="shared" si="49"/>
        <v>3638602.1006295285</v>
      </c>
      <c r="J237" s="54">
        <f t="shared" si="50"/>
        <v>903843.65188531205</v>
      </c>
      <c r="K237" s="93">
        <f t="shared" si="51"/>
        <v>2734758.4487442165</v>
      </c>
      <c r="L237" s="74">
        <f t="shared" si="52"/>
        <v>184277921.84705302</v>
      </c>
      <c r="N237" s="4">
        <v>122</v>
      </c>
      <c r="O237" s="54">
        <f t="shared" si="53"/>
        <v>2625453.0093828207</v>
      </c>
      <c r="P237" s="74">
        <f t="shared" si="54"/>
        <v>1532860.4167902279</v>
      </c>
      <c r="Q237" s="54">
        <f t="shared" si="55"/>
        <v>1092592.5925925926</v>
      </c>
      <c r="R237" s="74">
        <f t="shared" si="56"/>
        <v>102703703.70370317</v>
      </c>
      <c r="S237" s="77"/>
      <c r="T237" s="4">
        <v>122</v>
      </c>
      <c r="U237" s="15">
        <f t="shared" si="57"/>
        <v>1.1707127197034595E-2</v>
      </c>
      <c r="V237" s="133">
        <f t="shared" si="65"/>
        <v>3638602.1006295285</v>
      </c>
      <c r="W237" s="132">
        <f t="shared" si="66"/>
        <v>2565819.3630483663</v>
      </c>
      <c r="X237" s="132">
        <f t="shared" si="67"/>
        <v>1072782.7375811622</v>
      </c>
      <c r="Y237" s="27">
        <f t="shared" si="68"/>
        <v>89069192.329051226</v>
      </c>
    </row>
    <row r="238" spans="1:25" x14ac:dyDescent="0.25">
      <c r="A238" s="59">
        <v>108</v>
      </c>
      <c r="B238" s="59" t="s">
        <v>251</v>
      </c>
      <c r="C238" s="140">
        <v>3.8100000000000002E-2</v>
      </c>
      <c r="D238" s="63">
        <f t="shared" si="62"/>
        <v>0.10143079604845218</v>
      </c>
      <c r="E238" s="63">
        <f t="shared" si="63"/>
        <v>0.14339530937789813</v>
      </c>
      <c r="F238" s="64">
        <f t="shared" si="64"/>
        <v>1.1229430103867788E-2</v>
      </c>
      <c r="H238" s="4">
        <v>123</v>
      </c>
      <c r="I238" s="54">
        <f t="shared" si="49"/>
        <v>3638602.1006295285</v>
      </c>
      <c r="J238" s="54">
        <f t="shared" si="50"/>
        <v>917191.58631437086</v>
      </c>
      <c r="K238" s="93">
        <f t="shared" si="51"/>
        <v>2721410.5143151577</v>
      </c>
      <c r="L238" s="74">
        <f t="shared" si="52"/>
        <v>183360730.26073864</v>
      </c>
      <c r="N238" s="4">
        <v>123</v>
      </c>
      <c r="O238" s="54">
        <f t="shared" si="53"/>
        <v>2609317.6365745021</v>
      </c>
      <c r="P238" s="74">
        <f t="shared" si="54"/>
        <v>1516725.0439819095</v>
      </c>
      <c r="Q238" s="54">
        <f t="shared" si="55"/>
        <v>1092592.5925925926</v>
      </c>
      <c r="R238" s="74">
        <f t="shared" si="56"/>
        <v>101611111.11111057</v>
      </c>
      <c r="S238" s="77"/>
      <c r="T238" s="4">
        <v>123</v>
      </c>
      <c r="U238" s="15">
        <f t="shared" si="57"/>
        <v>1.1803982995003848E-2</v>
      </c>
      <c r="V238" s="133">
        <f t="shared" si="65"/>
        <v>3638602.1006295285</v>
      </c>
      <c r="W238" s="132">
        <f t="shared" si="66"/>
        <v>2587230.8689986807</v>
      </c>
      <c r="X238" s="132">
        <f t="shared" si="67"/>
        <v>1051371.2316308478</v>
      </c>
      <c r="Y238" s="27">
        <f t="shared" si="68"/>
        <v>86481961.46005255</v>
      </c>
    </row>
    <row r="239" spans="1:25" x14ac:dyDescent="0.25">
      <c r="A239" s="59">
        <v>109</v>
      </c>
      <c r="B239" s="59" t="s">
        <v>250</v>
      </c>
      <c r="C239" s="140">
        <v>3.7900000000000003E-2</v>
      </c>
      <c r="D239" s="63">
        <f t="shared" si="62"/>
        <v>0.10143079604845218</v>
      </c>
      <c r="E239" s="63">
        <f t="shared" si="63"/>
        <v>0.14317502321868858</v>
      </c>
      <c r="F239" s="64">
        <f t="shared" si="64"/>
        <v>1.1213193409666422E-2</v>
      </c>
      <c r="H239" s="4">
        <v>124</v>
      </c>
      <c r="I239" s="54">
        <f t="shared" si="49"/>
        <v>3638602.1006295285</v>
      </c>
      <c r="J239" s="54">
        <f t="shared" si="50"/>
        <v>930736.64261638978</v>
      </c>
      <c r="K239" s="93">
        <f t="shared" si="51"/>
        <v>2707865.4580131387</v>
      </c>
      <c r="L239" s="74">
        <f t="shared" si="52"/>
        <v>182429993.61812225</v>
      </c>
      <c r="N239" s="4">
        <v>124</v>
      </c>
      <c r="O239" s="54">
        <f t="shared" si="53"/>
        <v>2593182.2637661835</v>
      </c>
      <c r="P239" s="74">
        <f t="shared" si="54"/>
        <v>1500589.6711735912</v>
      </c>
      <c r="Q239" s="54">
        <f t="shared" si="55"/>
        <v>1092592.5925925926</v>
      </c>
      <c r="R239" s="74">
        <f t="shared" si="56"/>
        <v>100518518.51851797</v>
      </c>
      <c r="S239" s="77"/>
      <c r="T239" s="4">
        <v>124</v>
      </c>
      <c r="U239" s="15">
        <f t="shared" si="57"/>
        <v>1.176363880668263E-2</v>
      </c>
      <c r="V239" s="133">
        <f t="shared" si="65"/>
        <v>3638602.1006295285</v>
      </c>
      <c r="W239" s="132">
        <f t="shared" si="66"/>
        <v>2621259.5427200226</v>
      </c>
      <c r="X239" s="132">
        <f t="shared" si="67"/>
        <v>1017342.5579095058</v>
      </c>
      <c r="Y239" s="27">
        <f t="shared" si="68"/>
        <v>83860701.91733253</v>
      </c>
    </row>
    <row r="240" spans="1:25" x14ac:dyDescent="0.25">
      <c r="A240" s="59">
        <v>110</v>
      </c>
      <c r="B240" s="59" t="s">
        <v>249</v>
      </c>
      <c r="C240" s="140">
        <v>3.9399999999999998E-2</v>
      </c>
      <c r="D240" s="63">
        <f t="shared" si="62"/>
        <v>0.10143079604845218</v>
      </c>
      <c r="E240" s="63">
        <f t="shared" si="63"/>
        <v>0.14482716941276141</v>
      </c>
      <c r="F240" s="64">
        <f t="shared" si="64"/>
        <v>1.1334898774880475E-2</v>
      </c>
      <c r="H240" s="4">
        <v>125</v>
      </c>
      <c r="I240" s="54">
        <f t="shared" si="49"/>
        <v>3638602.1006295285</v>
      </c>
      <c r="J240" s="54">
        <f t="shared" si="50"/>
        <v>944481.73188094562</v>
      </c>
      <c r="K240" s="93">
        <f t="shared" si="51"/>
        <v>2694120.3687485829</v>
      </c>
      <c r="L240" s="74">
        <f t="shared" si="52"/>
        <v>181485511.88624132</v>
      </c>
      <c r="N240" s="4">
        <v>125</v>
      </c>
      <c r="O240" s="54">
        <f t="shared" si="53"/>
        <v>2577046.8909578659</v>
      </c>
      <c r="P240" s="74">
        <f t="shared" si="54"/>
        <v>1484454.298365273</v>
      </c>
      <c r="Q240" s="54">
        <f t="shared" si="55"/>
        <v>1092592.5925925926</v>
      </c>
      <c r="R240" s="74">
        <f t="shared" si="56"/>
        <v>99425925.925925374</v>
      </c>
      <c r="S240" s="77"/>
      <c r="T240" s="4">
        <v>125</v>
      </c>
      <c r="U240" s="15">
        <f t="shared" si="57"/>
        <v>1.1715202410271131E-2</v>
      </c>
      <c r="V240" s="133">
        <f t="shared" si="65"/>
        <v>3638602.1006295285</v>
      </c>
      <c r="W240" s="132">
        <f t="shared" si="66"/>
        <v>2656157.0034005656</v>
      </c>
      <c r="X240" s="132">
        <f t="shared" si="67"/>
        <v>982445.09722896293</v>
      </c>
      <c r="Y240" s="27">
        <f t="shared" si="68"/>
        <v>81204544.913931966</v>
      </c>
    </row>
    <row r="241" spans="1:25" x14ac:dyDescent="0.25">
      <c r="A241" s="59">
        <v>111</v>
      </c>
      <c r="B241" s="59" t="s">
        <v>248</v>
      </c>
      <c r="C241" s="140">
        <v>4.0599999999999997E-2</v>
      </c>
      <c r="D241" s="63">
        <f t="shared" si="62"/>
        <v>0.10143079604845218</v>
      </c>
      <c r="E241" s="63">
        <f t="shared" si="63"/>
        <v>0.14614888636801937</v>
      </c>
      <c r="F241" s="64">
        <f t="shared" si="64"/>
        <v>1.143214720126684E-2</v>
      </c>
      <c r="H241" s="4">
        <v>126</v>
      </c>
      <c r="I241" s="54">
        <f t="shared" si="49"/>
        <v>3638602.1006295285</v>
      </c>
      <c r="J241" s="54">
        <f t="shared" si="50"/>
        <v>958429.80818849523</v>
      </c>
      <c r="K241" s="93">
        <f t="shared" si="51"/>
        <v>2680172.2924410333</v>
      </c>
      <c r="L241" s="74">
        <f t="shared" si="52"/>
        <v>180527082.07805282</v>
      </c>
      <c r="N241" s="4">
        <v>126</v>
      </c>
      <c r="O241" s="54">
        <f t="shared" si="53"/>
        <v>2560911.5181495473</v>
      </c>
      <c r="P241" s="74">
        <f t="shared" si="54"/>
        <v>1468318.9255569547</v>
      </c>
      <c r="Q241" s="54">
        <f t="shared" si="55"/>
        <v>1092592.5925925926</v>
      </c>
      <c r="R241" s="74">
        <f t="shared" si="56"/>
        <v>98333333.333332777</v>
      </c>
      <c r="S241" s="77"/>
      <c r="T241" s="4">
        <v>126</v>
      </c>
      <c r="U241" s="15">
        <f t="shared" si="57"/>
        <v>1.1965183034677196E-2</v>
      </c>
      <c r="V241" s="133">
        <f t="shared" si="65"/>
        <v>3638602.1006295285</v>
      </c>
      <c r="W241" s="132">
        <f t="shared" si="66"/>
        <v>2666974.8574866671</v>
      </c>
      <c r="X241" s="132">
        <f t="shared" si="67"/>
        <v>971627.24314286117</v>
      </c>
      <c r="Y241" s="27">
        <f t="shared" si="68"/>
        <v>78537570.056445301</v>
      </c>
    </row>
    <row r="242" spans="1:25" x14ac:dyDescent="0.25">
      <c r="A242" s="59">
        <v>112</v>
      </c>
      <c r="B242" s="59" t="s">
        <v>247</v>
      </c>
      <c r="C242" s="140">
        <v>4.0399999999999998E-2</v>
      </c>
      <c r="D242" s="63">
        <f t="shared" si="62"/>
        <v>0.10143079604845218</v>
      </c>
      <c r="E242" s="63">
        <f t="shared" si="63"/>
        <v>0.1459286002088096</v>
      </c>
      <c r="F242" s="64">
        <f t="shared" si="64"/>
        <v>1.1415946271428057E-2</v>
      </c>
      <c r="H242" s="4">
        <v>127</v>
      </c>
      <c r="I242" s="54">
        <f t="shared" si="49"/>
        <v>3638602.1006295285</v>
      </c>
      <c r="J242" s="54">
        <f t="shared" si="50"/>
        <v>972583.86924526189</v>
      </c>
      <c r="K242" s="93">
        <f t="shared" si="51"/>
        <v>2666018.2313842666</v>
      </c>
      <c r="L242" s="74">
        <f t="shared" si="52"/>
        <v>179554498.20880756</v>
      </c>
      <c r="N242" s="4">
        <v>127</v>
      </c>
      <c r="O242" s="54">
        <f t="shared" si="53"/>
        <v>2544776.1453412287</v>
      </c>
      <c r="P242" s="74">
        <f t="shared" si="54"/>
        <v>1452183.5527486363</v>
      </c>
      <c r="Q242" s="54">
        <f t="shared" si="55"/>
        <v>1092592.5925925926</v>
      </c>
      <c r="R242" s="74">
        <f t="shared" si="56"/>
        <v>97240740.74074018</v>
      </c>
      <c r="S242" s="77"/>
      <c r="T242" s="4">
        <v>127</v>
      </c>
      <c r="U242" s="15">
        <f t="shared" si="57"/>
        <v>1.2126101108037357E-2</v>
      </c>
      <c r="V242" s="133">
        <f t="shared" si="65"/>
        <v>3638602.1006295285</v>
      </c>
      <c r="W242" s="132">
        <f t="shared" si="66"/>
        <v>2686247.5853455057</v>
      </c>
      <c r="X242" s="132">
        <f t="shared" si="67"/>
        <v>952354.5152840229</v>
      </c>
      <c r="Y242" s="27">
        <f t="shared" si="68"/>
        <v>75851322.471099794</v>
      </c>
    </row>
    <row r="243" spans="1:25" x14ac:dyDescent="0.25">
      <c r="A243" s="59">
        <v>113</v>
      </c>
      <c r="B243" s="59" t="s">
        <v>246</v>
      </c>
      <c r="C243" s="140">
        <v>4.2599999999999999E-2</v>
      </c>
      <c r="D243" s="63">
        <f t="shared" si="62"/>
        <v>0.10143079604845218</v>
      </c>
      <c r="E243" s="63">
        <f t="shared" si="63"/>
        <v>0.14835174796011619</v>
      </c>
      <c r="F243" s="64">
        <f t="shared" si="64"/>
        <v>1.159399970095798E-2</v>
      </c>
      <c r="H243" s="4">
        <v>128</v>
      </c>
      <c r="I243" s="54">
        <f t="shared" si="49"/>
        <v>3638602.1006295285</v>
      </c>
      <c r="J243" s="54">
        <f t="shared" si="50"/>
        <v>986946.95702749863</v>
      </c>
      <c r="K243" s="93">
        <f t="shared" si="51"/>
        <v>2651655.1436020299</v>
      </c>
      <c r="L243" s="74">
        <f t="shared" si="52"/>
        <v>178567551.25178006</v>
      </c>
      <c r="N243" s="4">
        <v>128</v>
      </c>
      <c r="O243" s="54">
        <f t="shared" si="53"/>
        <v>2528640.7725329106</v>
      </c>
      <c r="P243" s="74">
        <f t="shared" si="54"/>
        <v>1436048.179940318</v>
      </c>
      <c r="Q243" s="54">
        <f t="shared" si="55"/>
        <v>1092592.5925925926</v>
      </c>
      <c r="R243" s="74">
        <f t="shared" si="56"/>
        <v>96148148.148147583</v>
      </c>
      <c r="S243" s="77"/>
      <c r="T243" s="4">
        <v>128</v>
      </c>
      <c r="U243" s="15">
        <f t="shared" si="57"/>
        <v>1.238298610244537E-2</v>
      </c>
      <c r="V243" s="133">
        <f t="shared" si="65"/>
        <v>3638602.1006295285</v>
      </c>
      <c r="W243" s="132">
        <f t="shared" si="66"/>
        <v>2699336.2286177976</v>
      </c>
      <c r="X243" s="132">
        <f t="shared" si="67"/>
        <v>939265.87201173091</v>
      </c>
      <c r="Y243" s="27">
        <f t="shared" si="68"/>
        <v>73151986.242481992</v>
      </c>
    </row>
    <row r="244" spans="1:25" x14ac:dyDescent="0.25">
      <c r="A244" s="59">
        <v>114</v>
      </c>
      <c r="B244" s="59" t="s">
        <v>245</v>
      </c>
      <c r="C244" s="140">
        <v>4.3299999999999998E-2</v>
      </c>
      <c r="D244" s="63">
        <f t="shared" si="62"/>
        <v>0.10143079604845218</v>
      </c>
      <c r="E244" s="63">
        <f t="shared" si="63"/>
        <v>0.14912274951734994</v>
      </c>
      <c r="F244" s="64">
        <f t="shared" si="64"/>
        <v>1.1650580843357572E-2</v>
      </c>
      <c r="H244" s="4">
        <v>129</v>
      </c>
      <c r="I244" s="54">
        <f t="shared" ref="I244:I307" si="69">PMT($C$128,$C$127,-$C$123)</f>
        <v>3638602.1006295285</v>
      </c>
      <c r="J244" s="54">
        <f t="shared" ref="J244:J307" si="70">I244-K244</f>
        <v>1001522.1584352679</v>
      </c>
      <c r="K244" s="93">
        <f t="shared" ref="K244:K307" si="71">L243*$C$128</f>
        <v>2637079.9421942607</v>
      </c>
      <c r="L244" s="74">
        <f t="shared" ref="L244:L307" si="72">L243-J244</f>
        <v>177566029.09334481</v>
      </c>
      <c r="N244" s="4">
        <v>129</v>
      </c>
      <c r="O244" s="54">
        <f t="shared" ref="O244:O307" si="73">P244+Q244</f>
        <v>2512505.3997245925</v>
      </c>
      <c r="P244" s="74">
        <f t="shared" ref="P244:P307" si="74">R243*C$128</f>
        <v>1419912.8071319996</v>
      </c>
      <c r="Q244" s="54">
        <f t="shared" ref="Q244:Q307" si="75">$C$123/$C$127</f>
        <v>1092592.5925925926</v>
      </c>
      <c r="R244" s="74">
        <f t="shared" ref="R244:R307" si="76">R243-Q244</f>
        <v>95055555.555554986</v>
      </c>
      <c r="S244" s="77"/>
      <c r="T244" s="4">
        <v>129</v>
      </c>
      <c r="U244" s="15">
        <f t="shared" ref="U244:U307" si="77">F259</f>
        <v>1.278293903838712E-2</v>
      </c>
      <c r="V244" s="133">
        <f t="shared" ref="V244:V265" si="78">PMT($U$115,$C$127,-$C$123)</f>
        <v>3638602.1006295285</v>
      </c>
      <c r="W244" s="132">
        <f t="shared" ref="W244:W265" si="79">V244-X244</f>
        <v>2703504.7199549479</v>
      </c>
      <c r="X244" s="132">
        <f t="shared" ref="X244:X266" si="80">Y243*U244</f>
        <v>935097.38067458058</v>
      </c>
      <c r="Y244" s="27">
        <f t="shared" ref="Y244:Y266" si="81">Y243-W244</f>
        <v>70448481.522527039</v>
      </c>
    </row>
    <row r="245" spans="1:25" x14ac:dyDescent="0.25">
      <c r="A245" s="59">
        <v>115</v>
      </c>
      <c r="B245" s="59" t="s">
        <v>244</v>
      </c>
      <c r="C245" s="140">
        <v>4.36E-2</v>
      </c>
      <c r="D245" s="63">
        <f t="shared" si="62"/>
        <v>0.10143079604845218</v>
      </c>
      <c r="E245" s="63">
        <f t="shared" si="63"/>
        <v>0.14945317875616482</v>
      </c>
      <c r="F245" s="64">
        <f t="shared" si="64"/>
        <v>1.1674819252168955E-2</v>
      </c>
      <c r="H245" s="4">
        <v>130</v>
      </c>
      <c r="I245" s="54">
        <f t="shared" si="69"/>
        <v>3638602.1006295285</v>
      </c>
      <c r="J245" s="54">
        <f t="shared" si="70"/>
        <v>1016312.6059558745</v>
      </c>
      <c r="K245" s="93">
        <f t="shared" si="71"/>
        <v>2622289.494673654</v>
      </c>
      <c r="L245" s="74">
        <f t="shared" si="72"/>
        <v>176549716.48738894</v>
      </c>
      <c r="N245" s="4">
        <v>130</v>
      </c>
      <c r="O245" s="54">
        <f t="shared" si="73"/>
        <v>2496370.0269162739</v>
      </c>
      <c r="P245" s="74">
        <f t="shared" si="74"/>
        <v>1403777.4343236813</v>
      </c>
      <c r="Q245" s="54">
        <f t="shared" si="75"/>
        <v>1092592.5925925926</v>
      </c>
      <c r="R245" s="74">
        <f t="shared" si="76"/>
        <v>93962962.962962389</v>
      </c>
      <c r="S245" s="77"/>
      <c r="T245" s="4">
        <v>130</v>
      </c>
      <c r="U245" s="15">
        <f t="shared" si="77"/>
        <v>1.3189109032281765E-2</v>
      </c>
      <c r="V245" s="133">
        <f t="shared" si="78"/>
        <v>3638602.1006295285</v>
      </c>
      <c r="W245" s="132">
        <f t="shared" si="79"/>
        <v>2709449.3966702321</v>
      </c>
      <c r="X245" s="132">
        <f t="shared" si="80"/>
        <v>929152.70395929646</v>
      </c>
      <c r="Y245" s="27">
        <f t="shared" si="81"/>
        <v>67739032.125856802</v>
      </c>
    </row>
    <row r="246" spans="1:25" x14ac:dyDescent="0.25">
      <c r="A246" s="59">
        <v>116</v>
      </c>
      <c r="B246" s="59" t="s">
        <v>243</v>
      </c>
      <c r="C246" s="140">
        <v>4.3400000000000001E-2</v>
      </c>
      <c r="D246" s="63">
        <f t="shared" si="62"/>
        <v>0.10143079604845218</v>
      </c>
      <c r="E246" s="63">
        <f t="shared" si="63"/>
        <v>0.14923289259695505</v>
      </c>
      <c r="F246" s="64">
        <f t="shared" si="64"/>
        <v>1.1658661022761363E-2</v>
      </c>
      <c r="H246" s="4">
        <v>131</v>
      </c>
      <c r="I246" s="54">
        <f t="shared" si="69"/>
        <v>3638602.1006295285</v>
      </c>
      <c r="J246" s="54">
        <f t="shared" si="70"/>
        <v>1031321.4783370974</v>
      </c>
      <c r="K246" s="93">
        <f t="shared" si="71"/>
        <v>2607280.6222924311</v>
      </c>
      <c r="L246" s="74">
        <f t="shared" si="72"/>
        <v>175518395.00905183</v>
      </c>
      <c r="N246" s="4">
        <v>131</v>
      </c>
      <c r="O246" s="54">
        <f t="shared" si="73"/>
        <v>2480234.6541079553</v>
      </c>
      <c r="P246" s="74">
        <f t="shared" si="74"/>
        <v>1387642.0615153629</v>
      </c>
      <c r="Q246" s="54">
        <f t="shared" si="75"/>
        <v>1092592.5925925926</v>
      </c>
      <c r="R246" s="74">
        <f t="shared" si="76"/>
        <v>92870370.370369792</v>
      </c>
      <c r="S246" s="77"/>
      <c r="T246" s="4">
        <v>131</v>
      </c>
      <c r="U246" s="15">
        <f t="shared" si="77"/>
        <v>1.3268540585982924E-2</v>
      </c>
      <c r="V246" s="133">
        <f t="shared" si="78"/>
        <v>3638602.1006295285</v>
      </c>
      <c r="W246" s="132">
        <f t="shared" si="79"/>
        <v>2739804.0036123963</v>
      </c>
      <c r="X246" s="132">
        <f t="shared" si="80"/>
        <v>898798.0970171321</v>
      </c>
      <c r="Y246" s="27">
        <f t="shared" si="81"/>
        <v>64999228.122244403</v>
      </c>
    </row>
    <row r="247" spans="1:25" x14ac:dyDescent="0.25">
      <c r="A247" s="59">
        <v>117</v>
      </c>
      <c r="B247" s="59" t="s">
        <v>242</v>
      </c>
      <c r="C247" s="140">
        <v>4.4699999999999997E-2</v>
      </c>
      <c r="D247" s="63">
        <f t="shared" si="62"/>
        <v>0.10143079604845218</v>
      </c>
      <c r="E247" s="63">
        <f t="shared" si="63"/>
        <v>0.15066475263181789</v>
      </c>
      <c r="F247" s="64">
        <f t="shared" si="64"/>
        <v>1.176363880668263E-2</v>
      </c>
      <c r="H247" s="4">
        <v>132</v>
      </c>
      <c r="I247" s="54">
        <f t="shared" si="69"/>
        <v>3638602.1006295285</v>
      </c>
      <c r="J247" s="54">
        <f t="shared" si="70"/>
        <v>1046552.0012703608</v>
      </c>
      <c r="K247" s="93">
        <f t="shared" si="71"/>
        <v>2592050.0993591677</v>
      </c>
      <c r="L247" s="74">
        <f t="shared" si="72"/>
        <v>174471843.00778148</v>
      </c>
      <c r="N247" s="4">
        <v>132</v>
      </c>
      <c r="O247" s="54">
        <f t="shared" si="73"/>
        <v>2464099.2812996372</v>
      </c>
      <c r="P247" s="74">
        <f t="shared" si="74"/>
        <v>1371506.6887070446</v>
      </c>
      <c r="Q247" s="54">
        <f t="shared" si="75"/>
        <v>1092592.5925925926</v>
      </c>
      <c r="R247" s="74">
        <f t="shared" si="76"/>
        <v>91777777.777777195</v>
      </c>
      <c r="S247" s="77"/>
      <c r="T247" s="4">
        <v>132</v>
      </c>
      <c r="U247" s="15">
        <f t="shared" si="77"/>
        <v>1.3506425127837618E-2</v>
      </c>
      <c r="V247" s="133">
        <f t="shared" si="78"/>
        <v>3638602.1006295285</v>
      </c>
      <c r="W247" s="132">
        <f t="shared" si="79"/>
        <v>2760694.8926291973</v>
      </c>
      <c r="X247" s="132">
        <f t="shared" si="80"/>
        <v>877907.2080003313</v>
      </c>
      <c r="Y247" s="27">
        <f t="shared" si="81"/>
        <v>62238533.229615204</v>
      </c>
    </row>
    <row r="248" spans="1:25" x14ac:dyDescent="0.25">
      <c r="A248" s="59">
        <v>118</v>
      </c>
      <c r="B248" s="59" t="s">
        <v>241</v>
      </c>
      <c r="C248" s="140">
        <v>4.4499999999999998E-2</v>
      </c>
      <c r="D248" s="63">
        <f t="shared" si="62"/>
        <v>0.10143079604845218</v>
      </c>
      <c r="E248" s="63">
        <f t="shared" si="63"/>
        <v>0.15044446647260834</v>
      </c>
      <c r="F248" s="64">
        <f t="shared" si="64"/>
        <v>1.1747496175203986E-2</v>
      </c>
      <c r="H248" s="4">
        <v>133</v>
      </c>
      <c r="I248" s="54">
        <f t="shared" si="69"/>
        <v>3638602.1006295285</v>
      </c>
      <c r="J248" s="54">
        <f t="shared" si="70"/>
        <v>1062007.4480839977</v>
      </c>
      <c r="K248" s="93">
        <f t="shared" si="71"/>
        <v>2576594.6525455308</v>
      </c>
      <c r="L248" s="74">
        <f t="shared" si="72"/>
        <v>173409835.55969748</v>
      </c>
      <c r="N248" s="4">
        <v>133</v>
      </c>
      <c r="O248" s="54">
        <f t="shared" si="73"/>
        <v>2447963.908491319</v>
      </c>
      <c r="P248" s="74">
        <f t="shared" si="74"/>
        <v>1355371.3158987262</v>
      </c>
      <c r="Q248" s="54">
        <f t="shared" si="75"/>
        <v>1092592.5925925926</v>
      </c>
      <c r="R248" s="74">
        <f t="shared" si="76"/>
        <v>90685185.185184598</v>
      </c>
      <c r="S248" s="77"/>
      <c r="T248" s="4">
        <v>133</v>
      </c>
      <c r="U248" s="15">
        <f t="shared" si="77"/>
        <v>1.3648861592408856E-2</v>
      </c>
      <c r="V248" s="133">
        <f t="shared" si="78"/>
        <v>3638602.1006295285</v>
      </c>
      <c r="W248" s="132">
        <f t="shared" si="79"/>
        <v>2789116.9748639711</v>
      </c>
      <c r="X248" s="132">
        <f t="shared" si="80"/>
        <v>849485.12576555728</v>
      </c>
      <c r="Y248" s="27">
        <f t="shared" si="81"/>
        <v>59449416.254751235</v>
      </c>
    </row>
    <row r="249" spans="1:25" x14ac:dyDescent="0.25">
      <c r="A249" s="59">
        <v>119</v>
      </c>
      <c r="B249" s="59" t="s">
        <v>240</v>
      </c>
      <c r="C249" s="140">
        <v>4.41E-2</v>
      </c>
      <c r="D249" s="63">
        <f t="shared" si="62"/>
        <v>0.10143079604845218</v>
      </c>
      <c r="E249" s="63">
        <f t="shared" si="63"/>
        <v>0.15000389415418902</v>
      </c>
      <c r="F249" s="64">
        <f t="shared" si="64"/>
        <v>1.1715202410271131E-2</v>
      </c>
      <c r="H249" s="4">
        <v>134</v>
      </c>
      <c r="I249" s="54">
        <f t="shared" si="69"/>
        <v>3638602.1006295285</v>
      </c>
      <c r="J249" s="54">
        <f t="shared" si="70"/>
        <v>1077691.1404467518</v>
      </c>
      <c r="K249" s="93">
        <f t="shared" si="71"/>
        <v>2560910.9601827767</v>
      </c>
      <c r="L249" s="74">
        <f t="shared" si="72"/>
        <v>172332144.41925073</v>
      </c>
      <c r="N249" s="4">
        <v>134</v>
      </c>
      <c r="O249" s="54">
        <f t="shared" si="73"/>
        <v>2431828.5356830005</v>
      </c>
      <c r="P249" s="74">
        <f t="shared" si="74"/>
        <v>1339235.9430904079</v>
      </c>
      <c r="Q249" s="54">
        <f t="shared" si="75"/>
        <v>1092592.5925925926</v>
      </c>
      <c r="R249" s="74">
        <f t="shared" si="76"/>
        <v>89592592.592592001</v>
      </c>
      <c r="S249" s="77"/>
      <c r="T249" s="4">
        <v>134</v>
      </c>
      <c r="U249" s="15">
        <f t="shared" si="77"/>
        <v>1.3712096084523617E-2</v>
      </c>
      <c r="V249" s="133">
        <f t="shared" si="78"/>
        <v>3638602.1006295285</v>
      </c>
      <c r="W249" s="132">
        <f t="shared" si="79"/>
        <v>2823425.9927755394</v>
      </c>
      <c r="X249" s="132">
        <f t="shared" si="80"/>
        <v>815176.10785398912</v>
      </c>
      <c r="Y249" s="27">
        <f t="shared" si="81"/>
        <v>56625990.261975698</v>
      </c>
    </row>
    <row r="250" spans="1:25" x14ac:dyDescent="0.25">
      <c r="A250" s="59">
        <v>120</v>
      </c>
      <c r="B250" s="59" t="s">
        <v>239</v>
      </c>
      <c r="C250" s="140">
        <v>4.5100000000000001E-2</v>
      </c>
      <c r="D250" s="63">
        <f t="shared" si="62"/>
        <v>0.10143079604845218</v>
      </c>
      <c r="E250" s="63">
        <f t="shared" si="63"/>
        <v>0.15110532495023721</v>
      </c>
      <c r="F250" s="64">
        <f t="shared" si="64"/>
        <v>1.179591557286308E-2</v>
      </c>
      <c r="H250" s="4">
        <v>135</v>
      </c>
      <c r="I250" s="54">
        <f t="shared" si="69"/>
        <v>3638602.1006295285</v>
      </c>
      <c r="J250" s="54">
        <f t="shared" si="70"/>
        <v>1093606.449081664</v>
      </c>
      <c r="K250" s="93">
        <f t="shared" si="71"/>
        <v>2544995.6515478645</v>
      </c>
      <c r="L250" s="74">
        <f t="shared" si="72"/>
        <v>171238537.97016907</v>
      </c>
      <c r="N250" s="4">
        <v>135</v>
      </c>
      <c r="O250" s="54">
        <f t="shared" si="73"/>
        <v>2415693.1628746819</v>
      </c>
      <c r="P250" s="74">
        <f t="shared" si="74"/>
        <v>1323100.5702820895</v>
      </c>
      <c r="Q250" s="54">
        <f t="shared" si="75"/>
        <v>1092592.5925925926</v>
      </c>
      <c r="R250" s="74">
        <f t="shared" si="76"/>
        <v>88499999.999999404</v>
      </c>
      <c r="S250" s="77"/>
      <c r="T250" s="4">
        <v>135</v>
      </c>
      <c r="U250" s="15">
        <f t="shared" si="77"/>
        <v>1.3988237990612662E-2</v>
      </c>
      <c r="V250" s="133">
        <f t="shared" si="78"/>
        <v>3638602.1006295285</v>
      </c>
      <c r="W250" s="132">
        <f t="shared" si="79"/>
        <v>2846504.2723908974</v>
      </c>
      <c r="X250" s="132">
        <f t="shared" si="80"/>
        <v>792097.82823863113</v>
      </c>
      <c r="Y250" s="27">
        <f t="shared" si="81"/>
        <v>53779485.989584804</v>
      </c>
    </row>
    <row r="251" spans="1:25" x14ac:dyDescent="0.25">
      <c r="A251" s="59">
        <v>121</v>
      </c>
      <c r="B251" s="59" t="s">
        <v>158</v>
      </c>
      <c r="C251" s="140">
        <v>4.4200000000000003E-2</v>
      </c>
      <c r="D251" s="63">
        <f t="shared" si="62"/>
        <v>0.10143079604845218</v>
      </c>
      <c r="E251" s="63">
        <f t="shared" si="63"/>
        <v>0.15011403723379368</v>
      </c>
      <c r="F251" s="64">
        <f t="shared" si="64"/>
        <v>1.1723276914576308E-2</v>
      </c>
      <c r="H251" s="4">
        <v>136</v>
      </c>
      <c r="I251" s="54">
        <f t="shared" si="69"/>
        <v>3638602.1006295285</v>
      </c>
      <c r="J251" s="54">
        <f t="shared" si="70"/>
        <v>1109756.7944905069</v>
      </c>
      <c r="K251" s="93">
        <f t="shared" si="71"/>
        <v>2528845.3061390216</v>
      </c>
      <c r="L251" s="74">
        <f t="shared" si="72"/>
        <v>170128781.17567855</v>
      </c>
      <c r="N251" s="4">
        <v>136</v>
      </c>
      <c r="O251" s="54">
        <f t="shared" si="73"/>
        <v>2399557.7900663638</v>
      </c>
      <c r="P251" s="74">
        <f t="shared" si="74"/>
        <v>1306965.1974737712</v>
      </c>
      <c r="Q251" s="54">
        <f t="shared" si="75"/>
        <v>1092592.5925925926</v>
      </c>
      <c r="R251" s="74">
        <f t="shared" si="76"/>
        <v>87407407.407406807</v>
      </c>
      <c r="S251" s="77"/>
      <c r="T251" s="4">
        <v>136</v>
      </c>
      <c r="U251" s="15">
        <f t="shared" si="77"/>
        <v>1.3933075755060864E-2</v>
      </c>
      <c r="V251" s="133">
        <f t="shared" si="78"/>
        <v>3638602.1006295285</v>
      </c>
      <c r="W251" s="132">
        <f t="shared" si="79"/>
        <v>2889288.4482684089</v>
      </c>
      <c r="X251" s="132">
        <f t="shared" si="80"/>
        <v>749313.6523611194</v>
      </c>
      <c r="Y251" s="27">
        <f t="shared" si="81"/>
        <v>50890197.541316397</v>
      </c>
    </row>
    <row r="252" spans="1:25" x14ac:dyDescent="0.25">
      <c r="A252" s="59">
        <v>122</v>
      </c>
      <c r="B252" s="59" t="s">
        <v>157</v>
      </c>
      <c r="C252" s="140">
        <v>4.3999999999999997E-2</v>
      </c>
      <c r="D252" s="63">
        <f t="shared" si="62"/>
        <v>0.10143079604845218</v>
      </c>
      <c r="E252" s="63">
        <f t="shared" si="63"/>
        <v>0.14989375107458414</v>
      </c>
      <c r="F252" s="64">
        <f t="shared" si="64"/>
        <v>1.1707127197034595E-2</v>
      </c>
      <c r="H252" s="4">
        <v>137</v>
      </c>
      <c r="I252" s="54">
        <f t="shared" si="69"/>
        <v>3638602.1006295285</v>
      </c>
      <c r="J252" s="54">
        <f t="shared" si="70"/>
        <v>1126145.647688916</v>
      </c>
      <c r="K252" s="93">
        <f t="shared" si="71"/>
        <v>2512456.4529406126</v>
      </c>
      <c r="L252" s="74">
        <f t="shared" si="72"/>
        <v>169002635.52798963</v>
      </c>
      <c r="N252" s="4">
        <v>137</v>
      </c>
      <c r="O252" s="54">
        <f t="shared" si="73"/>
        <v>2383422.4172580456</v>
      </c>
      <c r="P252" s="74">
        <f t="shared" si="74"/>
        <v>1290829.8246654528</v>
      </c>
      <c r="Q252" s="54">
        <f t="shared" si="75"/>
        <v>1092592.5925925926</v>
      </c>
      <c r="R252" s="74">
        <f t="shared" si="76"/>
        <v>86314814.81481421</v>
      </c>
      <c r="S252" s="77"/>
      <c r="T252" s="4">
        <v>137</v>
      </c>
      <c r="U252" s="15">
        <f t="shared" si="77"/>
        <v>1.3925192740219083E-2</v>
      </c>
      <c r="V252" s="133">
        <f t="shared" si="78"/>
        <v>3638602.1006295285</v>
      </c>
      <c r="W252" s="132">
        <f t="shared" si="79"/>
        <v>2929946.2912788745</v>
      </c>
      <c r="X252" s="132">
        <f t="shared" si="80"/>
        <v>708655.80935065413</v>
      </c>
      <c r="Y252" s="27">
        <f t="shared" si="81"/>
        <v>47960251.250037521</v>
      </c>
    </row>
    <row r="253" spans="1:25" x14ac:dyDescent="0.25">
      <c r="A253" s="59">
        <v>123</v>
      </c>
      <c r="B253" s="59" t="s">
        <v>156</v>
      </c>
      <c r="C253" s="140">
        <v>4.5199999999999997E-2</v>
      </c>
      <c r="D253" s="63">
        <f t="shared" si="62"/>
        <v>0.10143079604845218</v>
      </c>
      <c r="E253" s="63">
        <f t="shared" si="63"/>
        <v>0.15121546802984209</v>
      </c>
      <c r="F253" s="64">
        <f t="shared" si="64"/>
        <v>1.1803982995003848E-2</v>
      </c>
      <c r="H253" s="4">
        <v>138</v>
      </c>
      <c r="I253" s="54">
        <f t="shared" si="69"/>
        <v>3638602.1006295285</v>
      </c>
      <c r="J253" s="54">
        <f t="shared" si="70"/>
        <v>1142776.5309523735</v>
      </c>
      <c r="K253" s="93">
        <f t="shared" si="71"/>
        <v>2495825.569677155</v>
      </c>
      <c r="L253" s="74">
        <f t="shared" si="72"/>
        <v>167859858.99703726</v>
      </c>
      <c r="N253" s="4">
        <v>138</v>
      </c>
      <c r="O253" s="54">
        <f t="shared" si="73"/>
        <v>2367287.0444497271</v>
      </c>
      <c r="P253" s="74">
        <f t="shared" si="74"/>
        <v>1274694.4518571345</v>
      </c>
      <c r="Q253" s="54">
        <f t="shared" si="75"/>
        <v>1092592.5925925926</v>
      </c>
      <c r="R253" s="74">
        <f t="shared" si="76"/>
        <v>85222222.222221613</v>
      </c>
      <c r="S253" s="77"/>
      <c r="T253" s="4">
        <v>138</v>
      </c>
      <c r="U253" s="15">
        <f t="shared" si="77"/>
        <v>1.3854215251778879E-2</v>
      </c>
      <c r="V253" s="133">
        <f t="shared" si="78"/>
        <v>3638602.1006295285</v>
      </c>
      <c r="W253" s="132">
        <f t="shared" si="79"/>
        <v>2974150.4562821118</v>
      </c>
      <c r="X253" s="132">
        <f t="shared" si="80"/>
        <v>664451.64434741682</v>
      </c>
      <c r="Y253" s="27">
        <f t="shared" si="81"/>
        <v>44986100.793755412</v>
      </c>
    </row>
    <row r="254" spans="1:25" x14ac:dyDescent="0.25">
      <c r="A254" s="59">
        <v>124</v>
      </c>
      <c r="B254" s="59" t="s">
        <v>155</v>
      </c>
      <c r="C254" s="140">
        <v>4.4699999999999997E-2</v>
      </c>
      <c r="D254" s="63">
        <f t="shared" si="62"/>
        <v>0.10143079604845218</v>
      </c>
      <c r="E254" s="63">
        <f t="shared" si="63"/>
        <v>0.15066475263181789</v>
      </c>
      <c r="F254" s="64">
        <f t="shared" si="64"/>
        <v>1.176363880668263E-2</v>
      </c>
      <c r="H254" s="4">
        <v>139</v>
      </c>
      <c r="I254" s="54">
        <f t="shared" si="69"/>
        <v>3638602.1006295285</v>
      </c>
      <c r="J254" s="54">
        <f t="shared" si="70"/>
        <v>1159653.0185732157</v>
      </c>
      <c r="K254" s="93">
        <f t="shared" si="71"/>
        <v>2478949.0820563128</v>
      </c>
      <c r="L254" s="74">
        <f t="shared" si="72"/>
        <v>166700205.97846404</v>
      </c>
      <c r="N254" s="4">
        <v>139</v>
      </c>
      <c r="O254" s="54">
        <f t="shared" si="73"/>
        <v>2351151.6716414085</v>
      </c>
      <c r="P254" s="74">
        <f t="shared" si="74"/>
        <v>1258559.0790488161</v>
      </c>
      <c r="Q254" s="54">
        <f t="shared" si="75"/>
        <v>1092592.5925925926</v>
      </c>
      <c r="R254" s="74">
        <f t="shared" si="76"/>
        <v>84129629.629629016</v>
      </c>
      <c r="S254" s="77"/>
      <c r="T254" s="4">
        <v>139</v>
      </c>
      <c r="U254" s="15">
        <f t="shared" si="77"/>
        <v>1.3791078232093579E-2</v>
      </c>
      <c r="V254" s="133">
        <f t="shared" si="78"/>
        <v>3638602.1006295285</v>
      </c>
      <c r="W254" s="132">
        <f t="shared" si="79"/>
        <v>3018195.2652260005</v>
      </c>
      <c r="X254" s="132">
        <f t="shared" si="80"/>
        <v>620406.83540352795</v>
      </c>
      <c r="Y254" s="27">
        <f t="shared" si="81"/>
        <v>41967905.528529413</v>
      </c>
    </row>
    <row r="255" spans="1:25" x14ac:dyDescent="0.25">
      <c r="A255" s="59">
        <v>125</v>
      </c>
      <c r="B255" s="59" t="s">
        <v>154</v>
      </c>
      <c r="C255" s="140">
        <v>4.41E-2</v>
      </c>
      <c r="D255" s="63">
        <f t="shared" si="62"/>
        <v>0.10143079604845218</v>
      </c>
      <c r="E255" s="63">
        <f t="shared" si="63"/>
        <v>0.15000389415418902</v>
      </c>
      <c r="F255" s="64">
        <f t="shared" si="64"/>
        <v>1.1715202410271131E-2</v>
      </c>
      <c r="H255" s="4">
        <v>140</v>
      </c>
      <c r="I255" s="54">
        <f t="shared" si="69"/>
        <v>3638602.1006295285</v>
      </c>
      <c r="J255" s="54">
        <f t="shared" si="70"/>
        <v>1176778.7376288162</v>
      </c>
      <c r="K255" s="93">
        <f t="shared" si="71"/>
        <v>2461823.3630007124</v>
      </c>
      <c r="L255" s="74">
        <f t="shared" si="72"/>
        <v>165523427.24083522</v>
      </c>
      <c r="N255" s="4">
        <v>140</v>
      </c>
      <c r="O255" s="54">
        <f t="shared" si="73"/>
        <v>2335016.2988330908</v>
      </c>
      <c r="P255" s="74">
        <f t="shared" si="74"/>
        <v>1242423.706240498</v>
      </c>
      <c r="Q255" s="54">
        <f t="shared" si="75"/>
        <v>1092592.5925925926</v>
      </c>
      <c r="R255" s="74">
        <f t="shared" si="76"/>
        <v>83037037.037036419</v>
      </c>
      <c r="S255" s="77"/>
      <c r="T255" s="4">
        <v>140</v>
      </c>
      <c r="U255" s="15">
        <f t="shared" si="77"/>
        <v>1.371999734602003E-2</v>
      </c>
      <c r="V255" s="133">
        <f t="shared" si="78"/>
        <v>3638602.1006295285</v>
      </c>
      <c r="W255" s="132">
        <f t="shared" si="79"/>
        <v>3062802.5481600855</v>
      </c>
      <c r="X255" s="132">
        <f t="shared" si="80"/>
        <v>575799.55246944283</v>
      </c>
      <c r="Y255" s="27">
        <f t="shared" si="81"/>
        <v>38905102.980369329</v>
      </c>
    </row>
    <row r="256" spans="1:25" x14ac:dyDescent="0.25">
      <c r="A256" s="59">
        <v>126</v>
      </c>
      <c r="B256" s="59" t="s">
        <v>153</v>
      </c>
      <c r="C256" s="140">
        <v>4.7199999999999999E-2</v>
      </c>
      <c r="D256" s="63">
        <f t="shared" si="62"/>
        <v>0.10143079604845218</v>
      </c>
      <c r="E256" s="63">
        <f t="shared" si="63"/>
        <v>0.15341832962193891</v>
      </c>
      <c r="F256" s="64">
        <f t="shared" si="64"/>
        <v>1.1965183034677196E-2</v>
      </c>
      <c r="H256" s="4">
        <v>141</v>
      </c>
      <c r="I256" s="54">
        <f t="shared" si="69"/>
        <v>3638602.1006295285</v>
      </c>
      <c r="J256" s="54">
        <f t="shared" si="70"/>
        <v>1194157.3687611097</v>
      </c>
      <c r="K256" s="93">
        <f t="shared" si="71"/>
        <v>2444444.7318684189</v>
      </c>
      <c r="L256" s="74">
        <f t="shared" si="72"/>
        <v>164329269.8720741</v>
      </c>
      <c r="N256" s="4">
        <v>141</v>
      </c>
      <c r="O256" s="54">
        <f t="shared" si="73"/>
        <v>2318880.9260247722</v>
      </c>
      <c r="P256" s="74">
        <f t="shared" si="74"/>
        <v>1226288.3334321796</v>
      </c>
      <c r="Q256" s="54">
        <f t="shared" si="75"/>
        <v>1092592.5925925926</v>
      </c>
      <c r="R256" s="74">
        <f t="shared" si="76"/>
        <v>81944444.444443822</v>
      </c>
      <c r="S256" s="77"/>
      <c r="T256" s="4">
        <v>141</v>
      </c>
      <c r="U256" s="15">
        <f t="shared" si="77"/>
        <v>1.3735797837003627E-2</v>
      </c>
      <c r="V256" s="133">
        <f t="shared" si="78"/>
        <v>3638602.1006295285</v>
      </c>
      <c r="W256" s="132">
        <f t="shared" si="79"/>
        <v>3104209.4712633681</v>
      </c>
      <c r="X256" s="132">
        <f t="shared" si="80"/>
        <v>534392.62936616037</v>
      </c>
      <c r="Y256" s="27">
        <f t="shared" si="81"/>
        <v>35800893.509105958</v>
      </c>
    </row>
    <row r="257" spans="1:26" x14ac:dyDescent="0.25">
      <c r="A257" s="59">
        <v>127</v>
      </c>
      <c r="B257" s="59" t="s">
        <v>152</v>
      </c>
      <c r="C257" s="140">
        <v>4.9200000000000001E-2</v>
      </c>
      <c r="D257" s="63">
        <f t="shared" si="62"/>
        <v>0.10143079604845218</v>
      </c>
      <c r="E257" s="63">
        <f t="shared" si="63"/>
        <v>0.15562119121403595</v>
      </c>
      <c r="F257" s="64">
        <f t="shared" si="64"/>
        <v>1.2126101108037357E-2</v>
      </c>
      <c r="H257" s="4">
        <v>142</v>
      </c>
      <c r="I257" s="54">
        <f t="shared" si="69"/>
        <v>3638602.1006295285</v>
      </c>
      <c r="J257" s="54">
        <f t="shared" si="70"/>
        <v>1211792.6469676369</v>
      </c>
      <c r="K257" s="93">
        <f t="shared" si="71"/>
        <v>2426809.4536618916</v>
      </c>
      <c r="L257" s="74">
        <f t="shared" si="72"/>
        <v>163117477.22510645</v>
      </c>
      <c r="N257" s="4">
        <v>142</v>
      </c>
      <c r="O257" s="54">
        <f t="shared" si="73"/>
        <v>2302745.5532164536</v>
      </c>
      <c r="P257" s="74">
        <f t="shared" si="74"/>
        <v>1210152.9606238613</v>
      </c>
      <c r="Q257" s="54">
        <f t="shared" si="75"/>
        <v>1092592.5925925926</v>
      </c>
      <c r="R257" s="74">
        <f t="shared" si="76"/>
        <v>80851851.851851225</v>
      </c>
      <c r="S257" s="77"/>
      <c r="T257" s="4">
        <v>142</v>
      </c>
      <c r="U257" s="15">
        <f t="shared" si="77"/>
        <v>1.3609317988482195E-2</v>
      </c>
      <c r="V257" s="133">
        <f t="shared" si="78"/>
        <v>3638602.1006295285</v>
      </c>
      <c r="W257" s="132">
        <f t="shared" si="79"/>
        <v>3151376.3565923171</v>
      </c>
      <c r="X257" s="132">
        <f t="shared" si="80"/>
        <v>487225.74403721117</v>
      </c>
      <c r="Y257" s="27">
        <f t="shared" si="81"/>
        <v>32649517.152513642</v>
      </c>
    </row>
    <row r="258" spans="1:26" x14ac:dyDescent="0.25">
      <c r="A258" s="59">
        <v>128</v>
      </c>
      <c r="B258" s="59" t="s">
        <v>151</v>
      </c>
      <c r="C258" s="140">
        <v>5.2400000000000002E-2</v>
      </c>
      <c r="D258" s="63">
        <f t="shared" si="62"/>
        <v>0.10143079604845218</v>
      </c>
      <c r="E258" s="63">
        <f t="shared" si="63"/>
        <v>0.15914576976139116</v>
      </c>
      <c r="F258" s="64">
        <f t="shared" si="64"/>
        <v>1.238298610244537E-2</v>
      </c>
      <c r="H258" s="4">
        <v>143</v>
      </c>
      <c r="I258" s="54">
        <f t="shared" si="69"/>
        <v>3638602.1006295285</v>
      </c>
      <c r="J258" s="54">
        <f t="shared" si="70"/>
        <v>1229688.3624042622</v>
      </c>
      <c r="K258" s="93">
        <f t="shared" si="71"/>
        <v>2408913.7382252663</v>
      </c>
      <c r="L258" s="74">
        <f t="shared" si="72"/>
        <v>161887788.86270219</v>
      </c>
      <c r="N258" s="4">
        <v>143</v>
      </c>
      <c r="O258" s="54">
        <f t="shared" si="73"/>
        <v>2286610.1804081355</v>
      </c>
      <c r="P258" s="74">
        <f t="shared" si="74"/>
        <v>1194017.5878155429</v>
      </c>
      <c r="Q258" s="54">
        <f t="shared" si="75"/>
        <v>1092592.5925925926</v>
      </c>
      <c r="R258" s="74">
        <f t="shared" si="76"/>
        <v>79759259.259258628</v>
      </c>
      <c r="S258" s="77"/>
      <c r="T258" s="4">
        <v>143</v>
      </c>
      <c r="U258" s="15">
        <f t="shared" si="77"/>
        <v>1.3506425127837618E-2</v>
      </c>
      <c r="V258" s="133">
        <f t="shared" si="78"/>
        <v>3638602.1006295285</v>
      </c>
      <c r="W258" s="132">
        <f t="shared" si="79"/>
        <v>3197623.841749053</v>
      </c>
      <c r="X258" s="132">
        <f t="shared" si="80"/>
        <v>440978.25888047559</v>
      </c>
      <c r="Y258" s="27">
        <f t="shared" si="81"/>
        <v>29451893.310764588</v>
      </c>
    </row>
    <row r="259" spans="1:26" x14ac:dyDescent="0.25">
      <c r="A259" s="59">
        <v>129</v>
      </c>
      <c r="B259" s="59" t="s">
        <v>150</v>
      </c>
      <c r="C259" s="140">
        <v>5.74E-2</v>
      </c>
      <c r="D259" s="63">
        <f t="shared" ref="D259:D322" si="82">$C$120</f>
        <v>0.10143079604845218</v>
      </c>
      <c r="E259" s="63">
        <f t="shared" ref="E259:E322" si="83">(1+D259)*(1+C259)-1</f>
        <v>0.16465292374163321</v>
      </c>
      <c r="F259" s="64">
        <f t="shared" ref="F259:F322" si="84">NOMINAL(E259,$C$125)/$C$125</f>
        <v>1.278293903838712E-2</v>
      </c>
      <c r="H259" s="4">
        <v>144</v>
      </c>
      <c r="I259" s="54">
        <f t="shared" si="69"/>
        <v>3638602.1006295285</v>
      </c>
      <c r="J259" s="54">
        <f t="shared" si="70"/>
        <v>1247848.3611997524</v>
      </c>
      <c r="K259" s="93">
        <f t="shared" si="71"/>
        <v>2390753.7394297761</v>
      </c>
      <c r="L259" s="74">
        <f t="shared" si="72"/>
        <v>160639940.50150242</v>
      </c>
      <c r="N259" s="4">
        <v>144</v>
      </c>
      <c r="O259" s="54">
        <f t="shared" si="73"/>
        <v>2270474.8075998174</v>
      </c>
      <c r="P259" s="74">
        <f t="shared" si="74"/>
        <v>1177882.2150072246</v>
      </c>
      <c r="Q259" s="54">
        <f t="shared" si="75"/>
        <v>1092592.5925925926</v>
      </c>
      <c r="R259" s="74">
        <f t="shared" si="76"/>
        <v>78666666.666666031</v>
      </c>
      <c r="S259" s="77"/>
      <c r="T259" s="4">
        <v>144</v>
      </c>
      <c r="U259" s="15">
        <f t="shared" si="77"/>
        <v>1.3411345008561337E-2</v>
      </c>
      <c r="V259" s="133">
        <f t="shared" si="78"/>
        <v>3638602.1006295285</v>
      </c>
      <c r="W259" s="132">
        <f t="shared" si="79"/>
        <v>3243612.5982835246</v>
      </c>
      <c r="X259" s="132">
        <f t="shared" si="80"/>
        <v>394989.50234600372</v>
      </c>
      <c r="Y259" s="27">
        <f t="shared" si="81"/>
        <v>26208280.712481063</v>
      </c>
    </row>
    <row r="260" spans="1:26" x14ac:dyDescent="0.25">
      <c r="A260" s="59">
        <v>130</v>
      </c>
      <c r="B260" s="59" t="s">
        <v>149</v>
      </c>
      <c r="C260" s="140">
        <v>6.25E-2</v>
      </c>
      <c r="D260" s="63">
        <f t="shared" si="82"/>
        <v>0.10143079604845218</v>
      </c>
      <c r="E260" s="63">
        <f t="shared" si="83"/>
        <v>0.17027022080148035</v>
      </c>
      <c r="F260" s="64">
        <f t="shared" si="84"/>
        <v>1.3189109032281765E-2</v>
      </c>
      <c r="H260" s="4">
        <v>145</v>
      </c>
      <c r="I260" s="54">
        <f t="shared" si="69"/>
        <v>3638602.1006295285</v>
      </c>
      <c r="J260" s="54">
        <f t="shared" si="70"/>
        <v>1266276.5462823827</v>
      </c>
      <c r="K260" s="93">
        <f t="shared" si="71"/>
        <v>2372325.5543471458</v>
      </c>
      <c r="L260" s="74">
        <f t="shared" si="72"/>
        <v>159373663.95522004</v>
      </c>
      <c r="N260" s="4">
        <v>145</v>
      </c>
      <c r="O260" s="54">
        <f t="shared" si="73"/>
        <v>2254339.4347914988</v>
      </c>
      <c r="P260" s="74">
        <f t="shared" si="74"/>
        <v>1161746.8421989062</v>
      </c>
      <c r="Q260" s="54">
        <f t="shared" si="75"/>
        <v>1092592.5925925926</v>
      </c>
      <c r="R260" s="74">
        <f t="shared" si="76"/>
        <v>77574074.074073434</v>
      </c>
      <c r="S260" s="77"/>
      <c r="T260" s="4">
        <v>145</v>
      </c>
      <c r="U260" s="15">
        <f t="shared" si="77"/>
        <v>1.3125514432946961E-2</v>
      </c>
      <c r="V260" s="133">
        <f t="shared" si="78"/>
        <v>3638602.1006295285</v>
      </c>
      <c r="W260" s="132">
        <f t="shared" si="79"/>
        <v>3294604.9338751328</v>
      </c>
      <c r="X260" s="132">
        <f t="shared" si="80"/>
        <v>343997.16675439564</v>
      </c>
      <c r="Y260" s="27">
        <f t="shared" si="81"/>
        <v>22913675.778605931</v>
      </c>
    </row>
    <row r="261" spans="1:26" x14ac:dyDescent="0.25">
      <c r="A261" s="59">
        <v>131</v>
      </c>
      <c r="B261" s="59" t="s">
        <v>148</v>
      </c>
      <c r="C261" s="140">
        <v>6.3500000000000001E-2</v>
      </c>
      <c r="D261" s="63">
        <f t="shared" si="82"/>
        <v>0.10143079604845218</v>
      </c>
      <c r="E261" s="63">
        <f t="shared" si="83"/>
        <v>0.17137165159752876</v>
      </c>
      <c r="F261" s="64">
        <f t="shared" si="84"/>
        <v>1.3268540585982924E-2</v>
      </c>
      <c r="H261" s="4">
        <v>146</v>
      </c>
      <c r="I261" s="54">
        <f t="shared" si="69"/>
        <v>3638602.1006295285</v>
      </c>
      <c r="J261" s="54">
        <f t="shared" si="70"/>
        <v>1284976.8782187486</v>
      </c>
      <c r="K261" s="93">
        <f t="shared" si="71"/>
        <v>2353625.2224107799</v>
      </c>
      <c r="L261" s="74">
        <f t="shared" si="72"/>
        <v>158088687.0770013</v>
      </c>
      <c r="N261" s="4">
        <v>146</v>
      </c>
      <c r="O261" s="54">
        <f t="shared" si="73"/>
        <v>2238204.0619831802</v>
      </c>
      <c r="P261" s="74">
        <f t="shared" si="74"/>
        <v>1145611.4693905879</v>
      </c>
      <c r="Q261" s="54">
        <f t="shared" si="75"/>
        <v>1092592.5925925926</v>
      </c>
      <c r="R261" s="74">
        <f t="shared" si="76"/>
        <v>76481481.481480837</v>
      </c>
      <c r="S261" s="77"/>
      <c r="T261" s="4">
        <v>146</v>
      </c>
      <c r="U261" s="15">
        <f t="shared" si="77"/>
        <v>1.2958369382887858E-2</v>
      </c>
      <c r="V261" s="133">
        <f t="shared" si="78"/>
        <v>3638602.1006295285</v>
      </c>
      <c r="W261" s="132">
        <f t="shared" si="79"/>
        <v>3341678.2259706222</v>
      </c>
      <c r="X261" s="132">
        <f t="shared" si="80"/>
        <v>296923.87465890619</v>
      </c>
      <c r="Y261" s="27">
        <f t="shared" si="81"/>
        <v>19571997.552635308</v>
      </c>
    </row>
    <row r="262" spans="1:26" x14ac:dyDescent="0.25">
      <c r="A262" s="59">
        <v>132</v>
      </c>
      <c r="B262" s="59" t="s">
        <v>147</v>
      </c>
      <c r="C262" s="140">
        <v>6.6500000000000004E-2</v>
      </c>
      <c r="D262" s="63">
        <f t="shared" si="82"/>
        <v>0.10143079604845218</v>
      </c>
      <c r="E262" s="63">
        <f t="shared" si="83"/>
        <v>0.17467594398567421</v>
      </c>
      <c r="F262" s="64">
        <f t="shared" si="84"/>
        <v>1.3506425127837618E-2</v>
      </c>
      <c r="H262" s="4">
        <v>147</v>
      </c>
      <c r="I262" s="54">
        <f t="shared" si="69"/>
        <v>3638602.1006295285</v>
      </c>
      <c r="J262" s="54">
        <f t="shared" si="70"/>
        <v>1303953.3760649678</v>
      </c>
      <c r="K262" s="93">
        <f t="shared" si="71"/>
        <v>2334648.7245645607</v>
      </c>
      <c r="L262" s="74">
        <f t="shared" si="72"/>
        <v>156784733.70093635</v>
      </c>
      <c r="N262" s="4">
        <v>147</v>
      </c>
      <c r="O262" s="54">
        <f t="shared" si="73"/>
        <v>2222068.6891748621</v>
      </c>
      <c r="P262" s="74">
        <f t="shared" si="74"/>
        <v>1129476.0965822695</v>
      </c>
      <c r="Q262" s="54">
        <f t="shared" si="75"/>
        <v>1092592.5925925926</v>
      </c>
      <c r="R262" s="74">
        <f t="shared" si="76"/>
        <v>75388888.88888824</v>
      </c>
      <c r="S262" s="77"/>
      <c r="T262" s="4">
        <v>147</v>
      </c>
      <c r="U262" s="15">
        <f t="shared" si="77"/>
        <v>1.2711075629420199E-2</v>
      </c>
      <c r="V262" s="133">
        <f t="shared" si="78"/>
        <v>3638602.1006295285</v>
      </c>
      <c r="W262" s="132">
        <f t="shared" si="79"/>
        <v>3389820.9595191539</v>
      </c>
      <c r="X262" s="132">
        <f t="shared" si="80"/>
        <v>248781.14111037445</v>
      </c>
      <c r="Y262" s="27">
        <f t="shared" si="81"/>
        <v>16182176.593116155</v>
      </c>
    </row>
    <row r="263" spans="1:26" x14ac:dyDescent="0.25">
      <c r="A263" s="59">
        <v>133</v>
      </c>
      <c r="B263" s="59" t="s">
        <v>146</v>
      </c>
      <c r="C263" s="140">
        <v>6.83E-2</v>
      </c>
      <c r="D263" s="63">
        <f t="shared" si="82"/>
        <v>0.10143079604845218</v>
      </c>
      <c r="E263" s="63">
        <f t="shared" si="83"/>
        <v>0.17665851941856148</v>
      </c>
      <c r="F263" s="64">
        <f t="shared" si="84"/>
        <v>1.3648861592408856E-2</v>
      </c>
      <c r="H263" s="4">
        <v>148</v>
      </c>
      <c r="I263" s="54">
        <f t="shared" si="69"/>
        <v>3638602.1006295285</v>
      </c>
      <c r="J263" s="54">
        <f t="shared" si="70"/>
        <v>1323210.1182304518</v>
      </c>
      <c r="K263" s="93">
        <f t="shared" si="71"/>
        <v>2315391.9823990767</v>
      </c>
      <c r="L263" s="74">
        <f t="shared" si="72"/>
        <v>155461523.58270589</v>
      </c>
      <c r="N263" s="4">
        <v>148</v>
      </c>
      <c r="O263" s="54">
        <f t="shared" si="73"/>
        <v>2205933.316366544</v>
      </c>
      <c r="P263" s="74">
        <f t="shared" si="74"/>
        <v>1113340.7237739512</v>
      </c>
      <c r="Q263" s="54">
        <f t="shared" si="75"/>
        <v>1092592.5925925926</v>
      </c>
      <c r="R263" s="74">
        <f t="shared" si="76"/>
        <v>74296296.296295643</v>
      </c>
      <c r="S263" s="77"/>
      <c r="T263" s="4">
        <v>148</v>
      </c>
      <c r="U263" s="15">
        <f t="shared" si="77"/>
        <v>1.2655143059684848E-2</v>
      </c>
      <c r="V263" s="133">
        <f t="shared" si="78"/>
        <v>3638602.1006295285</v>
      </c>
      <c r="W263" s="132">
        <f t="shared" si="79"/>
        <v>3433814.3408265598</v>
      </c>
      <c r="X263" s="132">
        <f t="shared" si="80"/>
        <v>204787.7598029685</v>
      </c>
      <c r="Y263" s="27">
        <f t="shared" si="81"/>
        <v>12748362.252289595</v>
      </c>
    </row>
    <row r="264" spans="1:26" x14ac:dyDescent="0.25">
      <c r="A264" s="59">
        <v>134</v>
      </c>
      <c r="B264" s="59" t="s">
        <v>145</v>
      </c>
      <c r="C264" s="140">
        <v>6.9099999999999995E-2</v>
      </c>
      <c r="D264" s="63">
        <f t="shared" si="82"/>
        <v>0.10143079604845218</v>
      </c>
      <c r="E264" s="63">
        <f t="shared" si="83"/>
        <v>0.17753966405540011</v>
      </c>
      <c r="F264" s="64">
        <f t="shared" si="84"/>
        <v>1.3712096084523617E-2</v>
      </c>
      <c r="H264" s="4">
        <v>149</v>
      </c>
      <c r="I264" s="54">
        <f t="shared" si="69"/>
        <v>3638602.1006295285</v>
      </c>
      <c r="J264" s="54">
        <f t="shared" si="70"/>
        <v>1342751.2433544337</v>
      </c>
      <c r="K264" s="93">
        <f t="shared" si="71"/>
        <v>2295850.8572750948</v>
      </c>
      <c r="L264" s="74">
        <f t="shared" si="72"/>
        <v>154118772.33935145</v>
      </c>
      <c r="N264" s="4">
        <v>149</v>
      </c>
      <c r="O264" s="54">
        <f t="shared" si="73"/>
        <v>2189797.9435582254</v>
      </c>
      <c r="P264" s="74">
        <f t="shared" si="74"/>
        <v>1097205.3509656328</v>
      </c>
      <c r="Q264" s="54">
        <f t="shared" si="75"/>
        <v>1092592.5925925926</v>
      </c>
      <c r="R264" s="74">
        <f t="shared" si="76"/>
        <v>73203703.703703046</v>
      </c>
      <c r="S264" s="77"/>
      <c r="T264" s="4">
        <v>149</v>
      </c>
      <c r="U264" s="15">
        <f t="shared" si="77"/>
        <v>1.260717379462073E-2</v>
      </c>
      <c r="V264" s="133">
        <f t="shared" si="78"/>
        <v>3638602.1006295285</v>
      </c>
      <c r="W264" s="132">
        <f t="shared" si="79"/>
        <v>3477881.2821181309</v>
      </c>
      <c r="X264" s="132">
        <f t="shared" si="80"/>
        <v>160720.81851139749</v>
      </c>
      <c r="Y264" s="27">
        <f t="shared" si="81"/>
        <v>9270480.9701714646</v>
      </c>
    </row>
    <row r="265" spans="1:26" x14ac:dyDescent="0.25">
      <c r="A265" s="59">
        <v>135</v>
      </c>
      <c r="B265" s="59" t="s">
        <v>144</v>
      </c>
      <c r="C265" s="140">
        <v>7.2599999999999998E-2</v>
      </c>
      <c r="D265" s="63">
        <f t="shared" si="82"/>
        <v>0.10143079604845218</v>
      </c>
      <c r="E265" s="63">
        <f t="shared" si="83"/>
        <v>0.18139467184156977</v>
      </c>
      <c r="F265" s="64">
        <f t="shared" si="84"/>
        <v>1.3988237990612662E-2</v>
      </c>
      <c r="H265" s="4">
        <v>150</v>
      </c>
      <c r="I265" s="54">
        <f t="shared" si="69"/>
        <v>3638602.1006295285</v>
      </c>
      <c r="J265" s="54">
        <f t="shared" si="70"/>
        <v>1362580.9511954379</v>
      </c>
      <c r="K265" s="93">
        <f t="shared" si="71"/>
        <v>2276021.1494340906</v>
      </c>
      <c r="L265" s="74">
        <f t="shared" si="72"/>
        <v>152756191.388156</v>
      </c>
      <c r="N265" s="4">
        <v>150</v>
      </c>
      <c r="O265" s="54">
        <f t="shared" si="73"/>
        <v>2173662.5707499068</v>
      </c>
      <c r="P265" s="74">
        <f t="shared" si="74"/>
        <v>1081069.9781573145</v>
      </c>
      <c r="Q265" s="54">
        <f t="shared" si="75"/>
        <v>1092592.5925925926</v>
      </c>
      <c r="R265" s="74">
        <f t="shared" si="76"/>
        <v>72111111.111110449</v>
      </c>
      <c r="S265" s="77"/>
      <c r="T265" s="4">
        <v>150</v>
      </c>
      <c r="U265" s="15">
        <f t="shared" si="77"/>
        <v>1.2559179520103436E-2</v>
      </c>
      <c r="V265" s="133">
        <f t="shared" si="78"/>
        <v>3638602.1006295285</v>
      </c>
      <c r="W265" s="132">
        <f t="shared" si="79"/>
        <v>3522172.4658874422</v>
      </c>
      <c r="X265" s="132">
        <f t="shared" si="80"/>
        <v>116429.6347420861</v>
      </c>
      <c r="Y265" s="27">
        <f t="shared" si="81"/>
        <v>5748308.5042840224</v>
      </c>
    </row>
    <row r="266" spans="1:26" x14ac:dyDescent="0.25">
      <c r="A266" s="59">
        <v>136</v>
      </c>
      <c r="B266" s="59" t="s">
        <v>143</v>
      </c>
      <c r="C266" s="140">
        <v>7.1900000000000006E-2</v>
      </c>
      <c r="D266" s="63">
        <f t="shared" si="82"/>
        <v>0.10143079604845218</v>
      </c>
      <c r="E266" s="63">
        <f t="shared" si="83"/>
        <v>0.18062367028433601</v>
      </c>
      <c r="F266" s="64">
        <f t="shared" si="84"/>
        <v>1.3933075755060864E-2</v>
      </c>
      <c r="H266" s="4">
        <v>151</v>
      </c>
      <c r="I266" s="54">
        <f t="shared" si="69"/>
        <v>3638602.1006295285</v>
      </c>
      <c r="J266" s="54">
        <f t="shared" si="70"/>
        <v>1382703.5035338919</v>
      </c>
      <c r="K266" s="93">
        <f t="shared" si="71"/>
        <v>2255898.5970956367</v>
      </c>
      <c r="L266" s="74">
        <f t="shared" si="72"/>
        <v>151373487.8846221</v>
      </c>
      <c r="N266" s="4">
        <v>151</v>
      </c>
      <c r="O266" s="54">
        <f t="shared" si="73"/>
        <v>2157527.1979415887</v>
      </c>
      <c r="P266" s="74">
        <f t="shared" si="74"/>
        <v>1064934.6053489961</v>
      </c>
      <c r="Q266" s="54">
        <f t="shared" si="75"/>
        <v>1092592.5925925926</v>
      </c>
      <c r="R266" s="74">
        <f t="shared" si="76"/>
        <v>71018518.518517852</v>
      </c>
      <c r="S266" s="77"/>
      <c r="T266" s="4">
        <v>151</v>
      </c>
      <c r="U266" s="15">
        <f t="shared" si="77"/>
        <v>1.2471124971153325E-2</v>
      </c>
      <c r="V266" s="133">
        <f>W266+X266</f>
        <v>5819996.3780136919</v>
      </c>
      <c r="W266" s="132">
        <f>Y265</f>
        <v>5748308.5042840224</v>
      </c>
      <c r="X266" s="132">
        <f t="shared" si="80"/>
        <v>71687.873729669489</v>
      </c>
      <c r="Y266" s="27">
        <f t="shared" si="81"/>
        <v>0</v>
      </c>
      <c r="Z266" s="7"/>
    </row>
    <row r="267" spans="1:26" x14ac:dyDescent="0.25">
      <c r="A267" s="59">
        <v>137</v>
      </c>
      <c r="B267" s="59" t="s">
        <v>142</v>
      </c>
      <c r="C267" s="140">
        <v>7.1800000000000003E-2</v>
      </c>
      <c r="D267" s="63">
        <f t="shared" si="82"/>
        <v>0.10143079604845218</v>
      </c>
      <c r="E267" s="63">
        <f t="shared" si="83"/>
        <v>0.18051352720473113</v>
      </c>
      <c r="F267" s="64">
        <f t="shared" si="84"/>
        <v>1.3925192740219083E-2</v>
      </c>
      <c r="H267" s="4">
        <v>152</v>
      </c>
      <c r="I267" s="54">
        <f t="shared" si="69"/>
        <v>3638602.1006295285</v>
      </c>
      <c r="J267" s="54">
        <f t="shared" si="70"/>
        <v>1403123.2250880599</v>
      </c>
      <c r="K267" s="93">
        <f t="shared" si="71"/>
        <v>2235478.8755414686</v>
      </c>
      <c r="L267" s="74">
        <f t="shared" si="72"/>
        <v>149970364.65953404</v>
      </c>
      <c r="N267" s="4">
        <v>152</v>
      </c>
      <c r="O267" s="54">
        <f t="shared" si="73"/>
        <v>2141391.8251332706</v>
      </c>
      <c r="P267" s="74">
        <f t="shared" si="74"/>
        <v>1048799.2325406778</v>
      </c>
      <c r="Q267" s="54">
        <f t="shared" si="75"/>
        <v>1092592.5925925926</v>
      </c>
      <c r="R267" s="74">
        <f t="shared" si="76"/>
        <v>69925925.925925255</v>
      </c>
      <c r="S267" s="77"/>
      <c r="T267" s="4">
        <v>152</v>
      </c>
      <c r="U267" s="15">
        <f t="shared" si="77"/>
        <v>1.2415046366817117E-2</v>
      </c>
      <c r="V267" s="133"/>
      <c r="W267" s="132"/>
      <c r="X267" s="132"/>
      <c r="Y267" s="27"/>
      <c r="Z267" s="7"/>
    </row>
    <row r="268" spans="1:26" x14ac:dyDescent="0.25">
      <c r="A268" s="59">
        <v>138</v>
      </c>
      <c r="B268" s="59" t="s">
        <v>141</v>
      </c>
      <c r="C268" s="140">
        <v>7.0900000000000005E-2</v>
      </c>
      <c r="D268" s="63">
        <f t="shared" si="82"/>
        <v>0.10143079604845218</v>
      </c>
      <c r="E268" s="63">
        <f t="shared" si="83"/>
        <v>0.17952223948828738</v>
      </c>
      <c r="F268" s="64">
        <f t="shared" si="84"/>
        <v>1.3854215251778879E-2</v>
      </c>
      <c r="H268" s="4">
        <v>153</v>
      </c>
      <c r="I268" s="54">
        <f t="shared" si="69"/>
        <v>3638602.1006295285</v>
      </c>
      <c r="J268" s="54">
        <f t="shared" si="70"/>
        <v>1423844.504443509</v>
      </c>
      <c r="K268" s="93">
        <f t="shared" si="71"/>
        <v>2214757.5961860195</v>
      </c>
      <c r="L268" s="74">
        <f t="shared" si="72"/>
        <v>148546520.15509054</v>
      </c>
      <c r="N268" s="4">
        <v>153</v>
      </c>
      <c r="O268" s="54">
        <f t="shared" si="73"/>
        <v>2125256.452324952</v>
      </c>
      <c r="P268" s="74">
        <f t="shared" si="74"/>
        <v>1032663.8597323595</v>
      </c>
      <c r="Q268" s="54">
        <f t="shared" si="75"/>
        <v>1092592.5925925926</v>
      </c>
      <c r="R268" s="74">
        <f t="shared" si="76"/>
        <v>68833333.333332658</v>
      </c>
      <c r="S268" s="77"/>
      <c r="T268" s="4">
        <v>153</v>
      </c>
      <c r="U268" s="15">
        <f t="shared" si="77"/>
        <v>1.2358933572945485E-2</v>
      </c>
      <c r="V268" s="133"/>
      <c r="W268" s="132"/>
      <c r="X268" s="132"/>
      <c r="Y268" s="27"/>
      <c r="Z268" s="7"/>
    </row>
    <row r="269" spans="1:26" x14ac:dyDescent="0.25">
      <c r="A269" s="59">
        <v>139</v>
      </c>
      <c r="B269" s="59" t="s">
        <v>140</v>
      </c>
      <c r="C269" s="140">
        <v>7.0099999999999996E-2</v>
      </c>
      <c r="D269" s="63">
        <f t="shared" si="82"/>
        <v>0.10143079604845218</v>
      </c>
      <c r="E269" s="63">
        <f t="shared" si="83"/>
        <v>0.17864109485144875</v>
      </c>
      <c r="F269" s="64">
        <f t="shared" si="84"/>
        <v>1.3791078232093579E-2</v>
      </c>
      <c r="H269" s="4">
        <v>154</v>
      </c>
      <c r="I269" s="54">
        <f t="shared" si="69"/>
        <v>3638602.1006295285</v>
      </c>
      <c r="J269" s="54">
        <f t="shared" si="70"/>
        <v>1444871.7949962998</v>
      </c>
      <c r="K269" s="93">
        <f t="shared" si="71"/>
        <v>2193730.3056332287</v>
      </c>
      <c r="L269" s="74">
        <f t="shared" si="72"/>
        <v>147101648.36009425</v>
      </c>
      <c r="N269" s="4">
        <v>154</v>
      </c>
      <c r="O269" s="54">
        <f t="shared" si="73"/>
        <v>2109121.0795166339</v>
      </c>
      <c r="P269" s="74">
        <f t="shared" si="74"/>
        <v>1016528.4869240412</v>
      </c>
      <c r="Q269" s="54">
        <f t="shared" si="75"/>
        <v>1092592.5925925926</v>
      </c>
      <c r="R269" s="74">
        <f t="shared" si="76"/>
        <v>67740740.740740061</v>
      </c>
      <c r="S269" s="77"/>
      <c r="T269" s="4">
        <v>154</v>
      </c>
      <c r="U269" s="15">
        <f t="shared" si="77"/>
        <v>1.2246605242060005E-2</v>
      </c>
      <c r="V269" s="133"/>
      <c r="W269" s="132"/>
      <c r="X269" s="132"/>
      <c r="Y269" s="27"/>
      <c r="Z269" s="7"/>
    </row>
    <row r="270" spans="1:26" x14ac:dyDescent="0.25">
      <c r="A270" s="59">
        <v>140</v>
      </c>
      <c r="B270" s="59" t="s">
        <v>139</v>
      </c>
      <c r="C270" s="140">
        <v>6.9199999999999998E-2</v>
      </c>
      <c r="D270" s="63">
        <f t="shared" si="82"/>
        <v>0.10143079604845218</v>
      </c>
      <c r="E270" s="63">
        <f t="shared" si="83"/>
        <v>0.177649807135005</v>
      </c>
      <c r="F270" s="64">
        <f t="shared" si="84"/>
        <v>1.371999734602003E-2</v>
      </c>
      <c r="H270" s="4">
        <v>155</v>
      </c>
      <c r="I270" s="54">
        <f t="shared" si="69"/>
        <v>3638602.1006295285</v>
      </c>
      <c r="J270" s="54">
        <f t="shared" si="70"/>
        <v>1466209.6159101031</v>
      </c>
      <c r="K270" s="93">
        <f t="shared" si="71"/>
        <v>2172392.4847194254</v>
      </c>
      <c r="L270" s="74">
        <f t="shared" si="72"/>
        <v>145635438.74418414</v>
      </c>
      <c r="N270" s="4">
        <v>155</v>
      </c>
      <c r="O270" s="54">
        <f t="shared" si="73"/>
        <v>2092985.7067083153</v>
      </c>
      <c r="P270" s="74">
        <f t="shared" si="74"/>
        <v>1000393.1141157228</v>
      </c>
      <c r="Q270" s="54">
        <f t="shared" si="75"/>
        <v>1092592.5925925926</v>
      </c>
      <c r="R270" s="74">
        <f t="shared" si="76"/>
        <v>66648148.148147471</v>
      </c>
      <c r="S270" s="77"/>
      <c r="T270" s="4">
        <v>155</v>
      </c>
      <c r="U270" s="15">
        <f t="shared" si="77"/>
        <v>1.2198422523989949E-2</v>
      </c>
      <c r="V270" s="133"/>
      <c r="W270" s="132"/>
      <c r="X270" s="132"/>
      <c r="Y270" s="27"/>
      <c r="Z270" s="7"/>
    </row>
    <row r="271" spans="1:26" x14ac:dyDescent="0.25">
      <c r="A271" s="59">
        <v>141</v>
      </c>
      <c r="B271" s="59" t="s">
        <v>138</v>
      </c>
      <c r="C271" s="140">
        <v>6.9400000000000003E-2</v>
      </c>
      <c r="D271" s="63">
        <f t="shared" si="82"/>
        <v>0.10143079604845218</v>
      </c>
      <c r="E271" s="63">
        <f t="shared" si="83"/>
        <v>0.17787009329421455</v>
      </c>
      <c r="F271" s="64">
        <f t="shared" si="84"/>
        <v>1.3735797837003627E-2</v>
      </c>
      <c r="H271" s="4">
        <v>156</v>
      </c>
      <c r="I271" s="54">
        <f t="shared" si="69"/>
        <v>3638602.1006295285</v>
      </c>
      <c r="J271" s="54">
        <f t="shared" si="70"/>
        <v>1487862.5530874585</v>
      </c>
      <c r="K271" s="93">
        <f t="shared" si="71"/>
        <v>2150739.54754207</v>
      </c>
      <c r="L271" s="74">
        <f t="shared" si="72"/>
        <v>144147576.19109666</v>
      </c>
      <c r="N271" s="4">
        <v>156</v>
      </c>
      <c r="O271" s="54">
        <f t="shared" si="73"/>
        <v>2076850.3338999972</v>
      </c>
      <c r="P271" s="74">
        <f t="shared" si="74"/>
        <v>984257.74130740459</v>
      </c>
      <c r="Q271" s="54">
        <f t="shared" si="75"/>
        <v>1092592.5925925926</v>
      </c>
      <c r="R271" s="74">
        <f t="shared" si="76"/>
        <v>65555555.555554882</v>
      </c>
      <c r="S271" s="77"/>
      <c r="T271" s="4">
        <v>156</v>
      </c>
      <c r="U271" s="15">
        <f t="shared" si="77"/>
        <v>1.2110021959805817E-2</v>
      </c>
      <c r="V271" s="133"/>
      <c r="W271" s="132"/>
      <c r="X271" s="132"/>
      <c r="Y271" s="27"/>
      <c r="Z271" s="7"/>
    </row>
    <row r="272" spans="1:26" x14ac:dyDescent="0.25">
      <c r="A272" s="59">
        <v>142</v>
      </c>
      <c r="B272" s="59" t="s">
        <v>137</v>
      </c>
      <c r="C272" s="140">
        <v>6.7799999999999999E-2</v>
      </c>
      <c r="D272" s="63">
        <f t="shared" si="82"/>
        <v>0.10143079604845218</v>
      </c>
      <c r="E272" s="63">
        <f t="shared" si="83"/>
        <v>0.17610780402053727</v>
      </c>
      <c r="F272" s="64">
        <f t="shared" si="84"/>
        <v>1.3609317988482195E-2</v>
      </c>
      <c r="H272" s="4">
        <v>157</v>
      </c>
      <c r="I272" s="54">
        <f t="shared" si="69"/>
        <v>3638602.1006295285</v>
      </c>
      <c r="J272" s="54">
        <f t="shared" si="70"/>
        <v>1509835.2601553658</v>
      </c>
      <c r="K272" s="93">
        <f t="shared" si="71"/>
        <v>2128766.8404741627</v>
      </c>
      <c r="L272" s="74">
        <f t="shared" si="72"/>
        <v>142637740.93094128</v>
      </c>
      <c r="N272" s="4">
        <v>157</v>
      </c>
      <c r="O272" s="54">
        <f t="shared" si="73"/>
        <v>2060714.9610916791</v>
      </c>
      <c r="P272" s="74">
        <f t="shared" si="74"/>
        <v>968122.36849908635</v>
      </c>
      <c r="Q272" s="54">
        <f t="shared" si="75"/>
        <v>1092592.5925925926</v>
      </c>
      <c r="R272" s="74">
        <f t="shared" si="76"/>
        <v>64462962.962962292</v>
      </c>
      <c r="S272" s="77"/>
      <c r="T272" s="4">
        <v>157</v>
      </c>
      <c r="U272" s="15">
        <f t="shared" si="77"/>
        <v>1.1949075736226833E-2</v>
      </c>
      <c r="V272" s="133"/>
      <c r="W272" s="132"/>
      <c r="X272" s="132"/>
      <c r="Y272" s="27"/>
      <c r="Z272" s="7"/>
    </row>
    <row r="273" spans="1:26" x14ac:dyDescent="0.25">
      <c r="A273" s="59">
        <v>143</v>
      </c>
      <c r="B273" s="59" t="s">
        <v>136</v>
      </c>
      <c r="C273" s="140">
        <v>6.6500000000000004E-2</v>
      </c>
      <c r="D273" s="63">
        <f t="shared" si="82"/>
        <v>0.10143079604845218</v>
      </c>
      <c r="E273" s="63">
        <f t="shared" si="83"/>
        <v>0.17467594398567421</v>
      </c>
      <c r="F273" s="64">
        <f t="shared" si="84"/>
        <v>1.3506425127837618E-2</v>
      </c>
      <c r="H273" s="4">
        <v>158</v>
      </c>
      <c r="I273" s="54">
        <f t="shared" si="69"/>
        <v>3638602.1006295285</v>
      </c>
      <c r="J273" s="54">
        <f t="shared" si="70"/>
        <v>1532132.4594654432</v>
      </c>
      <c r="K273" s="93">
        <f t="shared" si="71"/>
        <v>2106469.6411640854</v>
      </c>
      <c r="L273" s="74">
        <f t="shared" si="72"/>
        <v>141105608.47147584</v>
      </c>
      <c r="N273" s="4">
        <v>158</v>
      </c>
      <c r="O273" s="54">
        <f t="shared" si="73"/>
        <v>2044579.5882833607</v>
      </c>
      <c r="P273" s="74">
        <f t="shared" si="74"/>
        <v>951986.99569076812</v>
      </c>
      <c r="Q273" s="54">
        <f t="shared" si="75"/>
        <v>1092592.5925925926</v>
      </c>
      <c r="R273" s="74">
        <f t="shared" si="76"/>
        <v>63370370.370369703</v>
      </c>
      <c r="S273" s="77"/>
      <c r="T273" s="4">
        <v>158</v>
      </c>
      <c r="U273" s="15">
        <f t="shared" si="77"/>
        <v>1.1868496912943893E-2</v>
      </c>
      <c r="V273" s="133"/>
      <c r="W273" s="132"/>
      <c r="X273" s="132"/>
      <c r="Y273" s="27"/>
      <c r="Z273" s="7"/>
    </row>
    <row r="274" spans="1:26" x14ac:dyDescent="0.25">
      <c r="A274" s="59">
        <v>144</v>
      </c>
      <c r="B274" s="59" t="s">
        <v>135</v>
      </c>
      <c r="C274" s="140">
        <v>6.5299999999999997E-2</v>
      </c>
      <c r="D274" s="63">
        <f t="shared" si="82"/>
        <v>0.10143079604845218</v>
      </c>
      <c r="E274" s="63">
        <f t="shared" si="83"/>
        <v>0.17335422703041603</v>
      </c>
      <c r="F274" s="64">
        <f t="shared" si="84"/>
        <v>1.3411345008561337E-2</v>
      </c>
      <c r="H274" s="4">
        <v>159</v>
      </c>
      <c r="I274" s="54">
        <f t="shared" si="69"/>
        <v>3638602.1006295285</v>
      </c>
      <c r="J274" s="54">
        <f t="shared" si="70"/>
        <v>1554758.9431088471</v>
      </c>
      <c r="K274" s="93">
        <f t="shared" si="71"/>
        <v>2083843.1575206814</v>
      </c>
      <c r="L274" s="74">
        <f t="shared" si="72"/>
        <v>139550849.52836698</v>
      </c>
      <c r="N274" s="4">
        <v>159</v>
      </c>
      <c r="O274" s="54">
        <f t="shared" si="73"/>
        <v>2028444.2154750424</v>
      </c>
      <c r="P274" s="74">
        <f t="shared" si="74"/>
        <v>935851.62288244988</v>
      </c>
      <c r="Q274" s="54">
        <f t="shared" si="75"/>
        <v>1092592.5925925926</v>
      </c>
      <c r="R274" s="74">
        <f t="shared" si="76"/>
        <v>62277777.777777113</v>
      </c>
      <c r="S274" s="77"/>
      <c r="T274" s="4">
        <v>159</v>
      </c>
      <c r="U274" s="15">
        <f t="shared" si="77"/>
        <v>1.1844309495768979E-2</v>
      </c>
      <c r="V274" s="133"/>
      <c r="W274" s="132"/>
      <c r="X274" s="132"/>
      <c r="Y274" s="27"/>
      <c r="Z274" s="7"/>
    </row>
    <row r="275" spans="1:26" x14ac:dyDescent="0.25">
      <c r="A275" s="59">
        <v>145</v>
      </c>
      <c r="B275" s="59" t="s">
        <v>134</v>
      </c>
      <c r="C275" s="140">
        <v>6.1699999999999998E-2</v>
      </c>
      <c r="D275" s="63">
        <f t="shared" si="82"/>
        <v>0.10143079604845218</v>
      </c>
      <c r="E275" s="63">
        <f t="shared" si="83"/>
        <v>0.16938907616464172</v>
      </c>
      <c r="F275" s="64">
        <f t="shared" si="84"/>
        <v>1.3125514432946961E-2</v>
      </c>
      <c r="H275" s="4">
        <v>160</v>
      </c>
      <c r="I275" s="54">
        <f t="shared" si="69"/>
        <v>3638602.1006295285</v>
      </c>
      <c r="J275" s="54">
        <f t="shared" si="70"/>
        <v>1577719.5739461847</v>
      </c>
      <c r="K275" s="93">
        <f t="shared" si="71"/>
        <v>2060882.5266833438</v>
      </c>
      <c r="L275" s="74">
        <f t="shared" si="72"/>
        <v>137973129.9544208</v>
      </c>
      <c r="N275" s="4">
        <v>160</v>
      </c>
      <c r="O275" s="54">
        <f t="shared" si="73"/>
        <v>2012308.8426667242</v>
      </c>
      <c r="P275" s="74">
        <f t="shared" si="74"/>
        <v>919716.25007413165</v>
      </c>
      <c r="Q275" s="54">
        <f t="shared" si="75"/>
        <v>1092592.5925925926</v>
      </c>
      <c r="R275" s="74">
        <f t="shared" si="76"/>
        <v>61185185.185184523</v>
      </c>
      <c r="S275" s="77"/>
      <c r="T275" s="4">
        <v>160</v>
      </c>
      <c r="U275" s="15">
        <f t="shared" si="77"/>
        <v>1.1812049709642558E-2</v>
      </c>
      <c r="V275" s="133"/>
      <c r="W275" s="132"/>
      <c r="X275" s="132"/>
      <c r="Y275" s="27"/>
      <c r="Z275" s="7"/>
    </row>
    <row r="276" spans="1:26" x14ac:dyDescent="0.25">
      <c r="A276" s="59">
        <v>146</v>
      </c>
      <c r="B276" s="59" t="s">
        <v>133</v>
      </c>
      <c r="C276" s="140">
        <v>5.96E-2</v>
      </c>
      <c r="D276" s="63">
        <f t="shared" si="82"/>
        <v>0.10143079604845218</v>
      </c>
      <c r="E276" s="63">
        <f t="shared" si="83"/>
        <v>0.16707607149294001</v>
      </c>
      <c r="F276" s="64">
        <f t="shared" si="84"/>
        <v>1.2958369382887858E-2</v>
      </c>
      <c r="H276" s="4">
        <v>161</v>
      </c>
      <c r="I276" s="54">
        <f t="shared" si="69"/>
        <v>3638602.1006295285</v>
      </c>
      <c r="J276" s="54">
        <f t="shared" si="70"/>
        <v>1601019.2866526346</v>
      </c>
      <c r="K276" s="93">
        <f t="shared" si="71"/>
        <v>2037582.8139768939</v>
      </c>
      <c r="L276" s="74">
        <f t="shared" si="72"/>
        <v>136372110.66776818</v>
      </c>
      <c r="N276" s="4">
        <v>161</v>
      </c>
      <c r="O276" s="54">
        <f t="shared" si="73"/>
        <v>1996173.4698584061</v>
      </c>
      <c r="P276" s="74">
        <f t="shared" si="74"/>
        <v>903580.87726581341</v>
      </c>
      <c r="Q276" s="54">
        <f t="shared" si="75"/>
        <v>1092592.5925925926</v>
      </c>
      <c r="R276" s="74">
        <f t="shared" si="76"/>
        <v>60092592.592591934</v>
      </c>
      <c r="S276" s="77"/>
      <c r="T276" s="4">
        <v>161</v>
      </c>
      <c r="U276" s="15">
        <f t="shared" si="77"/>
        <v>1.1812049709642558E-2</v>
      </c>
      <c r="V276" s="133"/>
      <c r="W276" s="132"/>
      <c r="X276" s="132"/>
      <c r="Y276" s="27"/>
      <c r="Z276" s="7"/>
    </row>
    <row r="277" spans="1:26" x14ac:dyDescent="0.25">
      <c r="A277" s="59">
        <v>147</v>
      </c>
      <c r="B277" s="59" t="s">
        <v>132</v>
      </c>
      <c r="C277" s="140">
        <v>5.6500000000000002E-2</v>
      </c>
      <c r="D277" s="63">
        <f t="shared" si="82"/>
        <v>0.10143079604845218</v>
      </c>
      <c r="E277" s="63">
        <f t="shared" si="83"/>
        <v>0.16366163602518968</v>
      </c>
      <c r="F277" s="64">
        <f t="shared" si="84"/>
        <v>1.2711075629420199E-2</v>
      </c>
      <c r="H277" s="4">
        <v>162</v>
      </c>
      <c r="I277" s="54">
        <f t="shared" si="69"/>
        <v>3638602.1006295285</v>
      </c>
      <c r="J277" s="54">
        <f t="shared" si="70"/>
        <v>1624663.0887785023</v>
      </c>
      <c r="K277" s="93">
        <f t="shared" si="71"/>
        <v>2013939.0118510262</v>
      </c>
      <c r="L277" s="74">
        <f t="shared" si="72"/>
        <v>134747447.57898968</v>
      </c>
      <c r="N277" s="4">
        <v>162</v>
      </c>
      <c r="O277" s="54">
        <f t="shared" si="73"/>
        <v>1980038.097050088</v>
      </c>
      <c r="P277" s="74">
        <f t="shared" si="74"/>
        <v>887445.50445749529</v>
      </c>
      <c r="Q277" s="54">
        <f t="shared" si="75"/>
        <v>1092592.5925925926</v>
      </c>
      <c r="R277" s="74">
        <f t="shared" si="76"/>
        <v>58999999.999999344</v>
      </c>
      <c r="S277" s="77"/>
      <c r="T277" s="4">
        <v>162</v>
      </c>
      <c r="U277" s="15">
        <f t="shared" si="77"/>
        <v>1.1731350710080246E-2</v>
      </c>
      <c r="V277" s="133"/>
      <c r="W277" s="132"/>
      <c r="X277" s="132"/>
      <c r="Y277" s="27"/>
      <c r="Z277" s="7"/>
    </row>
    <row r="278" spans="1:26" x14ac:dyDescent="0.25">
      <c r="A278" s="59">
        <v>148</v>
      </c>
      <c r="B278" s="59" t="s">
        <v>131</v>
      </c>
      <c r="C278" s="140">
        <v>5.5800000000000002E-2</v>
      </c>
      <c r="D278" s="63">
        <f t="shared" si="82"/>
        <v>0.10143079604845218</v>
      </c>
      <c r="E278" s="63">
        <f t="shared" si="83"/>
        <v>0.16289063446795593</v>
      </c>
      <c r="F278" s="64">
        <f t="shared" si="84"/>
        <v>1.2655143059684848E-2</v>
      </c>
      <c r="H278" s="4">
        <v>163</v>
      </c>
      <c r="I278" s="54">
        <f t="shared" si="69"/>
        <v>3638602.1006295285</v>
      </c>
      <c r="J278" s="54">
        <f t="shared" si="70"/>
        <v>1648656.0618254372</v>
      </c>
      <c r="K278" s="93">
        <f t="shared" si="71"/>
        <v>1989946.0388040913</v>
      </c>
      <c r="L278" s="74">
        <f t="shared" si="72"/>
        <v>133098791.51716425</v>
      </c>
      <c r="N278" s="4">
        <v>163</v>
      </c>
      <c r="O278" s="54">
        <f t="shared" si="73"/>
        <v>1963902.7242417696</v>
      </c>
      <c r="P278" s="74">
        <f t="shared" si="74"/>
        <v>871310.13164917706</v>
      </c>
      <c r="Q278" s="54">
        <f t="shared" si="75"/>
        <v>1092592.5925925926</v>
      </c>
      <c r="R278" s="74">
        <f t="shared" si="76"/>
        <v>57907407.407406755</v>
      </c>
      <c r="S278" s="77"/>
      <c r="T278" s="4">
        <v>163</v>
      </c>
      <c r="U278" s="15">
        <f t="shared" si="77"/>
        <v>1.1723276914576308E-2</v>
      </c>
      <c r="V278" s="133"/>
      <c r="W278" s="132"/>
      <c r="X278" s="132"/>
      <c r="Y278" s="27"/>
      <c r="Z278" s="7"/>
    </row>
    <row r="279" spans="1:26" x14ac:dyDescent="0.25">
      <c r="A279" s="59">
        <v>149</v>
      </c>
      <c r="B279" s="59" t="s">
        <v>130</v>
      </c>
      <c r="C279" s="140">
        <v>5.5199999999999999E-2</v>
      </c>
      <c r="D279" s="63">
        <f t="shared" si="82"/>
        <v>0.10143079604845218</v>
      </c>
      <c r="E279" s="63">
        <f t="shared" si="83"/>
        <v>0.16222977599032662</v>
      </c>
      <c r="F279" s="64">
        <f t="shared" si="84"/>
        <v>1.260717379462073E-2</v>
      </c>
      <c r="H279" s="4">
        <v>164</v>
      </c>
      <c r="I279" s="54">
        <f t="shared" si="69"/>
        <v>3638602.1006295285</v>
      </c>
      <c r="J279" s="54">
        <f t="shared" si="70"/>
        <v>1673003.362338545</v>
      </c>
      <c r="K279" s="93">
        <f t="shared" si="71"/>
        <v>1965598.7382909835</v>
      </c>
      <c r="L279" s="74">
        <f t="shared" si="72"/>
        <v>131425788.1548257</v>
      </c>
      <c r="N279" s="4">
        <v>164</v>
      </c>
      <c r="O279" s="54">
        <f t="shared" si="73"/>
        <v>1947767.3514334513</v>
      </c>
      <c r="P279" s="74">
        <f t="shared" si="74"/>
        <v>855174.75884085882</v>
      </c>
      <c r="Q279" s="54">
        <f t="shared" si="75"/>
        <v>1092592.5925925926</v>
      </c>
      <c r="R279" s="74">
        <f t="shared" si="76"/>
        <v>56814814.814814165</v>
      </c>
      <c r="S279" s="77"/>
      <c r="T279" s="4">
        <v>164</v>
      </c>
      <c r="U279" s="15">
        <f t="shared" si="77"/>
        <v>1.1820115716908663E-2</v>
      </c>
      <c r="V279" s="133"/>
      <c r="W279" s="132"/>
      <c r="X279" s="132"/>
      <c r="Y279" s="27"/>
      <c r="Z279" s="7"/>
    </row>
    <row r="280" spans="1:26" x14ac:dyDescent="0.25">
      <c r="A280" s="59">
        <v>150</v>
      </c>
      <c r="B280" s="59" t="s">
        <v>129</v>
      </c>
      <c r="C280" s="140">
        <v>5.4600000000000003E-2</v>
      </c>
      <c r="D280" s="63">
        <f t="shared" si="82"/>
        <v>0.10143079604845218</v>
      </c>
      <c r="E280" s="63">
        <f t="shared" si="83"/>
        <v>0.16156891751269775</v>
      </c>
      <c r="F280" s="64">
        <f t="shared" si="84"/>
        <v>1.2559179520103436E-2</v>
      </c>
      <c r="H280" s="4">
        <v>165</v>
      </c>
      <c r="I280" s="54">
        <f t="shared" si="69"/>
        <v>3638602.1006295285</v>
      </c>
      <c r="J280" s="54">
        <f t="shared" si="70"/>
        <v>1697710.223014625</v>
      </c>
      <c r="K280" s="93">
        <f t="shared" si="71"/>
        <v>1940891.8776149035</v>
      </c>
      <c r="L280" s="74">
        <f t="shared" si="72"/>
        <v>129728077.93181108</v>
      </c>
      <c r="N280" s="4">
        <v>165</v>
      </c>
      <c r="O280" s="54">
        <f t="shared" si="73"/>
        <v>1931631.9786251332</v>
      </c>
      <c r="P280" s="74">
        <f t="shared" si="74"/>
        <v>839039.38603254058</v>
      </c>
      <c r="Q280" s="54">
        <f t="shared" si="75"/>
        <v>1092592.5925925926</v>
      </c>
      <c r="R280" s="74">
        <f t="shared" si="76"/>
        <v>55722222.222221576</v>
      </c>
      <c r="S280" s="77"/>
      <c r="T280" s="4">
        <v>165</v>
      </c>
      <c r="U280" s="15">
        <f t="shared" si="77"/>
        <v>1.18362456098422E-2</v>
      </c>
      <c r="V280" s="133"/>
      <c r="W280" s="132"/>
      <c r="X280" s="132"/>
      <c r="Y280" s="27"/>
      <c r="Z280" s="7"/>
    </row>
    <row r="281" spans="1:26" x14ac:dyDescent="0.25">
      <c r="A281" s="59">
        <v>151</v>
      </c>
      <c r="B281" s="59" t="s">
        <v>128</v>
      </c>
      <c r="C281" s="140">
        <v>5.3499999999999999E-2</v>
      </c>
      <c r="D281" s="63">
        <f t="shared" si="82"/>
        <v>0.10143079604845218</v>
      </c>
      <c r="E281" s="63">
        <f t="shared" si="83"/>
        <v>0.16035734363704446</v>
      </c>
      <c r="F281" s="64">
        <f t="shared" si="84"/>
        <v>1.2471124971153325E-2</v>
      </c>
      <c r="H281" s="4">
        <v>166</v>
      </c>
      <c r="I281" s="54">
        <f t="shared" si="69"/>
        <v>3638602.1006295285</v>
      </c>
      <c r="J281" s="54">
        <f t="shared" si="70"/>
        <v>1722781.9538267783</v>
      </c>
      <c r="K281" s="93">
        <f t="shared" si="71"/>
        <v>1915820.1468027502</v>
      </c>
      <c r="L281" s="74">
        <f t="shared" si="72"/>
        <v>128005295.97798429</v>
      </c>
      <c r="N281" s="4">
        <v>166</v>
      </c>
      <c r="O281" s="54">
        <f t="shared" si="73"/>
        <v>1915496.605816815</v>
      </c>
      <c r="P281" s="74">
        <f t="shared" si="74"/>
        <v>822904.01322422235</v>
      </c>
      <c r="Q281" s="54">
        <f t="shared" si="75"/>
        <v>1092592.5925925926</v>
      </c>
      <c r="R281" s="74">
        <f t="shared" si="76"/>
        <v>54629629.629628986</v>
      </c>
      <c r="S281" s="77"/>
      <c r="T281" s="4">
        <v>166</v>
      </c>
      <c r="U281" s="15">
        <f t="shared" si="77"/>
        <v>1.1844309495768979E-2</v>
      </c>
      <c r="V281" s="133"/>
      <c r="W281" s="132"/>
      <c r="X281" s="132"/>
      <c r="Y281" s="27"/>
      <c r="Z281" s="7"/>
    </row>
    <row r="282" spans="1:26" x14ac:dyDescent="0.25">
      <c r="A282" s="59">
        <v>152</v>
      </c>
      <c r="B282" s="59" t="s">
        <v>127</v>
      </c>
      <c r="C282" s="140">
        <v>5.28E-2</v>
      </c>
      <c r="D282" s="63">
        <f t="shared" si="82"/>
        <v>0.10143079604845218</v>
      </c>
      <c r="E282" s="63">
        <f t="shared" si="83"/>
        <v>0.15958634207981048</v>
      </c>
      <c r="F282" s="64">
        <f t="shared" si="84"/>
        <v>1.2415046366817117E-2</v>
      </c>
      <c r="H282" s="4">
        <v>167</v>
      </c>
      <c r="I282" s="54">
        <f t="shared" si="69"/>
        <v>3638602.1006295285</v>
      </c>
      <c r="J282" s="54">
        <f t="shared" si="70"/>
        <v>1748223.9431656201</v>
      </c>
      <c r="K282" s="93">
        <f t="shared" si="71"/>
        <v>1890378.1574639084</v>
      </c>
      <c r="L282" s="74">
        <f t="shared" si="72"/>
        <v>126257072.03481868</v>
      </c>
      <c r="N282" s="4">
        <v>167</v>
      </c>
      <c r="O282" s="54">
        <f t="shared" si="73"/>
        <v>1899361.2330084967</v>
      </c>
      <c r="P282" s="74">
        <f t="shared" si="74"/>
        <v>806768.64041590411</v>
      </c>
      <c r="Q282" s="54">
        <f t="shared" si="75"/>
        <v>1092592.5925925926</v>
      </c>
      <c r="R282" s="74">
        <f t="shared" si="76"/>
        <v>53537037.037036397</v>
      </c>
      <c r="S282" s="77"/>
      <c r="T282" s="4">
        <v>167</v>
      </c>
      <c r="U282" s="15">
        <f t="shared" si="77"/>
        <v>1.182818101693206E-2</v>
      </c>
      <c r="V282" s="133"/>
      <c r="W282" s="132"/>
      <c r="X282" s="132"/>
      <c r="Y282" s="27"/>
      <c r="Z282" s="7"/>
    </row>
    <row r="283" spans="1:26" x14ac:dyDescent="0.25">
      <c r="A283" s="59">
        <v>153</v>
      </c>
      <c r="B283" s="59" t="s">
        <v>126</v>
      </c>
      <c r="C283" s="140">
        <v>5.21E-2</v>
      </c>
      <c r="D283" s="63">
        <f t="shared" si="82"/>
        <v>0.10143079604845218</v>
      </c>
      <c r="E283" s="63">
        <f t="shared" si="83"/>
        <v>0.15881534052257651</v>
      </c>
      <c r="F283" s="64">
        <f t="shared" si="84"/>
        <v>1.2358933572945485E-2</v>
      </c>
      <c r="H283" s="4">
        <v>168</v>
      </c>
      <c r="I283" s="54">
        <f t="shared" si="69"/>
        <v>3638602.1006295285</v>
      </c>
      <c r="J283" s="54">
        <f t="shared" si="70"/>
        <v>1774041.6589973469</v>
      </c>
      <c r="K283" s="93">
        <f t="shared" si="71"/>
        <v>1864560.4416321816</v>
      </c>
      <c r="L283" s="74">
        <f t="shared" si="72"/>
        <v>124483030.37582134</v>
      </c>
      <c r="N283" s="4">
        <v>168</v>
      </c>
      <c r="O283" s="54">
        <f t="shared" si="73"/>
        <v>1883225.8602001783</v>
      </c>
      <c r="P283" s="74">
        <f t="shared" si="74"/>
        <v>790633.26760758588</v>
      </c>
      <c r="Q283" s="54">
        <f t="shared" si="75"/>
        <v>1092592.5925925926</v>
      </c>
      <c r="R283" s="74">
        <f t="shared" si="76"/>
        <v>52444444.444443807</v>
      </c>
      <c r="S283" s="77"/>
      <c r="T283" s="4">
        <v>168</v>
      </c>
      <c r="U283" s="15">
        <f t="shared" si="77"/>
        <v>1.1820115716908663E-2</v>
      </c>
      <c r="V283" s="133"/>
      <c r="W283" s="132"/>
      <c r="X283" s="132"/>
      <c r="Y283" s="27"/>
      <c r="Z283" s="7"/>
    </row>
    <row r="284" spans="1:26" x14ac:dyDescent="0.25">
      <c r="A284" s="59">
        <v>154</v>
      </c>
      <c r="B284" s="59" t="s">
        <v>125</v>
      </c>
      <c r="C284" s="140">
        <v>5.0700000000000002E-2</v>
      </c>
      <c r="D284" s="63">
        <f t="shared" si="82"/>
        <v>0.10143079604845218</v>
      </c>
      <c r="E284" s="63">
        <f t="shared" si="83"/>
        <v>0.15727333740810856</v>
      </c>
      <c r="F284" s="64">
        <f t="shared" si="84"/>
        <v>1.2246605242060005E-2</v>
      </c>
      <c r="H284" s="4">
        <v>169</v>
      </c>
      <c r="I284" s="54">
        <f t="shared" si="69"/>
        <v>3638602.1006295285</v>
      </c>
      <c r="J284" s="54">
        <f t="shared" si="70"/>
        <v>1800240.6500389082</v>
      </c>
      <c r="K284" s="93">
        <f t="shared" si="71"/>
        <v>1838361.4505906203</v>
      </c>
      <c r="L284" s="74">
        <f t="shared" si="72"/>
        <v>122682789.72578242</v>
      </c>
      <c r="N284" s="4">
        <v>169</v>
      </c>
      <c r="O284" s="54">
        <f t="shared" si="73"/>
        <v>1867090.4873918602</v>
      </c>
      <c r="P284" s="74">
        <f t="shared" si="74"/>
        <v>774497.89479926764</v>
      </c>
      <c r="Q284" s="54">
        <f t="shared" si="75"/>
        <v>1092592.5925925926</v>
      </c>
      <c r="R284" s="74">
        <f t="shared" si="76"/>
        <v>51351851.851851217</v>
      </c>
      <c r="S284" s="77"/>
      <c r="T284" s="4">
        <v>169</v>
      </c>
      <c r="U284" s="15">
        <f t="shared" si="77"/>
        <v>1.178784744309036E-2</v>
      </c>
      <c r="V284" s="133"/>
      <c r="W284" s="132"/>
      <c r="X284" s="132"/>
      <c r="Y284" s="27"/>
      <c r="Z284" s="7"/>
    </row>
    <row r="285" spans="1:26" x14ac:dyDescent="0.25">
      <c r="A285" s="59">
        <v>155</v>
      </c>
      <c r="B285" s="59" t="s">
        <v>124</v>
      </c>
      <c r="C285" s="140">
        <v>5.0099999999999999E-2</v>
      </c>
      <c r="D285" s="63">
        <f t="shared" si="82"/>
        <v>0.10143079604845218</v>
      </c>
      <c r="E285" s="63">
        <f t="shared" si="83"/>
        <v>0.15661247893047969</v>
      </c>
      <c r="F285" s="64">
        <f t="shared" si="84"/>
        <v>1.2198422523989949E-2</v>
      </c>
      <c r="H285" s="4">
        <v>170</v>
      </c>
      <c r="I285" s="54">
        <f t="shared" si="69"/>
        <v>3638602.1006295285</v>
      </c>
      <c r="J285" s="54">
        <f t="shared" si="70"/>
        <v>1826826.5469505291</v>
      </c>
      <c r="K285" s="93">
        <f t="shared" si="71"/>
        <v>1811775.5536789994</v>
      </c>
      <c r="L285" s="74">
        <f t="shared" si="72"/>
        <v>120855963.17883189</v>
      </c>
      <c r="N285" s="4">
        <v>170</v>
      </c>
      <c r="O285" s="54">
        <f t="shared" si="73"/>
        <v>1850955.1145835421</v>
      </c>
      <c r="P285" s="74">
        <f t="shared" si="74"/>
        <v>758362.5219909494</v>
      </c>
      <c r="Q285" s="54">
        <f t="shared" si="75"/>
        <v>1092592.5925925926</v>
      </c>
      <c r="R285" s="74">
        <f t="shared" si="76"/>
        <v>50259259.259258628</v>
      </c>
      <c r="S285" s="77"/>
      <c r="T285" s="4">
        <v>170</v>
      </c>
      <c r="U285" s="15">
        <f t="shared" si="77"/>
        <v>1.1803982995003848E-2</v>
      </c>
      <c r="V285" s="133"/>
      <c r="W285" s="132"/>
      <c r="X285" s="132"/>
      <c r="Y285" s="27"/>
      <c r="Z285" s="7"/>
    </row>
    <row r="286" spans="1:26" x14ac:dyDescent="0.25">
      <c r="A286" s="59">
        <v>156</v>
      </c>
      <c r="B286" s="59" t="s">
        <v>123</v>
      </c>
      <c r="C286" s="140">
        <v>4.9000000000000002E-2</v>
      </c>
      <c r="D286" s="63">
        <f t="shared" si="82"/>
        <v>0.10143079604845218</v>
      </c>
      <c r="E286" s="63">
        <f t="shared" si="83"/>
        <v>0.15540090505482618</v>
      </c>
      <c r="F286" s="64">
        <f t="shared" si="84"/>
        <v>1.2110021959805817E-2</v>
      </c>
      <c r="H286" s="4">
        <v>171</v>
      </c>
      <c r="I286" s="54">
        <f t="shared" si="69"/>
        <v>3638602.1006295285</v>
      </c>
      <c r="J286" s="54">
        <f t="shared" si="70"/>
        <v>1853805.0635458459</v>
      </c>
      <c r="K286" s="93">
        <f t="shared" si="71"/>
        <v>1784797.0370836826</v>
      </c>
      <c r="L286" s="74">
        <f t="shared" si="72"/>
        <v>119002158.11528604</v>
      </c>
      <c r="N286" s="4">
        <v>171</v>
      </c>
      <c r="O286" s="54">
        <f t="shared" si="73"/>
        <v>1834819.7417752238</v>
      </c>
      <c r="P286" s="74">
        <f t="shared" si="74"/>
        <v>742227.14918263117</v>
      </c>
      <c r="Q286" s="54">
        <f t="shared" si="75"/>
        <v>1092592.5925925926</v>
      </c>
      <c r="R286" s="74">
        <f t="shared" si="76"/>
        <v>49166666.666666038</v>
      </c>
      <c r="S286" s="77"/>
      <c r="T286" s="4">
        <v>171</v>
      </c>
      <c r="U286" s="15">
        <f t="shared" si="77"/>
        <v>1.176363880668263E-2</v>
      </c>
      <c r="V286" s="133"/>
      <c r="W286" s="132"/>
      <c r="X286" s="132"/>
      <c r="Y286" s="27"/>
      <c r="Z286" s="7"/>
    </row>
    <row r="287" spans="1:26" x14ac:dyDescent="0.25">
      <c r="A287" s="59">
        <v>157</v>
      </c>
      <c r="B287" s="59" t="s">
        <v>122</v>
      </c>
      <c r="C287" s="140">
        <v>4.7E-2</v>
      </c>
      <c r="D287" s="63">
        <f t="shared" si="82"/>
        <v>0.10143079604845218</v>
      </c>
      <c r="E287" s="63">
        <f t="shared" si="83"/>
        <v>0.15319804346272936</v>
      </c>
      <c r="F287" s="64">
        <f t="shared" si="84"/>
        <v>1.1949075736226833E-2</v>
      </c>
      <c r="H287" s="4">
        <v>172</v>
      </c>
      <c r="I287" s="54">
        <f t="shared" si="69"/>
        <v>3638602.1006295285</v>
      </c>
      <c r="J287" s="54">
        <f t="shared" si="70"/>
        <v>1881181.9980199148</v>
      </c>
      <c r="K287" s="93">
        <f t="shared" si="71"/>
        <v>1757420.1026096137</v>
      </c>
      <c r="L287" s="74">
        <f t="shared" si="72"/>
        <v>117120976.11726612</v>
      </c>
      <c r="N287" s="4">
        <v>172</v>
      </c>
      <c r="O287" s="54">
        <f t="shared" si="73"/>
        <v>1818684.3689669054</v>
      </c>
      <c r="P287" s="74">
        <f t="shared" si="74"/>
        <v>726091.77637431293</v>
      </c>
      <c r="Q287" s="54">
        <f t="shared" si="75"/>
        <v>1092592.5925925926</v>
      </c>
      <c r="R287" s="74">
        <f t="shared" si="76"/>
        <v>48074074.074073449</v>
      </c>
      <c r="S287" s="77"/>
      <c r="T287" s="4">
        <v>172</v>
      </c>
      <c r="U287" s="15">
        <f t="shared" si="77"/>
        <v>1.1731350710080246E-2</v>
      </c>
      <c r="V287" s="133"/>
      <c r="W287" s="132"/>
      <c r="X287" s="132"/>
      <c r="Y287" s="27"/>
      <c r="Z287" s="7"/>
    </row>
    <row r="288" spans="1:26" x14ac:dyDescent="0.25">
      <c r="A288" s="59">
        <v>158</v>
      </c>
      <c r="B288" s="59" t="s">
        <v>121</v>
      </c>
      <c r="C288" s="140">
        <v>4.5999999999999999E-2</v>
      </c>
      <c r="D288" s="63">
        <f t="shared" si="82"/>
        <v>0.10143079604845218</v>
      </c>
      <c r="E288" s="63">
        <f t="shared" si="83"/>
        <v>0.15209661266668095</v>
      </c>
      <c r="F288" s="64">
        <f t="shared" si="84"/>
        <v>1.1868496912943893E-2</v>
      </c>
      <c r="H288" s="4">
        <v>173</v>
      </c>
      <c r="I288" s="54">
        <f t="shared" si="69"/>
        <v>3638602.1006295285</v>
      </c>
      <c r="J288" s="54">
        <f t="shared" si="70"/>
        <v>1908963.2341953523</v>
      </c>
      <c r="K288" s="93">
        <f t="shared" si="71"/>
        <v>1729638.8664341762</v>
      </c>
      <c r="L288" s="74">
        <f t="shared" si="72"/>
        <v>115212012.88307077</v>
      </c>
      <c r="N288" s="4">
        <v>173</v>
      </c>
      <c r="O288" s="54">
        <f t="shared" si="73"/>
        <v>1802548.9961585873</v>
      </c>
      <c r="P288" s="74">
        <f t="shared" si="74"/>
        <v>709956.4035659947</v>
      </c>
      <c r="Q288" s="54">
        <f t="shared" si="75"/>
        <v>1092592.5925925926</v>
      </c>
      <c r="R288" s="74">
        <f t="shared" si="76"/>
        <v>46981481.481480859</v>
      </c>
      <c r="S288" s="77"/>
      <c r="T288" s="4">
        <v>173</v>
      </c>
      <c r="U288" s="15">
        <f t="shared" si="77"/>
        <v>1.177170906012992E-2</v>
      </c>
      <c r="V288" s="133"/>
      <c r="W288" s="132"/>
      <c r="X288" s="132"/>
      <c r="Y288" s="27"/>
      <c r="Z288" s="7"/>
    </row>
    <row r="289" spans="1:26" x14ac:dyDescent="0.25">
      <c r="A289" s="59">
        <v>159</v>
      </c>
      <c r="B289" s="59" t="s">
        <v>120</v>
      </c>
      <c r="C289" s="140">
        <v>4.5699999999999998E-2</v>
      </c>
      <c r="D289" s="63">
        <f t="shared" si="82"/>
        <v>0.10143079604845218</v>
      </c>
      <c r="E289" s="63">
        <f t="shared" si="83"/>
        <v>0.15176618342786652</v>
      </c>
      <c r="F289" s="64">
        <f t="shared" si="84"/>
        <v>1.1844309495768979E-2</v>
      </c>
      <c r="H289" s="4">
        <v>174</v>
      </c>
      <c r="I289" s="54">
        <f t="shared" si="69"/>
        <v>3638602.1006295285</v>
      </c>
      <c r="J289" s="54">
        <f t="shared" si="70"/>
        <v>1937154.7427868813</v>
      </c>
      <c r="K289" s="93">
        <f t="shared" si="71"/>
        <v>1701447.3578426472</v>
      </c>
      <c r="L289" s="74">
        <f t="shared" si="72"/>
        <v>113274858.14028388</v>
      </c>
      <c r="N289" s="4">
        <v>174</v>
      </c>
      <c r="O289" s="54">
        <f t="shared" si="73"/>
        <v>1786413.6233502692</v>
      </c>
      <c r="P289" s="74">
        <f t="shared" si="74"/>
        <v>693821.03075767646</v>
      </c>
      <c r="Q289" s="54">
        <f t="shared" si="75"/>
        <v>1092592.5925925926</v>
      </c>
      <c r="R289" s="74">
        <f t="shared" si="76"/>
        <v>45888888.88888827</v>
      </c>
      <c r="S289" s="77"/>
      <c r="T289" s="4">
        <v>174</v>
      </c>
      <c r="U289" s="15">
        <f t="shared" si="77"/>
        <v>1.1715202410271131E-2</v>
      </c>
      <c r="V289" s="133"/>
      <c r="W289" s="132"/>
      <c r="X289" s="132"/>
      <c r="Y289" s="27"/>
      <c r="Z289" s="7"/>
    </row>
    <row r="290" spans="1:26" x14ac:dyDescent="0.25">
      <c r="A290" s="59">
        <v>160</v>
      </c>
      <c r="B290" s="59" t="s">
        <v>119</v>
      </c>
      <c r="C290" s="140">
        <v>4.53E-2</v>
      </c>
      <c r="D290" s="63">
        <f t="shared" si="82"/>
        <v>0.10143079604845218</v>
      </c>
      <c r="E290" s="63">
        <f t="shared" si="83"/>
        <v>0.15132561110944698</v>
      </c>
      <c r="F290" s="64">
        <f t="shared" si="84"/>
        <v>1.1812049709642558E-2</v>
      </c>
      <c r="H290" s="4">
        <v>175</v>
      </c>
      <c r="I290" s="54">
        <f t="shared" si="69"/>
        <v>3638602.1006295285</v>
      </c>
      <c r="J290" s="54">
        <f t="shared" si="70"/>
        <v>1965762.5826845507</v>
      </c>
      <c r="K290" s="93">
        <f t="shared" si="71"/>
        <v>1672839.5179449779</v>
      </c>
      <c r="L290" s="74">
        <f t="shared" si="72"/>
        <v>111309095.55759934</v>
      </c>
      <c r="N290" s="4">
        <v>175</v>
      </c>
      <c r="O290" s="54">
        <f t="shared" si="73"/>
        <v>1770278.2505419508</v>
      </c>
      <c r="P290" s="74">
        <f t="shared" si="74"/>
        <v>677685.65794935822</v>
      </c>
      <c r="Q290" s="54">
        <f t="shared" si="75"/>
        <v>1092592.5925925926</v>
      </c>
      <c r="R290" s="74">
        <f t="shared" si="76"/>
        <v>44796296.29629568</v>
      </c>
      <c r="S290" s="77"/>
      <c r="T290" s="4">
        <v>175</v>
      </c>
      <c r="U290" s="15">
        <f t="shared" si="77"/>
        <v>1.1731350710080246E-2</v>
      </c>
      <c r="V290" s="133"/>
      <c r="W290" s="132"/>
      <c r="X290" s="132"/>
      <c r="Y290" s="27"/>
      <c r="Z290" s="7"/>
    </row>
    <row r="291" spans="1:26" x14ac:dyDescent="0.25">
      <c r="A291" s="59">
        <v>161</v>
      </c>
      <c r="B291" s="59" t="s">
        <v>118</v>
      </c>
      <c r="C291" s="140">
        <v>4.53E-2</v>
      </c>
      <c r="D291" s="63">
        <f t="shared" si="82"/>
        <v>0.10143079604845218</v>
      </c>
      <c r="E291" s="63">
        <f t="shared" si="83"/>
        <v>0.15132561110944698</v>
      </c>
      <c r="F291" s="64">
        <f t="shared" si="84"/>
        <v>1.1812049709642558E-2</v>
      </c>
      <c r="H291" s="4">
        <v>176</v>
      </c>
      <c r="I291" s="54">
        <f t="shared" si="69"/>
        <v>3638602.1006295285</v>
      </c>
      <c r="J291" s="54">
        <f t="shared" si="70"/>
        <v>1994792.9022559051</v>
      </c>
      <c r="K291" s="93">
        <f t="shared" si="71"/>
        <v>1643809.1983736234</v>
      </c>
      <c r="L291" s="74">
        <f t="shared" si="72"/>
        <v>109314302.65534343</v>
      </c>
      <c r="N291" s="4">
        <v>176</v>
      </c>
      <c r="O291" s="54">
        <f t="shared" si="73"/>
        <v>1754142.8777336327</v>
      </c>
      <c r="P291" s="74">
        <f t="shared" si="74"/>
        <v>661550.28514104011</v>
      </c>
      <c r="Q291" s="54">
        <f t="shared" si="75"/>
        <v>1092592.5925925926</v>
      </c>
      <c r="R291" s="74">
        <f t="shared" si="76"/>
        <v>43703703.703703091</v>
      </c>
      <c r="S291" s="77"/>
      <c r="T291" s="4">
        <v>176</v>
      </c>
      <c r="U291" s="15">
        <f t="shared" si="77"/>
        <v>1.1803982995003848E-2</v>
      </c>
      <c r="V291" s="133"/>
      <c r="W291" s="132"/>
      <c r="X291" s="132"/>
      <c r="Y291" s="27"/>
      <c r="Z291" s="7"/>
    </row>
    <row r="292" spans="1:26" x14ac:dyDescent="0.25">
      <c r="A292" s="59">
        <v>162</v>
      </c>
      <c r="B292" s="59" t="s">
        <v>117</v>
      </c>
      <c r="C292" s="140">
        <v>4.4299999999999999E-2</v>
      </c>
      <c r="D292" s="63">
        <f t="shared" si="82"/>
        <v>0.10143079604845218</v>
      </c>
      <c r="E292" s="63">
        <f t="shared" si="83"/>
        <v>0.15022418031339857</v>
      </c>
      <c r="F292" s="64">
        <f t="shared" si="84"/>
        <v>1.1731350710080246E-2</v>
      </c>
      <c r="H292" s="4">
        <v>177</v>
      </c>
      <c r="I292" s="54">
        <f t="shared" si="69"/>
        <v>3638602.1006295285</v>
      </c>
      <c r="J292" s="54">
        <f t="shared" si="70"/>
        <v>2024251.9406673876</v>
      </c>
      <c r="K292" s="93">
        <f t="shared" si="71"/>
        <v>1614350.159962141</v>
      </c>
      <c r="L292" s="74">
        <f t="shared" si="72"/>
        <v>107290050.71467604</v>
      </c>
      <c r="N292" s="4">
        <v>177</v>
      </c>
      <c r="O292" s="54">
        <f t="shared" si="73"/>
        <v>1738007.5049253143</v>
      </c>
      <c r="P292" s="74">
        <f t="shared" si="74"/>
        <v>645414.91233272187</v>
      </c>
      <c r="Q292" s="54">
        <f t="shared" si="75"/>
        <v>1092592.5925925926</v>
      </c>
      <c r="R292" s="74">
        <f t="shared" si="76"/>
        <v>42611111.111110501</v>
      </c>
      <c r="S292" s="77"/>
      <c r="T292" s="4">
        <v>177</v>
      </c>
      <c r="U292" s="15">
        <f t="shared" si="77"/>
        <v>1.1820115716908663E-2</v>
      </c>
      <c r="V292" s="133"/>
      <c r="W292" s="132"/>
      <c r="X292" s="132"/>
      <c r="Y292" s="27"/>
      <c r="Z292" s="7"/>
    </row>
    <row r="293" spans="1:26" x14ac:dyDescent="0.25">
      <c r="A293" s="59">
        <v>163</v>
      </c>
      <c r="B293" s="59" t="s">
        <v>116</v>
      </c>
      <c r="C293" s="140">
        <v>4.4200000000000003E-2</v>
      </c>
      <c r="D293" s="63">
        <f t="shared" si="82"/>
        <v>0.10143079604845218</v>
      </c>
      <c r="E293" s="63">
        <f t="shared" si="83"/>
        <v>0.15011403723379368</v>
      </c>
      <c r="F293" s="64">
        <f t="shared" si="84"/>
        <v>1.1723276914576308E-2</v>
      </c>
      <c r="H293" s="4">
        <v>178</v>
      </c>
      <c r="I293" s="54">
        <f t="shared" si="69"/>
        <v>3638602.1006295285</v>
      </c>
      <c r="J293" s="54">
        <f t="shared" si="70"/>
        <v>2054146.0292252523</v>
      </c>
      <c r="K293" s="93">
        <f t="shared" si="71"/>
        <v>1584456.0714042762</v>
      </c>
      <c r="L293" s="74">
        <f t="shared" si="72"/>
        <v>105235904.68545079</v>
      </c>
      <c r="N293" s="4">
        <v>178</v>
      </c>
      <c r="O293" s="54">
        <f t="shared" si="73"/>
        <v>1721872.1321169962</v>
      </c>
      <c r="P293" s="74">
        <f t="shared" si="74"/>
        <v>629279.53952440363</v>
      </c>
      <c r="Q293" s="54">
        <f t="shared" si="75"/>
        <v>1092592.5925925926</v>
      </c>
      <c r="R293" s="74">
        <f t="shared" si="76"/>
        <v>41518518.518517911</v>
      </c>
      <c r="S293" s="77"/>
      <c r="T293" s="4">
        <v>178</v>
      </c>
      <c r="U293" s="15">
        <f t="shared" si="77"/>
        <v>1.1755567845083803E-2</v>
      </c>
      <c r="V293" s="133"/>
      <c r="W293" s="132"/>
      <c r="X293" s="132"/>
      <c r="Y293" s="27"/>
      <c r="Z293" s="7"/>
    </row>
    <row r="294" spans="1:26" x14ac:dyDescent="0.25">
      <c r="A294" s="59">
        <v>164</v>
      </c>
      <c r="B294" s="59" t="s">
        <v>115</v>
      </c>
      <c r="C294" s="140">
        <v>4.5400000000000003E-2</v>
      </c>
      <c r="D294" s="63">
        <f t="shared" si="82"/>
        <v>0.10143079604845218</v>
      </c>
      <c r="E294" s="63">
        <f t="shared" si="83"/>
        <v>0.15143575418905209</v>
      </c>
      <c r="F294" s="64">
        <f t="shared" si="84"/>
        <v>1.1820115716908663E-2</v>
      </c>
      <c r="H294" s="4">
        <v>179</v>
      </c>
      <c r="I294" s="54">
        <f t="shared" si="69"/>
        <v>3638602.1006295285</v>
      </c>
      <c r="J294" s="54">
        <f t="shared" si="70"/>
        <v>2084481.5927362845</v>
      </c>
      <c r="K294" s="93">
        <f t="shared" si="71"/>
        <v>1554120.507893244</v>
      </c>
      <c r="L294" s="74">
        <f t="shared" si="72"/>
        <v>103151423.0927145</v>
      </c>
      <c r="N294" s="4">
        <v>179</v>
      </c>
      <c r="O294" s="54">
        <f t="shared" si="73"/>
        <v>1705736.7593086781</v>
      </c>
      <c r="P294" s="74">
        <f t="shared" si="74"/>
        <v>613144.1667160854</v>
      </c>
      <c r="Q294" s="54">
        <f t="shared" si="75"/>
        <v>1092592.5925925926</v>
      </c>
      <c r="R294" s="74">
        <f t="shared" si="76"/>
        <v>40425925.925925322</v>
      </c>
      <c r="S294" s="77"/>
      <c r="T294" s="4">
        <v>179</v>
      </c>
      <c r="U294" s="15">
        <f t="shared" si="77"/>
        <v>1.178784744309036E-2</v>
      </c>
      <c r="V294" s="133"/>
      <c r="W294" s="132"/>
      <c r="X294" s="132"/>
      <c r="Y294" s="27"/>
    </row>
    <row r="295" spans="1:26" x14ac:dyDescent="0.25">
      <c r="A295" s="59">
        <v>165</v>
      </c>
      <c r="B295" s="59" t="s">
        <v>114</v>
      </c>
      <c r="C295" s="140">
        <v>4.5600000000000002E-2</v>
      </c>
      <c r="D295" s="63">
        <f t="shared" si="82"/>
        <v>0.10143079604845218</v>
      </c>
      <c r="E295" s="63">
        <f t="shared" si="83"/>
        <v>0.15165604034826163</v>
      </c>
      <c r="F295" s="64">
        <f t="shared" si="84"/>
        <v>1.18362456098422E-2</v>
      </c>
      <c r="H295" s="4">
        <v>180</v>
      </c>
      <c r="I295" s="54">
        <f t="shared" si="69"/>
        <v>3638602.1006295285</v>
      </c>
      <c r="J295" s="54">
        <f t="shared" si="70"/>
        <v>2115265.1508886125</v>
      </c>
      <c r="K295" s="93">
        <f t="shared" si="71"/>
        <v>1523336.9497409158</v>
      </c>
      <c r="L295" s="74">
        <f t="shared" si="72"/>
        <v>101036157.9418259</v>
      </c>
      <c r="N295" s="4">
        <v>180</v>
      </c>
      <c r="O295" s="54">
        <f t="shared" si="73"/>
        <v>1689601.3865003597</v>
      </c>
      <c r="P295" s="74">
        <f t="shared" si="74"/>
        <v>597008.79390776716</v>
      </c>
      <c r="Q295" s="54">
        <f t="shared" si="75"/>
        <v>1092592.5925925926</v>
      </c>
      <c r="R295" s="74">
        <f t="shared" si="76"/>
        <v>39333333.333332732</v>
      </c>
      <c r="S295" s="77"/>
      <c r="T295" s="4">
        <v>180</v>
      </c>
      <c r="U295" s="15">
        <f t="shared" si="77"/>
        <v>1.182818101693206E-2</v>
      </c>
      <c r="V295" s="133"/>
      <c r="W295" s="132"/>
      <c r="X295" s="132"/>
      <c r="Y295" s="27"/>
    </row>
    <row r="296" spans="1:26" x14ac:dyDescent="0.25">
      <c r="A296" s="59">
        <v>166</v>
      </c>
      <c r="B296" s="59" t="s">
        <v>113</v>
      </c>
      <c r="C296" s="140">
        <v>4.5699999999999998E-2</v>
      </c>
      <c r="D296" s="63">
        <f t="shared" si="82"/>
        <v>0.10143079604845218</v>
      </c>
      <c r="E296" s="63">
        <f t="shared" si="83"/>
        <v>0.15176618342786652</v>
      </c>
      <c r="F296" s="64">
        <f t="shared" si="84"/>
        <v>1.1844309495768979E-2</v>
      </c>
      <c r="H296" s="4">
        <v>181</v>
      </c>
      <c r="I296" s="54">
        <f t="shared" si="69"/>
        <v>3638602.1006295285</v>
      </c>
      <c r="J296" s="54">
        <f t="shared" si="70"/>
        <v>2146503.3196529127</v>
      </c>
      <c r="K296" s="93">
        <f t="shared" si="71"/>
        <v>1492098.7809766158</v>
      </c>
      <c r="L296" s="74">
        <f t="shared" si="72"/>
        <v>98889654.622172982</v>
      </c>
      <c r="N296" s="4">
        <v>181</v>
      </c>
      <c r="O296" s="54">
        <f t="shared" si="73"/>
        <v>1673466.0136920414</v>
      </c>
      <c r="P296" s="74">
        <f t="shared" si="74"/>
        <v>580873.42109944893</v>
      </c>
      <c r="Q296" s="54">
        <f t="shared" si="75"/>
        <v>1092592.5925925926</v>
      </c>
      <c r="R296" s="74">
        <f t="shared" si="76"/>
        <v>38240740.740740143</v>
      </c>
      <c r="S296" s="77"/>
      <c r="T296" s="4">
        <v>181</v>
      </c>
      <c r="U296" s="15">
        <f t="shared" si="77"/>
        <v>1.1618253024700209E-2</v>
      </c>
      <c r="V296" s="133"/>
      <c r="W296" s="132"/>
      <c r="X296" s="132"/>
      <c r="Y296" s="27"/>
    </row>
    <row r="297" spans="1:26" x14ac:dyDescent="0.25">
      <c r="A297" s="59">
        <v>167</v>
      </c>
      <c r="B297" s="59" t="s">
        <v>112</v>
      </c>
      <c r="C297" s="140">
        <v>4.5499999999999999E-2</v>
      </c>
      <c r="D297" s="63">
        <f t="shared" si="82"/>
        <v>0.10143079604845218</v>
      </c>
      <c r="E297" s="63">
        <f t="shared" si="83"/>
        <v>0.15154589726865675</v>
      </c>
      <c r="F297" s="64">
        <f t="shared" si="84"/>
        <v>1.182818101693206E-2</v>
      </c>
      <c r="H297" s="4">
        <v>182</v>
      </c>
      <c r="I297" s="54">
        <f t="shared" si="69"/>
        <v>3638602.1006295285</v>
      </c>
      <c r="J297" s="54">
        <f t="shared" si="70"/>
        <v>2178202.8127043056</v>
      </c>
      <c r="K297" s="93">
        <f t="shared" si="71"/>
        <v>1460399.2879252229</v>
      </c>
      <c r="L297" s="74">
        <f t="shared" si="72"/>
        <v>96711451.809468672</v>
      </c>
      <c r="N297" s="4">
        <v>182</v>
      </c>
      <c r="O297" s="54">
        <f t="shared" si="73"/>
        <v>1657330.6408837233</v>
      </c>
      <c r="P297" s="74">
        <f t="shared" si="74"/>
        <v>564738.04829113069</v>
      </c>
      <c r="Q297" s="54">
        <f t="shared" si="75"/>
        <v>1092592.5925925926</v>
      </c>
      <c r="R297" s="74">
        <f t="shared" si="76"/>
        <v>37148148.148147553</v>
      </c>
      <c r="S297" s="77"/>
      <c r="T297" s="4">
        <v>182</v>
      </c>
      <c r="U297" s="15">
        <f t="shared" si="77"/>
        <v>1.1188832990003839E-2</v>
      </c>
      <c r="V297" s="133"/>
      <c r="W297" s="132"/>
      <c r="X297" s="132"/>
      <c r="Y297" s="27"/>
    </row>
    <row r="298" spans="1:26" x14ac:dyDescent="0.25">
      <c r="A298" s="59">
        <v>168</v>
      </c>
      <c r="B298" s="59" t="s">
        <v>111</v>
      </c>
      <c r="C298" s="140">
        <v>4.5400000000000003E-2</v>
      </c>
      <c r="D298" s="63">
        <f t="shared" si="82"/>
        <v>0.10143079604845218</v>
      </c>
      <c r="E298" s="63">
        <f t="shared" si="83"/>
        <v>0.15143575418905209</v>
      </c>
      <c r="F298" s="64">
        <f t="shared" si="84"/>
        <v>1.1820115716908663E-2</v>
      </c>
      <c r="H298" s="4">
        <v>183</v>
      </c>
      <c r="I298" s="54">
        <f t="shared" si="69"/>
        <v>3638602.1006295285</v>
      </c>
      <c r="J298" s="54">
        <f t="shared" si="70"/>
        <v>2210370.4428652553</v>
      </c>
      <c r="K298" s="93">
        <f t="shared" si="71"/>
        <v>1428231.6577642732</v>
      </c>
      <c r="L298" s="74">
        <f t="shared" si="72"/>
        <v>94501081.366603419</v>
      </c>
      <c r="N298" s="4">
        <v>183</v>
      </c>
      <c r="O298" s="54">
        <f t="shared" si="73"/>
        <v>1641195.2680754052</v>
      </c>
      <c r="P298" s="74">
        <f t="shared" si="74"/>
        <v>548602.67548281245</v>
      </c>
      <c r="Q298" s="54">
        <f t="shared" si="75"/>
        <v>1092592.5925925926</v>
      </c>
      <c r="R298" s="74">
        <f t="shared" si="76"/>
        <v>36055555.555554964</v>
      </c>
      <c r="S298" s="77"/>
      <c r="T298" s="4">
        <v>183</v>
      </c>
      <c r="U298" s="15">
        <f t="shared" si="77"/>
        <v>1.0847107474477147E-2</v>
      </c>
      <c r="V298" s="133"/>
      <c r="W298" s="132"/>
      <c r="X298" s="132"/>
      <c r="Y298" s="27"/>
    </row>
    <row r="299" spans="1:26" x14ac:dyDescent="0.25">
      <c r="A299" s="59">
        <v>169</v>
      </c>
      <c r="B299" s="59" t="s">
        <v>110</v>
      </c>
      <c r="C299" s="140">
        <v>4.4999999999999998E-2</v>
      </c>
      <c r="D299" s="63">
        <f t="shared" si="82"/>
        <v>0.10143079604845218</v>
      </c>
      <c r="E299" s="63">
        <f t="shared" si="83"/>
        <v>0.15099518187063254</v>
      </c>
      <c r="F299" s="64">
        <f t="shared" si="84"/>
        <v>1.178784744309036E-2</v>
      </c>
      <c r="H299" s="4">
        <v>184</v>
      </c>
      <c r="I299" s="54">
        <f t="shared" si="69"/>
        <v>3638602.1006295285</v>
      </c>
      <c r="J299" s="54">
        <f t="shared" si="70"/>
        <v>2243013.1235697707</v>
      </c>
      <c r="K299" s="93">
        <f t="shared" si="71"/>
        <v>1395588.977059758</v>
      </c>
      <c r="L299" s="74">
        <f t="shared" si="72"/>
        <v>92258068.243033648</v>
      </c>
      <c r="N299" s="4">
        <v>184</v>
      </c>
      <c r="O299" s="54">
        <f t="shared" si="73"/>
        <v>1625059.8952670868</v>
      </c>
      <c r="P299" s="74">
        <f t="shared" si="74"/>
        <v>532467.30267449422</v>
      </c>
      <c r="Q299" s="54">
        <f t="shared" si="75"/>
        <v>1092592.5925925926</v>
      </c>
      <c r="R299" s="74">
        <f t="shared" si="76"/>
        <v>34962962.962962374</v>
      </c>
      <c r="S299" s="77"/>
      <c r="T299" s="4">
        <v>184</v>
      </c>
      <c r="U299" s="15">
        <f t="shared" si="77"/>
        <v>1.0397679422334827E-2</v>
      </c>
      <c r="V299" s="133"/>
      <c r="W299" s="132"/>
      <c r="X299" s="132"/>
      <c r="Y299" s="27"/>
    </row>
    <row r="300" spans="1:26" x14ac:dyDescent="0.25">
      <c r="A300" s="59">
        <v>170</v>
      </c>
      <c r="B300" s="59" t="s">
        <v>109</v>
      </c>
      <c r="C300" s="140">
        <v>4.5199999999999997E-2</v>
      </c>
      <c r="D300" s="63">
        <f t="shared" si="82"/>
        <v>0.10143079604845218</v>
      </c>
      <c r="E300" s="63">
        <f t="shared" si="83"/>
        <v>0.15121546802984209</v>
      </c>
      <c r="F300" s="64">
        <f t="shared" si="84"/>
        <v>1.1803982995003848E-2</v>
      </c>
      <c r="H300" s="4">
        <v>185</v>
      </c>
      <c r="I300" s="54">
        <f t="shared" si="69"/>
        <v>3638602.1006295285</v>
      </c>
      <c r="J300" s="54">
        <f t="shared" si="70"/>
        <v>2276137.8703492354</v>
      </c>
      <c r="K300" s="93">
        <f t="shared" si="71"/>
        <v>1362464.2302802932</v>
      </c>
      <c r="L300" s="74">
        <f t="shared" si="72"/>
        <v>89981930.372684419</v>
      </c>
      <c r="N300" s="4">
        <v>185</v>
      </c>
      <c r="O300" s="54">
        <f t="shared" si="73"/>
        <v>1608924.5224587684</v>
      </c>
      <c r="P300" s="74">
        <f t="shared" si="74"/>
        <v>516331.92986617598</v>
      </c>
      <c r="Q300" s="54">
        <f t="shared" si="75"/>
        <v>1092592.5925925926</v>
      </c>
      <c r="R300" s="74">
        <f t="shared" si="76"/>
        <v>33870370.370369785</v>
      </c>
      <c r="S300" s="77"/>
      <c r="T300" s="4">
        <v>185</v>
      </c>
      <c r="U300" s="15">
        <f t="shared" si="77"/>
        <v>1.0069435984493724E-2</v>
      </c>
      <c r="V300" s="133"/>
      <c r="W300" s="132"/>
      <c r="X300" s="132"/>
      <c r="Y300" s="27"/>
    </row>
    <row r="301" spans="1:26" x14ac:dyDescent="0.25">
      <c r="A301" s="59">
        <v>171</v>
      </c>
      <c r="B301" s="59" t="s">
        <v>108</v>
      </c>
      <c r="C301" s="140">
        <v>4.4699999999999997E-2</v>
      </c>
      <c r="D301" s="63">
        <f t="shared" si="82"/>
        <v>0.10143079604845218</v>
      </c>
      <c r="E301" s="63">
        <f t="shared" si="83"/>
        <v>0.15066475263181789</v>
      </c>
      <c r="F301" s="64">
        <f t="shared" si="84"/>
        <v>1.176363880668263E-2</v>
      </c>
      <c r="H301" s="4">
        <v>186</v>
      </c>
      <c r="I301" s="54">
        <f t="shared" si="69"/>
        <v>3638602.1006295285</v>
      </c>
      <c r="J301" s="54">
        <f t="shared" si="70"/>
        <v>2309751.8023401792</v>
      </c>
      <c r="K301" s="93">
        <f t="shared" si="71"/>
        <v>1328850.2982893493</v>
      </c>
      <c r="L301" s="74">
        <f t="shared" si="72"/>
        <v>87672178.570344239</v>
      </c>
      <c r="N301" s="4">
        <v>186</v>
      </c>
      <c r="O301" s="54">
        <f t="shared" si="73"/>
        <v>1592789.1496504503</v>
      </c>
      <c r="P301" s="74">
        <f t="shared" si="74"/>
        <v>500196.5570578578</v>
      </c>
      <c r="Q301" s="54">
        <f t="shared" si="75"/>
        <v>1092592.5925925926</v>
      </c>
      <c r="R301" s="74">
        <f t="shared" si="76"/>
        <v>32777777.777777191</v>
      </c>
      <c r="S301" s="77"/>
      <c r="T301" s="4">
        <v>186</v>
      </c>
      <c r="U301" s="15">
        <f t="shared" si="77"/>
        <v>9.7730103138280455E-3</v>
      </c>
      <c r="V301" s="133"/>
      <c r="W301" s="132"/>
      <c r="X301" s="132"/>
      <c r="Y301" s="27"/>
    </row>
    <row r="302" spans="1:26" x14ac:dyDescent="0.25">
      <c r="A302" s="59">
        <v>172</v>
      </c>
      <c r="B302" s="59" t="s">
        <v>107</v>
      </c>
      <c r="C302" s="140">
        <v>4.4299999999999999E-2</v>
      </c>
      <c r="D302" s="63">
        <f t="shared" si="82"/>
        <v>0.10143079604845218</v>
      </c>
      <c r="E302" s="63">
        <f t="shared" si="83"/>
        <v>0.15022418031339857</v>
      </c>
      <c r="F302" s="64">
        <f t="shared" si="84"/>
        <v>1.1731350710080246E-2</v>
      </c>
      <c r="H302" s="4">
        <v>187</v>
      </c>
      <c r="I302" s="54">
        <f t="shared" si="69"/>
        <v>3638602.1006295285</v>
      </c>
      <c r="J302" s="54">
        <f t="shared" si="70"/>
        <v>2343862.1438143142</v>
      </c>
      <c r="K302" s="93">
        <f t="shared" si="71"/>
        <v>1294739.9568152144</v>
      </c>
      <c r="L302" s="74">
        <f t="shared" si="72"/>
        <v>85328316.426529929</v>
      </c>
      <c r="N302" s="4">
        <v>187</v>
      </c>
      <c r="O302" s="54">
        <f t="shared" si="73"/>
        <v>1576653.7768421322</v>
      </c>
      <c r="P302" s="74">
        <f t="shared" si="74"/>
        <v>484061.18424953951</v>
      </c>
      <c r="Q302" s="54">
        <f t="shared" si="75"/>
        <v>1092592.5925925926</v>
      </c>
      <c r="R302" s="74">
        <f t="shared" si="76"/>
        <v>31685185.185184598</v>
      </c>
      <c r="S302" s="77"/>
      <c r="T302" s="4">
        <v>187</v>
      </c>
      <c r="U302" s="15">
        <f t="shared" si="77"/>
        <v>9.7152606755779303E-3</v>
      </c>
      <c r="V302" s="133"/>
      <c r="W302" s="132"/>
      <c r="X302" s="132"/>
      <c r="Y302" s="27"/>
    </row>
    <row r="303" spans="1:26" x14ac:dyDescent="0.25">
      <c r="A303" s="59">
        <v>173</v>
      </c>
      <c r="B303" s="59" t="s">
        <v>106</v>
      </c>
      <c r="C303" s="140">
        <v>4.48E-2</v>
      </c>
      <c r="D303" s="63">
        <f t="shared" si="82"/>
        <v>0.10143079604845218</v>
      </c>
      <c r="E303" s="63">
        <f t="shared" si="83"/>
        <v>0.15077489571142277</v>
      </c>
      <c r="F303" s="64">
        <f t="shared" si="84"/>
        <v>1.177170906012992E-2</v>
      </c>
      <c r="H303" s="4">
        <v>188</v>
      </c>
      <c r="I303" s="54">
        <f t="shared" si="69"/>
        <v>3638602.1006295285</v>
      </c>
      <c r="J303" s="54">
        <f t="shared" si="70"/>
        <v>2378476.2257311684</v>
      </c>
      <c r="K303" s="93">
        <f t="shared" si="71"/>
        <v>1260125.8748983601</v>
      </c>
      <c r="L303" s="74">
        <f t="shared" si="72"/>
        <v>82949840.200798765</v>
      </c>
      <c r="N303" s="4">
        <v>188</v>
      </c>
      <c r="O303" s="54">
        <f t="shared" si="73"/>
        <v>1560518.4040338139</v>
      </c>
      <c r="P303" s="74">
        <f t="shared" si="74"/>
        <v>467925.81144122122</v>
      </c>
      <c r="Q303" s="54">
        <f t="shared" si="75"/>
        <v>1092592.5925925926</v>
      </c>
      <c r="R303" s="74">
        <f t="shared" si="76"/>
        <v>30592592.592592005</v>
      </c>
      <c r="S303" s="77"/>
      <c r="T303" s="4">
        <v>188</v>
      </c>
      <c r="U303" s="15">
        <f t="shared" si="77"/>
        <v>9.6904997042841501E-3</v>
      </c>
      <c r="V303" s="133"/>
      <c r="W303" s="132"/>
      <c r="X303" s="132"/>
      <c r="Y303" s="27"/>
    </row>
    <row r="304" spans="1:26" x14ac:dyDescent="0.25">
      <c r="A304" s="59">
        <v>174</v>
      </c>
      <c r="B304" s="59" t="s">
        <v>105</v>
      </c>
      <c r="C304" s="140">
        <v>4.41E-2</v>
      </c>
      <c r="D304" s="63">
        <f t="shared" si="82"/>
        <v>0.10143079604845218</v>
      </c>
      <c r="E304" s="63">
        <f t="shared" si="83"/>
        <v>0.15000389415418902</v>
      </c>
      <c r="F304" s="64">
        <f t="shared" si="84"/>
        <v>1.1715202410271131E-2</v>
      </c>
      <c r="H304" s="4">
        <v>189</v>
      </c>
      <c r="I304" s="54">
        <f t="shared" si="69"/>
        <v>3638602.1006295285</v>
      </c>
      <c r="J304" s="54">
        <f t="shared" si="70"/>
        <v>2413601.4873136478</v>
      </c>
      <c r="K304" s="93">
        <f t="shared" si="71"/>
        <v>1225000.6133158808</v>
      </c>
      <c r="L304" s="74">
        <f t="shared" si="72"/>
        <v>80536238.713485122</v>
      </c>
      <c r="N304" s="4">
        <v>189</v>
      </c>
      <c r="O304" s="54">
        <f t="shared" si="73"/>
        <v>1544383.0312254955</v>
      </c>
      <c r="P304" s="74">
        <f t="shared" si="74"/>
        <v>451790.43863290292</v>
      </c>
      <c r="Q304" s="54">
        <f t="shared" si="75"/>
        <v>1092592.5925925926</v>
      </c>
      <c r="R304" s="74">
        <f t="shared" si="76"/>
        <v>29499999.999999411</v>
      </c>
      <c r="S304" s="77"/>
      <c r="T304" s="4">
        <v>189</v>
      </c>
      <c r="U304" s="15">
        <f t="shared" si="77"/>
        <v>9.673988678521761E-3</v>
      </c>
      <c r="V304" s="133"/>
      <c r="W304" s="132"/>
      <c r="X304" s="132"/>
      <c r="Y304" s="27"/>
    </row>
    <row r="305" spans="1:25" x14ac:dyDescent="0.25">
      <c r="A305" s="59">
        <v>175</v>
      </c>
      <c r="B305" s="59" t="s">
        <v>104</v>
      </c>
      <c r="C305" s="140">
        <v>4.4299999999999999E-2</v>
      </c>
      <c r="D305" s="63">
        <f t="shared" si="82"/>
        <v>0.10143079604845218</v>
      </c>
      <c r="E305" s="63">
        <f t="shared" si="83"/>
        <v>0.15022418031339857</v>
      </c>
      <c r="F305" s="64">
        <f t="shared" si="84"/>
        <v>1.1731350710080246E-2</v>
      </c>
      <c r="H305" s="4">
        <v>190</v>
      </c>
      <c r="I305" s="54">
        <f t="shared" si="69"/>
        <v>3638602.1006295285</v>
      </c>
      <c r="J305" s="54">
        <f t="shared" si="70"/>
        <v>2449245.4776468668</v>
      </c>
      <c r="K305" s="93">
        <f t="shared" si="71"/>
        <v>1189356.6229826617</v>
      </c>
      <c r="L305" s="74">
        <f t="shared" si="72"/>
        <v>78086993.235838249</v>
      </c>
      <c r="N305" s="4">
        <v>190</v>
      </c>
      <c r="O305" s="54">
        <f t="shared" si="73"/>
        <v>1528247.6584171772</v>
      </c>
      <c r="P305" s="74">
        <f t="shared" si="74"/>
        <v>435655.06582458463</v>
      </c>
      <c r="Q305" s="54">
        <f t="shared" si="75"/>
        <v>1092592.5925925926</v>
      </c>
      <c r="R305" s="74">
        <f t="shared" si="76"/>
        <v>28407407.407406818</v>
      </c>
      <c r="S305" s="77"/>
      <c r="T305" s="4">
        <v>190</v>
      </c>
      <c r="U305" s="15">
        <f t="shared" si="77"/>
        <v>9.5913889690062426E-3</v>
      </c>
      <c r="V305" s="133"/>
      <c r="W305" s="132"/>
      <c r="X305" s="132"/>
      <c r="Y305" s="27"/>
    </row>
    <row r="306" spans="1:25" x14ac:dyDescent="0.25">
      <c r="A306" s="59">
        <v>176</v>
      </c>
      <c r="B306" s="59" t="s">
        <v>103</v>
      </c>
      <c r="C306" s="140">
        <v>4.5199999999999997E-2</v>
      </c>
      <c r="D306" s="63">
        <f t="shared" si="82"/>
        <v>0.10143079604845218</v>
      </c>
      <c r="E306" s="63">
        <f t="shared" si="83"/>
        <v>0.15121546802984209</v>
      </c>
      <c r="F306" s="64">
        <f t="shared" si="84"/>
        <v>1.1803982995003848E-2</v>
      </c>
      <c r="H306" s="4">
        <v>191</v>
      </c>
      <c r="I306" s="54">
        <f t="shared" si="69"/>
        <v>3638602.1006295285</v>
      </c>
      <c r="J306" s="54">
        <f t="shared" si="70"/>
        <v>2485415.8573005898</v>
      </c>
      <c r="K306" s="93">
        <f t="shared" si="71"/>
        <v>1153186.2433289385</v>
      </c>
      <c r="L306" s="74">
        <f t="shared" si="72"/>
        <v>75601577.378537655</v>
      </c>
      <c r="N306" s="4">
        <v>191</v>
      </c>
      <c r="O306" s="54">
        <f t="shared" si="73"/>
        <v>1512112.285608859</v>
      </c>
      <c r="P306" s="74">
        <f t="shared" si="74"/>
        <v>419519.69301626639</v>
      </c>
      <c r="Q306" s="54">
        <f t="shared" si="75"/>
        <v>1092592.5925925926</v>
      </c>
      <c r="R306" s="74">
        <f t="shared" si="76"/>
        <v>27314814.814814225</v>
      </c>
      <c r="S306" s="77"/>
      <c r="T306" s="4">
        <v>191</v>
      </c>
      <c r="U306" s="15">
        <f t="shared" si="77"/>
        <v>9.5583282599804864E-3</v>
      </c>
      <c r="V306" s="133"/>
      <c r="W306" s="132"/>
      <c r="X306" s="132"/>
      <c r="Y306" s="27"/>
    </row>
    <row r="307" spans="1:25" x14ac:dyDescent="0.25">
      <c r="A307" s="59">
        <v>177</v>
      </c>
      <c r="B307" s="59" t="s">
        <v>102</v>
      </c>
      <c r="C307" s="140">
        <v>4.5400000000000003E-2</v>
      </c>
      <c r="D307" s="63">
        <f t="shared" si="82"/>
        <v>0.10143079604845218</v>
      </c>
      <c r="E307" s="63">
        <f t="shared" si="83"/>
        <v>0.15143575418905209</v>
      </c>
      <c r="F307" s="64">
        <f t="shared" si="84"/>
        <v>1.1820115716908663E-2</v>
      </c>
      <c r="H307" s="4">
        <v>192</v>
      </c>
      <c r="I307" s="54">
        <f t="shared" si="69"/>
        <v>3638602.1006295285</v>
      </c>
      <c r="J307" s="54">
        <f t="shared" si="70"/>
        <v>2522120.3999756332</v>
      </c>
      <c r="K307" s="93">
        <f t="shared" si="71"/>
        <v>1116481.7006538953</v>
      </c>
      <c r="L307" s="74">
        <f t="shared" si="72"/>
        <v>73079456.978562027</v>
      </c>
      <c r="N307" s="4">
        <v>192</v>
      </c>
      <c r="O307" s="54">
        <f t="shared" si="73"/>
        <v>1495976.9128005407</v>
      </c>
      <c r="P307" s="74">
        <f t="shared" si="74"/>
        <v>403384.3202079481</v>
      </c>
      <c r="Q307" s="54">
        <f t="shared" si="75"/>
        <v>1092592.5925925926</v>
      </c>
      <c r="R307" s="74">
        <f t="shared" si="76"/>
        <v>26222222.222221632</v>
      </c>
      <c r="S307" s="77"/>
      <c r="T307" s="4">
        <v>192</v>
      </c>
      <c r="U307" s="15">
        <f t="shared" si="77"/>
        <v>9.5500612215788649E-3</v>
      </c>
      <c r="V307" s="133"/>
      <c r="W307" s="132"/>
      <c r="X307" s="132"/>
      <c r="Y307" s="27"/>
    </row>
    <row r="308" spans="1:25" x14ac:dyDescent="0.25">
      <c r="A308" s="59">
        <v>178</v>
      </c>
      <c r="B308" s="59" t="s">
        <v>101</v>
      </c>
      <c r="C308" s="140">
        <v>4.4600000000000001E-2</v>
      </c>
      <c r="D308" s="63">
        <f t="shared" si="82"/>
        <v>0.10143079604845218</v>
      </c>
      <c r="E308" s="63">
        <f t="shared" si="83"/>
        <v>0.150554609552213</v>
      </c>
      <c r="F308" s="64">
        <f t="shared" si="84"/>
        <v>1.1755567845083803E-2</v>
      </c>
      <c r="H308" s="4">
        <v>193</v>
      </c>
      <c r="I308" s="54">
        <f t="shared" ref="I308:I331" si="85">PMT($C$128,$C$127,-$C$123)</f>
        <v>3638602.1006295285</v>
      </c>
      <c r="J308" s="54">
        <f t="shared" ref="J308:J331" si="86">I308-K308</f>
        <v>2559366.9941745801</v>
      </c>
      <c r="K308" s="93">
        <f t="shared" ref="K308:K331" si="87">L307*$C$128</f>
        <v>1079235.1064549484</v>
      </c>
      <c r="L308" s="74">
        <f t="shared" ref="L308:L331" si="88">L307-J308</f>
        <v>70520089.984387442</v>
      </c>
      <c r="N308" s="4">
        <v>193</v>
      </c>
      <c r="O308" s="54">
        <f t="shared" ref="O308:O331" si="89">P308+Q308</f>
        <v>1479841.5399922223</v>
      </c>
      <c r="P308" s="74">
        <f t="shared" ref="P308:P331" si="90">R307*C$128</f>
        <v>387248.9473996298</v>
      </c>
      <c r="Q308" s="54">
        <f t="shared" ref="Q308:Q331" si="91">$C$123/$C$127</f>
        <v>1092592.5925925926</v>
      </c>
      <c r="R308" s="74">
        <f t="shared" ref="R308:R331" si="92">R307-Q308</f>
        <v>25129629.629629038</v>
      </c>
      <c r="S308" s="77"/>
      <c r="T308" s="4">
        <v>193</v>
      </c>
      <c r="U308" s="15">
        <f t="shared" ref="U308:U331" si="93">F323</f>
        <v>9.5996522858179389E-3</v>
      </c>
      <c r="V308" s="133"/>
      <c r="W308" s="132"/>
      <c r="X308" s="132"/>
      <c r="Y308" s="27"/>
    </row>
    <row r="309" spans="1:25" x14ac:dyDescent="0.25">
      <c r="A309" s="59">
        <v>179</v>
      </c>
      <c r="B309" s="59" t="s">
        <v>100</v>
      </c>
      <c r="C309" s="140">
        <v>4.4999999999999998E-2</v>
      </c>
      <c r="D309" s="63">
        <f t="shared" si="82"/>
        <v>0.10143079604845218</v>
      </c>
      <c r="E309" s="63">
        <f t="shared" si="83"/>
        <v>0.15099518187063254</v>
      </c>
      <c r="F309" s="64">
        <f t="shared" si="84"/>
        <v>1.178784744309036E-2</v>
      </c>
      <c r="H309" s="4">
        <v>194</v>
      </c>
      <c r="I309" s="54">
        <f t="shared" si="85"/>
        <v>3638602.1006295285</v>
      </c>
      <c r="J309" s="54">
        <f t="shared" si="86"/>
        <v>2597163.6448971704</v>
      </c>
      <c r="K309" s="93">
        <f t="shared" si="87"/>
        <v>1041438.4557323579</v>
      </c>
      <c r="L309" s="74">
        <f t="shared" si="88"/>
        <v>67922926.339490265</v>
      </c>
      <c r="N309" s="4">
        <v>194</v>
      </c>
      <c r="O309" s="54">
        <f t="shared" si="89"/>
        <v>1463706.167183904</v>
      </c>
      <c r="P309" s="74">
        <f t="shared" si="90"/>
        <v>371113.57459131151</v>
      </c>
      <c r="Q309" s="54">
        <f t="shared" si="91"/>
        <v>1092592.5925925926</v>
      </c>
      <c r="R309" s="74">
        <f t="shared" si="92"/>
        <v>24037037.037036445</v>
      </c>
      <c r="S309" s="77"/>
      <c r="T309" s="4">
        <v>194</v>
      </c>
      <c r="U309" s="15">
        <f t="shared" si="93"/>
        <v>9.673988678521761E-3</v>
      </c>
      <c r="V309" s="133"/>
      <c r="W309" s="132"/>
      <c r="X309" s="132"/>
      <c r="Y309" s="27"/>
    </row>
    <row r="310" spans="1:25" x14ac:dyDescent="0.25">
      <c r="A310" s="59">
        <v>180</v>
      </c>
      <c r="B310" s="59" t="s">
        <v>99</v>
      </c>
      <c r="C310" s="140">
        <v>4.5499999999999999E-2</v>
      </c>
      <c r="D310" s="63">
        <f t="shared" si="82"/>
        <v>0.10143079604845218</v>
      </c>
      <c r="E310" s="63">
        <f t="shared" si="83"/>
        <v>0.15154589726865675</v>
      </c>
      <c r="F310" s="64">
        <f t="shared" si="84"/>
        <v>1.182818101693206E-2</v>
      </c>
      <c r="H310" s="4">
        <v>195</v>
      </c>
      <c r="I310" s="54">
        <f t="shared" si="85"/>
        <v>3638602.1006295285</v>
      </c>
      <c r="J310" s="54">
        <f t="shared" si="86"/>
        <v>2635518.4753607274</v>
      </c>
      <c r="K310" s="93">
        <f t="shared" si="87"/>
        <v>1003083.6252688012</v>
      </c>
      <c r="L310" s="74">
        <f t="shared" si="88"/>
        <v>65287407.864129536</v>
      </c>
      <c r="N310" s="4">
        <v>195</v>
      </c>
      <c r="O310" s="54">
        <f t="shared" si="89"/>
        <v>1447570.7943755859</v>
      </c>
      <c r="P310" s="74">
        <f t="shared" si="90"/>
        <v>354978.20178299322</v>
      </c>
      <c r="Q310" s="54">
        <f t="shared" si="91"/>
        <v>1092592.5925925926</v>
      </c>
      <c r="R310" s="74">
        <f t="shared" si="92"/>
        <v>22944444.444443852</v>
      </c>
      <c r="S310" s="77"/>
      <c r="T310" s="4">
        <v>195</v>
      </c>
      <c r="U310" s="15">
        <f t="shared" si="93"/>
        <v>9.6657320517521406E-3</v>
      </c>
      <c r="V310" s="133"/>
      <c r="W310" s="132"/>
      <c r="X310" s="132"/>
      <c r="Y310" s="27"/>
    </row>
    <row r="311" spans="1:25" x14ac:dyDescent="0.25">
      <c r="A311" s="59">
        <v>181</v>
      </c>
      <c r="B311" s="59" t="s">
        <v>98</v>
      </c>
      <c r="C311" s="140">
        <v>4.2900000000000001E-2</v>
      </c>
      <c r="D311" s="63">
        <f t="shared" si="82"/>
        <v>0.10143079604845218</v>
      </c>
      <c r="E311" s="63">
        <f t="shared" si="83"/>
        <v>0.14868217719893062</v>
      </c>
      <c r="F311" s="64">
        <f t="shared" si="84"/>
        <v>1.1618253024700209E-2</v>
      </c>
      <c r="H311" s="4">
        <v>196</v>
      </c>
      <c r="I311" s="54">
        <f t="shared" si="85"/>
        <v>3638602.1006295285</v>
      </c>
      <c r="J311" s="54">
        <f t="shared" si="86"/>
        <v>2674439.7287459886</v>
      </c>
      <c r="K311" s="93">
        <f t="shared" si="87"/>
        <v>964162.37188353983</v>
      </c>
      <c r="L311" s="74">
        <f t="shared" si="88"/>
        <v>62612968.135383546</v>
      </c>
      <c r="N311" s="4">
        <v>196</v>
      </c>
      <c r="O311" s="54">
        <f t="shared" si="89"/>
        <v>1431435.4215672675</v>
      </c>
      <c r="P311" s="74">
        <f t="shared" si="90"/>
        <v>338842.82897467498</v>
      </c>
      <c r="Q311" s="54">
        <f t="shared" si="91"/>
        <v>1092592.5925925926</v>
      </c>
      <c r="R311" s="74">
        <f t="shared" si="92"/>
        <v>21851851.851851258</v>
      </c>
      <c r="S311" s="77"/>
      <c r="T311" s="4">
        <v>196</v>
      </c>
      <c r="U311" s="15">
        <f t="shared" si="93"/>
        <v>9.740014969401356E-3</v>
      </c>
      <c r="V311" s="133"/>
      <c r="W311" s="132"/>
      <c r="X311" s="132"/>
      <c r="Y311" s="27"/>
    </row>
    <row r="312" spans="1:25" x14ac:dyDescent="0.25">
      <c r="A312" s="59">
        <v>182</v>
      </c>
      <c r="B312" s="59" t="s">
        <v>97</v>
      </c>
      <c r="C312" s="140">
        <v>3.7600000000000001E-2</v>
      </c>
      <c r="D312" s="63">
        <f t="shared" si="82"/>
        <v>0.10143079604845218</v>
      </c>
      <c r="E312" s="63">
        <f t="shared" si="83"/>
        <v>0.14284459397987415</v>
      </c>
      <c r="F312" s="64">
        <f t="shared" si="84"/>
        <v>1.1188832990003839E-2</v>
      </c>
      <c r="H312" s="4">
        <v>197</v>
      </c>
      <c r="I312" s="54">
        <f t="shared" si="85"/>
        <v>3638602.1006295285</v>
      </c>
      <c r="J312" s="54">
        <f t="shared" si="86"/>
        <v>2713935.7699687257</v>
      </c>
      <c r="K312" s="93">
        <f t="shared" si="87"/>
        <v>924666.33066080289</v>
      </c>
      <c r="L312" s="74">
        <f t="shared" si="88"/>
        <v>59899032.365414821</v>
      </c>
      <c r="N312" s="4">
        <v>197</v>
      </c>
      <c r="O312" s="54">
        <f t="shared" si="89"/>
        <v>1415300.0487589492</v>
      </c>
      <c r="P312" s="74">
        <f t="shared" si="90"/>
        <v>322707.45616635669</v>
      </c>
      <c r="Q312" s="54">
        <f t="shared" si="91"/>
        <v>1092592.5925925926</v>
      </c>
      <c r="R312" s="74">
        <f t="shared" si="92"/>
        <v>20759259.259258665</v>
      </c>
      <c r="S312" s="77"/>
      <c r="T312" s="4">
        <v>197</v>
      </c>
      <c r="U312" s="15">
        <f t="shared" si="93"/>
        <v>9.789503539689326E-3</v>
      </c>
      <c r="V312" s="133"/>
      <c r="W312" s="132"/>
      <c r="X312" s="132"/>
      <c r="Y312" s="27"/>
    </row>
    <row r="313" spans="1:25" x14ac:dyDescent="0.25">
      <c r="A313" s="59">
        <v>183</v>
      </c>
      <c r="B313" s="59" t="s">
        <v>96</v>
      </c>
      <c r="C313" s="140">
        <v>3.3399999999999999E-2</v>
      </c>
      <c r="D313" s="63">
        <f t="shared" si="82"/>
        <v>0.10143079604845218</v>
      </c>
      <c r="E313" s="63">
        <f t="shared" si="83"/>
        <v>0.13821858463647052</v>
      </c>
      <c r="F313" s="64">
        <f t="shared" si="84"/>
        <v>1.0847107474477147E-2</v>
      </c>
      <c r="H313" s="4">
        <v>198</v>
      </c>
      <c r="I313" s="54">
        <f t="shared" si="85"/>
        <v>3638602.1006295285</v>
      </c>
      <c r="J313" s="54">
        <f t="shared" si="86"/>
        <v>2754015.0874775201</v>
      </c>
      <c r="K313" s="93">
        <f t="shared" si="87"/>
        <v>884587.01315200818</v>
      </c>
      <c r="L313" s="74">
        <f t="shared" si="88"/>
        <v>57145017.277937301</v>
      </c>
      <c r="N313" s="4">
        <v>198</v>
      </c>
      <c r="O313" s="54">
        <f t="shared" si="89"/>
        <v>1399164.675950631</v>
      </c>
      <c r="P313" s="74">
        <f t="shared" si="90"/>
        <v>306572.08335803839</v>
      </c>
      <c r="Q313" s="54">
        <f t="shared" si="91"/>
        <v>1092592.5925925926</v>
      </c>
      <c r="R313" s="74">
        <f t="shared" si="92"/>
        <v>19666666.666666072</v>
      </c>
      <c r="S313" s="77"/>
      <c r="T313" s="4">
        <v>198</v>
      </c>
      <c r="U313" s="15">
        <f t="shared" si="93"/>
        <v>9.9295764506723838E-3</v>
      </c>
      <c r="V313" s="133"/>
      <c r="W313" s="132"/>
      <c r="X313" s="132"/>
      <c r="Y313" s="27"/>
    </row>
    <row r="314" spans="1:25" x14ac:dyDescent="0.25">
      <c r="A314" s="59">
        <v>184</v>
      </c>
      <c r="B314" s="59" t="s">
        <v>95</v>
      </c>
      <c r="C314" s="140">
        <v>2.7900000000000001E-2</v>
      </c>
      <c r="D314" s="63">
        <f t="shared" si="82"/>
        <v>0.10143079604845218</v>
      </c>
      <c r="E314" s="63">
        <f t="shared" si="83"/>
        <v>0.13216071525820405</v>
      </c>
      <c r="F314" s="64">
        <f t="shared" si="84"/>
        <v>1.0397679422334827E-2</v>
      </c>
      <c r="H314" s="4">
        <v>199</v>
      </c>
      <c r="I314" s="54">
        <f t="shared" si="85"/>
        <v>3638602.1006295285</v>
      </c>
      <c r="J314" s="54">
        <f t="shared" si="86"/>
        <v>2794686.2950780946</v>
      </c>
      <c r="K314" s="93">
        <f t="shared" si="87"/>
        <v>843915.80555143382</v>
      </c>
      <c r="L314" s="74">
        <f t="shared" si="88"/>
        <v>54350330.982859209</v>
      </c>
      <c r="N314" s="4">
        <v>199</v>
      </c>
      <c r="O314" s="54">
        <f t="shared" si="89"/>
        <v>1383029.3031423127</v>
      </c>
      <c r="P314" s="74">
        <f t="shared" si="90"/>
        <v>290436.7105497201</v>
      </c>
      <c r="Q314" s="54">
        <f t="shared" si="91"/>
        <v>1092592.5925925926</v>
      </c>
      <c r="R314" s="74">
        <f t="shared" si="92"/>
        <v>18574074.074073479</v>
      </c>
      <c r="S314" s="77"/>
      <c r="T314" s="4">
        <v>199</v>
      </c>
      <c r="U314" s="15">
        <f t="shared" si="93"/>
        <v>1.0282927617885296E-2</v>
      </c>
      <c r="V314" s="133"/>
      <c r="W314" s="132"/>
      <c r="X314" s="132"/>
      <c r="Y314" s="27"/>
    </row>
    <row r="315" spans="1:25" x14ac:dyDescent="0.25">
      <c r="A315" s="59">
        <v>185</v>
      </c>
      <c r="B315" s="59" t="s">
        <v>94</v>
      </c>
      <c r="C315" s="140">
        <v>2.3900000000000001E-2</v>
      </c>
      <c r="D315" s="63">
        <f t="shared" si="82"/>
        <v>0.10143079604845218</v>
      </c>
      <c r="E315" s="63">
        <f t="shared" si="83"/>
        <v>0.1277549920740102</v>
      </c>
      <c r="F315" s="64">
        <f t="shared" si="84"/>
        <v>1.0069435984493724E-2</v>
      </c>
      <c r="H315" s="4">
        <v>200</v>
      </c>
      <c r="I315" s="54">
        <f t="shared" si="85"/>
        <v>3638602.1006295285</v>
      </c>
      <c r="J315" s="54">
        <f t="shared" si="86"/>
        <v>2835958.1337845805</v>
      </c>
      <c r="K315" s="93">
        <f t="shared" si="87"/>
        <v>802643.96684494789</v>
      </c>
      <c r="L315" s="74">
        <f t="shared" si="88"/>
        <v>51514372.849074632</v>
      </c>
      <c r="N315" s="4">
        <v>200</v>
      </c>
      <c r="O315" s="54">
        <f t="shared" si="89"/>
        <v>1366893.9303339943</v>
      </c>
      <c r="P315" s="74">
        <f t="shared" si="90"/>
        <v>274301.3377414018</v>
      </c>
      <c r="Q315" s="54">
        <f t="shared" si="91"/>
        <v>1092592.5925925926</v>
      </c>
      <c r="R315" s="74">
        <f t="shared" si="92"/>
        <v>17481481.481480885</v>
      </c>
      <c r="S315" s="77"/>
      <c r="T315" s="4">
        <v>200</v>
      </c>
      <c r="U315" s="15">
        <f t="shared" si="93"/>
        <v>1.0634924544712598E-2</v>
      </c>
      <c r="V315" s="133"/>
      <c r="W315" s="132"/>
      <c r="X315" s="132"/>
      <c r="Y315" s="27"/>
    </row>
    <row r="316" spans="1:25" x14ac:dyDescent="0.25">
      <c r="A316" s="59">
        <v>186</v>
      </c>
      <c r="B316" s="59" t="s">
        <v>93</v>
      </c>
      <c r="C316" s="140">
        <v>2.0299999999999999E-2</v>
      </c>
      <c r="D316" s="63">
        <f t="shared" si="82"/>
        <v>0.10143079604845218</v>
      </c>
      <c r="E316" s="63">
        <f t="shared" si="83"/>
        <v>0.12378984120823566</v>
      </c>
      <c r="F316" s="64">
        <f t="shared" si="84"/>
        <v>9.7730103138280455E-3</v>
      </c>
      <c r="H316" s="4">
        <v>201</v>
      </c>
      <c r="I316" s="54">
        <f t="shared" si="85"/>
        <v>3638602.1006295285</v>
      </c>
      <c r="J316" s="54">
        <f t="shared" si="86"/>
        <v>2877839.4736981299</v>
      </c>
      <c r="K316" s="93">
        <f t="shared" si="87"/>
        <v>760762.62693139841</v>
      </c>
      <c r="L316" s="74">
        <f t="shared" si="88"/>
        <v>48636533.3753765</v>
      </c>
      <c r="N316" s="4">
        <v>201</v>
      </c>
      <c r="O316" s="54">
        <f t="shared" si="89"/>
        <v>1350758.5575256762</v>
      </c>
      <c r="P316" s="74">
        <f t="shared" si="90"/>
        <v>258165.96493308354</v>
      </c>
      <c r="Q316" s="54">
        <f t="shared" si="91"/>
        <v>1092592.5925925926</v>
      </c>
      <c r="R316" s="74">
        <f t="shared" si="92"/>
        <v>16388888.888888292</v>
      </c>
      <c r="S316" s="77"/>
      <c r="T316" s="4">
        <v>201</v>
      </c>
      <c r="U316" s="15">
        <f t="shared" si="93"/>
        <v>1.0953015494061802E-2</v>
      </c>
      <c r="V316" s="133"/>
      <c r="W316" s="132"/>
      <c r="X316" s="132"/>
      <c r="Y316" s="27"/>
    </row>
    <row r="317" spans="1:25" x14ac:dyDescent="0.25">
      <c r="A317" s="59">
        <v>187</v>
      </c>
      <c r="B317" s="59" t="s">
        <v>92</v>
      </c>
      <c r="C317" s="140">
        <v>1.9599999999999999E-2</v>
      </c>
      <c r="D317" s="63">
        <f t="shared" si="82"/>
        <v>0.10143079604845218</v>
      </c>
      <c r="E317" s="63">
        <f t="shared" si="83"/>
        <v>0.12301883965100191</v>
      </c>
      <c r="F317" s="64">
        <f t="shared" si="84"/>
        <v>9.7152606755779303E-3</v>
      </c>
      <c r="H317" s="4">
        <v>202</v>
      </c>
      <c r="I317" s="54">
        <f t="shared" si="85"/>
        <v>3638602.1006295285</v>
      </c>
      <c r="J317" s="54">
        <f t="shared" si="86"/>
        <v>2920339.3159132684</v>
      </c>
      <c r="K317" s="93">
        <f t="shared" si="87"/>
        <v>718262.78471626039</v>
      </c>
      <c r="L317" s="74">
        <f t="shared" si="88"/>
        <v>45716194.059463233</v>
      </c>
      <c r="N317" s="4">
        <v>202</v>
      </c>
      <c r="O317" s="54">
        <f t="shared" si="89"/>
        <v>1334623.1847173579</v>
      </c>
      <c r="P317" s="74">
        <f t="shared" si="90"/>
        <v>242030.59212476527</v>
      </c>
      <c r="Q317" s="54">
        <f t="shared" si="91"/>
        <v>1092592.5925925926</v>
      </c>
      <c r="R317" s="74">
        <f t="shared" si="92"/>
        <v>15296296.296295699</v>
      </c>
      <c r="S317" s="77"/>
      <c r="T317" s="4">
        <v>202</v>
      </c>
      <c r="U317" s="15">
        <f t="shared" si="93"/>
        <v>1.1634418354498299E-2</v>
      </c>
      <c r="V317" s="133"/>
      <c r="W317" s="132"/>
      <c r="X317" s="132"/>
      <c r="Y317" s="27"/>
    </row>
    <row r="318" spans="1:25" x14ac:dyDescent="0.25">
      <c r="A318" s="59">
        <v>188</v>
      </c>
      <c r="B318" s="59" t="s">
        <v>91</v>
      </c>
      <c r="C318" s="140">
        <v>1.9300000000000001E-2</v>
      </c>
      <c r="D318" s="63">
        <f t="shared" si="82"/>
        <v>0.10143079604845218</v>
      </c>
      <c r="E318" s="63">
        <f t="shared" si="83"/>
        <v>0.12268841041218748</v>
      </c>
      <c r="F318" s="64">
        <f t="shared" si="84"/>
        <v>9.6904997042841501E-3</v>
      </c>
      <c r="H318" s="4">
        <v>203</v>
      </c>
      <c r="I318" s="54">
        <f t="shared" si="85"/>
        <v>3638602.1006295285</v>
      </c>
      <c r="J318" s="54">
        <f t="shared" si="86"/>
        <v>2963466.7944523985</v>
      </c>
      <c r="K318" s="93">
        <f t="shared" si="87"/>
        <v>675135.30617713009</v>
      </c>
      <c r="L318" s="74">
        <f t="shared" si="88"/>
        <v>42752727.265010834</v>
      </c>
      <c r="N318" s="4">
        <v>203</v>
      </c>
      <c r="O318" s="54">
        <f t="shared" si="89"/>
        <v>1318487.8119090395</v>
      </c>
      <c r="P318" s="74">
        <f t="shared" si="90"/>
        <v>225895.21931644698</v>
      </c>
      <c r="Q318" s="54">
        <f t="shared" si="91"/>
        <v>1092592.5925925926</v>
      </c>
      <c r="R318" s="74">
        <f t="shared" si="92"/>
        <v>14203703.703703105</v>
      </c>
      <c r="S318" s="77"/>
      <c r="T318" s="4">
        <v>203</v>
      </c>
      <c r="U318" s="15">
        <f t="shared" si="93"/>
        <v>1.2166286689886174E-2</v>
      </c>
      <c r="V318" s="133"/>
      <c r="W318" s="132"/>
      <c r="X318" s="132"/>
      <c r="Y318" s="27"/>
    </row>
    <row r="319" spans="1:25" x14ac:dyDescent="0.25">
      <c r="A319" s="59">
        <v>189</v>
      </c>
      <c r="B319" s="59" t="s">
        <v>90</v>
      </c>
      <c r="C319" s="140">
        <v>1.9099999999999999E-2</v>
      </c>
      <c r="D319" s="63">
        <f t="shared" si="82"/>
        <v>0.10143079604845218</v>
      </c>
      <c r="E319" s="63">
        <f t="shared" si="83"/>
        <v>0.12246812425297748</v>
      </c>
      <c r="F319" s="64">
        <f t="shared" si="84"/>
        <v>9.673988678521761E-3</v>
      </c>
      <c r="H319" s="4">
        <v>204</v>
      </c>
      <c r="I319" s="54">
        <f t="shared" si="85"/>
        <v>3638602.1006295285</v>
      </c>
      <c r="J319" s="54">
        <f t="shared" si="86"/>
        <v>3007231.1782288784</v>
      </c>
      <c r="K319" s="93">
        <f t="shared" si="87"/>
        <v>631370.92240065022</v>
      </c>
      <c r="L319" s="74">
        <f t="shared" si="88"/>
        <v>39745496.086781956</v>
      </c>
      <c r="N319" s="4">
        <v>204</v>
      </c>
      <c r="O319" s="54">
        <f t="shared" si="89"/>
        <v>1302352.4391007214</v>
      </c>
      <c r="P319" s="74">
        <f t="shared" si="90"/>
        <v>209759.84650812871</v>
      </c>
      <c r="Q319" s="54">
        <f t="shared" si="91"/>
        <v>1092592.5925925926</v>
      </c>
      <c r="R319" s="74">
        <f t="shared" si="92"/>
        <v>13111111.111110512</v>
      </c>
      <c r="S319" s="77"/>
      <c r="T319" s="4">
        <v>204</v>
      </c>
      <c r="U319" s="15">
        <f t="shared" si="93"/>
        <v>1.296633555374016E-2</v>
      </c>
      <c r="V319" s="133"/>
      <c r="W319" s="132"/>
      <c r="X319" s="132"/>
      <c r="Y319" s="27"/>
    </row>
    <row r="320" spans="1:25" x14ac:dyDescent="0.25">
      <c r="A320" s="59">
        <v>190</v>
      </c>
      <c r="B320" s="59" t="s">
        <v>89</v>
      </c>
      <c r="C320" s="140">
        <v>1.8100000000000002E-2</v>
      </c>
      <c r="D320" s="63">
        <f t="shared" si="82"/>
        <v>0.10143079604845218</v>
      </c>
      <c r="E320" s="63">
        <f t="shared" si="83"/>
        <v>0.12136669345692908</v>
      </c>
      <c r="F320" s="64">
        <f t="shared" si="84"/>
        <v>9.5913889690062426E-3</v>
      </c>
      <c r="H320" s="4">
        <v>205</v>
      </c>
      <c r="I320" s="54">
        <f t="shared" si="85"/>
        <v>3638602.1006295285</v>
      </c>
      <c r="J320" s="54">
        <f t="shared" si="86"/>
        <v>3051641.873039084</v>
      </c>
      <c r="K320" s="93">
        <f t="shared" si="87"/>
        <v>586960.22759044438</v>
      </c>
      <c r="L320" s="74">
        <f t="shared" si="88"/>
        <v>36693854.213742875</v>
      </c>
      <c r="N320" s="4">
        <v>205</v>
      </c>
      <c r="O320" s="54">
        <f t="shared" si="89"/>
        <v>1286217.066292403</v>
      </c>
      <c r="P320" s="74">
        <f t="shared" si="90"/>
        <v>193624.47369981042</v>
      </c>
      <c r="Q320" s="54">
        <f t="shared" si="91"/>
        <v>1092592.5925925926</v>
      </c>
      <c r="R320" s="74">
        <f t="shared" si="92"/>
        <v>12018518.518517919</v>
      </c>
      <c r="S320" s="77"/>
      <c r="T320" s="4">
        <v>205</v>
      </c>
      <c r="U320" s="15">
        <f t="shared" si="93"/>
        <v>1.3814759683286049E-2</v>
      </c>
      <c r="V320" s="133"/>
      <c r="W320" s="132"/>
      <c r="X320" s="132"/>
      <c r="Y320" s="27"/>
    </row>
    <row r="321" spans="1:25" x14ac:dyDescent="0.25">
      <c r="A321" s="59">
        <v>191</v>
      </c>
      <c r="B321" s="59" t="s">
        <v>88</v>
      </c>
      <c r="C321" s="140">
        <v>1.77E-2</v>
      </c>
      <c r="D321" s="63">
        <f t="shared" si="82"/>
        <v>0.10143079604845218</v>
      </c>
      <c r="E321" s="63">
        <f t="shared" si="83"/>
        <v>0.12092612113850976</v>
      </c>
      <c r="F321" s="64">
        <f t="shared" si="84"/>
        <v>9.5583282599804864E-3</v>
      </c>
      <c r="H321" s="4">
        <v>206</v>
      </c>
      <c r="I321" s="54">
        <f t="shared" si="85"/>
        <v>3638602.1006295285</v>
      </c>
      <c r="J321" s="54">
        <f t="shared" si="86"/>
        <v>3096708.423583895</v>
      </c>
      <c r="K321" s="93">
        <f t="shared" si="87"/>
        <v>541893.67704563332</v>
      </c>
      <c r="L321" s="74">
        <f t="shared" si="88"/>
        <v>33597145.79015898</v>
      </c>
      <c r="N321" s="4">
        <v>206</v>
      </c>
      <c r="O321" s="54">
        <f t="shared" si="89"/>
        <v>1270081.6934840847</v>
      </c>
      <c r="P321" s="74">
        <f t="shared" si="90"/>
        <v>177489.10089149213</v>
      </c>
      <c r="Q321" s="54">
        <f t="shared" si="91"/>
        <v>1092592.5925925926</v>
      </c>
      <c r="R321" s="74">
        <f t="shared" si="92"/>
        <v>10925925.925925326</v>
      </c>
      <c r="S321" s="77"/>
      <c r="T321" s="4">
        <v>206</v>
      </c>
      <c r="U321" s="15">
        <f t="shared" si="93"/>
        <v>1.4349913868960451E-2</v>
      </c>
      <c r="V321" s="133"/>
      <c r="W321" s="132"/>
      <c r="X321" s="132"/>
      <c r="Y321" s="27"/>
    </row>
    <row r="322" spans="1:25" x14ac:dyDescent="0.25">
      <c r="A322" s="59">
        <v>192</v>
      </c>
      <c r="B322" s="59" t="s">
        <v>87</v>
      </c>
      <c r="C322" s="140">
        <v>1.7600000000000001E-2</v>
      </c>
      <c r="D322" s="63">
        <f t="shared" si="82"/>
        <v>0.10143079604845218</v>
      </c>
      <c r="E322" s="63">
        <f t="shared" si="83"/>
        <v>0.12081597805890509</v>
      </c>
      <c r="F322" s="64">
        <f t="shared" si="84"/>
        <v>9.5500612215788649E-3</v>
      </c>
      <c r="H322" s="4">
        <v>207</v>
      </c>
      <c r="I322" s="54">
        <f t="shared" si="85"/>
        <v>3638602.1006295285</v>
      </c>
      <c r="J322" s="54">
        <f t="shared" si="86"/>
        <v>3142440.5155200311</v>
      </c>
      <c r="K322" s="93">
        <f t="shared" si="87"/>
        <v>496161.58510949725</v>
      </c>
      <c r="L322" s="74">
        <f t="shared" si="88"/>
        <v>30454705.274638947</v>
      </c>
      <c r="N322" s="4">
        <v>207</v>
      </c>
      <c r="O322" s="54">
        <f t="shared" si="89"/>
        <v>1253946.3206757666</v>
      </c>
      <c r="P322" s="74">
        <f t="shared" si="90"/>
        <v>161353.72808317386</v>
      </c>
      <c r="Q322" s="54">
        <f t="shared" si="91"/>
        <v>1092592.5925925926</v>
      </c>
      <c r="R322" s="74">
        <f t="shared" si="92"/>
        <v>9833333.3333327323</v>
      </c>
      <c r="S322" s="77"/>
      <c r="T322" s="4">
        <v>207</v>
      </c>
      <c r="U322" s="15">
        <f t="shared" si="93"/>
        <v>1.5581500785152969E-2</v>
      </c>
      <c r="V322" s="133"/>
      <c r="W322" s="132"/>
      <c r="X322" s="132"/>
      <c r="Y322" s="27"/>
    </row>
    <row r="323" spans="1:25" x14ac:dyDescent="0.25">
      <c r="A323" s="59">
        <v>193</v>
      </c>
      <c r="B323" s="59" t="s">
        <v>86</v>
      </c>
      <c r="C323" s="140">
        <v>1.8200000000000001E-2</v>
      </c>
      <c r="D323" s="63">
        <f t="shared" ref="D323:D346" si="94">$C$120</f>
        <v>0.10143079604845218</v>
      </c>
      <c r="E323" s="63">
        <f t="shared" ref="E323:E346" si="95">(1+D323)*(1+C323)-1</f>
        <v>0.12147683653653396</v>
      </c>
      <c r="F323" s="64">
        <f t="shared" ref="F323:F346" si="96">NOMINAL(E323,$C$125)/$C$125</f>
        <v>9.5996522858179389E-3</v>
      </c>
      <c r="H323" s="4">
        <v>208</v>
      </c>
      <c r="I323" s="54">
        <f t="shared" si="85"/>
        <v>3638602.1006295285</v>
      </c>
      <c r="J323" s="54">
        <f t="shared" si="86"/>
        <v>3188847.9775416837</v>
      </c>
      <c r="K323" s="93">
        <f t="shared" si="87"/>
        <v>449754.12308784475</v>
      </c>
      <c r="L323" s="74">
        <f t="shared" si="88"/>
        <v>27265857.297097262</v>
      </c>
      <c r="N323" s="4">
        <v>208</v>
      </c>
      <c r="O323" s="54">
        <f t="shared" si="89"/>
        <v>1237810.9478674482</v>
      </c>
      <c r="P323" s="74">
        <f t="shared" si="90"/>
        <v>145218.35527485557</v>
      </c>
      <c r="Q323" s="54">
        <f t="shared" si="91"/>
        <v>1092592.5925925926</v>
      </c>
      <c r="R323" s="74">
        <f t="shared" si="92"/>
        <v>8740740.740740139</v>
      </c>
      <c r="S323" s="77"/>
      <c r="T323" s="4">
        <v>208</v>
      </c>
      <c r="U323" s="15">
        <f t="shared" si="93"/>
        <v>1.6559672656978108E-2</v>
      </c>
      <c r="V323" s="133"/>
      <c r="W323" s="132"/>
      <c r="X323" s="132"/>
      <c r="Y323" s="27"/>
    </row>
    <row r="324" spans="1:25" x14ac:dyDescent="0.25">
      <c r="A324" s="59">
        <v>194</v>
      </c>
      <c r="B324" s="59" t="s">
        <v>85</v>
      </c>
      <c r="C324" s="140">
        <v>1.9099999999999999E-2</v>
      </c>
      <c r="D324" s="63">
        <f t="shared" si="94"/>
        <v>0.10143079604845218</v>
      </c>
      <c r="E324" s="63">
        <f t="shared" si="95"/>
        <v>0.12246812425297748</v>
      </c>
      <c r="F324" s="64">
        <f t="shared" si="96"/>
        <v>9.673988678521761E-3</v>
      </c>
      <c r="H324" s="4">
        <v>209</v>
      </c>
      <c r="I324" s="54">
        <f t="shared" si="85"/>
        <v>3638602.1006295285</v>
      </c>
      <c r="J324" s="54">
        <f t="shared" si="86"/>
        <v>3235940.7834928888</v>
      </c>
      <c r="K324" s="93">
        <f t="shared" si="87"/>
        <v>402661.3171366399</v>
      </c>
      <c r="L324" s="74">
        <f t="shared" si="88"/>
        <v>24029916.513604373</v>
      </c>
      <c r="N324" s="4">
        <v>209</v>
      </c>
      <c r="O324" s="54">
        <f t="shared" si="89"/>
        <v>1221675.5750591299</v>
      </c>
      <c r="P324" s="74">
        <f t="shared" si="90"/>
        <v>129082.98246653729</v>
      </c>
      <c r="Q324" s="54">
        <f t="shared" si="91"/>
        <v>1092592.5925925926</v>
      </c>
      <c r="R324" s="74">
        <f t="shared" si="92"/>
        <v>7648148.1481475467</v>
      </c>
      <c r="S324" s="77"/>
      <c r="T324" s="4">
        <v>209</v>
      </c>
      <c r="U324" s="15">
        <f t="shared" si="93"/>
        <v>1.6880897176757559E-2</v>
      </c>
      <c r="V324" s="133"/>
      <c r="W324" s="132"/>
      <c r="X324" s="132"/>
      <c r="Y324" s="27"/>
    </row>
    <row r="325" spans="1:25" x14ac:dyDescent="0.25">
      <c r="A325" s="59">
        <v>195</v>
      </c>
      <c r="B325" s="59" t="s">
        <v>84</v>
      </c>
      <c r="C325" s="140">
        <v>1.9E-2</v>
      </c>
      <c r="D325" s="63">
        <f t="shared" si="94"/>
        <v>0.10143079604845218</v>
      </c>
      <c r="E325" s="63">
        <f t="shared" si="95"/>
        <v>0.1223579811733726</v>
      </c>
      <c r="F325" s="64">
        <f t="shared" si="96"/>
        <v>9.6657320517521406E-3</v>
      </c>
      <c r="H325" s="4">
        <v>210</v>
      </c>
      <c r="I325" s="54">
        <f t="shared" si="85"/>
        <v>3638602.1006295285</v>
      </c>
      <c r="J325" s="54">
        <f t="shared" si="86"/>
        <v>3283729.0545110949</v>
      </c>
      <c r="K325" s="93">
        <f t="shared" si="87"/>
        <v>354873.04611843376</v>
      </c>
      <c r="L325" s="74">
        <f t="shared" si="88"/>
        <v>20746187.459093276</v>
      </c>
      <c r="N325" s="4">
        <v>210</v>
      </c>
      <c r="O325" s="54">
        <f t="shared" si="89"/>
        <v>1205540.2022508115</v>
      </c>
      <c r="P325" s="74">
        <f t="shared" si="90"/>
        <v>112947.60965821902</v>
      </c>
      <c r="Q325" s="54">
        <f t="shared" si="91"/>
        <v>1092592.5925925926</v>
      </c>
      <c r="R325" s="74">
        <f t="shared" si="92"/>
        <v>6555555.5555549543</v>
      </c>
      <c r="S325" s="77"/>
      <c r="T325" s="4">
        <v>210</v>
      </c>
      <c r="U325" s="15">
        <f t="shared" si="93"/>
        <v>1.7345458763065924E-2</v>
      </c>
      <c r="V325" s="133"/>
      <c r="W325" s="132"/>
      <c r="X325" s="132"/>
      <c r="Y325" s="27"/>
    </row>
    <row r="326" spans="1:25" x14ac:dyDescent="0.25">
      <c r="A326" s="59">
        <v>196</v>
      </c>
      <c r="B326" s="59" t="s">
        <v>83</v>
      </c>
      <c r="C326" s="140">
        <v>1.9900000000000001E-2</v>
      </c>
      <c r="D326" s="63">
        <f t="shared" si="94"/>
        <v>0.10143079604845218</v>
      </c>
      <c r="E326" s="63">
        <f t="shared" si="95"/>
        <v>0.12334926888981634</v>
      </c>
      <c r="F326" s="64">
        <f t="shared" si="96"/>
        <v>9.740014969401356E-3</v>
      </c>
      <c r="H326" s="4">
        <v>211</v>
      </c>
      <c r="I326" s="54">
        <f t="shared" si="85"/>
        <v>3638602.1006295285</v>
      </c>
      <c r="J326" s="54">
        <f t="shared" si="86"/>
        <v>3332223.0612023883</v>
      </c>
      <c r="K326" s="93">
        <f t="shared" si="87"/>
        <v>306379.03942714015</v>
      </c>
      <c r="L326" s="74">
        <f t="shared" si="88"/>
        <v>17413964.397890888</v>
      </c>
      <c r="N326" s="4">
        <v>211</v>
      </c>
      <c r="O326" s="54">
        <f t="shared" si="89"/>
        <v>1189404.8294424934</v>
      </c>
      <c r="P326" s="74">
        <f t="shared" si="90"/>
        <v>96812.236849900757</v>
      </c>
      <c r="Q326" s="54">
        <f t="shared" si="91"/>
        <v>1092592.5925925926</v>
      </c>
      <c r="R326" s="74">
        <f t="shared" si="92"/>
        <v>5462962.962962362</v>
      </c>
      <c r="S326" s="77"/>
      <c r="T326" s="4">
        <v>211</v>
      </c>
      <c r="U326" s="15">
        <f t="shared" si="93"/>
        <v>1.8124624808956824E-2</v>
      </c>
      <c r="V326" s="133"/>
      <c r="W326" s="132"/>
      <c r="X326" s="132"/>
      <c r="Y326" s="27"/>
    </row>
    <row r="327" spans="1:25" x14ac:dyDescent="0.25">
      <c r="A327" s="59">
        <v>197</v>
      </c>
      <c r="B327" s="59" t="s">
        <v>82</v>
      </c>
      <c r="C327" s="140">
        <v>2.0500000000000001E-2</v>
      </c>
      <c r="D327" s="63">
        <f t="shared" si="94"/>
        <v>0.10143079604845218</v>
      </c>
      <c r="E327" s="63">
        <f t="shared" si="95"/>
        <v>0.12401012736744543</v>
      </c>
      <c r="F327" s="64">
        <f t="shared" si="96"/>
        <v>9.789503539689326E-3</v>
      </c>
      <c r="H327" s="4">
        <v>212</v>
      </c>
      <c r="I327" s="54">
        <f t="shared" si="85"/>
        <v>3638602.1006295285</v>
      </c>
      <c r="J327" s="54">
        <f t="shared" si="86"/>
        <v>3381433.225848841</v>
      </c>
      <c r="K327" s="93">
        <f t="shared" si="87"/>
        <v>257168.87478068745</v>
      </c>
      <c r="L327" s="74">
        <f t="shared" si="88"/>
        <v>14032531.172042048</v>
      </c>
      <c r="N327" s="4">
        <v>212</v>
      </c>
      <c r="O327" s="54">
        <f t="shared" si="89"/>
        <v>1173269.456634175</v>
      </c>
      <c r="P327" s="74">
        <f t="shared" si="90"/>
        <v>80676.864041582492</v>
      </c>
      <c r="Q327" s="54">
        <f t="shared" si="91"/>
        <v>1092592.5925925926</v>
      </c>
      <c r="R327" s="74">
        <f t="shared" si="92"/>
        <v>4370370.3703697696</v>
      </c>
      <c r="S327" s="77"/>
      <c r="T327" s="4">
        <v>212</v>
      </c>
      <c r="U327" s="15">
        <f t="shared" si="93"/>
        <v>1.8717823968471992E-2</v>
      </c>
      <c r="V327" s="133"/>
      <c r="W327" s="132"/>
      <c r="X327" s="132"/>
      <c r="Y327" s="27"/>
    </row>
    <row r="328" spans="1:25" x14ac:dyDescent="0.25">
      <c r="A328" s="59">
        <v>198</v>
      </c>
      <c r="B328" s="59" t="s">
        <v>81</v>
      </c>
      <c r="C328" s="140">
        <v>2.2200000000000001E-2</v>
      </c>
      <c r="D328" s="63">
        <f t="shared" si="94"/>
        <v>0.10143079604845218</v>
      </c>
      <c r="E328" s="63">
        <f t="shared" si="95"/>
        <v>0.12588255972072782</v>
      </c>
      <c r="F328" s="64">
        <f t="shared" si="96"/>
        <v>9.9295764506723838E-3</v>
      </c>
      <c r="H328" s="4">
        <v>213</v>
      </c>
      <c r="I328" s="54">
        <f t="shared" si="85"/>
        <v>3638602.1006295285</v>
      </c>
      <c r="J328" s="54">
        <f t="shared" si="86"/>
        <v>3431370.124648456</v>
      </c>
      <c r="K328" s="93">
        <f t="shared" si="87"/>
        <v>207231.97598107241</v>
      </c>
      <c r="L328" s="74">
        <f t="shared" si="88"/>
        <v>10601161.047393592</v>
      </c>
      <c r="N328" s="4">
        <v>213</v>
      </c>
      <c r="O328" s="54">
        <f t="shared" si="89"/>
        <v>1157134.0838258569</v>
      </c>
      <c r="P328" s="74">
        <f t="shared" si="90"/>
        <v>64541.49123326422</v>
      </c>
      <c r="Q328" s="54">
        <f t="shared" si="91"/>
        <v>1092592.5925925926</v>
      </c>
      <c r="R328" s="74">
        <f t="shared" si="92"/>
        <v>3277777.7777771773</v>
      </c>
      <c r="S328" s="77"/>
      <c r="T328" s="4">
        <v>213</v>
      </c>
      <c r="U328" s="15">
        <f t="shared" si="93"/>
        <v>1.908385732654061E-2</v>
      </c>
      <c r="V328" s="133"/>
      <c r="W328" s="132"/>
      <c r="X328" s="132"/>
      <c r="Y328" s="27"/>
    </row>
    <row r="329" spans="1:25" x14ac:dyDescent="0.25">
      <c r="A329" s="59">
        <v>199</v>
      </c>
      <c r="B329" s="59" t="s">
        <v>80</v>
      </c>
      <c r="C329" s="140">
        <v>2.6499999999999999E-2</v>
      </c>
      <c r="D329" s="63">
        <f t="shared" si="94"/>
        <v>0.10143079604845218</v>
      </c>
      <c r="E329" s="63">
        <f t="shared" si="95"/>
        <v>0.1306187121437361</v>
      </c>
      <c r="F329" s="64">
        <f t="shared" si="96"/>
        <v>1.0282927617885296E-2</v>
      </c>
      <c r="H329" s="4">
        <v>214</v>
      </c>
      <c r="I329" s="54">
        <f t="shared" si="85"/>
        <v>3638602.1006295285</v>
      </c>
      <c r="J329" s="54">
        <f t="shared" si="86"/>
        <v>3482044.4899881938</v>
      </c>
      <c r="K329" s="93">
        <f t="shared" si="87"/>
        <v>156557.61064133458</v>
      </c>
      <c r="L329" s="74">
        <f t="shared" si="88"/>
        <v>7119116.5574053982</v>
      </c>
      <c r="N329" s="4">
        <v>214</v>
      </c>
      <c r="O329" s="54">
        <f t="shared" si="89"/>
        <v>1140998.7110175386</v>
      </c>
      <c r="P329" s="74">
        <f t="shared" si="90"/>
        <v>48406.118424945947</v>
      </c>
      <c r="Q329" s="54">
        <f t="shared" si="91"/>
        <v>1092592.5925925926</v>
      </c>
      <c r="R329" s="74">
        <f t="shared" si="92"/>
        <v>2185185.1851845849</v>
      </c>
      <c r="S329" s="77"/>
      <c r="T329" s="4">
        <v>214</v>
      </c>
      <c r="U329" s="15">
        <f t="shared" si="93"/>
        <v>1.9441023837986071E-2</v>
      </c>
      <c r="V329" s="133"/>
      <c r="W329" s="132"/>
      <c r="X329" s="132"/>
      <c r="Y329" s="27"/>
    </row>
    <row r="330" spans="1:25" x14ac:dyDescent="0.25">
      <c r="A330" s="59">
        <v>200</v>
      </c>
      <c r="B330" s="59" t="s">
        <v>79</v>
      </c>
      <c r="C330" s="140">
        <v>3.0800000000000001E-2</v>
      </c>
      <c r="D330" s="63">
        <f t="shared" si="94"/>
        <v>0.10143079604845218</v>
      </c>
      <c r="E330" s="63">
        <f t="shared" si="95"/>
        <v>0.13535486456674439</v>
      </c>
      <c r="F330" s="64">
        <f t="shared" si="96"/>
        <v>1.0634924544712598E-2</v>
      </c>
      <c r="H330" s="4">
        <v>215</v>
      </c>
      <c r="I330" s="54">
        <f t="shared" si="85"/>
        <v>3638602.1006295285</v>
      </c>
      <c r="J330" s="54">
        <f t="shared" si="86"/>
        <v>3533467.2127505657</v>
      </c>
      <c r="K330" s="93">
        <f t="shared" si="87"/>
        <v>105134.88787896275</v>
      </c>
      <c r="L330" s="74">
        <f t="shared" si="88"/>
        <v>3585649.3446548325</v>
      </c>
      <c r="N330" s="4">
        <v>215</v>
      </c>
      <c r="O330" s="54">
        <f t="shared" si="89"/>
        <v>1124863.3382092202</v>
      </c>
      <c r="P330" s="74">
        <f t="shared" si="90"/>
        <v>32270.745616627679</v>
      </c>
      <c r="Q330" s="54">
        <f t="shared" si="91"/>
        <v>1092592.5925925926</v>
      </c>
      <c r="R330" s="74">
        <f t="shared" si="92"/>
        <v>1092592.5925919923</v>
      </c>
      <c r="S330" s="77"/>
      <c r="T330" s="4">
        <v>215</v>
      </c>
      <c r="U330" s="15">
        <f t="shared" si="93"/>
        <v>1.8635454013739006E-2</v>
      </c>
      <c r="V330" s="133"/>
      <c r="W330" s="132"/>
      <c r="X330" s="132"/>
      <c r="Y330" s="27"/>
    </row>
    <row r="331" spans="1:25" x14ac:dyDescent="0.25">
      <c r="A331" s="59">
        <v>201</v>
      </c>
      <c r="B331" s="59" t="s">
        <v>78</v>
      </c>
      <c r="C331" s="140">
        <v>3.4700000000000002E-2</v>
      </c>
      <c r="D331" s="63">
        <f t="shared" si="94"/>
        <v>0.10143079604845218</v>
      </c>
      <c r="E331" s="63">
        <f t="shared" si="95"/>
        <v>0.13965044467133336</v>
      </c>
      <c r="F331" s="64">
        <f t="shared" si="96"/>
        <v>1.0953015494061802E-2</v>
      </c>
      <c r="H331" s="4">
        <v>216</v>
      </c>
      <c r="I331" s="54">
        <f t="shared" si="85"/>
        <v>3638602.1006295285</v>
      </c>
      <c r="J331" s="54">
        <f t="shared" si="86"/>
        <v>3585649.3446542909</v>
      </c>
      <c r="K331" s="93">
        <f t="shared" si="87"/>
        <v>52952.755975237662</v>
      </c>
      <c r="L331" s="74">
        <f t="shared" si="88"/>
        <v>5.4156407713890076E-7</v>
      </c>
      <c r="N331" s="4">
        <v>216</v>
      </c>
      <c r="O331" s="54">
        <f t="shared" si="89"/>
        <v>1108727.9654009021</v>
      </c>
      <c r="P331" s="74">
        <f t="shared" si="90"/>
        <v>16135.372808309408</v>
      </c>
      <c r="Q331" s="54">
        <f t="shared" si="91"/>
        <v>1092592.5925925926</v>
      </c>
      <c r="R331" s="93">
        <f t="shared" si="92"/>
        <v>-6.002373993396759E-7</v>
      </c>
      <c r="T331" s="4">
        <v>216</v>
      </c>
      <c r="U331" s="15">
        <f t="shared" si="93"/>
        <v>1.8049264545799248E-2</v>
      </c>
      <c r="V331" s="54"/>
      <c r="W331" s="132"/>
      <c r="X331" s="132"/>
      <c r="Y331" s="131"/>
    </row>
    <row r="332" spans="1:25" x14ac:dyDescent="0.25">
      <c r="A332" s="59">
        <v>202</v>
      </c>
      <c r="B332" s="59" t="s">
        <v>77</v>
      </c>
      <c r="C332" s="140">
        <v>4.3099999999999999E-2</v>
      </c>
      <c r="D332" s="63">
        <f t="shared" si="94"/>
        <v>0.10143079604845218</v>
      </c>
      <c r="E332" s="63">
        <f t="shared" si="95"/>
        <v>0.14890246335814039</v>
      </c>
      <c r="F332" s="64">
        <f t="shared" si="96"/>
        <v>1.1634418354498299E-2</v>
      </c>
      <c r="J332" s="77"/>
      <c r="K332" s="141">
        <f>SUM(K115:K331)</f>
        <v>549938053.73597848</v>
      </c>
      <c r="P332" s="141">
        <f>SUM(P115:P331)</f>
        <v>378148597.13574576</v>
      </c>
      <c r="S332" t="s">
        <v>238</v>
      </c>
      <c r="X332" s="141">
        <f>SUM(X115:X331)</f>
        <v>315610311.47244292</v>
      </c>
    </row>
    <row r="333" spans="1:25" x14ac:dyDescent="0.25">
      <c r="A333" s="59">
        <v>203</v>
      </c>
      <c r="B333" s="59" t="s">
        <v>76</v>
      </c>
      <c r="C333" s="140">
        <v>4.9700000000000001E-2</v>
      </c>
      <c r="D333" s="63">
        <f t="shared" si="94"/>
        <v>0.10143079604845218</v>
      </c>
      <c r="E333" s="63">
        <f t="shared" si="95"/>
        <v>0.15617190661206037</v>
      </c>
      <c r="F333" s="64">
        <f t="shared" si="96"/>
        <v>1.2166286689886174E-2</v>
      </c>
      <c r="X333" s="77"/>
    </row>
    <row r="334" spans="1:25" x14ac:dyDescent="0.25">
      <c r="A334" s="59">
        <v>204</v>
      </c>
      <c r="B334" s="59" t="s">
        <v>75</v>
      </c>
      <c r="C334" s="140">
        <v>5.9700000000000003E-2</v>
      </c>
      <c r="D334" s="63">
        <f t="shared" si="94"/>
        <v>0.10143079604845218</v>
      </c>
      <c r="E334" s="63">
        <f t="shared" si="95"/>
        <v>0.1671862145725449</v>
      </c>
      <c r="F334" s="64">
        <f t="shared" si="96"/>
        <v>1.296633555374016E-2</v>
      </c>
    </row>
    <row r="335" spans="1:25" x14ac:dyDescent="0.25">
      <c r="A335" s="59">
        <v>205</v>
      </c>
      <c r="B335" s="59" t="s">
        <v>74</v>
      </c>
      <c r="C335" s="140">
        <v>7.0400000000000004E-2</v>
      </c>
      <c r="D335" s="63">
        <f t="shared" si="94"/>
        <v>0.10143079604845218</v>
      </c>
      <c r="E335" s="63">
        <f t="shared" si="95"/>
        <v>0.17897152409026318</v>
      </c>
      <c r="F335" s="64">
        <f t="shared" si="96"/>
        <v>1.3814759683286049E-2</v>
      </c>
    </row>
    <row r="336" spans="1:25" x14ac:dyDescent="0.25">
      <c r="A336" s="59">
        <v>206</v>
      </c>
      <c r="B336" s="59" t="s">
        <v>73</v>
      </c>
      <c r="C336" s="140">
        <v>7.7200000000000005E-2</v>
      </c>
      <c r="D336" s="63">
        <f t="shared" si="94"/>
        <v>0.10143079604845218</v>
      </c>
      <c r="E336" s="63">
        <f t="shared" si="95"/>
        <v>0.18646125350339271</v>
      </c>
      <c r="F336" s="64">
        <f t="shared" si="96"/>
        <v>1.4349913868960451E-2</v>
      </c>
    </row>
    <row r="337" spans="1:6" x14ac:dyDescent="0.25">
      <c r="A337" s="59">
        <v>207</v>
      </c>
      <c r="B337" s="59" t="s">
        <v>72</v>
      </c>
      <c r="C337" s="140">
        <v>9.2999999999999999E-2</v>
      </c>
      <c r="D337" s="63">
        <f t="shared" si="94"/>
        <v>0.10143079604845218</v>
      </c>
      <c r="E337" s="63">
        <f t="shared" si="95"/>
        <v>0.20386386008095814</v>
      </c>
      <c r="F337" s="64">
        <f t="shared" si="96"/>
        <v>1.5581500785152969E-2</v>
      </c>
    </row>
    <row r="338" spans="1:6" x14ac:dyDescent="0.25">
      <c r="A338" s="59">
        <v>208</v>
      </c>
      <c r="B338" s="59" t="s">
        <v>71</v>
      </c>
      <c r="C338" s="140">
        <v>0.1057</v>
      </c>
      <c r="D338" s="63">
        <f t="shared" si="94"/>
        <v>0.10143079604845218</v>
      </c>
      <c r="E338" s="63">
        <f t="shared" si="95"/>
        <v>0.21785203119077345</v>
      </c>
      <c r="F338" s="64">
        <f t="shared" si="96"/>
        <v>1.6559672656978108E-2</v>
      </c>
    </row>
    <row r="339" spans="1:6" x14ac:dyDescent="0.25">
      <c r="A339" s="59">
        <v>209</v>
      </c>
      <c r="B339" s="59" t="s">
        <v>70</v>
      </c>
      <c r="C339" s="140">
        <v>0.1099</v>
      </c>
      <c r="D339" s="63">
        <f t="shared" si="94"/>
        <v>0.10143079604845218</v>
      </c>
      <c r="E339" s="63">
        <f t="shared" si="95"/>
        <v>0.22247804053417708</v>
      </c>
      <c r="F339" s="64">
        <f t="shared" si="96"/>
        <v>1.6880897176757559E-2</v>
      </c>
    </row>
    <row r="340" spans="1:6" x14ac:dyDescent="0.25">
      <c r="A340" s="59">
        <v>210</v>
      </c>
      <c r="B340" s="59" t="s">
        <v>69</v>
      </c>
      <c r="C340" s="140">
        <v>0.11600000000000001</v>
      </c>
      <c r="D340" s="63">
        <f t="shared" si="94"/>
        <v>0.10143079604845218</v>
      </c>
      <c r="E340" s="63">
        <f t="shared" si="95"/>
        <v>0.22919676839007264</v>
      </c>
      <c r="F340" s="64">
        <f t="shared" si="96"/>
        <v>1.7345458763065924E-2</v>
      </c>
    </row>
    <row r="341" spans="1:6" x14ac:dyDescent="0.25">
      <c r="A341" s="59">
        <v>211</v>
      </c>
      <c r="B341" s="59" t="s">
        <v>68</v>
      </c>
      <c r="C341" s="140">
        <v>0.1263</v>
      </c>
      <c r="D341" s="63">
        <f t="shared" si="94"/>
        <v>0.10143079604845218</v>
      </c>
      <c r="E341" s="63">
        <f t="shared" si="95"/>
        <v>0.24054150558937182</v>
      </c>
      <c r="F341" s="64">
        <f t="shared" si="96"/>
        <v>1.8124624808956824E-2</v>
      </c>
    </row>
    <row r="342" spans="1:6" x14ac:dyDescent="0.25">
      <c r="A342" s="59">
        <v>212</v>
      </c>
      <c r="B342" s="59" t="s">
        <v>67</v>
      </c>
      <c r="C342" s="140">
        <v>0.13420000000000001</v>
      </c>
      <c r="D342" s="63">
        <f t="shared" si="94"/>
        <v>0.10143079604845218</v>
      </c>
      <c r="E342" s="63">
        <f t="shared" si="95"/>
        <v>0.24924280887815464</v>
      </c>
      <c r="F342" s="64">
        <f t="shared" si="96"/>
        <v>1.8717823968471992E-2</v>
      </c>
    </row>
    <row r="343" spans="1:6" x14ac:dyDescent="0.25">
      <c r="A343" s="59">
        <v>213</v>
      </c>
      <c r="B343" s="59" t="s">
        <v>66</v>
      </c>
      <c r="C343" s="140">
        <v>0.1391</v>
      </c>
      <c r="D343" s="63">
        <f t="shared" si="94"/>
        <v>0.10143079604845218</v>
      </c>
      <c r="E343" s="63">
        <f t="shared" si="95"/>
        <v>0.2546398197787918</v>
      </c>
      <c r="F343" s="64">
        <f t="shared" si="96"/>
        <v>1.908385732654061E-2</v>
      </c>
    </row>
    <row r="344" spans="1:6" x14ac:dyDescent="0.25">
      <c r="A344" s="59">
        <v>214</v>
      </c>
      <c r="B344" s="59" t="s">
        <v>65</v>
      </c>
      <c r="C344" s="140">
        <v>0.1439</v>
      </c>
      <c r="D344" s="63">
        <f t="shared" si="94"/>
        <v>0.10143079604845218</v>
      </c>
      <c r="E344" s="63">
        <f t="shared" si="95"/>
        <v>0.25992668759982429</v>
      </c>
      <c r="F344" s="64">
        <f t="shared" si="96"/>
        <v>1.9441023837986071E-2</v>
      </c>
    </row>
    <row r="345" spans="1:6" x14ac:dyDescent="0.25">
      <c r="A345" s="59">
        <v>215</v>
      </c>
      <c r="B345" s="59" t="s">
        <v>64</v>
      </c>
      <c r="C345" s="140">
        <v>0.1331</v>
      </c>
      <c r="D345" s="63">
        <f t="shared" si="94"/>
        <v>0.10143079604845218</v>
      </c>
      <c r="E345" s="63">
        <f t="shared" si="95"/>
        <v>0.24803123500250113</v>
      </c>
      <c r="F345" s="64">
        <f t="shared" si="96"/>
        <v>1.8635454013739006E-2</v>
      </c>
    </row>
    <row r="346" spans="1:6" x14ac:dyDescent="0.25">
      <c r="A346" s="59">
        <v>216</v>
      </c>
      <c r="B346" s="59" t="s">
        <v>63</v>
      </c>
      <c r="C346" s="140">
        <v>0.12529999999999999</v>
      </c>
      <c r="D346" s="63">
        <f t="shared" si="94"/>
        <v>0.10143079604845218</v>
      </c>
      <c r="E346" s="63">
        <f t="shared" si="95"/>
        <v>0.23944007479332319</v>
      </c>
      <c r="F346" s="64">
        <f t="shared" si="96"/>
        <v>1.8049264545799248E-2</v>
      </c>
    </row>
    <row r="347" spans="1:6" x14ac:dyDescent="0.25">
      <c r="C347" s="46"/>
      <c r="D347" s="60"/>
      <c r="E347" s="60"/>
      <c r="F347" s="61"/>
    </row>
  </sheetData>
  <sortState xmlns:xlrd2="http://schemas.microsoft.com/office/spreadsheetml/2017/richdata2" ref="A14:B60">
    <sortCondition ref="A14:A60"/>
  </sortState>
  <mergeCells count="8">
    <mergeCell ref="A1:F1"/>
    <mergeCell ref="A111:F111"/>
    <mergeCell ref="T113:Y113"/>
    <mergeCell ref="H113:L113"/>
    <mergeCell ref="N113:R113"/>
    <mergeCell ref="F9:J9"/>
    <mergeCell ref="L9:P9"/>
    <mergeCell ref="R9:W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ENTREGA 1</vt:lpstr>
      <vt:lpstr>ENTREGA 2</vt:lpstr>
      <vt:lpstr>ENTREGA 3 (PARCIAL)</vt:lpstr>
      <vt:lpstr>ENTREGA 4</vt:lpstr>
      <vt:lpstr>ENTREGA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2023-06-09T20:34:11Z</dcterms:modified>
</cp:coreProperties>
</file>