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F:\III SEMESTRE- CONTADURÍA PÚBLICA\PROCESOS CONTABLES I\"/>
    </mc:Choice>
  </mc:AlternateContent>
  <xr:revisionPtr revIDLastSave="0" documentId="13_ncr:1_{C877417A-C546-443B-A9C5-AFD52304C729}" xr6:coauthVersionLast="47" xr6:coauthVersionMax="47" xr10:uidLastSave="{00000000-0000-0000-0000-000000000000}"/>
  <bookViews>
    <workbookView xWindow="-120" yWindow="-120" windowWidth="20730" windowHeight="11160" activeTab="6" xr2:uid="{00000000-000D-0000-FFFF-FFFF00000000}"/>
  </bookViews>
  <sheets>
    <sheet name="EJERCICIO 3" sheetId="3" r:id="rId1"/>
    <sheet name="TALLER COMPRAS" sheetId="4" r:id="rId2"/>
    <sheet name="MEDICIÓN Y COSTO DE INVENTARIO" sheetId="5" r:id="rId3"/>
    <sheet name="VENTAS" sheetId="6" r:id="rId4"/>
    <sheet name="DEVOLUCIONES VENTA" sheetId="7" r:id="rId5"/>
    <sheet name="MOVIMIENTOS CAJA" sheetId="8" r:id="rId6"/>
    <sheet name="MOVIMIENTOS DE CAJA PT" sheetId="10" r:id="rId7"/>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1" i="6" l="1"/>
  <c r="J26" i="10"/>
  <c r="I25" i="10"/>
  <c r="J22" i="10"/>
  <c r="F28" i="8"/>
  <c r="J10" i="10"/>
  <c r="I9" i="10"/>
  <c r="I6" i="10"/>
  <c r="J7" i="10"/>
  <c r="J4" i="10"/>
  <c r="D14" i="10"/>
  <c r="E13" i="10"/>
  <c r="E9" i="10"/>
  <c r="D10" i="10"/>
  <c r="D6" i="10"/>
  <c r="E7" i="10"/>
  <c r="D3" i="10"/>
  <c r="E4" i="10"/>
  <c r="F50" i="8"/>
  <c r="F46" i="8"/>
  <c r="F42" i="8"/>
  <c r="F38" i="8"/>
  <c r="F32" i="8"/>
  <c r="E31" i="8"/>
  <c r="E19" i="8"/>
  <c r="H21" i="8"/>
  <c r="E29" i="8"/>
  <c r="F30" i="8"/>
  <c r="F20" i="8"/>
  <c r="F18" i="8"/>
  <c r="K55" i="7"/>
  <c r="M51" i="7"/>
  <c r="E12" i="7"/>
  <c r="H64" i="7"/>
  <c r="I63" i="7"/>
  <c r="L50" i="7"/>
  <c r="E50" i="7"/>
  <c r="I60" i="7"/>
  <c r="H59" i="7"/>
  <c r="L56" i="7"/>
  <c r="K53" i="7"/>
  <c r="L51" i="7"/>
  <c r="K52" i="7"/>
  <c r="K54" i="7"/>
  <c r="L31" i="7"/>
  <c r="L32" i="7"/>
  <c r="K33" i="7"/>
  <c r="K34" i="7"/>
  <c r="K35" i="7"/>
  <c r="E31" i="7"/>
  <c r="E32" i="7"/>
  <c r="F33" i="7"/>
  <c r="F34" i="7"/>
  <c r="F35" i="7"/>
  <c r="I40" i="7"/>
  <c r="H41" i="7"/>
  <c r="F7" i="7"/>
  <c r="F8" i="7"/>
  <c r="E9" i="7"/>
  <c r="E10" i="7"/>
  <c r="E11" i="7"/>
  <c r="K7" i="7"/>
  <c r="K8" i="7"/>
  <c r="L9" i="7"/>
  <c r="L10" i="7"/>
  <c r="K11" i="7"/>
  <c r="H16" i="7"/>
  <c r="I17" i="7"/>
  <c r="H21" i="7"/>
  <c r="I20" i="7"/>
  <c r="L12" i="7"/>
  <c r="K13" i="7"/>
  <c r="F13" i="7"/>
  <c r="J6" i="5"/>
  <c r="L24" i="3"/>
  <c r="M19" i="3"/>
  <c r="M15" i="3"/>
  <c r="K38" i="5"/>
  <c r="R4" i="4"/>
  <c r="R11" i="4"/>
  <c r="D52" i="6"/>
  <c r="D53" i="6"/>
  <c r="E54" i="6"/>
  <c r="E55" i="6"/>
  <c r="E56" i="6"/>
  <c r="E42" i="6"/>
  <c r="D43" i="6"/>
  <c r="D44" i="6"/>
  <c r="D45" i="6"/>
  <c r="E30" i="6"/>
  <c r="E31" i="6"/>
  <c r="D32" i="6"/>
  <c r="D33" i="6"/>
  <c r="D34" i="6"/>
  <c r="E23" i="6"/>
  <c r="D22" i="6"/>
  <c r="E16" i="6"/>
  <c r="E17" i="6"/>
  <c r="D18" i="6"/>
  <c r="D19" i="6"/>
  <c r="D20" i="6"/>
  <c r="D5" i="6"/>
  <c r="E8" i="6"/>
  <c r="D6" i="6"/>
  <c r="E7" i="6"/>
  <c r="E9" i="6"/>
  <c r="K36" i="5"/>
  <c r="J30" i="5"/>
  <c r="J26" i="5"/>
  <c r="K21" i="5"/>
  <c r="J2" i="5"/>
  <c r="K2" i="5"/>
  <c r="R5" i="4"/>
  <c r="R7" i="4"/>
  <c r="R12" i="4"/>
  <c r="R15" i="4"/>
  <c r="E22" i="4"/>
  <c r="F12" i="4"/>
  <c r="P23" i="4"/>
  <c r="F24" i="4"/>
  <c r="F25" i="4"/>
  <c r="E23" i="4"/>
  <c r="F26" i="4"/>
  <c r="F27" i="4"/>
  <c r="E5" i="4"/>
  <c r="E6" i="4"/>
  <c r="F7" i="4"/>
  <c r="F8" i="4"/>
  <c r="F9" i="4"/>
  <c r="F10" i="4"/>
  <c r="F13" i="4"/>
  <c r="E14" i="4"/>
  <c r="E15" i="4"/>
  <c r="E16" i="4"/>
  <c r="E17" i="4"/>
  <c r="F19" i="4"/>
  <c r="E30" i="4"/>
  <c r="F32" i="4"/>
  <c r="F33" i="4"/>
  <c r="E31" i="4"/>
  <c r="F34" i="4"/>
  <c r="E36" i="4"/>
  <c r="F37" i="4"/>
  <c r="F39" i="4"/>
  <c r="E40" i="4"/>
  <c r="F42" i="4"/>
  <c r="E45" i="4"/>
  <c r="F47" i="4"/>
  <c r="E46" i="4"/>
  <c r="F48" i="4"/>
  <c r="F50" i="4"/>
  <c r="F51" i="4"/>
  <c r="E52" i="4"/>
  <c r="E53" i="4"/>
  <c r="F55" i="4"/>
  <c r="F59" i="4"/>
  <c r="E28" i="4"/>
  <c r="E20" i="4"/>
  <c r="E43" i="4"/>
  <c r="E57" i="4"/>
  <c r="E59" i="4"/>
  <c r="O14" i="4"/>
  <c r="P15" i="4"/>
  <c r="P16" i="4"/>
  <c r="P17" i="4"/>
  <c r="P19" i="4"/>
  <c r="O20" i="4"/>
  <c r="P11" i="4"/>
  <c r="O6" i="4"/>
  <c r="P7" i="4"/>
  <c r="P8" i="4"/>
  <c r="F6" i="3"/>
  <c r="M69" i="3"/>
  <c r="L69" i="3"/>
  <c r="L68" i="3"/>
  <c r="M67" i="3"/>
  <c r="L66" i="3"/>
  <c r="L65" i="3"/>
  <c r="L64" i="3"/>
  <c r="L63" i="3"/>
  <c r="M62" i="3"/>
  <c r="M60" i="3"/>
  <c r="M59" i="3"/>
  <c r="M58" i="3"/>
  <c r="M57" i="3"/>
  <c r="L56" i="3"/>
  <c r="M53" i="3"/>
  <c r="M52" i="3"/>
  <c r="L51" i="3"/>
  <c r="M54" i="3"/>
  <c r="L50" i="3"/>
  <c r="M49" i="3"/>
  <c r="L48" i="3"/>
  <c r="L47" i="3"/>
  <c r="L46" i="3"/>
  <c r="M45" i="3"/>
  <c r="M44" i="3"/>
  <c r="M42" i="3"/>
  <c r="M41" i="3"/>
  <c r="L40" i="3"/>
  <c r="L39" i="3"/>
  <c r="M43" i="3"/>
  <c r="M37" i="3"/>
  <c r="M36" i="3"/>
  <c r="L35" i="3"/>
  <c r="M38" i="3"/>
  <c r="L34" i="3"/>
  <c r="M33" i="3"/>
  <c r="L32" i="3"/>
  <c r="L31" i="3"/>
  <c r="M30" i="3"/>
  <c r="M29" i="3"/>
  <c r="M28" i="3"/>
  <c r="M27" i="3"/>
  <c r="L26" i="3"/>
  <c r="L25" i="3"/>
  <c r="L23" i="3"/>
  <c r="L22" i="3"/>
  <c r="L21" i="3"/>
  <c r="M20" i="3"/>
  <c r="M16" i="3"/>
  <c r="L14" i="3"/>
  <c r="M13" i="3"/>
  <c r="L12" i="3"/>
  <c r="M17" i="3"/>
  <c r="L4" i="3"/>
  <c r="L5" i="3"/>
  <c r="M6" i="3"/>
  <c r="M7" i="3"/>
  <c r="M8" i="3"/>
  <c r="M10" i="3"/>
  <c r="L11" i="3"/>
  <c r="E47" i="3"/>
  <c r="E48" i="3"/>
  <c r="F49" i="3"/>
  <c r="F50" i="3"/>
  <c r="F51" i="3"/>
  <c r="E52" i="3"/>
  <c r="B46" i="3"/>
  <c r="F35" i="3"/>
  <c r="F36" i="3"/>
  <c r="E37" i="3"/>
  <c r="E38" i="3"/>
  <c r="E39" i="3"/>
  <c r="E40" i="3"/>
  <c r="E28" i="3"/>
  <c r="F29" i="3"/>
  <c r="F30" i="3"/>
  <c r="F31" i="3"/>
  <c r="E13" i="3"/>
  <c r="E15" i="3"/>
  <c r="F14" i="3"/>
  <c r="F16" i="3"/>
  <c r="F17" i="3"/>
  <c r="F18" i="3"/>
  <c r="F20" i="3"/>
  <c r="E22" i="3"/>
  <c r="E4" i="3"/>
  <c r="F5" i="3"/>
  <c r="F7" i="3"/>
  <c r="F9" i="3"/>
  <c r="E11" i="3"/>
  <c r="E51" i="7"/>
  <c r="F52" i="7"/>
  <c r="F53" i="7"/>
  <c r="F5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B4" authorId="0" shapeId="0" xr:uid="{893E7972-5743-4EC5-8778-16F17C076121}">
      <text>
        <r>
          <rPr>
            <b/>
            <sz val="9"/>
            <color indexed="81"/>
            <rFont val="Tahoma"/>
            <family val="2"/>
          </rPr>
          <t xml:space="preserve">Un comprador Gran Contribuyente Autoretenedor le compra a un vendedor con Regimen No Responsable de IVA
</t>
        </r>
      </text>
    </comment>
    <comment ref="I4" authorId="0" shapeId="0" xr:uid="{25C073AD-2A6F-4694-A866-5D14DCCE7F9C}">
      <text>
        <r>
          <rPr>
            <b/>
            <sz val="9"/>
            <color indexed="81"/>
            <rFont val="Tahoma"/>
            <family val="2"/>
          </rPr>
          <t xml:space="preserve">Un comprador Gran Contribuyente Autoretenedor le compra a un vendedor con Regimen No Responsable de IVA
</t>
        </r>
      </text>
    </comment>
    <comment ref="D6" authorId="0" shapeId="0" xr:uid="{2229F3DF-ADFC-49C9-84E4-CD5B0C656EFD}">
      <text>
        <r>
          <rPr>
            <b/>
            <sz val="9"/>
            <color indexed="81"/>
            <rFont val="Tahoma"/>
            <family val="2"/>
          </rPr>
          <t>Se aplica el 2x1.000, es decir, se multiplica la cifra por 2 y se divide por 1.000</t>
        </r>
      </text>
    </comment>
    <comment ref="K7" authorId="0" shapeId="0" xr:uid="{5DCF4FC6-852E-45A2-9CCE-9E393AF69E74}">
      <text>
        <r>
          <rPr>
            <b/>
            <sz val="9"/>
            <color indexed="81"/>
            <rFont val="Tahoma"/>
            <family val="2"/>
          </rPr>
          <t>Se aplica el 2x1.000, es decir, se multiplica la cifra por 2 y se divide por 1.000</t>
        </r>
      </text>
    </comment>
    <comment ref="I12" authorId="0" shapeId="0" xr:uid="{38E41FA1-5168-48EA-B8D6-0881E68CE1DA}">
      <text>
        <r>
          <rPr>
            <b/>
            <sz val="9"/>
            <color indexed="81"/>
            <rFont val="Tahoma"/>
            <family val="2"/>
          </rPr>
          <t>Un comprador Gran Contribuyente Autoretenedor le compra a un vendedor con Regimen Responsable de IVA</t>
        </r>
        <r>
          <rPr>
            <sz val="9"/>
            <color indexed="81"/>
            <rFont val="Tahoma"/>
            <family val="2"/>
          </rPr>
          <t xml:space="preserve">
</t>
        </r>
      </text>
    </comment>
    <comment ref="B13" authorId="0" shapeId="0" xr:uid="{04FD92D6-5CDF-4CB8-9E6E-76044BCFE796}">
      <text>
        <r>
          <rPr>
            <b/>
            <sz val="9"/>
            <color indexed="81"/>
            <rFont val="Tahoma"/>
            <family val="2"/>
          </rPr>
          <t>Un comprador Gran Contribuyente Autoretenedor le compra a un vendedor con Regimen Responsable de IVA</t>
        </r>
        <r>
          <rPr>
            <sz val="9"/>
            <color indexed="81"/>
            <rFont val="Tahoma"/>
            <family val="2"/>
          </rPr>
          <t xml:space="preserve">
</t>
        </r>
      </text>
    </comment>
    <comment ref="K16" authorId="0" shapeId="0" xr:uid="{2EABDED7-E73B-4C90-A508-BF2B3166C417}">
      <text>
        <r>
          <rPr>
            <b/>
            <sz val="9"/>
            <color indexed="81"/>
            <rFont val="Tahoma"/>
            <family val="2"/>
          </rPr>
          <t>Se aplica el 2x1.000, es decir, se multiplica la cifra por 2 y se divide por 1.000</t>
        </r>
      </text>
    </comment>
    <comment ref="D17" authorId="0" shapeId="0" xr:uid="{39D991C9-2AC2-403A-B1B3-013A8403F781}">
      <text>
        <r>
          <rPr>
            <b/>
            <sz val="9"/>
            <color indexed="81"/>
            <rFont val="Tahoma"/>
            <family val="2"/>
          </rPr>
          <t>Se aplica el 2x1.000, es decir, se multiplica la cifra por 2 y se divide por 1.000</t>
        </r>
      </text>
    </comment>
    <comment ref="K21" authorId="0" shapeId="0" xr:uid="{D8AEF9A0-79FC-4860-AC2A-81EC21E4CBD1}">
      <text>
        <r>
          <rPr>
            <b/>
            <sz val="9"/>
            <color indexed="81"/>
            <rFont val="Tahoma"/>
            <family val="2"/>
          </rPr>
          <t>Se aplica el 2x1.000, es decir, se multiplica la cifra por 2 y se divide por 1.000</t>
        </r>
      </text>
    </comment>
    <comment ref="K23" authorId="0" shapeId="0" xr:uid="{929C786A-A49C-4039-A6EB-C55FFC8B4363}">
      <text>
        <r>
          <rPr>
            <b/>
            <sz val="9"/>
            <color indexed="81"/>
            <rFont val="Tahoma"/>
            <family val="2"/>
          </rPr>
          <t>Se aplica el 2x1.000, es decir, se multiplica la cifra por 2 y se divide por 1.000</t>
        </r>
      </text>
    </comment>
    <comment ref="B24" authorId="0" shapeId="0" xr:uid="{D840017F-4D1F-425D-866C-A7F58DFD6D4E}">
      <text>
        <r>
          <rPr>
            <sz val="9"/>
            <color indexed="81"/>
            <rFont val="Tahoma"/>
            <family val="2"/>
          </rPr>
          <t xml:space="preserve">Debemos tener en cuenta que en la tabla matríz no se calcula el IVA pero todos tienen menos en los casos donde NO son responsables de IVA
</t>
        </r>
      </text>
    </comment>
    <comment ref="B27" authorId="0" shapeId="0" xr:uid="{AD8B2455-945D-463A-8644-D37CD52BD333}">
      <text>
        <r>
          <rPr>
            <b/>
            <sz val="9"/>
            <color indexed="81"/>
            <rFont val="Tahoma"/>
            <family val="2"/>
          </rPr>
          <t xml:space="preserve">Un comprador Gran Contribuyente Autoretenedor le compra a un vendedor con Regimen No Responsable de IVA
</t>
        </r>
      </text>
    </comment>
    <comment ref="K27" authorId="0" shapeId="0" xr:uid="{B8A5E23C-65C7-486A-AA40-6DA0432BBABC}">
      <text>
        <r>
          <rPr>
            <b/>
            <sz val="9"/>
            <color indexed="81"/>
            <rFont val="Tahoma"/>
            <family val="2"/>
          </rPr>
          <t>Se aplica el 2x1.000, es decir, se multiplica la cifra por 2 y se divide por 1.000</t>
        </r>
      </text>
    </comment>
    <comment ref="D30" authorId="0" shapeId="0" xr:uid="{8D094D11-F1DB-4D67-BD28-3AA3739C268E}">
      <text>
        <r>
          <rPr>
            <b/>
            <sz val="9"/>
            <color indexed="81"/>
            <rFont val="Tahoma"/>
            <family val="2"/>
          </rPr>
          <t>Se aplica el 2x1.000, es decir, se multiplica la cifra por 2 y se divide por 1.000</t>
        </r>
      </text>
    </comment>
    <comment ref="K31" authorId="0" shapeId="0" xr:uid="{BC14A642-BA27-4267-81C1-2E98C85E94AD}">
      <text>
        <r>
          <rPr>
            <b/>
            <sz val="9"/>
            <color indexed="81"/>
            <rFont val="Tahoma"/>
            <family val="2"/>
          </rPr>
          <t>Se aplica el 2x1.000, es decir, se multiplica la cifra por 2 y se divide por 1.000</t>
        </r>
      </text>
    </comment>
    <comment ref="B34" authorId="0" shapeId="0" xr:uid="{2CD69F7C-DF2D-4BF8-8676-8AF24CAA032C}">
      <text>
        <r>
          <rPr>
            <b/>
            <sz val="9"/>
            <color indexed="81"/>
            <rFont val="Tahoma"/>
            <family val="2"/>
          </rPr>
          <t xml:space="preserve">Aquí se devuelven 2 neveras de las compradas al principio. </t>
        </r>
        <r>
          <rPr>
            <sz val="9"/>
            <color indexed="81"/>
            <rFont val="Tahoma"/>
            <family val="2"/>
          </rPr>
          <t xml:space="preserve">
En las devoluciones se utilizan las mismas cuentas de las compras, solo que a la hora de hacer la devolución se cambian los movimientos hacia el lado contrario.
En las devoluciones siempre se debe poner un comentario para especificar el por qué de la devolución. 
Si no le hemos pagado al proveedor se saca la diferencia entre el total de lo comprado y el total de las devoluciones. </t>
        </r>
      </text>
    </comment>
    <comment ref="D37" authorId="0" shapeId="0" xr:uid="{A60DEA97-A11E-488E-A944-7821243543F9}">
      <text>
        <r>
          <rPr>
            <b/>
            <sz val="9"/>
            <color indexed="81"/>
            <rFont val="Tahoma"/>
            <family val="2"/>
          </rPr>
          <t>Se aplica el 2x1.000, es decir, se multiplica la cifra por 2 y se divide por 1.000</t>
        </r>
      </text>
    </comment>
    <comment ref="K37" authorId="0" shapeId="0" xr:uid="{7B4FFCD8-44D3-4A69-ABB9-4CF26654B79D}">
      <text>
        <r>
          <rPr>
            <b/>
            <sz val="9"/>
            <color indexed="81"/>
            <rFont val="Tahoma"/>
            <family val="2"/>
          </rPr>
          <t>Se aplica el 2x1.000, es decir, se multiplica la cifra por 2 y se divide por 1.000</t>
        </r>
      </text>
    </comment>
    <comment ref="D39" authorId="0" shapeId="0" xr:uid="{F7BC7D95-A83B-40D5-9CAD-6C0564C6C559}">
      <text>
        <r>
          <rPr>
            <b/>
            <sz val="9"/>
            <color indexed="81"/>
            <rFont val="Tahoma"/>
            <family val="2"/>
          </rPr>
          <t>Se aplica el 2x1.000, es decir, se multiplica la cifra por 2 y se divide por 1.000</t>
        </r>
      </text>
    </comment>
    <comment ref="K42" authorId="0" shapeId="0" xr:uid="{E05A2D52-6AA4-45B5-B24B-AB6CFB154BC3}">
      <text>
        <r>
          <rPr>
            <b/>
            <sz val="9"/>
            <color indexed="81"/>
            <rFont val="Tahoma"/>
            <family val="2"/>
          </rPr>
          <t>Se aplica el 2x1.000, es decir, se multiplica la cifra por 2 y se divide por 1.000</t>
        </r>
      </text>
    </comment>
    <comment ref="K47" authorId="0" shapeId="0" xr:uid="{AC221135-5CAE-4126-8BC3-F8373CC8B990}">
      <text>
        <r>
          <rPr>
            <b/>
            <sz val="9"/>
            <color indexed="81"/>
            <rFont val="Tahoma"/>
            <family val="2"/>
          </rPr>
          <t>Se aplica el 2x1.000, es decir, se multiplica la cifra por 2 y se divide por 1.000</t>
        </r>
      </text>
    </comment>
    <comment ref="D50" authorId="0" shapeId="0" xr:uid="{FA7E4D70-D752-4257-953E-E104FC92882F}">
      <text>
        <r>
          <rPr>
            <b/>
            <sz val="9"/>
            <color indexed="81"/>
            <rFont val="Tahoma"/>
            <family val="2"/>
          </rPr>
          <t>Se aplica el 2x1.000, es decir, se multiplica la cifra por 2 y se divide por 1.000</t>
        </r>
      </text>
    </comment>
    <comment ref="K53" authorId="0" shapeId="0" xr:uid="{12A228B5-F8E5-4D50-86CA-8C8ADB70B554}">
      <text>
        <r>
          <rPr>
            <b/>
            <sz val="9"/>
            <color indexed="81"/>
            <rFont val="Tahoma"/>
            <family val="2"/>
          </rPr>
          <t>Se aplica el 2x1.000, es decir, se multiplica la cifra por 2 y se divide por 1.000</t>
        </r>
      </text>
    </comment>
    <comment ref="K57" authorId="0" shapeId="0" xr:uid="{61AD4C29-E33D-4887-8133-BDB1D2902787}">
      <text>
        <r>
          <rPr>
            <b/>
            <sz val="9"/>
            <color indexed="81"/>
            <rFont val="Tahoma"/>
            <family val="2"/>
          </rPr>
          <t>Se aplica el 2x1.000, es decir, se multiplica la cifra por 2 y se divide por 1.000</t>
        </r>
      </text>
    </comment>
    <comment ref="K59" authorId="0" shapeId="0" xr:uid="{FD7F8DAB-6A2B-49C6-AA6D-BE4A1ECD58A4}">
      <text>
        <r>
          <rPr>
            <b/>
            <sz val="9"/>
            <color indexed="81"/>
            <rFont val="Tahoma"/>
            <family val="2"/>
          </rPr>
          <t>Se aplica el 2x1.000, es decir, se multiplica la cifra por 2 y se divide por 1.000</t>
        </r>
      </text>
    </comment>
    <comment ref="K63" authorId="0" shapeId="0" xr:uid="{E5B57CE8-0B93-4B44-BDE8-6687A56BC337}">
      <text>
        <r>
          <rPr>
            <b/>
            <sz val="9"/>
            <color indexed="81"/>
            <rFont val="Tahoma"/>
            <family val="2"/>
          </rPr>
          <t>Se aplica el 2x1.000, es decir, se multiplica la cifra por 2 y se divide por 1.000</t>
        </r>
      </text>
    </comment>
    <comment ref="K65" authorId="0" shapeId="0" xr:uid="{016C33F8-1C13-4185-826B-733789E18609}">
      <text>
        <r>
          <rPr>
            <b/>
            <sz val="9"/>
            <color indexed="81"/>
            <rFont val="Tahoma"/>
            <family val="2"/>
          </rPr>
          <t>Se aplica el 2x1.000, es decir, se multiplica la cifra por 2 y se divide por 1.000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F19" authorId="0" shapeId="0" xr:uid="{EEE267DF-0B3C-493D-9DF4-4859B44112B8}">
      <text>
        <r>
          <rPr>
            <b/>
            <sz val="9"/>
            <color indexed="81"/>
            <rFont val="Tahoma"/>
            <family val="2"/>
          </rPr>
          <t>Ahora vamos a suponer que la empresa tiene control interno y vamos a pasar la plata de caja a bancos</t>
        </r>
      </text>
    </comment>
    <comment ref="J55" authorId="0" shapeId="0" xr:uid="{E186DBA8-4D21-491A-B559-19C43C21F175}">
      <text>
        <r>
          <rPr>
            <b/>
            <sz val="9"/>
            <color indexed="81"/>
            <rFont val="Tahoma"/>
            <family val="2"/>
          </rPr>
          <t xml:space="preserve">Cuando al comprar algo me hacen un descuento al momento de vender ese descuente también se debe reflejar. Aquí se tomó el valor de las mercancias compradas con todo y descuento y se dividió entre las unidades compradas para saber el costo unitario. Luego se toma eso y se multiplica por las unidades vendidas.  
</t>
        </r>
        <r>
          <rPr>
            <sz val="9"/>
            <color indexed="81"/>
            <rFont val="Tahoma"/>
            <family val="2"/>
          </rPr>
          <t xml:space="preserve">
</t>
        </r>
      </text>
    </comment>
  </commentList>
</comments>
</file>

<file path=xl/sharedStrings.xml><?xml version="1.0" encoding="utf-8"?>
<sst xmlns="http://schemas.openxmlformats.org/spreadsheetml/2006/main" count="434" uniqueCount="155">
  <si>
    <t>COMPRAS</t>
  </si>
  <si>
    <t>IVA 19%</t>
  </si>
  <si>
    <t>PROVEEDORES</t>
  </si>
  <si>
    <t>CLIENTES</t>
  </si>
  <si>
    <t>DEBE</t>
  </si>
  <si>
    <t>FECHA</t>
  </si>
  <si>
    <t>CUENTA</t>
  </si>
  <si>
    <t xml:space="preserve">HABER </t>
  </si>
  <si>
    <t>CÓDIGO</t>
  </si>
  <si>
    <t xml:space="preserve">REGISTRO CONTABLE </t>
  </si>
  <si>
    <t>(-) COSTO DE VENTAS</t>
  </si>
  <si>
    <t>(+) Inventario inicial</t>
  </si>
  <si>
    <t>(+) Compras del periodo</t>
  </si>
  <si>
    <t>(-) Inventario final</t>
  </si>
  <si>
    <t>(=) Mercancía disponible</t>
  </si>
  <si>
    <t>(=) Costo de ventas</t>
  </si>
  <si>
    <t>MERCANCÍAS</t>
  </si>
  <si>
    <t>RET. FUENTE</t>
  </si>
  <si>
    <t>RET. ICA</t>
  </si>
  <si>
    <t xml:space="preserve">PROVEEDORES </t>
  </si>
  <si>
    <t>Nacionales</t>
  </si>
  <si>
    <t>BANCOS</t>
  </si>
  <si>
    <t>Bancolombia</t>
  </si>
  <si>
    <t>1.1</t>
  </si>
  <si>
    <t>2.1</t>
  </si>
  <si>
    <t>RET.IVA (15%)</t>
  </si>
  <si>
    <t>IVA (19%)</t>
  </si>
  <si>
    <t xml:space="preserve">Gran Contribuyente a Gran Contribuyente compra mercancia por 5000000 para pagar en 30 días. </t>
  </si>
  <si>
    <t xml:space="preserve">DEVOLUCIONES EN COMPRA </t>
  </si>
  <si>
    <t>RET. IVA (15%)</t>
  </si>
  <si>
    <t>RET. FUENTE (2,5%)</t>
  </si>
  <si>
    <t>DESCUENTO EN COMPRAS</t>
  </si>
  <si>
    <t xml:space="preserve">La empresa compra mercancía por 2000000, el proveedor le otorga un descuento del 10% por pago de contado.  </t>
  </si>
  <si>
    <t xml:space="preserve">BANCOS </t>
  </si>
  <si>
    <t xml:space="preserve">Hay que tener en cuenta que el COMPRAS los PROVEEDORES se ponen en el DEBE porque nosotros le estamos comprando a ellos, no le estamos debiendo </t>
  </si>
  <si>
    <t>TOTAL</t>
  </si>
  <si>
    <t>EMPRESA XY</t>
  </si>
  <si>
    <t>4.1</t>
  </si>
  <si>
    <t>SISTEMA PERMANENTE</t>
  </si>
  <si>
    <t>SISTEMA PERIODICO</t>
  </si>
  <si>
    <t>ESTADO DE RESULTADO</t>
  </si>
  <si>
    <t>Ventas</t>
  </si>
  <si>
    <t>(-) Costo de ventas</t>
  </si>
  <si>
    <t>(=) Utilidad bruta</t>
  </si>
  <si>
    <t>(-) Gastos opera. por ventas</t>
  </si>
  <si>
    <t>(-) Gastos opera. administrativos</t>
  </si>
  <si>
    <t>Ganancias netas</t>
  </si>
  <si>
    <t>Precio de compra</t>
  </si>
  <si>
    <t>Costos de envío</t>
  </si>
  <si>
    <t>Derechos de importación</t>
  </si>
  <si>
    <t>Transporte a la bodega</t>
  </si>
  <si>
    <t xml:space="preserve">El transporte al cliente no se pone en el costo de adquisición y el IVA recuperable tampoco </t>
  </si>
  <si>
    <t>Aranceles 3%</t>
  </si>
  <si>
    <t>Cuando el IVA viene incluido lo que tenemos que dividir entre 1.19 y ese resultado lo restamos con el precio total de la compra</t>
  </si>
  <si>
    <t>Total costo de inventarios</t>
  </si>
  <si>
    <t>Aranceles</t>
  </si>
  <si>
    <t>Transporte</t>
  </si>
  <si>
    <t>Cargue y desargue</t>
  </si>
  <si>
    <t>Total costo de investarios</t>
  </si>
  <si>
    <t>Total de costo de inventarios</t>
  </si>
  <si>
    <t xml:space="preserve">Un responsable de Iva le compra a un responsable de Iva 200 unid de camisas a 18.000 para pagar en 30 días. </t>
  </si>
  <si>
    <t>VENTA</t>
  </si>
  <si>
    <t>Vende 100 unid. a 30.000 a Responsable de Iva</t>
  </si>
  <si>
    <t>En compras y ventas los códigos son diferentes, tener en cuenta estos códigos de aquí.</t>
  </si>
  <si>
    <t xml:space="preserve">CLIENTES </t>
  </si>
  <si>
    <t>COSTO DE VENTAS</t>
  </si>
  <si>
    <t>En el costo de ventas se tomó el valor unitario inicial por las unidades vendidas</t>
  </si>
  <si>
    <t xml:space="preserve">Responsable de IVA le vende a Gran Contribuyente 50 unidades a 40.000 </t>
  </si>
  <si>
    <t xml:space="preserve">Responsable de IVA le vende a Responsable de IVA  40 unidades a 42.000 </t>
  </si>
  <si>
    <t xml:space="preserve">Responsable de IVA le compra a Gran Contribuyente 80 unidades a 35.000 </t>
  </si>
  <si>
    <t>Responsable de Iva vende a Responsable de Iva 50 unidades de celulares a 2.900.000. Costo de ventas 60% de la venta</t>
  </si>
  <si>
    <t>COSTO DE VENTA</t>
  </si>
  <si>
    <t>DEVOLUCIÓN EN VENTAS</t>
  </si>
  <si>
    <t>DEVOLUCIONES EN VENTA</t>
  </si>
  <si>
    <t>PAGO DE FACTURA</t>
  </si>
  <si>
    <t>CAJA</t>
  </si>
  <si>
    <t>DE CAJA A BANCOS</t>
  </si>
  <si>
    <t xml:space="preserve">La empresa XY responsable de Iva compra 80 unidades de lavadoras a 1.900.000 a Responsable de Iva para pagar a 30 días. </t>
  </si>
  <si>
    <t xml:space="preserve">De la compra anterior devuelve 6 unidades </t>
  </si>
  <si>
    <t>Paga al proveedor con cheque</t>
  </si>
  <si>
    <t>Gran contribuyente compra a Gran contribuyente 40 unidades de ventiladores a 450.0000 la unidad. Aplica el 10% de descuento por pago de contado</t>
  </si>
  <si>
    <t>De la compra anterior vende 15 ventiladores a 700000 la unidad para pagar en 30 días</t>
  </si>
  <si>
    <t>Vencido el plazo el cliente cancela la factura. Paga en cheque.</t>
  </si>
  <si>
    <t>COMPRA</t>
  </si>
  <si>
    <t>DEVOLUCIONES EN COMPRA</t>
  </si>
  <si>
    <t>TRASLADO A BANCOS</t>
  </si>
  <si>
    <t>TESORERÍA</t>
  </si>
  <si>
    <t xml:space="preserve">La empresa XY efectua las siguientes transacciones: </t>
  </si>
  <si>
    <t xml:space="preserve">1. El gerente autoriza constitución del fondo de caja menor por 400.000. Gira cheque. </t>
  </si>
  <si>
    <t xml:space="preserve">2. Transcurridos 15 días autoriza un incremento de la caja menor en un 20%. </t>
  </si>
  <si>
    <t>3. Agotado del 80% del fondo, el encargado presenta recibos para el reembolso de la siguiente manera.</t>
  </si>
  <si>
    <t>Papelería: 60.000</t>
  </si>
  <si>
    <t>Utiles de aseo: 80.000</t>
  </si>
  <si>
    <t>Transporte público: 70.000</t>
  </si>
  <si>
    <t>Peajes: 30.000</t>
  </si>
  <si>
    <t>Acarreos</t>
  </si>
  <si>
    <t>Acarreos: 40.000</t>
  </si>
  <si>
    <t>Mensajería: 50.000</t>
  </si>
  <si>
    <t xml:space="preserve">Registros contables </t>
  </si>
  <si>
    <t>Fecha</t>
  </si>
  <si>
    <t>Código</t>
  </si>
  <si>
    <t>Debe</t>
  </si>
  <si>
    <t>Cuenta</t>
  </si>
  <si>
    <t>Haber</t>
  </si>
  <si>
    <t>Bancos</t>
  </si>
  <si>
    <t>Caja</t>
  </si>
  <si>
    <t>Papelería</t>
  </si>
  <si>
    <t>Utiles de aseo</t>
  </si>
  <si>
    <t>Transporte público</t>
  </si>
  <si>
    <t>Peajes</t>
  </si>
  <si>
    <t>Mensajería</t>
  </si>
  <si>
    <t>Caja menor</t>
  </si>
  <si>
    <t>Gastos operativos</t>
  </si>
  <si>
    <t>Caja general</t>
  </si>
  <si>
    <t>Cuenta por pagar</t>
  </si>
  <si>
    <t>Cuentas por pagar</t>
  </si>
  <si>
    <t>Lo que debe estar en efectivo en caja menor</t>
  </si>
  <si>
    <t xml:space="preserve">Por ningún motivo cuando se disminuye reembolso se mueve la cuenta de caja menor porque se descuadra </t>
  </si>
  <si>
    <t>3.1</t>
  </si>
  <si>
    <t>4. La empresa disminuye el fondo de caja menor en un 30%</t>
  </si>
  <si>
    <t>Ejercicio de caja menor</t>
  </si>
  <si>
    <t>Ejercicio de caja general</t>
  </si>
  <si>
    <t>Cuentas por cobrar (Responsabilidades)</t>
  </si>
  <si>
    <t>2. Hay un faltante menor en caja de 10.000</t>
  </si>
  <si>
    <t>1. Hay un faltante mayor en caja  de 100.000</t>
  </si>
  <si>
    <t>Diversos (Responsabilidades)</t>
  </si>
  <si>
    <t>3. Hay un sobrante menor en caja de 10.000</t>
  </si>
  <si>
    <t>Diversos (Sobrantes de caja)</t>
  </si>
  <si>
    <t>4. Hay un sobrante mayor en caja de 80.000</t>
  </si>
  <si>
    <t>Acreedores varios</t>
  </si>
  <si>
    <t>Códigos</t>
  </si>
  <si>
    <t>Cuentas</t>
  </si>
  <si>
    <t>Débitos</t>
  </si>
  <si>
    <t>Créditos</t>
  </si>
  <si>
    <t>Diversos</t>
  </si>
  <si>
    <t>Caja General</t>
  </si>
  <si>
    <t xml:space="preserve">Cuentas por cobrar a trabajadores </t>
  </si>
  <si>
    <t>Registra faltante mayor en caja según arqueo de la auditoría interna</t>
  </si>
  <si>
    <t>Acreedores varios: Otros</t>
  </si>
  <si>
    <t>Registra sobrante mayor en caja según arqueo de la auditoría interna</t>
  </si>
  <si>
    <t>Sobrantes de Caja</t>
  </si>
  <si>
    <t>Registra sobrante menor en caja según arqueo de la auditoría interna</t>
  </si>
  <si>
    <t>Caja Menor</t>
  </si>
  <si>
    <t>Registra constitución de caja menor</t>
  </si>
  <si>
    <t>Registra aumento de caja menor en 30%</t>
  </si>
  <si>
    <t>Registra disminución de caja menor en 10%</t>
  </si>
  <si>
    <t xml:space="preserve">Servicios </t>
  </si>
  <si>
    <t xml:space="preserve">Correo, porte y telegramas </t>
  </si>
  <si>
    <t>Transporte, fletes y acarreos</t>
  </si>
  <si>
    <t>Pasajes terrestres</t>
  </si>
  <si>
    <t>Útiels, papelería y fotocopias</t>
  </si>
  <si>
    <t>Elementos de aseo y cafetería</t>
  </si>
  <si>
    <t xml:space="preserve">Costos y gastos por pagar </t>
  </si>
  <si>
    <t xml:space="preserve">Registra nota de contabilidad para reembolso de caja menor </t>
  </si>
  <si>
    <t xml:space="preserve">Registra emisión de cheque para reembolso de caja menor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</si>
</sst>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 #,##0;[Red]\-&quot;$&quot;\ #,##0"/>
    <numFmt numFmtId="44" formatCode="_-&quot;$&quot;\ * #,##0.00_-;\-&quot;$&quot;\ * #,##0.00_-;_-&quot;$&quot;\ * &quot;-&quot;??_-;_-@_-"/>
    <numFmt numFmtId="164" formatCode="&quot;$&quot;\ #,##0"/>
    <numFmt numFmtId="165" formatCode="_-&quot;$&quot;\ * #,##0_-;\-&quot;$&quot;\ * #,##0_-;_-&quot;$&quot;\ * &quot;-&quot;??_-;_-@_-"/>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theme="5"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4" fillId="0" borderId="0" applyFont="0" applyFill="0" applyBorder="0" applyAlignment="0" applyProtection="0"/>
  </cellStyleXfs>
  <cellXfs count="66">
    <xf numFmtId="0" fontId="0" fillId="0" borderId="0" xfId="0"/>
    <xf numFmtId="0" fontId="0" fillId="0" borderId="1" xfId="0" applyBorder="1" applyAlignment="1">
      <alignment horizontal="center" vertical="center"/>
    </xf>
    <xf numFmtId="0" fontId="0" fillId="0" borderId="1" xfId="0" applyBorder="1"/>
    <xf numFmtId="164" fontId="0" fillId="0" borderId="1" xfId="0" applyNumberFormat="1" applyBorder="1"/>
    <xf numFmtId="0" fontId="1" fillId="0" borderId="1" xfId="0" applyFont="1" applyBorder="1" applyAlignment="1">
      <alignment horizontal="center"/>
    </xf>
    <xf numFmtId="0" fontId="1" fillId="3" borderId="1" xfId="0" applyFont="1" applyFill="1" applyBorder="1" applyAlignment="1">
      <alignment horizontal="center"/>
    </xf>
    <xf numFmtId="0" fontId="0" fillId="0" borderId="1" xfId="0" applyBorder="1" applyAlignment="1">
      <alignment horizontal="left"/>
    </xf>
    <xf numFmtId="0" fontId="1" fillId="0" borderId="0" xfId="0" applyFont="1"/>
    <xf numFmtId="0" fontId="1" fillId="0" borderId="1" xfId="0" applyFont="1" applyBorder="1"/>
    <xf numFmtId="164" fontId="0" fillId="0" borderId="0" xfId="0" applyNumberFormat="1"/>
    <xf numFmtId="0" fontId="0" fillId="0" borderId="0" xfId="0" applyAlignment="1">
      <alignment vertical="center" wrapText="1"/>
    </xf>
    <xf numFmtId="0" fontId="0" fillId="0" borderId="1" xfId="0" applyBorder="1" applyAlignment="1">
      <alignment horizontal="left" vertical="top"/>
    </xf>
    <xf numFmtId="0" fontId="0" fillId="0" borderId="1" xfId="0" applyBorder="1" applyAlignment="1">
      <alignment horizontal="left" vertical="center"/>
    </xf>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165" fontId="0" fillId="0" borderId="1" xfId="0" applyNumberFormat="1" applyBorder="1"/>
    <xf numFmtId="0" fontId="0" fillId="0" borderId="0" xfId="0" applyAlignment="1">
      <alignment vertical="center"/>
    </xf>
    <xf numFmtId="0" fontId="0" fillId="0" borderId="0" xfId="0" applyAlignment="1">
      <alignment horizontal="left" vertical="top"/>
    </xf>
    <xf numFmtId="0" fontId="0" fillId="0" borderId="0" xfId="0" applyAlignment="1">
      <alignment horizontal="center" vertical="center"/>
    </xf>
    <xf numFmtId="164" fontId="0" fillId="0" borderId="0" xfId="0" applyNumberFormat="1" applyAlignment="1">
      <alignment horizontal="left" vertical="top"/>
    </xf>
    <xf numFmtId="0" fontId="0" fillId="0" borderId="0" xfId="0" applyAlignment="1">
      <alignment horizontal="center"/>
    </xf>
    <xf numFmtId="0" fontId="1" fillId="0" borderId="1" xfId="0" applyFont="1" applyBorder="1" applyAlignment="1">
      <alignment vertical="center" wrapText="1"/>
    </xf>
    <xf numFmtId="0" fontId="0" fillId="0" borderId="1" xfId="0" applyBorder="1" applyAlignment="1">
      <alignment vertical="center" wrapText="1"/>
    </xf>
    <xf numFmtId="6" fontId="0" fillId="0" borderId="1" xfId="0" applyNumberFormat="1" applyBorder="1" applyAlignment="1">
      <alignment vertical="center" wrapText="1"/>
    </xf>
    <xf numFmtId="0" fontId="0" fillId="0" borderId="1" xfId="0" applyBorder="1" applyAlignment="1">
      <alignment wrapText="1"/>
    </xf>
    <xf numFmtId="6" fontId="0" fillId="0" borderId="1" xfId="0" applyNumberFormat="1" applyBorder="1"/>
    <xf numFmtId="165" fontId="0" fillId="0" borderId="1" xfId="1" applyNumberFormat="1" applyFont="1" applyBorder="1"/>
    <xf numFmtId="0" fontId="0" fillId="0" borderId="1" xfId="0" applyBorder="1" applyAlignment="1">
      <alignment vertical="top"/>
    </xf>
    <xf numFmtId="0" fontId="0" fillId="0" borderId="1" xfId="0"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0" fillId="2" borderId="1" xfId="0" applyFill="1"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5" borderId="1" xfId="0" applyFont="1" applyFill="1" applyBorder="1"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6" borderId="1" xfId="0" applyFont="1" applyFill="1" applyBorder="1" applyAlignment="1">
      <alignment horizontal="center"/>
    </xf>
    <xf numFmtId="0" fontId="0" fillId="0" borderId="1" xfId="0" applyBorder="1" applyAlignment="1">
      <alignment horizontal="center" wrapText="1"/>
    </xf>
    <xf numFmtId="0" fontId="1" fillId="0" borderId="0" xfId="0" applyFont="1" applyAlignment="1">
      <alignment horizontal="center"/>
    </xf>
    <xf numFmtId="0" fontId="0" fillId="0" borderId="0" xfId="0" applyAlignment="1">
      <alignment horizontal="center"/>
    </xf>
    <xf numFmtId="0" fontId="1" fillId="0" borderId="8" xfId="0" applyFont="1"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154604</xdr:colOff>
      <xdr:row>0</xdr:row>
      <xdr:rowOff>76199</xdr:rowOff>
    </xdr:from>
    <xdr:to>
      <xdr:col>6</xdr:col>
      <xdr:colOff>627125</xdr:colOff>
      <xdr:row>16</xdr:row>
      <xdr:rowOff>94322</xdr:rowOff>
    </xdr:to>
    <xdr:pic>
      <xdr:nvPicPr>
        <xdr:cNvPr id="2" name="Imagen 1">
          <a:extLst>
            <a:ext uri="{FF2B5EF4-FFF2-40B4-BE49-F238E27FC236}">
              <a16:creationId xmlns:a16="http://schemas.microsoft.com/office/drawing/2014/main" id="{61D3C825-2C60-DC52-A102-30E552BA595E}"/>
            </a:ext>
          </a:extLst>
        </xdr:cNvPr>
        <xdr:cNvPicPr>
          <a:picLocks noChangeAspect="1"/>
        </xdr:cNvPicPr>
      </xdr:nvPicPr>
      <xdr:blipFill>
        <a:blip xmlns:r="http://schemas.openxmlformats.org/officeDocument/2006/relationships" r:embed="rId1"/>
        <a:stretch>
          <a:fillRect/>
        </a:stretch>
      </xdr:blipFill>
      <xdr:spPr>
        <a:xfrm>
          <a:off x="154604" y="76199"/>
          <a:ext cx="5044521" cy="3066123"/>
        </a:xfrm>
        <a:prstGeom prst="rect">
          <a:avLst/>
        </a:prstGeom>
      </xdr:spPr>
    </xdr:pic>
    <xdr:clientData/>
  </xdr:twoCellAnchor>
  <xdr:twoCellAnchor editAs="oneCell">
    <xdr:from>
      <xdr:col>0</xdr:col>
      <xdr:colOff>95249</xdr:colOff>
      <xdr:row>17</xdr:row>
      <xdr:rowOff>9525</xdr:rowOff>
    </xdr:from>
    <xdr:to>
      <xdr:col>8</xdr:col>
      <xdr:colOff>1197537</xdr:colOff>
      <xdr:row>24</xdr:row>
      <xdr:rowOff>9525</xdr:rowOff>
    </xdr:to>
    <xdr:pic>
      <xdr:nvPicPr>
        <xdr:cNvPr id="3" name="Imagen 2">
          <a:extLst>
            <a:ext uri="{FF2B5EF4-FFF2-40B4-BE49-F238E27FC236}">
              <a16:creationId xmlns:a16="http://schemas.microsoft.com/office/drawing/2014/main" id="{3C11BB26-98DA-12AD-668E-D930B5EA3C3C}"/>
            </a:ext>
          </a:extLst>
        </xdr:cNvPr>
        <xdr:cNvPicPr>
          <a:picLocks noChangeAspect="1"/>
        </xdr:cNvPicPr>
      </xdr:nvPicPr>
      <xdr:blipFill rotWithShape="1">
        <a:blip xmlns:r="http://schemas.openxmlformats.org/officeDocument/2006/relationships" r:embed="rId2"/>
        <a:srcRect l="21580" t="42284" r="28169" b="41159"/>
        <a:stretch/>
      </xdr:blipFill>
      <xdr:spPr>
        <a:xfrm>
          <a:off x="95249" y="3248025"/>
          <a:ext cx="7198288" cy="1333500"/>
        </a:xfrm>
        <a:prstGeom prst="rect">
          <a:avLst/>
        </a:prstGeom>
      </xdr:spPr>
    </xdr:pic>
    <xdr:clientData/>
  </xdr:twoCellAnchor>
  <xdr:twoCellAnchor editAs="oneCell">
    <xdr:from>
      <xdr:col>0</xdr:col>
      <xdr:colOff>85725</xdr:colOff>
      <xdr:row>24</xdr:row>
      <xdr:rowOff>152400</xdr:rowOff>
    </xdr:from>
    <xdr:to>
      <xdr:col>7</xdr:col>
      <xdr:colOff>260350</xdr:colOff>
      <xdr:row>33</xdr:row>
      <xdr:rowOff>104775</xdr:rowOff>
    </xdr:to>
    <xdr:pic>
      <xdr:nvPicPr>
        <xdr:cNvPr id="4" name="Imagen 3">
          <a:extLst>
            <a:ext uri="{FF2B5EF4-FFF2-40B4-BE49-F238E27FC236}">
              <a16:creationId xmlns:a16="http://schemas.microsoft.com/office/drawing/2014/main" id="{75E6B3F1-7D9F-23C3-1DAD-04F17CBB1B24}"/>
            </a:ext>
          </a:extLst>
        </xdr:cNvPr>
        <xdr:cNvPicPr>
          <a:picLocks noChangeAspect="1"/>
        </xdr:cNvPicPr>
      </xdr:nvPicPr>
      <xdr:blipFill rotWithShape="1">
        <a:blip xmlns:r="http://schemas.openxmlformats.org/officeDocument/2006/relationships" r:embed="rId3"/>
        <a:srcRect l="21635" t="36878" r="29087" b="36600"/>
        <a:stretch/>
      </xdr:blipFill>
      <xdr:spPr>
        <a:xfrm>
          <a:off x="85725" y="4724400"/>
          <a:ext cx="5508625" cy="1666875"/>
        </a:xfrm>
        <a:prstGeom prst="rect">
          <a:avLst/>
        </a:prstGeom>
      </xdr:spPr>
    </xdr:pic>
    <xdr:clientData/>
  </xdr:twoCellAnchor>
  <xdr:twoCellAnchor editAs="oneCell">
    <xdr:from>
      <xdr:col>0</xdr:col>
      <xdr:colOff>38098</xdr:colOff>
      <xdr:row>34</xdr:row>
      <xdr:rowOff>161926</xdr:rowOff>
    </xdr:from>
    <xdr:to>
      <xdr:col>8</xdr:col>
      <xdr:colOff>138425</xdr:colOff>
      <xdr:row>40</xdr:row>
      <xdr:rowOff>152400</xdr:rowOff>
    </xdr:to>
    <xdr:pic>
      <xdr:nvPicPr>
        <xdr:cNvPr id="5" name="Imagen 4">
          <a:extLst>
            <a:ext uri="{FF2B5EF4-FFF2-40B4-BE49-F238E27FC236}">
              <a16:creationId xmlns:a16="http://schemas.microsoft.com/office/drawing/2014/main" id="{AF3226B7-AF7F-A0A2-E642-84BF4F36714F}"/>
            </a:ext>
          </a:extLst>
        </xdr:cNvPr>
        <xdr:cNvPicPr>
          <a:picLocks noChangeAspect="1"/>
        </xdr:cNvPicPr>
      </xdr:nvPicPr>
      <xdr:blipFill rotWithShape="1">
        <a:blip xmlns:r="http://schemas.openxmlformats.org/officeDocument/2006/relationships" r:embed="rId4"/>
        <a:srcRect l="20754" t="65445" r="33250" b="19589"/>
        <a:stretch/>
      </xdr:blipFill>
      <xdr:spPr>
        <a:xfrm>
          <a:off x="38098" y="6638926"/>
          <a:ext cx="6196327" cy="11334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F1BD8-D3C5-488E-9FEA-288F5DB3B81D}">
  <dimension ref="B2:Q69"/>
  <sheetViews>
    <sheetView workbookViewId="0">
      <selection activeCell="G51" sqref="G51"/>
    </sheetView>
  </sheetViews>
  <sheetFormatPr baseColWidth="10" defaultRowHeight="15" x14ac:dyDescent="0.25"/>
  <cols>
    <col min="2" max="2" width="7.28515625" customWidth="1"/>
    <col min="4" max="4" width="25.5703125" customWidth="1"/>
    <col min="5" max="5" width="13.28515625" customWidth="1"/>
    <col min="9" max="9" width="8.140625" customWidth="1"/>
    <col min="10" max="10" width="11.42578125" customWidth="1"/>
    <col min="11" max="11" width="18" customWidth="1"/>
    <col min="12" max="12" width="14.140625" customWidth="1"/>
    <col min="13" max="13" width="14.5703125" customWidth="1"/>
  </cols>
  <sheetData>
    <row r="2" spans="2:17" x14ac:dyDescent="0.25">
      <c r="B2" s="30" t="s">
        <v>9</v>
      </c>
      <c r="C2" s="30"/>
      <c r="D2" s="30"/>
      <c r="E2" s="30"/>
      <c r="F2" s="30"/>
      <c r="H2" s="10"/>
      <c r="I2" s="30" t="s">
        <v>9</v>
      </c>
      <c r="J2" s="30"/>
      <c r="K2" s="30"/>
      <c r="L2" s="30"/>
      <c r="M2" s="30"/>
      <c r="N2" s="32" t="s">
        <v>34</v>
      </c>
      <c r="O2" s="32"/>
      <c r="P2" s="32"/>
      <c r="Q2" s="32"/>
    </row>
    <row r="3" spans="2:17" x14ac:dyDescent="0.25">
      <c r="B3" s="5" t="s">
        <v>5</v>
      </c>
      <c r="C3" s="5" t="s">
        <v>8</v>
      </c>
      <c r="D3" s="5" t="s">
        <v>6</v>
      </c>
      <c r="E3" s="5" t="s">
        <v>4</v>
      </c>
      <c r="F3" s="5" t="s">
        <v>7</v>
      </c>
      <c r="H3" s="10"/>
      <c r="I3" s="5" t="s">
        <v>5</v>
      </c>
      <c r="J3" s="5" t="s">
        <v>8</v>
      </c>
      <c r="K3" s="5" t="s">
        <v>6</v>
      </c>
      <c r="L3" s="5" t="s">
        <v>4</v>
      </c>
      <c r="M3" s="5" t="s">
        <v>7</v>
      </c>
      <c r="N3" s="32"/>
      <c r="O3" s="32"/>
      <c r="P3" s="32"/>
      <c r="Q3" s="32"/>
    </row>
    <row r="4" spans="2:17" x14ac:dyDescent="0.25">
      <c r="B4" s="29">
        <v>1</v>
      </c>
      <c r="C4" s="1">
        <v>1408</v>
      </c>
      <c r="D4" s="2" t="s">
        <v>16</v>
      </c>
      <c r="E4" s="3">
        <f>1500000*10</f>
        <v>15000000</v>
      </c>
      <c r="F4" s="3"/>
      <c r="H4" s="10"/>
      <c r="I4" s="33">
        <v>1</v>
      </c>
      <c r="J4" s="11">
        <v>1408</v>
      </c>
      <c r="K4" s="2" t="s">
        <v>16</v>
      </c>
      <c r="L4" s="3">
        <f>1800000*30</f>
        <v>54000000</v>
      </c>
      <c r="M4" s="3"/>
      <c r="N4" s="32"/>
      <c r="O4" s="32"/>
      <c r="P4" s="32"/>
      <c r="Q4" s="32"/>
    </row>
    <row r="5" spans="2:17" x14ac:dyDescent="0.25">
      <c r="B5" s="29"/>
      <c r="C5" s="1">
        <v>242208</v>
      </c>
      <c r="D5" s="2" t="s">
        <v>17</v>
      </c>
      <c r="E5" s="3"/>
      <c r="F5" s="3">
        <f>E4*2.5%</f>
        <v>375000</v>
      </c>
      <c r="H5" s="10"/>
      <c r="I5" s="34"/>
      <c r="J5" s="11">
        <v>2404</v>
      </c>
      <c r="K5" s="2" t="s">
        <v>26</v>
      </c>
      <c r="L5" s="3">
        <f>L4*19%</f>
        <v>10260000</v>
      </c>
      <c r="M5" s="3"/>
      <c r="N5" s="32"/>
      <c r="O5" s="32"/>
      <c r="P5" s="32"/>
      <c r="Q5" s="32"/>
    </row>
    <row r="6" spans="2:17" x14ac:dyDescent="0.25">
      <c r="B6" s="29"/>
      <c r="C6" s="1">
        <v>2424</v>
      </c>
      <c r="D6" s="2" t="s">
        <v>18</v>
      </c>
      <c r="E6" s="3"/>
      <c r="F6" s="3">
        <f>E4*2/(1000)</f>
        <v>30000</v>
      </c>
      <c r="H6" s="10"/>
      <c r="I6" s="34"/>
      <c r="J6" s="11">
        <v>242208</v>
      </c>
      <c r="K6" s="2" t="s">
        <v>17</v>
      </c>
      <c r="L6" s="3"/>
      <c r="M6" s="3">
        <f>L4*2.5%</f>
        <v>1350000</v>
      </c>
      <c r="N6" s="32"/>
      <c r="O6" s="32"/>
      <c r="P6" s="32"/>
      <c r="Q6" s="32"/>
    </row>
    <row r="7" spans="2:17" x14ac:dyDescent="0.25">
      <c r="B7" s="29"/>
      <c r="C7" s="1">
        <v>22</v>
      </c>
      <c r="D7" s="2" t="s">
        <v>19</v>
      </c>
      <c r="E7" s="3"/>
      <c r="F7" s="3">
        <f>E4-F5-F6</f>
        <v>14595000</v>
      </c>
      <c r="H7" s="10"/>
      <c r="I7" s="34"/>
      <c r="J7" s="11">
        <v>2424</v>
      </c>
      <c r="K7" s="2" t="s">
        <v>18</v>
      </c>
      <c r="L7" s="3"/>
      <c r="M7" s="3">
        <f>L4*2/(1000)</f>
        <v>108000</v>
      </c>
      <c r="N7" s="32"/>
      <c r="O7" s="32"/>
      <c r="P7" s="32"/>
      <c r="Q7" s="32"/>
    </row>
    <row r="8" spans="2:17" x14ac:dyDescent="0.25">
      <c r="B8" s="29"/>
      <c r="C8" s="1">
        <v>2201</v>
      </c>
      <c r="D8" s="2" t="s">
        <v>20</v>
      </c>
      <c r="E8" s="3"/>
      <c r="F8" s="3"/>
      <c r="H8" s="10"/>
      <c r="I8" s="34"/>
      <c r="J8" s="11">
        <v>22</v>
      </c>
      <c r="K8" s="2" t="s">
        <v>19</v>
      </c>
      <c r="L8" s="3"/>
      <c r="M8" s="3">
        <f>L4+L5-M6-M7</f>
        <v>62802000</v>
      </c>
      <c r="N8" s="32"/>
      <c r="O8" s="32"/>
      <c r="P8" s="32"/>
      <c r="Q8" s="32"/>
    </row>
    <row r="9" spans="2:17" x14ac:dyDescent="0.25">
      <c r="B9" s="40">
        <v>2</v>
      </c>
      <c r="C9" s="2">
        <v>1102</v>
      </c>
      <c r="D9" s="2" t="s">
        <v>21</v>
      </c>
      <c r="E9" s="3"/>
      <c r="F9" s="3">
        <f>F7</f>
        <v>14595000</v>
      </c>
      <c r="I9" s="35"/>
      <c r="J9" s="11">
        <v>2201</v>
      </c>
      <c r="K9" s="2" t="s">
        <v>20</v>
      </c>
      <c r="L9" s="3"/>
      <c r="M9" s="3"/>
      <c r="N9" s="32"/>
      <c r="O9" s="32"/>
      <c r="P9" s="32"/>
      <c r="Q9" s="32"/>
    </row>
    <row r="10" spans="2:17" x14ac:dyDescent="0.25">
      <c r="B10" s="41"/>
      <c r="C10" s="2">
        <v>110201</v>
      </c>
      <c r="D10" s="2" t="s">
        <v>22</v>
      </c>
      <c r="E10" s="3"/>
      <c r="F10" s="2"/>
      <c r="I10" s="31">
        <v>2</v>
      </c>
      <c r="J10" s="11">
        <v>1102</v>
      </c>
      <c r="K10" s="2" t="s">
        <v>21</v>
      </c>
      <c r="L10" s="3"/>
      <c r="M10" s="3">
        <f>M8</f>
        <v>62802000</v>
      </c>
      <c r="N10" s="32"/>
      <c r="O10" s="32"/>
      <c r="P10" s="32"/>
      <c r="Q10" s="32"/>
    </row>
    <row r="11" spans="2:17" x14ac:dyDescent="0.25">
      <c r="B11" s="42"/>
      <c r="C11" s="2">
        <v>2201</v>
      </c>
      <c r="D11" s="2" t="s">
        <v>19</v>
      </c>
      <c r="E11" s="3">
        <f>F9</f>
        <v>14595000</v>
      </c>
      <c r="F11" s="3"/>
      <c r="I11" s="31"/>
      <c r="J11" s="11">
        <v>2201</v>
      </c>
      <c r="K11" s="2" t="s">
        <v>19</v>
      </c>
      <c r="L11" s="3">
        <f>M10</f>
        <v>62802000</v>
      </c>
      <c r="M11" s="3"/>
    </row>
    <row r="12" spans="2:17" x14ac:dyDescent="0.25">
      <c r="I12" s="29">
        <v>3</v>
      </c>
      <c r="J12" s="12">
        <v>1408</v>
      </c>
      <c r="K12" s="2" t="s">
        <v>16</v>
      </c>
      <c r="L12" s="3">
        <f>1900000*20</f>
        <v>38000000</v>
      </c>
      <c r="M12" s="3"/>
    </row>
    <row r="13" spans="2:17" x14ac:dyDescent="0.25">
      <c r="B13" s="29" t="s">
        <v>23</v>
      </c>
      <c r="C13" s="1">
        <v>1408</v>
      </c>
      <c r="D13" s="2" t="s">
        <v>16</v>
      </c>
      <c r="E13" s="3">
        <f>1500000*10</f>
        <v>15000000</v>
      </c>
      <c r="F13" s="3"/>
      <c r="I13" s="29"/>
      <c r="J13" s="12">
        <v>242208</v>
      </c>
      <c r="K13" s="2" t="s">
        <v>17</v>
      </c>
      <c r="L13" s="3"/>
      <c r="M13" s="3">
        <f>L12*2.5%</f>
        <v>950000</v>
      </c>
    </row>
    <row r="14" spans="2:17" x14ac:dyDescent="0.25">
      <c r="B14" s="29"/>
      <c r="C14" s="1">
        <v>242208</v>
      </c>
      <c r="D14" s="2" t="s">
        <v>17</v>
      </c>
      <c r="E14" s="3"/>
      <c r="F14" s="3">
        <f>E13*2.5%</f>
        <v>375000</v>
      </c>
      <c r="I14" s="29"/>
      <c r="J14" s="12">
        <v>2404</v>
      </c>
      <c r="K14" s="2" t="s">
        <v>26</v>
      </c>
      <c r="L14" s="3">
        <f>L12*19%</f>
        <v>7220000</v>
      </c>
      <c r="M14" s="3"/>
    </row>
    <row r="15" spans="2:17" x14ac:dyDescent="0.25">
      <c r="B15" s="29"/>
      <c r="C15" s="1">
        <v>2404</v>
      </c>
      <c r="D15" s="2" t="s">
        <v>26</v>
      </c>
      <c r="E15" s="3">
        <f>E13*19%</f>
        <v>2850000</v>
      </c>
      <c r="F15" s="3"/>
      <c r="I15" s="29"/>
      <c r="J15" s="12">
        <v>2423</v>
      </c>
      <c r="K15" s="2" t="s">
        <v>25</v>
      </c>
      <c r="L15" s="3"/>
      <c r="M15" s="3">
        <f>L14*15%</f>
        <v>1083000</v>
      </c>
    </row>
    <row r="16" spans="2:17" x14ac:dyDescent="0.25">
      <c r="B16" s="29"/>
      <c r="C16" s="1">
        <v>2423</v>
      </c>
      <c r="D16" s="2" t="s">
        <v>25</v>
      </c>
      <c r="E16" s="3"/>
      <c r="F16" s="3">
        <f>E15*15%</f>
        <v>427500</v>
      </c>
      <c r="I16" s="29"/>
      <c r="J16" s="12">
        <v>2424</v>
      </c>
      <c r="K16" s="2" t="s">
        <v>18</v>
      </c>
      <c r="L16" s="3"/>
      <c r="M16" s="3">
        <f>L12*2/(1000)</f>
        <v>76000</v>
      </c>
    </row>
    <row r="17" spans="2:13" x14ac:dyDescent="0.25">
      <c r="B17" s="29"/>
      <c r="C17" s="1">
        <v>2424</v>
      </c>
      <c r="D17" s="2" t="s">
        <v>18</v>
      </c>
      <c r="E17" s="3"/>
      <c r="F17" s="3">
        <f>E13*2/(1000)</f>
        <v>30000</v>
      </c>
      <c r="I17" s="29"/>
      <c r="J17" s="12">
        <v>22</v>
      </c>
      <c r="K17" s="2" t="s">
        <v>19</v>
      </c>
      <c r="L17" s="3"/>
      <c r="M17" s="3">
        <f>L12+L14-M13-M15-M16</f>
        <v>43111000</v>
      </c>
    </row>
    <row r="18" spans="2:13" x14ac:dyDescent="0.25">
      <c r="B18" s="29"/>
      <c r="C18" s="1">
        <v>22</v>
      </c>
      <c r="D18" s="2" t="s">
        <v>19</v>
      </c>
      <c r="E18" s="3"/>
      <c r="F18" s="3">
        <f>E13+E15-F14-F16-F17</f>
        <v>17017500</v>
      </c>
      <c r="I18" s="29"/>
      <c r="J18" s="12">
        <v>2201</v>
      </c>
      <c r="K18" s="2" t="s">
        <v>20</v>
      </c>
      <c r="L18" s="3"/>
      <c r="M18" s="3"/>
    </row>
    <row r="19" spans="2:13" x14ac:dyDescent="0.25">
      <c r="B19" s="29"/>
      <c r="C19" s="1">
        <v>2201</v>
      </c>
      <c r="D19" s="2" t="s">
        <v>20</v>
      </c>
      <c r="E19" s="3"/>
      <c r="F19" s="3"/>
      <c r="I19" s="29">
        <v>4</v>
      </c>
      <c r="J19" s="12">
        <v>1408</v>
      </c>
      <c r="K19" s="2" t="s">
        <v>16</v>
      </c>
      <c r="L19" s="3"/>
      <c r="M19" s="3">
        <f>1900000*5</f>
        <v>9500000</v>
      </c>
    </row>
    <row r="20" spans="2:13" x14ac:dyDescent="0.25">
      <c r="B20" s="40" t="s">
        <v>24</v>
      </c>
      <c r="C20" s="2">
        <v>1102</v>
      </c>
      <c r="D20" s="2" t="s">
        <v>21</v>
      </c>
      <c r="E20" s="3"/>
      <c r="F20" s="3">
        <f>F18</f>
        <v>17017500</v>
      </c>
      <c r="I20" s="29"/>
      <c r="J20" s="12">
        <v>2404</v>
      </c>
      <c r="K20" s="2" t="s">
        <v>26</v>
      </c>
      <c r="L20" s="3"/>
      <c r="M20" s="3">
        <f>M19*19%</f>
        <v>1805000</v>
      </c>
    </row>
    <row r="21" spans="2:13" ht="15" customHeight="1" x14ac:dyDescent="0.25">
      <c r="B21" s="41"/>
      <c r="C21" s="2">
        <v>110201</v>
      </c>
      <c r="D21" s="2" t="s">
        <v>22</v>
      </c>
      <c r="E21" s="3"/>
      <c r="F21" s="2"/>
      <c r="I21" s="29"/>
      <c r="J21" s="12">
        <v>2423</v>
      </c>
      <c r="K21" s="2" t="s">
        <v>29</v>
      </c>
      <c r="L21" s="3">
        <f>M20*15%</f>
        <v>270750</v>
      </c>
      <c r="M21" s="3"/>
    </row>
    <row r="22" spans="2:13" x14ac:dyDescent="0.25">
      <c r="B22" s="42"/>
      <c r="C22" s="2">
        <v>2201</v>
      </c>
      <c r="D22" s="2" t="s">
        <v>19</v>
      </c>
      <c r="E22" s="3">
        <f>F20</f>
        <v>17017500</v>
      </c>
      <c r="F22" s="3"/>
      <c r="I22" s="29"/>
      <c r="J22" s="12">
        <v>242208</v>
      </c>
      <c r="K22" s="2" t="s">
        <v>30</v>
      </c>
      <c r="L22" s="3">
        <f>M19*2.5%</f>
        <v>237500</v>
      </c>
      <c r="M22" s="3"/>
    </row>
    <row r="23" spans="2:13" x14ac:dyDescent="0.25">
      <c r="I23" s="29"/>
      <c r="J23" s="12">
        <v>2424</v>
      </c>
      <c r="K23" s="2" t="s">
        <v>18</v>
      </c>
      <c r="L23" s="3">
        <f>M19*2/(1000)</f>
        <v>19000</v>
      </c>
      <c r="M23" s="3"/>
    </row>
    <row r="24" spans="2:13" x14ac:dyDescent="0.25">
      <c r="B24" s="39" t="s">
        <v>27</v>
      </c>
      <c r="C24" s="39"/>
      <c r="D24" s="39"/>
      <c r="E24" s="39"/>
      <c r="F24" s="39"/>
      <c r="I24" s="29"/>
      <c r="J24" s="12">
        <v>22</v>
      </c>
      <c r="K24" s="2" t="s">
        <v>19</v>
      </c>
      <c r="L24" s="3">
        <f>M19+M20-L21-L22-L23</f>
        <v>10777750</v>
      </c>
      <c r="M24" s="3"/>
    </row>
    <row r="25" spans="2:13" x14ac:dyDescent="0.25">
      <c r="B25" s="39"/>
      <c r="C25" s="39"/>
      <c r="D25" s="39"/>
      <c r="E25" s="39"/>
      <c r="F25" s="39"/>
      <c r="I25" s="32">
        <v>5</v>
      </c>
      <c r="J25" s="12">
        <v>1408</v>
      </c>
      <c r="K25" s="2" t="s">
        <v>16</v>
      </c>
      <c r="L25" s="3">
        <f>140000*30</f>
        <v>4200000</v>
      </c>
      <c r="M25" s="3"/>
    </row>
    <row r="26" spans="2:13" x14ac:dyDescent="0.25">
      <c r="I26" s="32"/>
      <c r="J26" s="12">
        <v>2404</v>
      </c>
      <c r="K26" s="2" t="s">
        <v>26</v>
      </c>
      <c r="L26" s="3">
        <f>L25*19%</f>
        <v>798000</v>
      </c>
      <c r="M26" s="3"/>
    </row>
    <row r="27" spans="2:13" x14ac:dyDescent="0.25">
      <c r="B27" s="29">
        <v>3</v>
      </c>
      <c r="C27" s="1">
        <v>1408</v>
      </c>
      <c r="D27" s="2" t="s">
        <v>16</v>
      </c>
      <c r="E27" s="3">
        <v>5000000</v>
      </c>
      <c r="F27" s="3"/>
      <c r="I27" s="32"/>
      <c r="J27" s="12">
        <v>2423</v>
      </c>
      <c r="K27" s="2" t="s">
        <v>29</v>
      </c>
      <c r="L27" s="3"/>
      <c r="M27" s="3">
        <f>L26*15%</f>
        <v>119700</v>
      </c>
    </row>
    <row r="28" spans="2:13" x14ac:dyDescent="0.25">
      <c r="B28" s="29"/>
      <c r="C28" s="1">
        <v>2404</v>
      </c>
      <c r="D28" s="2" t="s">
        <v>26</v>
      </c>
      <c r="E28" s="3">
        <f>E27*19%</f>
        <v>950000</v>
      </c>
      <c r="F28" s="3"/>
      <c r="I28" s="32"/>
      <c r="J28" s="12">
        <v>22</v>
      </c>
      <c r="K28" s="2" t="s">
        <v>19</v>
      </c>
      <c r="L28" s="3"/>
      <c r="M28" s="3">
        <f>L25+L26-M27</f>
        <v>4878300</v>
      </c>
    </row>
    <row r="29" spans="2:13" x14ac:dyDescent="0.25">
      <c r="B29" s="29"/>
      <c r="C29" s="1">
        <v>242208</v>
      </c>
      <c r="D29" s="2" t="s">
        <v>17</v>
      </c>
      <c r="E29" s="3"/>
      <c r="F29" s="3">
        <f>E27*2.5%</f>
        <v>125000</v>
      </c>
      <c r="I29" s="32">
        <v>6</v>
      </c>
      <c r="J29" s="12">
        <v>1408</v>
      </c>
      <c r="K29" s="2" t="s">
        <v>16</v>
      </c>
      <c r="L29" s="3"/>
      <c r="M29" s="3">
        <f>140000*3</f>
        <v>420000</v>
      </c>
    </row>
    <row r="30" spans="2:13" x14ac:dyDescent="0.25">
      <c r="B30" s="29"/>
      <c r="C30" s="1">
        <v>2424</v>
      </c>
      <c r="D30" s="2" t="s">
        <v>18</v>
      </c>
      <c r="E30" s="3"/>
      <c r="F30" s="3">
        <f>E27*2/(1000)</f>
        <v>10000</v>
      </c>
      <c r="I30" s="32"/>
      <c r="J30" s="12">
        <v>2404</v>
      </c>
      <c r="K30" s="2" t="s">
        <v>26</v>
      </c>
      <c r="L30" s="3"/>
      <c r="M30" s="3">
        <f>M29*19%</f>
        <v>79800</v>
      </c>
    </row>
    <row r="31" spans="2:13" x14ac:dyDescent="0.25">
      <c r="B31" s="29"/>
      <c r="C31" s="1">
        <v>22</v>
      </c>
      <c r="D31" s="2" t="s">
        <v>19</v>
      </c>
      <c r="E31" s="3"/>
      <c r="F31" s="3">
        <f>E27+E28-F29-F30</f>
        <v>5815000</v>
      </c>
      <c r="I31" s="32"/>
      <c r="J31" s="12">
        <v>2423</v>
      </c>
      <c r="K31" s="2" t="s">
        <v>29</v>
      </c>
      <c r="L31" s="3">
        <f>M29*15%</f>
        <v>63000</v>
      </c>
      <c r="M31" s="3"/>
    </row>
    <row r="32" spans="2:13" x14ac:dyDescent="0.25">
      <c r="B32" s="29"/>
      <c r="C32" s="1">
        <v>2201</v>
      </c>
      <c r="D32" s="2" t="s">
        <v>20</v>
      </c>
      <c r="E32" s="3"/>
      <c r="F32" s="3"/>
      <c r="I32" s="32"/>
      <c r="J32" s="12">
        <v>22</v>
      </c>
      <c r="K32" s="2" t="s">
        <v>19</v>
      </c>
      <c r="L32" s="3">
        <f>M29+M30-L31</f>
        <v>436800</v>
      </c>
      <c r="M32" s="3"/>
    </row>
    <row r="33" spans="2:13" x14ac:dyDescent="0.25">
      <c r="E33" s="9"/>
      <c r="I33" s="31">
        <v>7</v>
      </c>
      <c r="J33" s="11">
        <v>1102</v>
      </c>
      <c r="K33" s="2" t="s">
        <v>21</v>
      </c>
      <c r="L33" s="3"/>
      <c r="M33" s="3">
        <f>M28-L32</f>
        <v>4441500</v>
      </c>
    </row>
    <row r="34" spans="2:13" x14ac:dyDescent="0.25">
      <c r="B34" s="30" t="s">
        <v>28</v>
      </c>
      <c r="C34" s="30"/>
      <c r="D34" s="30"/>
      <c r="E34" s="30"/>
      <c r="F34" s="30"/>
      <c r="I34" s="31"/>
      <c r="J34" s="11">
        <v>2201</v>
      </c>
      <c r="K34" s="2" t="s">
        <v>19</v>
      </c>
      <c r="L34" s="3">
        <f>M33</f>
        <v>4441500</v>
      </c>
      <c r="M34" s="3"/>
    </row>
    <row r="35" spans="2:13" x14ac:dyDescent="0.25">
      <c r="B35" s="29">
        <v>4</v>
      </c>
      <c r="C35" s="1">
        <v>1408</v>
      </c>
      <c r="D35" s="2" t="s">
        <v>16</v>
      </c>
      <c r="E35" s="3"/>
      <c r="F35" s="3">
        <f>1500000*2</f>
        <v>3000000</v>
      </c>
      <c r="I35" s="29">
        <v>8</v>
      </c>
      <c r="J35" s="12">
        <v>1408</v>
      </c>
      <c r="K35" s="2" t="s">
        <v>16</v>
      </c>
      <c r="L35" s="3">
        <f>3300000</f>
        <v>3300000</v>
      </c>
      <c r="M35" s="3"/>
    </row>
    <row r="36" spans="2:13" x14ac:dyDescent="0.25">
      <c r="B36" s="29"/>
      <c r="C36" s="1">
        <v>2404</v>
      </c>
      <c r="D36" s="2" t="s">
        <v>26</v>
      </c>
      <c r="E36" s="3"/>
      <c r="F36" s="3">
        <f>F35*19%</f>
        <v>570000</v>
      </c>
      <c r="I36" s="29"/>
      <c r="J36" s="12">
        <v>242208</v>
      </c>
      <c r="K36" s="2" t="s">
        <v>17</v>
      </c>
      <c r="L36" s="3"/>
      <c r="M36" s="3">
        <f>L35*2.5%</f>
        <v>82500</v>
      </c>
    </row>
    <row r="37" spans="2:13" x14ac:dyDescent="0.25">
      <c r="B37" s="29"/>
      <c r="C37" s="1">
        <v>2423</v>
      </c>
      <c r="D37" s="2" t="s">
        <v>29</v>
      </c>
      <c r="E37" s="3">
        <f>F36*15%</f>
        <v>85500</v>
      </c>
      <c r="F37" s="3"/>
      <c r="I37" s="29"/>
      <c r="J37" s="12">
        <v>2424</v>
      </c>
      <c r="K37" s="2" t="s">
        <v>18</v>
      </c>
      <c r="L37" s="3"/>
      <c r="M37" s="3">
        <f>L35*2/(1000)</f>
        <v>6600</v>
      </c>
    </row>
    <row r="38" spans="2:13" x14ac:dyDescent="0.25">
      <c r="B38" s="29"/>
      <c r="C38" s="1">
        <v>242208</v>
      </c>
      <c r="D38" s="2" t="s">
        <v>30</v>
      </c>
      <c r="E38" s="3">
        <f>F35*2.5%</f>
        <v>75000</v>
      </c>
      <c r="F38" s="3"/>
      <c r="I38" s="29"/>
      <c r="J38" s="12">
        <v>22</v>
      </c>
      <c r="K38" s="2" t="s">
        <v>19</v>
      </c>
      <c r="L38" s="3"/>
      <c r="M38" s="3">
        <f>L35-M36-M37</f>
        <v>3210900</v>
      </c>
    </row>
    <row r="39" spans="2:13" x14ac:dyDescent="0.25">
      <c r="B39" s="29"/>
      <c r="C39" s="1">
        <v>2424</v>
      </c>
      <c r="D39" s="2" t="s">
        <v>18</v>
      </c>
      <c r="E39" s="3">
        <f>F35*2/(1000)</f>
        <v>6000</v>
      </c>
      <c r="F39" s="3"/>
      <c r="I39" s="29">
        <v>9</v>
      </c>
      <c r="J39" s="11">
        <v>1408</v>
      </c>
      <c r="K39" s="2" t="s">
        <v>16</v>
      </c>
      <c r="L39" s="3">
        <f>1700000*25</f>
        <v>42500000</v>
      </c>
      <c r="M39" s="3"/>
    </row>
    <row r="40" spans="2:13" x14ac:dyDescent="0.25">
      <c r="B40" s="29"/>
      <c r="C40" s="1">
        <v>22</v>
      </c>
      <c r="D40" s="2" t="s">
        <v>19</v>
      </c>
      <c r="E40" s="3">
        <f>F35+F36-E37-E38-E39</f>
        <v>3403500</v>
      </c>
      <c r="F40" s="3"/>
      <c r="I40" s="29"/>
      <c r="J40" s="11">
        <v>2404</v>
      </c>
      <c r="K40" s="2" t="s">
        <v>26</v>
      </c>
      <c r="L40" s="3">
        <f>L39*19%</f>
        <v>8075000</v>
      </c>
      <c r="M40" s="3"/>
    </row>
    <row r="41" spans="2:13" x14ac:dyDescent="0.25">
      <c r="I41" s="29"/>
      <c r="J41" s="11">
        <v>242208</v>
      </c>
      <c r="K41" s="2" t="s">
        <v>17</v>
      </c>
      <c r="L41" s="3"/>
      <c r="M41" s="3">
        <f>L39*2.5%</f>
        <v>1062500</v>
      </c>
    </row>
    <row r="42" spans="2:13" x14ac:dyDescent="0.25">
      <c r="B42" s="36" t="s">
        <v>31</v>
      </c>
      <c r="C42" s="37"/>
      <c r="D42" s="37"/>
      <c r="E42" s="37"/>
      <c r="F42" s="38"/>
      <c r="I42" s="29"/>
      <c r="J42" s="11">
        <v>2424</v>
      </c>
      <c r="K42" s="2" t="s">
        <v>18</v>
      </c>
      <c r="L42" s="3"/>
      <c r="M42" s="3">
        <f>L39*2/(1000)</f>
        <v>85000</v>
      </c>
    </row>
    <row r="43" spans="2:13" x14ac:dyDescent="0.25">
      <c r="B43" s="32" t="s">
        <v>32</v>
      </c>
      <c r="C43" s="32"/>
      <c r="D43" s="32"/>
      <c r="E43" s="32"/>
      <c r="F43" s="32"/>
      <c r="I43" s="29"/>
      <c r="J43" s="11">
        <v>22</v>
      </c>
      <c r="K43" s="2" t="s">
        <v>19</v>
      </c>
      <c r="L43" s="3"/>
      <c r="M43" s="3">
        <f>L39+L40-M41-M42</f>
        <v>49427500</v>
      </c>
    </row>
    <row r="44" spans="2:13" x14ac:dyDescent="0.25">
      <c r="B44" s="32"/>
      <c r="C44" s="32"/>
      <c r="D44" s="32"/>
      <c r="E44" s="32"/>
      <c r="F44" s="32"/>
      <c r="I44" s="29">
        <v>10</v>
      </c>
      <c r="J44" s="11">
        <v>1408</v>
      </c>
      <c r="K44" s="2" t="s">
        <v>16</v>
      </c>
      <c r="L44" s="3"/>
      <c r="M44" s="3">
        <f>1700000*5</f>
        <v>8500000</v>
      </c>
    </row>
    <row r="45" spans="2:13" x14ac:dyDescent="0.25">
      <c r="B45" s="32"/>
      <c r="C45" s="32"/>
      <c r="D45" s="32"/>
      <c r="E45" s="32"/>
      <c r="F45" s="32"/>
      <c r="I45" s="29"/>
      <c r="J45" s="11">
        <v>2404</v>
      </c>
      <c r="K45" s="2" t="s">
        <v>26</v>
      </c>
      <c r="L45" s="3"/>
      <c r="M45" s="3">
        <f>M44*19%</f>
        <v>1615000</v>
      </c>
    </row>
    <row r="46" spans="2:13" x14ac:dyDescent="0.25">
      <c r="B46" s="31">
        <f>2000000*10%</f>
        <v>200000</v>
      </c>
      <c r="C46" s="31"/>
      <c r="D46" s="31"/>
      <c r="E46" s="31"/>
      <c r="F46" s="31"/>
      <c r="I46" s="29"/>
      <c r="J46" s="11">
        <v>242208</v>
      </c>
      <c r="K46" s="2" t="s">
        <v>17</v>
      </c>
      <c r="L46" s="3">
        <f>M44*2.5%</f>
        <v>212500</v>
      </c>
      <c r="M46" s="3"/>
    </row>
    <row r="47" spans="2:13" x14ac:dyDescent="0.25">
      <c r="B47" s="29">
        <v>5</v>
      </c>
      <c r="C47" s="1">
        <v>1408</v>
      </c>
      <c r="D47" s="2" t="s">
        <v>16</v>
      </c>
      <c r="E47" s="3">
        <f>2000000-200000</f>
        <v>1800000</v>
      </c>
      <c r="F47" s="3"/>
      <c r="I47" s="29"/>
      <c r="J47" s="11">
        <v>2424</v>
      </c>
      <c r="K47" s="2" t="s">
        <v>18</v>
      </c>
      <c r="L47" s="3">
        <f>M44*2/(1000)</f>
        <v>17000</v>
      </c>
      <c r="M47" s="3"/>
    </row>
    <row r="48" spans="2:13" x14ac:dyDescent="0.25">
      <c r="B48" s="29"/>
      <c r="C48" s="1">
        <v>2404</v>
      </c>
      <c r="D48" s="2" t="s">
        <v>26</v>
      </c>
      <c r="E48" s="3">
        <f>E47*19%</f>
        <v>342000</v>
      </c>
      <c r="F48" s="3"/>
      <c r="I48" s="29"/>
      <c r="J48" s="11">
        <v>22</v>
      </c>
      <c r="K48" s="2" t="s">
        <v>19</v>
      </c>
      <c r="L48" s="3">
        <f>M44+M45-L46-L47</f>
        <v>9885500</v>
      </c>
      <c r="M48" s="3"/>
    </row>
    <row r="49" spans="2:13" x14ac:dyDescent="0.25">
      <c r="B49" s="29"/>
      <c r="C49" s="1">
        <v>242208</v>
      </c>
      <c r="D49" s="2" t="s">
        <v>30</v>
      </c>
      <c r="E49" s="3"/>
      <c r="F49" s="3">
        <f>E47*2.5%</f>
        <v>45000</v>
      </c>
      <c r="I49" s="31">
        <v>11</v>
      </c>
      <c r="J49" s="11">
        <v>1102</v>
      </c>
      <c r="K49" s="2" t="s">
        <v>21</v>
      </c>
      <c r="L49" s="3"/>
      <c r="M49" s="3">
        <f>M43-L48</f>
        <v>39542000</v>
      </c>
    </row>
    <row r="50" spans="2:13" x14ac:dyDescent="0.25">
      <c r="B50" s="29"/>
      <c r="C50" s="1">
        <v>2424</v>
      </c>
      <c r="D50" s="2" t="s">
        <v>18</v>
      </c>
      <c r="E50" s="3"/>
      <c r="F50" s="3">
        <f>E47*2/(1000)</f>
        <v>3600</v>
      </c>
      <c r="I50" s="31"/>
      <c r="J50" s="11">
        <v>2201</v>
      </c>
      <c r="K50" s="2" t="s">
        <v>19</v>
      </c>
      <c r="L50" s="3">
        <f>M49</f>
        <v>39542000</v>
      </c>
      <c r="M50" s="3"/>
    </row>
    <row r="51" spans="2:13" x14ac:dyDescent="0.25">
      <c r="B51" s="29"/>
      <c r="C51" s="1">
        <v>22</v>
      </c>
      <c r="D51" s="2" t="s">
        <v>19</v>
      </c>
      <c r="E51" s="3"/>
      <c r="F51" s="3">
        <f>E47+E48-F49-F50</f>
        <v>2093400</v>
      </c>
      <c r="I51" s="29">
        <v>12</v>
      </c>
      <c r="J51" s="12">
        <v>1408</v>
      </c>
      <c r="K51" s="2" t="s">
        <v>16</v>
      </c>
      <c r="L51" s="3">
        <f>900000</f>
        <v>900000</v>
      </c>
      <c r="M51" s="3"/>
    </row>
    <row r="52" spans="2:13" x14ac:dyDescent="0.25">
      <c r="B52" s="29"/>
      <c r="C52" s="1">
        <v>22</v>
      </c>
      <c r="D52" s="2" t="s">
        <v>33</v>
      </c>
      <c r="E52" s="3">
        <f>F51</f>
        <v>2093400</v>
      </c>
      <c r="F52" s="3"/>
      <c r="I52" s="29"/>
      <c r="J52" s="12">
        <v>242208</v>
      </c>
      <c r="K52" s="2" t="s">
        <v>17</v>
      </c>
      <c r="L52" s="3"/>
      <c r="M52" s="3">
        <f>L51*2.5%</f>
        <v>22500</v>
      </c>
    </row>
    <row r="53" spans="2:13" x14ac:dyDescent="0.25">
      <c r="I53" s="29"/>
      <c r="J53" s="12">
        <v>2424</v>
      </c>
      <c r="K53" s="2" t="s">
        <v>18</v>
      </c>
      <c r="L53" s="3"/>
      <c r="M53" s="3">
        <f>L51*2/(1000)</f>
        <v>1800</v>
      </c>
    </row>
    <row r="54" spans="2:13" x14ac:dyDescent="0.25">
      <c r="I54" s="29"/>
      <c r="J54" s="12">
        <v>22</v>
      </c>
      <c r="K54" s="2" t="s">
        <v>19</v>
      </c>
      <c r="L54" s="3"/>
      <c r="M54" s="3">
        <f>L51-M52-M53</f>
        <v>875700</v>
      </c>
    </row>
    <row r="55" spans="2:13" x14ac:dyDescent="0.25">
      <c r="I55" s="29">
        <v>13</v>
      </c>
      <c r="J55" s="12">
        <v>1408</v>
      </c>
      <c r="K55" s="2" t="s">
        <v>16</v>
      </c>
      <c r="L55" s="3">
        <v>6000000</v>
      </c>
      <c r="M55" s="3"/>
    </row>
    <row r="56" spans="2:13" x14ac:dyDescent="0.25">
      <c r="I56" s="29"/>
      <c r="J56" s="12">
        <v>2404</v>
      </c>
      <c r="K56" s="2" t="s">
        <v>26</v>
      </c>
      <c r="L56" s="3">
        <f>L55*19%</f>
        <v>1140000</v>
      </c>
      <c r="M56" s="3"/>
    </row>
    <row r="57" spans="2:13" x14ac:dyDescent="0.25">
      <c r="I57" s="29"/>
      <c r="J57" s="12">
        <v>2423</v>
      </c>
      <c r="K57" s="2" t="s">
        <v>29</v>
      </c>
      <c r="L57" s="3"/>
      <c r="M57" s="3">
        <f>L56*15%</f>
        <v>171000</v>
      </c>
    </row>
    <row r="58" spans="2:13" x14ac:dyDescent="0.25">
      <c r="I58" s="29"/>
      <c r="J58" s="12">
        <v>242208</v>
      </c>
      <c r="K58" s="2" t="s">
        <v>30</v>
      </c>
      <c r="L58" s="3"/>
      <c r="M58" s="3">
        <f>L55*2.5%</f>
        <v>150000</v>
      </c>
    </row>
    <row r="59" spans="2:13" x14ac:dyDescent="0.25">
      <c r="I59" s="29"/>
      <c r="J59" s="12">
        <v>2424</v>
      </c>
      <c r="K59" s="2" t="s">
        <v>18</v>
      </c>
      <c r="L59" s="3"/>
      <c r="M59" s="3">
        <f>L55*2/(1000)</f>
        <v>12000</v>
      </c>
    </row>
    <row r="60" spans="2:13" x14ac:dyDescent="0.25">
      <c r="I60" s="29"/>
      <c r="J60" s="12">
        <v>22</v>
      </c>
      <c r="K60" s="2" t="s">
        <v>19</v>
      </c>
      <c r="L60" s="3"/>
      <c r="M60" s="3">
        <f>L55+L56-M57-M58-M59</f>
        <v>6807000</v>
      </c>
    </row>
    <row r="61" spans="2:13" x14ac:dyDescent="0.25">
      <c r="I61" s="29">
        <v>14</v>
      </c>
      <c r="J61" s="12">
        <v>1408</v>
      </c>
      <c r="K61" s="2" t="s">
        <v>16</v>
      </c>
      <c r="L61" s="3"/>
      <c r="M61" s="3">
        <v>500000</v>
      </c>
    </row>
    <row r="62" spans="2:13" x14ac:dyDescent="0.25">
      <c r="I62" s="29"/>
      <c r="J62" s="12">
        <v>2404</v>
      </c>
      <c r="K62" s="2" t="s">
        <v>26</v>
      </c>
      <c r="L62" s="3"/>
      <c r="M62" s="3">
        <f>M61*19%</f>
        <v>95000</v>
      </c>
    </row>
    <row r="63" spans="2:13" x14ac:dyDescent="0.25">
      <c r="I63" s="29"/>
      <c r="J63" s="12">
        <v>2423</v>
      </c>
      <c r="K63" s="2" t="s">
        <v>29</v>
      </c>
      <c r="L63" s="3">
        <f>M61*15%</f>
        <v>75000</v>
      </c>
      <c r="M63" s="3"/>
    </row>
    <row r="64" spans="2:13" x14ac:dyDescent="0.25">
      <c r="I64" s="29"/>
      <c r="J64" s="12">
        <v>242208</v>
      </c>
      <c r="K64" s="2" t="s">
        <v>30</v>
      </c>
      <c r="L64" s="3">
        <f>M61*2.5%</f>
        <v>12500</v>
      </c>
      <c r="M64" s="3"/>
    </row>
    <row r="65" spans="9:13" x14ac:dyDescent="0.25">
      <c r="I65" s="29"/>
      <c r="J65" s="12">
        <v>2424</v>
      </c>
      <c r="K65" s="2" t="s">
        <v>18</v>
      </c>
      <c r="L65" s="3">
        <f>M61*2/(1000)</f>
        <v>1000</v>
      </c>
      <c r="M65" s="3"/>
    </row>
    <row r="66" spans="9:13" x14ac:dyDescent="0.25">
      <c r="I66" s="29"/>
      <c r="J66" s="12">
        <v>22</v>
      </c>
      <c r="K66" s="2" t="s">
        <v>19</v>
      </c>
      <c r="L66" s="3">
        <f>M61+M62-L63-L64-L65</f>
        <v>506500</v>
      </c>
      <c r="M66" s="3"/>
    </row>
    <row r="67" spans="9:13" x14ac:dyDescent="0.25">
      <c r="I67" s="31">
        <v>15</v>
      </c>
      <c r="J67" s="11">
        <v>1102</v>
      </c>
      <c r="K67" s="2" t="s">
        <v>21</v>
      </c>
      <c r="L67" s="3"/>
      <c r="M67" s="3">
        <f>M60-L66</f>
        <v>6300500</v>
      </c>
    </row>
    <row r="68" spans="9:13" x14ac:dyDescent="0.25">
      <c r="I68" s="31"/>
      <c r="J68" s="11">
        <v>2201</v>
      </c>
      <c r="K68" s="2" t="s">
        <v>19</v>
      </c>
      <c r="L68" s="3">
        <f>M67</f>
        <v>6300500</v>
      </c>
      <c r="M68" s="3"/>
    </row>
    <row r="69" spans="9:13" x14ac:dyDescent="0.25">
      <c r="K69" s="4" t="s">
        <v>35</v>
      </c>
      <c r="L69" s="3">
        <f>SUM(L4:L68)</f>
        <v>311993800</v>
      </c>
      <c r="M69" s="3">
        <f>SUM(M4:M68)</f>
        <v>311993800</v>
      </c>
    </row>
  </sheetData>
  <mergeCells count="30">
    <mergeCell ref="B46:F46"/>
    <mergeCell ref="B2:F2"/>
    <mergeCell ref="B4:B8"/>
    <mergeCell ref="B9:B11"/>
    <mergeCell ref="B13:B19"/>
    <mergeCell ref="B20:B22"/>
    <mergeCell ref="I12:I18"/>
    <mergeCell ref="I39:I43"/>
    <mergeCell ref="B34:F34"/>
    <mergeCell ref="B35:B40"/>
    <mergeCell ref="B42:F42"/>
    <mergeCell ref="B43:F45"/>
    <mergeCell ref="B24:F25"/>
    <mergeCell ref="B27:B32"/>
    <mergeCell ref="B47:B52"/>
    <mergeCell ref="I2:M2"/>
    <mergeCell ref="I67:I68"/>
    <mergeCell ref="N2:Q10"/>
    <mergeCell ref="I19:I24"/>
    <mergeCell ref="I25:I28"/>
    <mergeCell ref="I29:I32"/>
    <mergeCell ref="I33:I34"/>
    <mergeCell ref="I35:I38"/>
    <mergeCell ref="I44:I48"/>
    <mergeCell ref="I49:I50"/>
    <mergeCell ref="I51:I54"/>
    <mergeCell ref="I55:I60"/>
    <mergeCell ref="I61:I66"/>
    <mergeCell ref="I4:I9"/>
    <mergeCell ref="I10:I1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DAD5B-6850-4ED3-B731-BD4FACACBA1F}">
  <dimension ref="B1:R59"/>
  <sheetViews>
    <sheetView topLeftCell="B1" zoomScaleNormal="100" workbookViewId="0">
      <selection activeCell="Q18" sqref="Q18"/>
    </sheetView>
  </sheetViews>
  <sheetFormatPr baseColWidth="10" defaultRowHeight="15" x14ac:dyDescent="0.25"/>
  <cols>
    <col min="4" max="4" width="22.85546875" customWidth="1"/>
    <col min="7" max="7" width="2.85546875" customWidth="1"/>
    <col min="8" max="11" width="11.42578125" hidden="1" customWidth="1"/>
    <col min="12" max="12" width="8.7109375" customWidth="1"/>
    <col min="14" max="14" width="21" customWidth="1"/>
    <col min="17" max="17" width="30.140625" customWidth="1"/>
    <col min="18" max="18" width="13.140625" bestFit="1" customWidth="1"/>
  </cols>
  <sheetData>
    <row r="1" spans="2:18" x14ac:dyDescent="0.25">
      <c r="B1" s="30" t="s">
        <v>38</v>
      </c>
      <c r="C1" s="30"/>
      <c r="D1" s="30"/>
      <c r="E1" s="30"/>
      <c r="F1" s="30"/>
      <c r="G1" s="14"/>
      <c r="H1" s="14"/>
      <c r="I1" s="14"/>
      <c r="J1" s="14"/>
      <c r="L1" s="43" t="s">
        <v>39</v>
      </c>
      <c r="M1" s="43"/>
      <c r="N1" s="43"/>
      <c r="O1" s="43"/>
      <c r="P1" s="43"/>
    </row>
    <row r="2" spans="2:18" x14ac:dyDescent="0.25">
      <c r="B2" s="30" t="s">
        <v>9</v>
      </c>
      <c r="C2" s="30"/>
      <c r="D2" s="30"/>
      <c r="E2" s="30"/>
      <c r="F2" s="30"/>
      <c r="G2" s="14"/>
      <c r="H2" s="14"/>
      <c r="I2" s="14"/>
      <c r="J2" s="14"/>
      <c r="L2" s="43" t="s">
        <v>9</v>
      </c>
      <c r="M2" s="43"/>
      <c r="N2" s="43"/>
      <c r="O2" s="43"/>
      <c r="P2" s="43"/>
      <c r="Q2" s="30" t="s">
        <v>10</v>
      </c>
      <c r="R2" s="30"/>
    </row>
    <row r="3" spans="2:18" x14ac:dyDescent="0.25">
      <c r="B3" s="36" t="s">
        <v>36</v>
      </c>
      <c r="C3" s="37"/>
      <c r="D3" s="37"/>
      <c r="E3" s="37"/>
      <c r="F3" s="38"/>
      <c r="G3" s="14"/>
      <c r="H3" s="14"/>
      <c r="I3" s="14"/>
      <c r="J3" s="14"/>
      <c r="L3" s="44" t="s">
        <v>36</v>
      </c>
      <c r="M3" s="45"/>
      <c r="N3" s="45"/>
      <c r="O3" s="45"/>
      <c r="P3" s="46"/>
      <c r="Q3" s="2" t="s">
        <v>11</v>
      </c>
      <c r="R3" s="3">
        <v>2000000</v>
      </c>
    </row>
    <row r="4" spans="2:18" x14ac:dyDescent="0.25">
      <c r="B4" s="5" t="s">
        <v>5</v>
      </c>
      <c r="C4" s="5" t="s">
        <v>8</v>
      </c>
      <c r="D4" s="5" t="s">
        <v>6</v>
      </c>
      <c r="E4" s="5" t="s">
        <v>4</v>
      </c>
      <c r="F4" s="5" t="s">
        <v>7</v>
      </c>
      <c r="G4" s="14"/>
      <c r="H4" s="14"/>
      <c r="I4" s="14"/>
      <c r="J4" s="14"/>
      <c r="L4" s="5" t="s">
        <v>5</v>
      </c>
      <c r="M4" s="5" t="s">
        <v>8</v>
      </c>
      <c r="N4" s="5" t="s">
        <v>6</v>
      </c>
      <c r="O4" s="5" t="s">
        <v>4</v>
      </c>
      <c r="P4" s="5" t="s">
        <v>7</v>
      </c>
      <c r="Q4" s="2" t="s">
        <v>12</v>
      </c>
      <c r="R4" s="3">
        <f>O5+O13+O22+O10</f>
        <v>16785000</v>
      </c>
    </row>
    <row r="5" spans="2:18" x14ac:dyDescent="0.25">
      <c r="B5" s="29">
        <v>1</v>
      </c>
      <c r="C5" s="12">
        <v>1408</v>
      </c>
      <c r="D5" s="2" t="s">
        <v>16</v>
      </c>
      <c r="E5" s="3">
        <f>90000*100</f>
        <v>9000000</v>
      </c>
      <c r="F5" s="3"/>
      <c r="G5" s="9"/>
      <c r="H5" s="9"/>
      <c r="I5" s="9"/>
      <c r="J5" s="9"/>
      <c r="L5" s="29">
        <v>1</v>
      </c>
      <c r="M5" s="12">
        <v>6201</v>
      </c>
      <c r="N5" s="2" t="s">
        <v>0</v>
      </c>
      <c r="O5" s="3">
        <v>5000000</v>
      </c>
      <c r="P5" s="3"/>
      <c r="Q5" s="2" t="s">
        <v>14</v>
      </c>
      <c r="R5" s="3">
        <f>R4+R3</f>
        <v>18785000</v>
      </c>
    </row>
    <row r="6" spans="2:18" x14ac:dyDescent="0.25">
      <c r="B6" s="29"/>
      <c r="C6" s="12">
        <v>2404</v>
      </c>
      <c r="D6" s="2" t="s">
        <v>26</v>
      </c>
      <c r="E6" s="3">
        <f>E5*19%</f>
        <v>1710000</v>
      </c>
      <c r="F6" s="3"/>
      <c r="G6" s="9"/>
      <c r="H6" s="9"/>
      <c r="I6" s="9"/>
      <c r="J6" s="9"/>
      <c r="L6" s="29"/>
      <c r="M6" s="12">
        <v>2404</v>
      </c>
      <c r="N6" s="2" t="s">
        <v>26</v>
      </c>
      <c r="O6" s="3">
        <f>O5*19%</f>
        <v>950000</v>
      </c>
      <c r="P6" s="3"/>
      <c r="Q6" s="2" t="s">
        <v>13</v>
      </c>
      <c r="R6" s="3">
        <v>1800000</v>
      </c>
    </row>
    <row r="7" spans="2:18" x14ac:dyDescent="0.25">
      <c r="B7" s="29"/>
      <c r="C7" s="12">
        <v>2423</v>
      </c>
      <c r="D7" s="2" t="s">
        <v>25</v>
      </c>
      <c r="E7" s="3"/>
      <c r="F7" s="3">
        <f>E6*15%</f>
        <v>256500</v>
      </c>
      <c r="G7" s="9"/>
      <c r="H7" s="9"/>
      <c r="I7" s="9"/>
      <c r="J7" s="9"/>
      <c r="L7" s="29"/>
      <c r="M7" s="12">
        <v>2423</v>
      </c>
      <c r="N7" s="2" t="s">
        <v>25</v>
      </c>
      <c r="O7" s="3"/>
      <c r="P7" s="3">
        <f>O6*15%</f>
        <v>142500</v>
      </c>
      <c r="Q7" s="2" t="s">
        <v>15</v>
      </c>
      <c r="R7" s="3">
        <f>R5-R6</f>
        <v>16985000</v>
      </c>
    </row>
    <row r="8" spans="2:18" x14ac:dyDescent="0.25">
      <c r="B8" s="29"/>
      <c r="C8" s="12">
        <v>242208</v>
      </c>
      <c r="D8" s="2" t="s">
        <v>30</v>
      </c>
      <c r="E8" s="3"/>
      <c r="F8" s="3">
        <f>E5*2.5%</f>
        <v>225000</v>
      </c>
      <c r="G8" s="9"/>
      <c r="H8" s="9"/>
      <c r="I8" s="9"/>
      <c r="J8" s="9"/>
      <c r="L8" s="29"/>
      <c r="M8" s="12">
        <v>2201</v>
      </c>
      <c r="N8" s="2" t="s">
        <v>19</v>
      </c>
      <c r="O8" s="3"/>
      <c r="P8" s="3">
        <f>O5+O6-P7</f>
        <v>5807500</v>
      </c>
    </row>
    <row r="9" spans="2:18" x14ac:dyDescent="0.25">
      <c r="B9" s="29"/>
      <c r="C9" s="12">
        <v>2424</v>
      </c>
      <c r="D9" s="2" t="s">
        <v>18</v>
      </c>
      <c r="E9" s="3"/>
      <c r="F9" s="3">
        <f>E5*2/(1000)</f>
        <v>18000</v>
      </c>
      <c r="G9" s="9"/>
      <c r="H9" s="9"/>
      <c r="I9" s="9"/>
      <c r="J9" s="9"/>
      <c r="Q9" s="47" t="s">
        <v>40</v>
      </c>
      <c r="R9" s="47"/>
    </row>
    <row r="10" spans="2:18" x14ac:dyDescent="0.25">
      <c r="B10" s="29"/>
      <c r="C10" s="12">
        <v>2201</v>
      </c>
      <c r="D10" s="2" t="s">
        <v>19</v>
      </c>
      <c r="E10" s="3"/>
      <c r="F10" s="3">
        <f>E5+E6-F7-F8-F9</f>
        <v>10210500</v>
      </c>
      <c r="G10" s="9"/>
      <c r="H10" s="9"/>
      <c r="I10" s="9"/>
      <c r="J10" s="9"/>
      <c r="L10" s="33">
        <v>2</v>
      </c>
      <c r="M10" s="11">
        <v>6201</v>
      </c>
      <c r="N10" s="2" t="s">
        <v>0</v>
      </c>
      <c r="O10" s="3">
        <v>4000000</v>
      </c>
      <c r="P10" s="3"/>
      <c r="Q10" s="7" t="s">
        <v>41</v>
      </c>
      <c r="R10">
        <v>30000000</v>
      </c>
    </row>
    <row r="11" spans="2:18" x14ac:dyDescent="0.25">
      <c r="L11" s="35"/>
      <c r="M11" s="11">
        <v>22</v>
      </c>
      <c r="N11" s="2" t="s">
        <v>19</v>
      </c>
      <c r="O11" s="3"/>
      <c r="P11" s="3">
        <f>O10</f>
        <v>4000000</v>
      </c>
      <c r="Q11" s="7" t="s">
        <v>42</v>
      </c>
      <c r="R11" s="9">
        <f>R7</f>
        <v>16985000</v>
      </c>
    </row>
    <row r="12" spans="2:18" x14ac:dyDescent="0.25">
      <c r="B12" s="29">
        <v>2</v>
      </c>
      <c r="C12" s="12">
        <v>1408</v>
      </c>
      <c r="D12" s="2" t="s">
        <v>16</v>
      </c>
      <c r="E12" s="3"/>
      <c r="F12" s="3">
        <f>90000*6</f>
        <v>540000</v>
      </c>
      <c r="G12" s="9"/>
      <c r="H12" s="9"/>
      <c r="I12" s="9"/>
      <c r="J12" s="9"/>
      <c r="Q12" s="7" t="s">
        <v>43</v>
      </c>
      <c r="R12" s="9">
        <f>R10-R11</f>
        <v>13015000</v>
      </c>
    </row>
    <row r="13" spans="2:18" x14ac:dyDescent="0.25">
      <c r="B13" s="29"/>
      <c r="C13" s="12">
        <v>2404</v>
      </c>
      <c r="D13" s="2" t="s">
        <v>26</v>
      </c>
      <c r="E13" s="3"/>
      <c r="F13" s="3">
        <f>F12*19%</f>
        <v>102600</v>
      </c>
      <c r="G13" s="9"/>
      <c r="H13" s="9"/>
      <c r="I13" s="9"/>
      <c r="J13" s="9"/>
      <c r="L13" s="33">
        <v>3</v>
      </c>
      <c r="M13" s="11">
        <v>6201</v>
      </c>
      <c r="N13" s="2" t="s">
        <v>0</v>
      </c>
      <c r="O13" s="3">
        <v>6000000</v>
      </c>
      <c r="P13" s="3"/>
      <c r="Q13" s="7" t="s">
        <v>45</v>
      </c>
      <c r="R13" s="9">
        <v>5000000</v>
      </c>
    </row>
    <row r="14" spans="2:18" x14ac:dyDescent="0.25">
      <c r="B14" s="29"/>
      <c r="C14" s="12">
        <v>2423</v>
      </c>
      <c r="D14" s="2" t="s">
        <v>29</v>
      </c>
      <c r="E14" s="3">
        <f>F13*15%</f>
        <v>15390</v>
      </c>
      <c r="F14" s="3"/>
      <c r="G14" s="9"/>
      <c r="H14" s="9"/>
      <c r="I14" s="9"/>
      <c r="J14" s="9"/>
      <c r="L14" s="34"/>
      <c r="M14" s="11">
        <v>2404</v>
      </c>
      <c r="N14" s="2" t="s">
        <v>26</v>
      </c>
      <c r="O14" s="3">
        <f>O13*19%</f>
        <v>1140000</v>
      </c>
      <c r="P14" s="3"/>
      <c r="Q14" s="7" t="s">
        <v>44</v>
      </c>
      <c r="R14" s="9">
        <v>3000000</v>
      </c>
    </row>
    <row r="15" spans="2:18" x14ac:dyDescent="0.25">
      <c r="B15" s="29"/>
      <c r="C15" s="12">
        <v>242208</v>
      </c>
      <c r="D15" s="2" t="s">
        <v>30</v>
      </c>
      <c r="E15" s="3">
        <f>F12*2.5%</f>
        <v>13500</v>
      </c>
      <c r="F15" s="3"/>
      <c r="G15" s="9"/>
      <c r="H15" s="9"/>
      <c r="I15" s="9"/>
      <c r="J15" s="9"/>
      <c r="L15" s="34"/>
      <c r="M15" s="11">
        <v>242208</v>
      </c>
      <c r="N15" s="2" t="s">
        <v>17</v>
      </c>
      <c r="O15" s="3"/>
      <c r="P15" s="3">
        <f>O13*2.5%</f>
        <v>150000</v>
      </c>
      <c r="Q15" s="7" t="s">
        <v>46</v>
      </c>
      <c r="R15" s="9">
        <f>R12-R13-R14</f>
        <v>5015000</v>
      </c>
    </row>
    <row r="16" spans="2:18" x14ac:dyDescent="0.25">
      <c r="B16" s="29"/>
      <c r="C16" s="12">
        <v>2424</v>
      </c>
      <c r="D16" s="2" t="s">
        <v>18</v>
      </c>
      <c r="E16" s="3">
        <f>F12*2/(1000)</f>
        <v>1080</v>
      </c>
      <c r="F16" s="3"/>
      <c r="G16" s="9"/>
      <c r="H16" s="9"/>
      <c r="I16" s="9"/>
      <c r="J16" s="9"/>
      <c r="L16" s="34"/>
      <c r="M16" s="11">
        <v>2424</v>
      </c>
      <c r="N16" s="2" t="s">
        <v>18</v>
      </c>
      <c r="O16" s="3"/>
      <c r="P16" s="3">
        <f>O13*2/(1000)</f>
        <v>12000</v>
      </c>
    </row>
    <row r="17" spans="2:16" x14ac:dyDescent="0.25">
      <c r="B17" s="29"/>
      <c r="C17" s="12">
        <v>22</v>
      </c>
      <c r="D17" s="2" t="s">
        <v>19</v>
      </c>
      <c r="E17" s="3">
        <f>F12+F13-E14-E15-E16</f>
        <v>612630</v>
      </c>
      <c r="F17" s="3"/>
      <c r="G17" s="9"/>
      <c r="H17" s="9"/>
      <c r="I17" s="9"/>
      <c r="J17" s="9"/>
      <c r="L17" s="35"/>
      <c r="M17" s="11">
        <v>22</v>
      </c>
      <c r="N17" s="2" t="s">
        <v>19</v>
      </c>
      <c r="O17" s="3"/>
      <c r="P17" s="3">
        <f>O13+O14-P15-P16</f>
        <v>6978000</v>
      </c>
    </row>
    <row r="19" spans="2:16" x14ac:dyDescent="0.25">
      <c r="B19" s="40">
        <v>3</v>
      </c>
      <c r="C19" s="6">
        <v>1102</v>
      </c>
      <c r="D19" s="2" t="s">
        <v>21</v>
      </c>
      <c r="E19" s="3"/>
      <c r="F19" s="3">
        <f>F10-E17</f>
        <v>9597870</v>
      </c>
      <c r="G19" s="9"/>
      <c r="H19" s="9"/>
      <c r="I19" s="9"/>
      <c r="J19" s="9"/>
      <c r="L19" s="40">
        <v>4</v>
      </c>
      <c r="M19" s="6">
        <v>1102</v>
      </c>
      <c r="N19" s="2" t="s">
        <v>21</v>
      </c>
      <c r="O19" s="3"/>
      <c r="P19" s="3">
        <f>P17</f>
        <v>6978000</v>
      </c>
    </row>
    <row r="20" spans="2:16" x14ac:dyDescent="0.25">
      <c r="B20" s="42"/>
      <c r="C20" s="6">
        <v>2201</v>
      </c>
      <c r="D20" s="2" t="s">
        <v>19</v>
      </c>
      <c r="E20" s="3">
        <f>F19</f>
        <v>9597870</v>
      </c>
      <c r="F20" s="3"/>
      <c r="G20" s="9"/>
      <c r="H20" s="9"/>
      <c r="I20" s="9"/>
      <c r="J20" s="9"/>
      <c r="L20" s="42"/>
      <c r="M20" s="6">
        <v>2201</v>
      </c>
      <c r="N20" s="2" t="s">
        <v>19</v>
      </c>
      <c r="O20" s="3">
        <f>P19</f>
        <v>6978000</v>
      </c>
      <c r="P20" s="3"/>
    </row>
    <row r="21" spans="2:16" x14ac:dyDescent="0.25">
      <c r="C21" s="13"/>
    </row>
    <row r="22" spans="2:16" x14ac:dyDescent="0.25">
      <c r="B22" s="33">
        <v>4</v>
      </c>
      <c r="C22" s="11">
        <v>1408</v>
      </c>
      <c r="D22" s="2" t="s">
        <v>16</v>
      </c>
      <c r="E22" s="3">
        <f>6120000</f>
        <v>6120000</v>
      </c>
      <c r="F22" s="3"/>
      <c r="G22" s="9"/>
      <c r="H22" s="9"/>
      <c r="I22" s="9"/>
      <c r="J22" s="9"/>
      <c r="L22" s="33">
        <v>5</v>
      </c>
      <c r="M22" s="11">
        <v>6201</v>
      </c>
      <c r="N22" s="2" t="s">
        <v>0</v>
      </c>
      <c r="O22" s="3">
        <v>1785000</v>
      </c>
      <c r="P22" s="3"/>
    </row>
    <row r="23" spans="2:16" x14ac:dyDescent="0.25">
      <c r="B23" s="34"/>
      <c r="C23" s="11">
        <v>2404</v>
      </c>
      <c r="D23" s="2" t="s">
        <v>26</v>
      </c>
      <c r="E23" s="3">
        <f>E22*19%</f>
        <v>1162800</v>
      </c>
      <c r="F23" s="3"/>
      <c r="G23" s="9"/>
      <c r="H23" s="9"/>
      <c r="I23" s="9"/>
      <c r="J23" s="9"/>
      <c r="L23" s="35"/>
      <c r="M23" s="11">
        <v>22</v>
      </c>
      <c r="N23" s="2" t="s">
        <v>19</v>
      </c>
      <c r="O23" s="3"/>
      <c r="P23" s="3">
        <f>O22</f>
        <v>1785000</v>
      </c>
    </row>
    <row r="24" spans="2:16" x14ac:dyDescent="0.25">
      <c r="B24" s="34"/>
      <c r="C24" s="11">
        <v>242208</v>
      </c>
      <c r="D24" s="2" t="s">
        <v>17</v>
      </c>
      <c r="E24" s="3"/>
      <c r="F24" s="3">
        <f>E22*2.5%</f>
        <v>153000</v>
      </c>
      <c r="G24" s="9"/>
      <c r="H24" s="9"/>
      <c r="I24" s="9"/>
      <c r="J24" s="9"/>
    </row>
    <row r="25" spans="2:16" x14ac:dyDescent="0.25">
      <c r="B25" s="34"/>
      <c r="C25" s="11">
        <v>2424</v>
      </c>
      <c r="D25" s="2" t="s">
        <v>18</v>
      </c>
      <c r="E25" s="3"/>
      <c r="F25" s="3">
        <f>E22*2/(1000)</f>
        <v>12240</v>
      </c>
      <c r="G25" s="9"/>
      <c r="H25" s="9"/>
      <c r="I25" s="9"/>
      <c r="J25" s="9"/>
      <c r="L25" s="7"/>
      <c r="M25" s="7"/>
    </row>
    <row r="26" spans="2:16" x14ac:dyDescent="0.25">
      <c r="B26" s="35"/>
      <c r="C26" s="11">
        <v>22</v>
      </c>
      <c r="D26" s="2" t="s">
        <v>19</v>
      </c>
      <c r="E26" s="3"/>
      <c r="F26" s="3">
        <f>E22+E23-F24-F25</f>
        <v>7117560</v>
      </c>
      <c r="G26" s="9"/>
      <c r="H26" s="9"/>
      <c r="I26" s="9"/>
      <c r="J26" s="9"/>
      <c r="M26" s="9"/>
    </row>
    <row r="27" spans="2:16" x14ac:dyDescent="0.25">
      <c r="B27" s="40" t="s">
        <v>37</v>
      </c>
      <c r="C27" s="6">
        <v>1102</v>
      </c>
      <c r="D27" s="2" t="s">
        <v>21</v>
      </c>
      <c r="E27" s="3"/>
      <c r="F27" s="3">
        <f>F26</f>
        <v>7117560</v>
      </c>
      <c r="G27" s="9"/>
      <c r="H27" s="9"/>
      <c r="I27" s="9"/>
      <c r="J27" s="9"/>
      <c r="M27" s="9"/>
    </row>
    <row r="28" spans="2:16" x14ac:dyDescent="0.25">
      <c r="B28" s="42"/>
      <c r="C28" s="6">
        <v>2201</v>
      </c>
      <c r="D28" s="2" t="s">
        <v>19</v>
      </c>
      <c r="E28" s="3">
        <f>F27</f>
        <v>7117560</v>
      </c>
      <c r="F28" s="3"/>
      <c r="G28" s="9"/>
      <c r="H28" s="9"/>
      <c r="I28" s="9"/>
      <c r="J28" s="9"/>
      <c r="M28" s="9"/>
    </row>
    <row r="29" spans="2:16" x14ac:dyDescent="0.25">
      <c r="M29" s="9"/>
    </row>
    <row r="30" spans="2:16" x14ac:dyDescent="0.25">
      <c r="B30" s="33">
        <v>5</v>
      </c>
      <c r="C30" s="11">
        <v>1408</v>
      </c>
      <c r="D30" s="2" t="s">
        <v>16</v>
      </c>
      <c r="E30" s="3">
        <f>130000*30</f>
        <v>3900000</v>
      </c>
      <c r="F30" s="3"/>
      <c r="G30" s="9"/>
      <c r="H30" s="9"/>
      <c r="I30" s="9"/>
      <c r="J30" s="9"/>
    </row>
    <row r="31" spans="2:16" x14ac:dyDescent="0.25">
      <c r="B31" s="34"/>
      <c r="C31" s="11">
        <v>2404</v>
      </c>
      <c r="D31" s="2" t="s">
        <v>26</v>
      </c>
      <c r="E31" s="3">
        <f>E30*19%</f>
        <v>741000</v>
      </c>
      <c r="F31" s="3"/>
      <c r="G31" s="9"/>
      <c r="H31" s="9"/>
      <c r="I31" s="9"/>
      <c r="J31" s="9"/>
    </row>
    <row r="32" spans="2:16" x14ac:dyDescent="0.25">
      <c r="B32" s="34"/>
      <c r="C32" s="11">
        <v>242208</v>
      </c>
      <c r="D32" s="2" t="s">
        <v>17</v>
      </c>
      <c r="E32" s="3"/>
      <c r="F32" s="3">
        <f>E30*2.5%</f>
        <v>97500</v>
      </c>
      <c r="G32" s="9"/>
      <c r="H32" s="9"/>
      <c r="I32" s="9"/>
      <c r="J32" s="9"/>
    </row>
    <row r="33" spans="2:10" x14ac:dyDescent="0.25">
      <c r="B33" s="34"/>
      <c r="C33" s="11">
        <v>2424</v>
      </c>
      <c r="D33" s="2" t="s">
        <v>18</v>
      </c>
      <c r="E33" s="3"/>
      <c r="F33" s="3">
        <f>E30*2/(1000)</f>
        <v>7800</v>
      </c>
      <c r="G33" s="9"/>
      <c r="H33" s="9"/>
      <c r="I33" s="9"/>
      <c r="J33" s="9"/>
    </row>
    <row r="34" spans="2:10" x14ac:dyDescent="0.25">
      <c r="B34" s="35"/>
      <c r="C34" s="11">
        <v>22</v>
      </c>
      <c r="D34" s="2" t="s">
        <v>19</v>
      </c>
      <c r="E34" s="3"/>
      <c r="F34" s="3">
        <f>E30+E31-F32-F33</f>
        <v>4535700</v>
      </c>
      <c r="G34" s="9"/>
      <c r="H34" s="9"/>
      <c r="I34" s="9"/>
      <c r="J34" s="9"/>
    </row>
    <row r="36" spans="2:10" x14ac:dyDescent="0.25">
      <c r="B36" s="33">
        <v>6</v>
      </c>
      <c r="C36" s="11">
        <v>1408</v>
      </c>
      <c r="D36" s="2" t="s">
        <v>16</v>
      </c>
      <c r="E36" s="3">
        <f>55000*40</f>
        <v>2200000</v>
      </c>
      <c r="F36" s="3"/>
      <c r="G36" s="9"/>
      <c r="H36" s="9"/>
      <c r="I36" s="9"/>
      <c r="J36" s="9"/>
    </row>
    <row r="37" spans="2:10" x14ac:dyDescent="0.25">
      <c r="B37" s="35"/>
      <c r="C37" s="11">
        <v>22</v>
      </c>
      <c r="D37" s="2" t="s">
        <v>19</v>
      </c>
      <c r="E37" s="3"/>
      <c r="F37" s="3">
        <f>E36</f>
        <v>2200000</v>
      </c>
      <c r="G37" s="9"/>
      <c r="H37" s="9"/>
      <c r="I37" s="9"/>
      <c r="J37" s="9"/>
    </row>
    <row r="39" spans="2:10" x14ac:dyDescent="0.25">
      <c r="B39" s="33">
        <v>7</v>
      </c>
      <c r="C39" s="11">
        <v>1408</v>
      </c>
      <c r="D39" s="2" t="s">
        <v>16</v>
      </c>
      <c r="E39" s="3"/>
      <c r="F39" s="3">
        <f>55000*5</f>
        <v>275000</v>
      </c>
      <c r="G39" s="9"/>
      <c r="H39" s="9"/>
      <c r="I39" s="9"/>
      <c r="J39" s="9"/>
    </row>
    <row r="40" spans="2:10" x14ac:dyDescent="0.25">
      <c r="B40" s="35"/>
      <c r="C40" s="11">
        <v>22</v>
      </c>
      <c r="D40" s="2" t="s">
        <v>19</v>
      </c>
      <c r="E40" s="3">
        <f>F39</f>
        <v>275000</v>
      </c>
      <c r="F40" s="3"/>
      <c r="G40" s="9"/>
      <c r="H40" s="9"/>
      <c r="I40" s="9"/>
      <c r="J40" s="9"/>
    </row>
    <row r="42" spans="2:10" x14ac:dyDescent="0.25">
      <c r="B42" s="33">
        <v>8</v>
      </c>
      <c r="C42" s="6">
        <v>1102</v>
      </c>
      <c r="D42" s="2" t="s">
        <v>21</v>
      </c>
      <c r="E42" s="3"/>
      <c r="F42" s="3">
        <f>F37-E40</f>
        <v>1925000</v>
      </c>
      <c r="G42" s="9"/>
      <c r="H42" s="9"/>
      <c r="I42" s="9"/>
      <c r="J42" s="9"/>
    </row>
    <row r="43" spans="2:10" x14ac:dyDescent="0.25">
      <c r="B43" s="35"/>
      <c r="C43" s="6">
        <v>2201</v>
      </c>
      <c r="D43" s="2" t="s">
        <v>19</v>
      </c>
      <c r="E43" s="3">
        <f>F42</f>
        <v>1925000</v>
      </c>
      <c r="F43" s="3"/>
      <c r="G43" s="9"/>
      <c r="H43" s="9"/>
      <c r="I43" s="9"/>
      <c r="J43" s="9"/>
    </row>
    <row r="45" spans="2:10" x14ac:dyDescent="0.25">
      <c r="B45" s="29">
        <v>9</v>
      </c>
      <c r="C45" s="11">
        <v>1408</v>
      </c>
      <c r="D45" s="2" t="s">
        <v>16</v>
      </c>
      <c r="E45" s="3">
        <f>4000000</f>
        <v>4000000</v>
      </c>
      <c r="F45" s="3"/>
      <c r="G45" s="9"/>
      <c r="H45" s="9"/>
      <c r="I45" s="9"/>
      <c r="J45" s="9"/>
    </row>
    <row r="46" spans="2:10" x14ac:dyDescent="0.25">
      <c r="B46" s="29"/>
      <c r="C46" s="11">
        <v>2404</v>
      </c>
      <c r="D46" s="2" t="s">
        <v>26</v>
      </c>
      <c r="E46" s="3">
        <f>E45*19%</f>
        <v>760000</v>
      </c>
      <c r="F46" s="3"/>
      <c r="G46" s="9"/>
      <c r="H46" s="9"/>
      <c r="I46" s="9"/>
      <c r="J46" s="9"/>
    </row>
    <row r="47" spans="2:10" x14ac:dyDescent="0.25">
      <c r="B47" s="29"/>
      <c r="C47" s="11">
        <v>242208</v>
      </c>
      <c r="D47" s="2" t="s">
        <v>17</v>
      </c>
      <c r="E47" s="3"/>
      <c r="F47" s="3">
        <f>E45*2.5%</f>
        <v>100000</v>
      </c>
      <c r="G47" s="9"/>
      <c r="H47" s="9"/>
      <c r="I47" s="9"/>
      <c r="J47" s="9"/>
    </row>
    <row r="48" spans="2:10" x14ac:dyDescent="0.25">
      <c r="B48" s="29"/>
      <c r="C48" s="6">
        <v>2201</v>
      </c>
      <c r="D48" s="2" t="s">
        <v>19</v>
      </c>
      <c r="E48" s="3"/>
      <c r="F48" s="3">
        <f>E45+E46-F47</f>
        <v>4660000</v>
      </c>
      <c r="G48" s="9"/>
      <c r="H48" s="9"/>
      <c r="I48" s="9"/>
      <c r="J48" s="9"/>
    </row>
    <row r="50" spans="2:10" x14ac:dyDescent="0.25">
      <c r="B50" s="29">
        <v>10</v>
      </c>
      <c r="C50" s="11">
        <v>1408</v>
      </c>
      <c r="D50" s="2" t="s">
        <v>16</v>
      </c>
      <c r="E50" s="3"/>
      <c r="F50" s="3">
        <f>4000000*15%</f>
        <v>600000</v>
      </c>
      <c r="G50" s="9"/>
      <c r="H50" s="9"/>
      <c r="I50" s="9"/>
      <c r="J50" s="9"/>
    </row>
    <row r="51" spans="2:10" x14ac:dyDescent="0.25">
      <c r="B51" s="29"/>
      <c r="C51" s="11">
        <v>2404</v>
      </c>
      <c r="D51" s="2" t="s">
        <v>26</v>
      </c>
      <c r="E51" s="3"/>
      <c r="F51" s="3">
        <f>F50*19%</f>
        <v>114000</v>
      </c>
      <c r="G51" s="9"/>
      <c r="H51" s="9"/>
      <c r="I51" s="9"/>
      <c r="J51" s="9"/>
    </row>
    <row r="52" spans="2:10" x14ac:dyDescent="0.25">
      <c r="B52" s="29"/>
      <c r="C52" s="11">
        <v>242208</v>
      </c>
      <c r="D52" s="2" t="s">
        <v>17</v>
      </c>
      <c r="E52" s="3">
        <f>F50*2.5%</f>
        <v>15000</v>
      </c>
      <c r="F52" s="3"/>
      <c r="G52" s="9"/>
      <c r="H52" s="9"/>
      <c r="I52" s="9"/>
      <c r="J52" s="9"/>
    </row>
    <row r="53" spans="2:10" x14ac:dyDescent="0.25">
      <c r="B53" s="29"/>
      <c r="C53" s="6">
        <v>2201</v>
      </c>
      <c r="D53" s="2" t="s">
        <v>19</v>
      </c>
      <c r="E53" s="3">
        <f>F50+F51-E52</f>
        <v>699000</v>
      </c>
      <c r="F53" s="3"/>
      <c r="G53" s="9"/>
      <c r="H53" s="9"/>
      <c r="I53" s="9"/>
      <c r="J53" s="9"/>
    </row>
    <row r="55" spans="2:10" x14ac:dyDescent="0.25">
      <c r="B55" s="33">
        <v>11</v>
      </c>
      <c r="C55" s="6">
        <v>1102</v>
      </c>
      <c r="D55" s="2" t="s">
        <v>21</v>
      </c>
      <c r="E55" s="3"/>
      <c r="F55" s="3">
        <f>F48-E53</f>
        <v>3961000</v>
      </c>
      <c r="G55" s="9"/>
      <c r="H55" s="9"/>
      <c r="I55" s="9"/>
      <c r="J55" s="9"/>
    </row>
    <row r="56" spans="2:10" x14ac:dyDescent="0.25">
      <c r="B56" s="34"/>
      <c r="C56" s="6">
        <v>110201</v>
      </c>
      <c r="D56" s="2" t="s">
        <v>22</v>
      </c>
      <c r="E56" s="3"/>
      <c r="F56" s="3"/>
      <c r="G56" s="9"/>
      <c r="H56" s="9"/>
      <c r="I56" s="9"/>
      <c r="J56" s="9"/>
    </row>
    <row r="57" spans="2:10" x14ac:dyDescent="0.25">
      <c r="B57" s="35"/>
      <c r="C57" s="6">
        <v>2201</v>
      </c>
      <c r="D57" s="2" t="s">
        <v>19</v>
      </c>
      <c r="E57" s="3">
        <f>F55</f>
        <v>3961000</v>
      </c>
      <c r="F57" s="3"/>
      <c r="G57" s="9"/>
      <c r="H57" s="9"/>
      <c r="I57" s="9"/>
      <c r="J57" s="9"/>
    </row>
    <row r="59" spans="2:10" x14ac:dyDescent="0.25">
      <c r="E59" s="9">
        <f>SUM(E5:E57)</f>
        <v>53826830</v>
      </c>
      <c r="F59" s="9">
        <f>SUM(F5:F57)</f>
        <v>53826830</v>
      </c>
      <c r="G59" s="9"/>
      <c r="H59" s="9"/>
      <c r="I59" s="9"/>
      <c r="J59" s="9"/>
    </row>
  </sheetData>
  <mergeCells count="25">
    <mergeCell ref="L19:L20"/>
    <mergeCell ref="L22:L23"/>
    <mergeCell ref="Q2:R2"/>
    <mergeCell ref="Q9:R9"/>
    <mergeCell ref="B50:B53"/>
    <mergeCell ref="B5:B10"/>
    <mergeCell ref="B12:B17"/>
    <mergeCell ref="B19:B20"/>
    <mergeCell ref="B45:B48"/>
    <mergeCell ref="B55:B57"/>
    <mergeCell ref="B1:F1"/>
    <mergeCell ref="L1:P1"/>
    <mergeCell ref="L2:P2"/>
    <mergeCell ref="L3:P3"/>
    <mergeCell ref="L5:L8"/>
    <mergeCell ref="L10:L11"/>
    <mergeCell ref="B22:B26"/>
    <mergeCell ref="B27:B28"/>
    <mergeCell ref="B30:B34"/>
    <mergeCell ref="B36:B37"/>
    <mergeCell ref="B39:B40"/>
    <mergeCell ref="B42:B43"/>
    <mergeCell ref="B2:F2"/>
    <mergeCell ref="L13:L17"/>
    <mergeCell ref="B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10D70-B785-4D04-8153-69F5B42A5D68}">
  <dimension ref="H2:K38"/>
  <sheetViews>
    <sheetView workbookViewId="0">
      <selection activeCell="K10" sqref="K10"/>
    </sheetView>
  </sheetViews>
  <sheetFormatPr baseColWidth="10" defaultRowHeight="15" x14ac:dyDescent="0.25"/>
  <cols>
    <col min="9" max="9" width="26.7109375" customWidth="1"/>
    <col min="10" max="10" width="24" bestFit="1" customWidth="1"/>
    <col min="11" max="11" width="16.7109375" bestFit="1" customWidth="1"/>
  </cols>
  <sheetData>
    <row r="2" spans="8:11" x14ac:dyDescent="0.25">
      <c r="I2" s="8" t="s">
        <v>47</v>
      </c>
      <c r="J2" s="16">
        <f>60000</f>
        <v>60000</v>
      </c>
      <c r="K2" s="16">
        <f>J2*2%</f>
        <v>1200</v>
      </c>
    </row>
    <row r="3" spans="8:11" x14ac:dyDescent="0.25">
      <c r="I3" s="8" t="s">
        <v>48</v>
      </c>
      <c r="J3" s="16">
        <v>400</v>
      </c>
    </row>
    <row r="4" spans="8:11" x14ac:dyDescent="0.25">
      <c r="I4" s="8" t="s">
        <v>49</v>
      </c>
      <c r="J4" s="16">
        <v>1000</v>
      </c>
    </row>
    <row r="5" spans="8:11" x14ac:dyDescent="0.25">
      <c r="I5" s="8" t="s">
        <v>50</v>
      </c>
      <c r="J5" s="16">
        <v>300</v>
      </c>
    </row>
    <row r="6" spans="8:11" x14ac:dyDescent="0.25">
      <c r="I6" s="8" t="s">
        <v>59</v>
      </c>
      <c r="J6" s="16">
        <f>J2+J3+J4+J5-K2</f>
        <v>60500</v>
      </c>
    </row>
    <row r="8" spans="8:11" ht="15" customHeight="1" x14ac:dyDescent="0.25">
      <c r="H8" s="48" t="s">
        <v>51</v>
      </c>
      <c r="I8" s="48"/>
      <c r="J8" s="48"/>
    </row>
    <row r="9" spans="8:11" x14ac:dyDescent="0.25">
      <c r="H9" s="48"/>
      <c r="I9" s="48"/>
      <c r="J9" s="48"/>
    </row>
    <row r="10" spans="8:11" x14ac:dyDescent="0.25">
      <c r="H10" s="48"/>
      <c r="I10" s="48"/>
      <c r="J10" s="48"/>
    </row>
    <row r="11" spans="8:11" x14ac:dyDescent="0.25">
      <c r="H11" s="15"/>
      <c r="I11" s="15"/>
      <c r="J11" s="15"/>
    </row>
    <row r="12" spans="8:11" x14ac:dyDescent="0.25">
      <c r="H12" s="49" t="s">
        <v>53</v>
      </c>
      <c r="I12" s="49"/>
      <c r="J12" s="49"/>
    </row>
    <row r="13" spans="8:11" x14ac:dyDescent="0.25">
      <c r="H13" s="49"/>
      <c r="I13" s="49"/>
      <c r="J13" s="49"/>
    </row>
    <row r="18" spans="9:11" x14ac:dyDescent="0.25">
      <c r="J18" s="8" t="s">
        <v>47</v>
      </c>
      <c r="K18" s="16">
        <v>110000000</v>
      </c>
    </row>
    <row r="19" spans="9:11" x14ac:dyDescent="0.25">
      <c r="J19" s="8" t="s">
        <v>50</v>
      </c>
      <c r="K19" s="16">
        <v>700000</v>
      </c>
    </row>
    <row r="20" spans="9:11" x14ac:dyDescent="0.25">
      <c r="J20" s="8" t="s">
        <v>52</v>
      </c>
      <c r="K20" s="16">
        <v>3300000</v>
      </c>
    </row>
    <row r="21" spans="9:11" x14ac:dyDescent="0.25">
      <c r="J21" s="8" t="s">
        <v>54</v>
      </c>
      <c r="K21" s="16">
        <f>SUM(K18:K20)</f>
        <v>114000000</v>
      </c>
    </row>
    <row r="26" spans="9:11" x14ac:dyDescent="0.25">
      <c r="I26" s="8" t="s">
        <v>47</v>
      </c>
      <c r="J26" s="16">
        <f>1400000*200/(1.19)</f>
        <v>235294117.64705884</v>
      </c>
    </row>
    <row r="27" spans="9:11" x14ac:dyDescent="0.25">
      <c r="I27" s="8" t="s">
        <v>55</v>
      </c>
      <c r="J27" s="16">
        <v>17000000</v>
      </c>
    </row>
    <row r="28" spans="9:11" x14ac:dyDescent="0.25">
      <c r="I28" s="8" t="s">
        <v>56</v>
      </c>
      <c r="J28" s="16">
        <v>1800000</v>
      </c>
    </row>
    <row r="29" spans="9:11" x14ac:dyDescent="0.25">
      <c r="I29" s="8" t="s">
        <v>57</v>
      </c>
      <c r="J29" s="16">
        <v>100000</v>
      </c>
    </row>
    <row r="30" spans="9:11" x14ac:dyDescent="0.25">
      <c r="I30" s="8" t="s">
        <v>58</v>
      </c>
      <c r="J30" s="16">
        <f>SUM(J26:J29)</f>
        <v>254194117.64705884</v>
      </c>
    </row>
    <row r="35" spans="10:11" x14ac:dyDescent="0.25">
      <c r="J35" s="8" t="s">
        <v>47</v>
      </c>
      <c r="K35" s="16">
        <v>50000000</v>
      </c>
    </row>
    <row r="36" spans="10:11" x14ac:dyDescent="0.25">
      <c r="J36" s="8" t="s">
        <v>1</v>
      </c>
      <c r="K36" s="16">
        <f>K35*19%</f>
        <v>9500000</v>
      </c>
    </row>
    <row r="37" spans="10:11" x14ac:dyDescent="0.25">
      <c r="J37" s="8" t="s">
        <v>56</v>
      </c>
      <c r="K37" s="16">
        <v>1000000</v>
      </c>
    </row>
    <row r="38" spans="10:11" x14ac:dyDescent="0.25">
      <c r="J38" s="8" t="s">
        <v>54</v>
      </c>
      <c r="K38" s="16">
        <f>SUM(K35:K37)</f>
        <v>60500000</v>
      </c>
    </row>
  </sheetData>
  <mergeCells count="2">
    <mergeCell ref="H8:J10"/>
    <mergeCell ref="H12:J1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C403D-53D5-4B36-928E-50FD3FEF338C}">
  <dimension ref="A1:J56"/>
  <sheetViews>
    <sheetView workbookViewId="0">
      <selection activeCell="G51" sqref="G51"/>
    </sheetView>
  </sheetViews>
  <sheetFormatPr baseColWidth="10" defaultRowHeight="15" x14ac:dyDescent="0.25"/>
  <cols>
    <col min="3" max="3" width="18.28515625" customWidth="1"/>
    <col min="7" max="7" width="23.85546875" customWidth="1"/>
    <col min="8" max="8" width="14.85546875" customWidth="1"/>
  </cols>
  <sheetData>
    <row r="1" spans="1:10" x14ac:dyDescent="0.25">
      <c r="A1" s="32" t="s">
        <v>60</v>
      </c>
      <c r="B1" s="32"/>
      <c r="C1" s="32"/>
      <c r="D1" s="32"/>
      <c r="E1" s="32"/>
    </row>
    <row r="2" spans="1:10" x14ac:dyDescent="0.25">
      <c r="A2" s="32"/>
      <c r="B2" s="32"/>
      <c r="C2" s="32"/>
      <c r="D2" s="32"/>
      <c r="E2" s="32"/>
      <c r="G2" s="48" t="s">
        <v>63</v>
      </c>
      <c r="H2" s="48"/>
      <c r="I2" s="48"/>
      <c r="J2" s="48"/>
    </row>
    <row r="3" spans="1:10" x14ac:dyDescent="0.25">
      <c r="A3" s="32"/>
      <c r="B3" s="32"/>
      <c r="C3" s="32"/>
      <c r="D3" s="32"/>
      <c r="E3" s="32"/>
      <c r="G3" s="48"/>
      <c r="H3" s="48"/>
      <c r="I3" s="48"/>
      <c r="J3" s="48"/>
    </row>
    <row r="4" spans="1:10" x14ac:dyDescent="0.25">
      <c r="A4" s="50" t="s">
        <v>0</v>
      </c>
      <c r="B4" s="50"/>
      <c r="C4" s="50"/>
      <c r="D4" s="50"/>
      <c r="E4" s="50"/>
      <c r="G4" s="48"/>
      <c r="H4" s="48"/>
      <c r="I4" s="48"/>
      <c r="J4" s="48"/>
    </row>
    <row r="5" spans="1:10" x14ac:dyDescent="0.25">
      <c r="A5" s="33">
        <v>1</v>
      </c>
      <c r="B5" s="11">
        <v>1408</v>
      </c>
      <c r="C5" s="2" t="s">
        <v>16</v>
      </c>
      <c r="D5" s="3">
        <f>18000*200</f>
        <v>3600000</v>
      </c>
      <c r="E5" s="3"/>
    </row>
    <row r="6" spans="1:10" x14ac:dyDescent="0.25">
      <c r="A6" s="34"/>
      <c r="B6" s="11">
        <v>2404</v>
      </c>
      <c r="C6" s="2" t="s">
        <v>26</v>
      </c>
      <c r="D6" s="3">
        <f>D5*19%</f>
        <v>684000</v>
      </c>
      <c r="E6" s="3"/>
      <c r="G6" s="50" t="s">
        <v>10</v>
      </c>
      <c r="H6" s="50"/>
    </row>
    <row r="7" spans="1:10" x14ac:dyDescent="0.25">
      <c r="A7" s="34"/>
      <c r="B7" s="11">
        <v>242208</v>
      </c>
      <c r="C7" s="2" t="s">
        <v>17</v>
      </c>
      <c r="D7" s="3"/>
      <c r="E7" s="3">
        <f>D5*2.5%</f>
        <v>90000</v>
      </c>
      <c r="G7" s="2" t="s">
        <v>11</v>
      </c>
      <c r="H7" s="3"/>
    </row>
    <row r="8" spans="1:10" x14ac:dyDescent="0.25">
      <c r="A8" s="34"/>
      <c r="B8" s="11">
        <v>2424</v>
      </c>
      <c r="C8" s="2" t="s">
        <v>18</v>
      </c>
      <c r="D8" s="3"/>
      <c r="E8" s="3">
        <f>D5*2/(1000)</f>
        <v>7200</v>
      </c>
      <c r="G8" s="2" t="s">
        <v>12</v>
      </c>
      <c r="H8" s="3"/>
    </row>
    <row r="9" spans="1:10" x14ac:dyDescent="0.25">
      <c r="A9" s="35"/>
      <c r="B9" s="11">
        <v>2201</v>
      </c>
      <c r="C9" s="2" t="s">
        <v>19</v>
      </c>
      <c r="D9" s="3"/>
      <c r="E9" s="3">
        <f>D5+D6-E7-E8</f>
        <v>4186800</v>
      </c>
      <c r="G9" s="2" t="s">
        <v>14</v>
      </c>
      <c r="H9" s="3"/>
    </row>
    <row r="10" spans="1:10" x14ac:dyDescent="0.25">
      <c r="G10" s="2" t="s">
        <v>13</v>
      </c>
      <c r="H10" s="3"/>
    </row>
    <row r="11" spans="1:10" x14ac:dyDescent="0.25">
      <c r="A11" s="48" t="s">
        <v>62</v>
      </c>
      <c r="B11" s="48"/>
      <c r="C11" s="48"/>
      <c r="D11" s="48"/>
      <c r="E11" s="48"/>
      <c r="G11" s="2" t="s">
        <v>15</v>
      </c>
      <c r="H11" s="3"/>
    </row>
    <row r="12" spans="1:10" x14ac:dyDescent="0.25">
      <c r="A12" s="48"/>
      <c r="B12" s="48"/>
      <c r="C12" s="48"/>
      <c r="D12" s="48"/>
      <c r="E12" s="48"/>
    </row>
    <row r="13" spans="1:10" x14ac:dyDescent="0.25">
      <c r="A13" s="48"/>
      <c r="B13" s="48"/>
      <c r="C13" s="48"/>
      <c r="D13" s="48"/>
      <c r="E13" s="48"/>
    </row>
    <row r="15" spans="1:10" x14ac:dyDescent="0.25">
      <c r="A15" s="50" t="s">
        <v>61</v>
      </c>
      <c r="B15" s="50"/>
      <c r="C15" s="50"/>
      <c r="D15" s="50"/>
      <c r="E15" s="50"/>
    </row>
    <row r="16" spans="1:10" x14ac:dyDescent="0.25">
      <c r="A16" s="33">
        <v>1</v>
      </c>
      <c r="B16" s="11">
        <v>4107</v>
      </c>
      <c r="C16" s="2" t="s">
        <v>16</v>
      </c>
      <c r="D16" s="3"/>
      <c r="E16" s="3">
        <f>30000*100</f>
        <v>3000000</v>
      </c>
      <c r="G16" s="51" t="s">
        <v>66</v>
      </c>
      <c r="H16" s="51"/>
    </row>
    <row r="17" spans="1:8" x14ac:dyDescent="0.25">
      <c r="A17" s="34"/>
      <c r="B17" s="11">
        <v>2404</v>
      </c>
      <c r="C17" s="2" t="s">
        <v>26</v>
      </c>
      <c r="D17" s="3"/>
      <c r="E17" s="3">
        <f>E16*19%</f>
        <v>570000</v>
      </c>
      <c r="G17" s="51"/>
      <c r="H17" s="51"/>
    </row>
    <row r="18" spans="1:8" x14ac:dyDescent="0.25">
      <c r="A18" s="34"/>
      <c r="B18" s="11">
        <v>1</v>
      </c>
      <c r="C18" s="2" t="s">
        <v>17</v>
      </c>
      <c r="D18" s="3">
        <f>E16*2.5%</f>
        <v>75000</v>
      </c>
      <c r="E18" s="3"/>
      <c r="G18" s="51"/>
      <c r="H18" s="51"/>
    </row>
    <row r="19" spans="1:8" x14ac:dyDescent="0.25">
      <c r="A19" s="34"/>
      <c r="B19" s="11">
        <v>1</v>
      </c>
      <c r="C19" s="2" t="s">
        <v>18</v>
      </c>
      <c r="D19" s="3">
        <f>E16*2/(1000)</f>
        <v>6000</v>
      </c>
      <c r="E19" s="3"/>
      <c r="G19" s="51"/>
      <c r="H19" s="51"/>
    </row>
    <row r="20" spans="1:8" x14ac:dyDescent="0.25">
      <c r="A20" s="35"/>
      <c r="B20" s="11">
        <v>13</v>
      </c>
      <c r="C20" s="2" t="s">
        <v>64</v>
      </c>
      <c r="D20" s="3">
        <f>E16+E17-D18-D19</f>
        <v>3489000</v>
      </c>
      <c r="E20" s="3"/>
    </row>
    <row r="22" spans="1:8" x14ac:dyDescent="0.25">
      <c r="A22" s="40">
        <v>2</v>
      </c>
      <c r="B22" s="11">
        <v>6107</v>
      </c>
      <c r="C22" s="2" t="s">
        <v>65</v>
      </c>
      <c r="D22" s="2">
        <f>18000*100</f>
        <v>1800000</v>
      </c>
      <c r="E22" s="2"/>
    </row>
    <row r="23" spans="1:8" x14ac:dyDescent="0.25">
      <c r="A23" s="42"/>
      <c r="B23" s="11">
        <v>1408</v>
      </c>
      <c r="C23" s="2" t="s">
        <v>16</v>
      </c>
      <c r="D23" s="2"/>
      <c r="E23" s="2">
        <f>D22</f>
        <v>1800000</v>
      </c>
    </row>
    <row r="25" spans="1:8" x14ac:dyDescent="0.25">
      <c r="A25" s="49" t="s">
        <v>67</v>
      </c>
      <c r="B25" s="49"/>
      <c r="C25" s="49"/>
      <c r="D25" s="49"/>
      <c r="E25" s="49"/>
    </row>
    <row r="26" spans="1:8" x14ac:dyDescent="0.25">
      <c r="A26" s="49"/>
      <c r="B26" s="49"/>
      <c r="C26" s="49"/>
      <c r="D26" s="49"/>
      <c r="E26" s="49"/>
    </row>
    <row r="27" spans="1:8" x14ac:dyDescent="0.25">
      <c r="A27" s="49"/>
      <c r="B27" s="49"/>
      <c r="C27" s="49"/>
      <c r="D27" s="49"/>
      <c r="E27" s="49"/>
    </row>
    <row r="29" spans="1:8" x14ac:dyDescent="0.25">
      <c r="A29" s="50" t="s">
        <v>61</v>
      </c>
      <c r="B29" s="50"/>
      <c r="C29" s="50"/>
      <c r="D29" s="50"/>
      <c r="E29" s="50"/>
    </row>
    <row r="30" spans="1:8" x14ac:dyDescent="0.25">
      <c r="A30" s="33">
        <v>1</v>
      </c>
      <c r="B30" s="11">
        <v>4107</v>
      </c>
      <c r="C30" s="2" t="s">
        <v>16</v>
      </c>
      <c r="D30" s="3"/>
      <c r="E30" s="3">
        <f>40000*50</f>
        <v>2000000</v>
      </c>
    </row>
    <row r="31" spans="1:8" x14ac:dyDescent="0.25">
      <c r="A31" s="34"/>
      <c r="B31" s="11">
        <v>2404</v>
      </c>
      <c r="C31" s="2" t="s">
        <v>26</v>
      </c>
      <c r="D31" s="3"/>
      <c r="E31" s="3">
        <f>E30*19%</f>
        <v>380000</v>
      </c>
    </row>
    <row r="32" spans="1:8" x14ac:dyDescent="0.25">
      <c r="A32" s="34"/>
      <c r="B32" s="11">
        <v>1</v>
      </c>
      <c r="C32" s="2" t="s">
        <v>17</v>
      </c>
      <c r="D32" s="3">
        <f>E30*2.5%</f>
        <v>50000</v>
      </c>
      <c r="E32" s="3"/>
    </row>
    <row r="33" spans="1:5" x14ac:dyDescent="0.25">
      <c r="A33" s="34"/>
      <c r="B33" s="11">
        <v>1</v>
      </c>
      <c r="C33" s="2" t="s">
        <v>18</v>
      </c>
      <c r="D33" s="3">
        <f>E30*2/(1000)</f>
        <v>4000</v>
      </c>
      <c r="E33" s="3"/>
    </row>
    <row r="34" spans="1:5" x14ac:dyDescent="0.25">
      <c r="A34" s="35"/>
      <c r="B34" s="11">
        <v>13</v>
      </c>
      <c r="C34" s="2" t="s">
        <v>64</v>
      </c>
      <c r="D34" s="3">
        <f>E30+E31-D32-D33</f>
        <v>2326000</v>
      </c>
      <c r="E34" s="3"/>
    </row>
    <row r="36" spans="1:5" x14ac:dyDescent="0.25">
      <c r="A36" s="49" t="s">
        <v>68</v>
      </c>
      <c r="B36" s="49"/>
      <c r="C36" s="49"/>
      <c r="D36" s="49"/>
      <c r="E36" s="49"/>
    </row>
    <row r="37" spans="1:5" x14ac:dyDescent="0.25">
      <c r="A37" s="49"/>
      <c r="B37" s="49"/>
      <c r="C37" s="49"/>
      <c r="D37" s="49"/>
      <c r="E37" s="49"/>
    </row>
    <row r="38" spans="1:5" x14ac:dyDescent="0.25">
      <c r="A38" s="49"/>
      <c r="B38" s="49"/>
      <c r="C38" s="49"/>
      <c r="D38" s="49"/>
      <c r="E38" s="49"/>
    </row>
    <row r="40" spans="1:5" x14ac:dyDescent="0.25">
      <c r="A40" s="50" t="s">
        <v>61</v>
      </c>
      <c r="B40" s="50"/>
      <c r="C40" s="50"/>
      <c r="D40" s="50"/>
      <c r="E40" s="50"/>
    </row>
    <row r="41" spans="1:5" x14ac:dyDescent="0.25">
      <c r="A41" s="33">
        <v>1</v>
      </c>
      <c r="B41" s="11">
        <v>4107</v>
      </c>
      <c r="C41" s="2" t="s">
        <v>16</v>
      </c>
      <c r="D41" s="3"/>
      <c r="E41" s="3">
        <f>42000*40</f>
        <v>1680000</v>
      </c>
    </row>
    <row r="42" spans="1:5" x14ac:dyDescent="0.25">
      <c r="A42" s="34"/>
      <c r="B42" s="11">
        <v>2404</v>
      </c>
      <c r="C42" s="2" t="s">
        <v>26</v>
      </c>
      <c r="D42" s="3"/>
      <c r="E42" s="3">
        <f>E41*19%</f>
        <v>319200</v>
      </c>
    </row>
    <row r="43" spans="1:5" x14ac:dyDescent="0.25">
      <c r="A43" s="34"/>
      <c r="B43" s="11">
        <v>1</v>
      </c>
      <c r="C43" s="2" t="s">
        <v>17</v>
      </c>
      <c r="D43" s="3">
        <f>E41*2.5%</f>
        <v>42000</v>
      </c>
      <c r="E43" s="3"/>
    </row>
    <row r="44" spans="1:5" x14ac:dyDescent="0.25">
      <c r="A44" s="34"/>
      <c r="B44" s="11">
        <v>1</v>
      </c>
      <c r="C44" s="2" t="s">
        <v>18</v>
      </c>
      <c r="D44" s="3">
        <f>E41*2/(1000)</f>
        <v>3360</v>
      </c>
      <c r="E44" s="3"/>
    </row>
    <row r="45" spans="1:5" x14ac:dyDescent="0.25">
      <c r="A45" s="35"/>
      <c r="B45" s="11">
        <v>13</v>
      </c>
      <c r="C45" s="2" t="s">
        <v>64</v>
      </c>
      <c r="D45" s="3">
        <f>E41+E42-D43-D44</f>
        <v>1953840</v>
      </c>
      <c r="E45" s="3"/>
    </row>
    <row r="47" spans="1:5" x14ac:dyDescent="0.25">
      <c r="A47" s="49" t="s">
        <v>69</v>
      </c>
      <c r="B47" s="49"/>
      <c r="C47" s="49"/>
      <c r="D47" s="49"/>
      <c r="E47" s="49"/>
    </row>
    <row r="48" spans="1:5" x14ac:dyDescent="0.25">
      <c r="A48" s="49"/>
      <c r="B48" s="49"/>
      <c r="C48" s="49"/>
      <c r="D48" s="49"/>
      <c r="E48" s="49"/>
    </row>
    <row r="49" spans="1:5" x14ac:dyDescent="0.25">
      <c r="A49" s="49"/>
      <c r="B49" s="49"/>
      <c r="C49" s="49"/>
      <c r="D49" s="49"/>
      <c r="E49" s="49"/>
    </row>
    <row r="51" spans="1:5" x14ac:dyDescent="0.25">
      <c r="A51" s="50" t="s">
        <v>0</v>
      </c>
      <c r="B51" s="50"/>
      <c r="C51" s="50"/>
      <c r="D51" s="50"/>
      <c r="E51" s="50"/>
    </row>
    <row r="52" spans="1:5" x14ac:dyDescent="0.25">
      <c r="A52" s="33">
        <v>1</v>
      </c>
      <c r="B52" s="11">
        <v>1408</v>
      </c>
      <c r="C52" s="2" t="s">
        <v>16</v>
      </c>
      <c r="D52" s="3">
        <f>35000*80</f>
        <v>2800000</v>
      </c>
      <c r="E52" s="3"/>
    </row>
    <row r="53" spans="1:5" x14ac:dyDescent="0.25">
      <c r="A53" s="34"/>
      <c r="B53" s="11">
        <v>2404</v>
      </c>
      <c r="C53" s="2" t="s">
        <v>26</v>
      </c>
      <c r="D53" s="3">
        <f>D52*19%</f>
        <v>532000</v>
      </c>
      <c r="E53" s="3"/>
    </row>
    <row r="54" spans="1:5" x14ac:dyDescent="0.25">
      <c r="A54" s="34"/>
      <c r="B54" s="11">
        <v>242208</v>
      </c>
      <c r="C54" s="2" t="s">
        <v>17</v>
      </c>
      <c r="D54" s="3"/>
      <c r="E54" s="3">
        <f>D52*2.5%</f>
        <v>70000</v>
      </c>
    </row>
    <row r="55" spans="1:5" x14ac:dyDescent="0.25">
      <c r="A55" s="34"/>
      <c r="B55" s="11">
        <v>2424</v>
      </c>
      <c r="C55" s="2" t="s">
        <v>18</v>
      </c>
      <c r="D55" s="3"/>
      <c r="E55" s="3">
        <f>D52*2/(1000)</f>
        <v>5600</v>
      </c>
    </row>
    <row r="56" spans="1:5" x14ac:dyDescent="0.25">
      <c r="A56" s="35"/>
      <c r="B56" s="11">
        <v>2201</v>
      </c>
      <c r="C56" s="2" t="s">
        <v>19</v>
      </c>
      <c r="D56" s="3"/>
      <c r="E56" s="3">
        <f>D52+D53-E54-E55</f>
        <v>3256400</v>
      </c>
    </row>
  </sheetData>
  <mergeCells count="19">
    <mergeCell ref="A52:A56"/>
    <mergeCell ref="A30:A34"/>
    <mergeCell ref="A36:E38"/>
    <mergeCell ref="A40:E40"/>
    <mergeCell ref="A41:A45"/>
    <mergeCell ref="A47:E49"/>
    <mergeCell ref="A51:E51"/>
    <mergeCell ref="G2:J4"/>
    <mergeCell ref="G6:H6"/>
    <mergeCell ref="A22:A23"/>
    <mergeCell ref="G16:H19"/>
    <mergeCell ref="A25:E27"/>
    <mergeCell ref="A29:E29"/>
    <mergeCell ref="A1:E3"/>
    <mergeCell ref="A5:A9"/>
    <mergeCell ref="A4:E4"/>
    <mergeCell ref="A15:E15"/>
    <mergeCell ref="A16:A20"/>
    <mergeCell ref="A11:E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9B0-A340-4DB3-8F5C-B65716114F79}">
  <dimension ref="B1:M64"/>
  <sheetViews>
    <sheetView topLeftCell="A43" workbookViewId="0">
      <selection activeCell="K56" sqref="K56"/>
    </sheetView>
  </sheetViews>
  <sheetFormatPr baseColWidth="10" defaultRowHeight="15" x14ac:dyDescent="0.25"/>
  <cols>
    <col min="4" max="4" width="17.28515625" customWidth="1"/>
    <col min="5" max="6" width="12.5703125" bestFit="1" customWidth="1"/>
    <col min="7" max="7" width="13.85546875" customWidth="1"/>
    <col min="8" max="9" width="12.5703125" bestFit="1" customWidth="1"/>
    <col min="10" max="10" width="24.7109375" customWidth="1"/>
    <col min="11" max="12" width="12.5703125" bestFit="1" customWidth="1"/>
  </cols>
  <sheetData>
    <row r="1" spans="2:12" ht="15.75" thickBot="1" x14ac:dyDescent="0.3"/>
    <row r="2" spans="2:12" x14ac:dyDescent="0.25">
      <c r="B2" s="55" t="s">
        <v>70</v>
      </c>
      <c r="C2" s="56"/>
      <c r="D2" s="56"/>
      <c r="E2" s="56"/>
      <c r="F2" s="56"/>
      <c r="G2" s="56"/>
      <c r="H2" s="56"/>
      <c r="I2" s="57"/>
    </row>
    <row r="3" spans="2:12" x14ac:dyDescent="0.25">
      <c r="B3" s="58"/>
      <c r="C3" s="59"/>
      <c r="D3" s="59"/>
      <c r="E3" s="59"/>
      <c r="F3" s="59"/>
      <c r="G3" s="59"/>
      <c r="H3" s="59"/>
      <c r="I3" s="60"/>
    </row>
    <row r="4" spans="2:12" x14ac:dyDescent="0.25">
      <c r="B4" s="58"/>
      <c r="C4" s="59"/>
      <c r="D4" s="59"/>
      <c r="E4" s="59"/>
      <c r="F4" s="59"/>
      <c r="G4" s="59"/>
      <c r="H4" s="59"/>
      <c r="I4" s="60"/>
    </row>
    <row r="5" spans="2:12" ht="15.75" thickBot="1" x14ac:dyDescent="0.3">
      <c r="B5" s="61"/>
      <c r="C5" s="62"/>
      <c r="D5" s="62"/>
      <c r="E5" s="62"/>
      <c r="F5" s="62"/>
      <c r="G5" s="62"/>
      <c r="H5" s="62"/>
      <c r="I5" s="63"/>
    </row>
    <row r="6" spans="2:12" x14ac:dyDescent="0.25">
      <c r="B6" s="54" t="s">
        <v>61</v>
      </c>
      <c r="C6" s="54"/>
      <c r="D6" s="54"/>
      <c r="E6" s="54"/>
      <c r="F6" s="54"/>
      <c r="H6" s="54" t="s">
        <v>72</v>
      </c>
      <c r="I6" s="54"/>
      <c r="J6" s="54"/>
      <c r="K6" s="54"/>
      <c r="L6" s="54"/>
    </row>
    <row r="7" spans="2:12" x14ac:dyDescent="0.25">
      <c r="B7" s="33">
        <v>1</v>
      </c>
      <c r="C7" s="11">
        <v>4107</v>
      </c>
      <c r="D7" s="2" t="s">
        <v>61</v>
      </c>
      <c r="E7" s="3"/>
      <c r="F7" s="3">
        <f>2900000*50</f>
        <v>145000000</v>
      </c>
      <c r="H7" s="33">
        <v>1</v>
      </c>
      <c r="I7" s="11">
        <v>4175</v>
      </c>
      <c r="J7" s="2" t="s">
        <v>73</v>
      </c>
      <c r="K7" s="3">
        <f>2900000*10</f>
        <v>29000000</v>
      </c>
      <c r="L7" s="3"/>
    </row>
    <row r="8" spans="2:12" x14ac:dyDescent="0.25">
      <c r="B8" s="34"/>
      <c r="C8" s="11">
        <v>2404</v>
      </c>
      <c r="D8" s="2" t="s">
        <v>26</v>
      </c>
      <c r="E8" s="3"/>
      <c r="F8" s="3">
        <f>F7*19%</f>
        <v>27550000</v>
      </c>
      <c r="H8" s="34"/>
      <c r="I8" s="11">
        <v>2404</v>
      </c>
      <c r="J8" s="2" t="s">
        <v>26</v>
      </c>
      <c r="K8" s="3">
        <f>K7*19%</f>
        <v>5510000</v>
      </c>
      <c r="L8" s="3"/>
    </row>
    <row r="9" spans="2:12" x14ac:dyDescent="0.25">
      <c r="B9" s="34"/>
      <c r="C9" s="11">
        <v>131203</v>
      </c>
      <c r="D9" s="2" t="s">
        <v>17</v>
      </c>
      <c r="E9" s="3">
        <f>F7*2.5%</f>
        <v>3625000</v>
      </c>
      <c r="F9" s="3"/>
      <c r="H9" s="34"/>
      <c r="I9" s="11">
        <v>131203</v>
      </c>
      <c r="J9" s="2" t="s">
        <v>17</v>
      </c>
      <c r="K9" s="3"/>
      <c r="L9" s="3">
        <f>K7*2.5%</f>
        <v>725000</v>
      </c>
    </row>
    <row r="10" spans="2:12" x14ac:dyDescent="0.25">
      <c r="B10" s="34"/>
      <c r="C10" s="11">
        <v>1</v>
      </c>
      <c r="D10" s="2" t="s">
        <v>18</v>
      </c>
      <c r="E10" s="3">
        <f>F7*2/(1000)</f>
        <v>290000</v>
      </c>
      <c r="F10" s="3"/>
      <c r="H10" s="34"/>
      <c r="I10" s="11">
        <v>1</v>
      </c>
      <c r="J10" s="2" t="s">
        <v>18</v>
      </c>
      <c r="K10" s="3"/>
      <c r="L10" s="3">
        <f>K7*2/(1000)</f>
        <v>58000</v>
      </c>
    </row>
    <row r="11" spans="2:12" x14ac:dyDescent="0.25">
      <c r="B11" s="34"/>
      <c r="C11" s="11">
        <v>1305</v>
      </c>
      <c r="D11" s="2" t="s">
        <v>64</v>
      </c>
      <c r="E11" s="3">
        <f>F7+F8-E9-E10</f>
        <v>168635000</v>
      </c>
      <c r="F11" s="3"/>
      <c r="H11" s="34"/>
      <c r="I11" s="11">
        <v>1305</v>
      </c>
      <c r="J11" s="2" t="s">
        <v>64</v>
      </c>
      <c r="K11" s="3">
        <f>K7+K8-L9-L10</f>
        <v>33727000</v>
      </c>
      <c r="L11" s="3"/>
    </row>
    <row r="12" spans="2:12" x14ac:dyDescent="0.25">
      <c r="B12" s="34"/>
      <c r="C12" s="6">
        <v>6107</v>
      </c>
      <c r="D12" s="2" t="s">
        <v>71</v>
      </c>
      <c r="E12" s="3">
        <f>F7*60%</f>
        <v>87000000</v>
      </c>
      <c r="F12" s="3"/>
      <c r="H12" s="34"/>
      <c r="I12" s="6">
        <v>6107</v>
      </c>
      <c r="J12" s="2" t="s">
        <v>71</v>
      </c>
      <c r="K12" s="3"/>
      <c r="L12" s="3">
        <f>K7*60%</f>
        <v>17400000</v>
      </c>
    </row>
    <row r="13" spans="2:12" x14ac:dyDescent="0.25">
      <c r="B13" s="35"/>
      <c r="C13" s="6">
        <v>1408</v>
      </c>
      <c r="D13" s="2" t="s">
        <v>16</v>
      </c>
      <c r="E13" s="2"/>
      <c r="F13" s="3">
        <f>E12</f>
        <v>87000000</v>
      </c>
      <c r="H13" s="35"/>
      <c r="I13" s="6">
        <v>1408</v>
      </c>
      <c r="J13" s="2" t="s">
        <v>16</v>
      </c>
      <c r="K13" s="3">
        <f>L12</f>
        <v>17400000</v>
      </c>
      <c r="L13" s="3"/>
    </row>
    <row r="15" spans="2:12" x14ac:dyDescent="0.25">
      <c r="F15" s="52" t="s">
        <v>74</v>
      </c>
      <c r="G15" s="52"/>
      <c r="H15" s="52"/>
      <c r="I15" s="52"/>
    </row>
    <row r="16" spans="2:12" x14ac:dyDescent="0.25">
      <c r="F16" s="2">
        <v>11</v>
      </c>
      <c r="G16" s="2" t="s">
        <v>75</v>
      </c>
      <c r="H16" s="3">
        <f>E11-K11</f>
        <v>134908000</v>
      </c>
      <c r="I16" s="2"/>
    </row>
    <row r="17" spans="2:12" x14ac:dyDescent="0.25">
      <c r="F17" s="2">
        <v>1305</v>
      </c>
      <c r="G17" s="2" t="s">
        <v>3</v>
      </c>
      <c r="H17" s="2"/>
      <c r="I17" s="3">
        <f>H16</f>
        <v>134908000</v>
      </c>
    </row>
    <row r="19" spans="2:12" x14ac:dyDescent="0.25">
      <c r="F19" s="52" t="s">
        <v>76</v>
      </c>
      <c r="G19" s="52"/>
      <c r="H19" s="52"/>
      <c r="I19" s="52"/>
    </row>
    <row r="20" spans="2:12" x14ac:dyDescent="0.25">
      <c r="F20" s="2">
        <v>11</v>
      </c>
      <c r="G20" s="2" t="s">
        <v>75</v>
      </c>
      <c r="H20" s="3"/>
      <c r="I20" s="3">
        <f>H16</f>
        <v>134908000</v>
      </c>
    </row>
    <row r="21" spans="2:12" x14ac:dyDescent="0.25">
      <c r="F21" s="2">
        <v>1102</v>
      </c>
      <c r="G21" s="2" t="s">
        <v>21</v>
      </c>
      <c r="H21" s="3">
        <f>I17</f>
        <v>134908000</v>
      </c>
      <c r="I21" s="3"/>
    </row>
    <row r="23" spans="2:12" x14ac:dyDescent="0.25">
      <c r="B23" s="32" t="s">
        <v>77</v>
      </c>
      <c r="C23" s="32"/>
      <c r="D23" s="32"/>
      <c r="E23" s="32"/>
      <c r="F23" s="32"/>
      <c r="G23" s="32"/>
      <c r="H23" s="32"/>
      <c r="I23" s="32"/>
    </row>
    <row r="24" spans="2:12" x14ac:dyDescent="0.25">
      <c r="B24" s="32"/>
      <c r="C24" s="32"/>
      <c r="D24" s="32"/>
      <c r="E24" s="32"/>
      <c r="F24" s="32"/>
      <c r="G24" s="32"/>
      <c r="H24" s="32"/>
      <c r="I24" s="32"/>
    </row>
    <row r="25" spans="2:12" x14ac:dyDescent="0.25">
      <c r="B25" s="32"/>
      <c r="C25" s="32"/>
      <c r="D25" s="32"/>
      <c r="E25" s="32"/>
      <c r="F25" s="32"/>
      <c r="G25" s="32"/>
      <c r="H25" s="32"/>
      <c r="I25" s="32"/>
    </row>
    <row r="26" spans="2:12" x14ac:dyDescent="0.25">
      <c r="B26" s="32"/>
      <c r="C26" s="32"/>
      <c r="D26" s="32"/>
      <c r="E26" s="32"/>
      <c r="F26" s="32"/>
      <c r="G26" s="32"/>
      <c r="H26" s="32"/>
      <c r="I26" s="32"/>
    </row>
    <row r="27" spans="2:12" x14ac:dyDescent="0.25">
      <c r="B27" s="31" t="s">
        <v>78</v>
      </c>
      <c r="C27" s="31"/>
      <c r="D27" s="31"/>
      <c r="E27" s="31"/>
      <c r="F27" s="31"/>
      <c r="G27" s="31"/>
      <c r="H27" s="31"/>
      <c r="I27" s="31"/>
    </row>
    <row r="28" spans="2:12" x14ac:dyDescent="0.25">
      <c r="B28" s="31" t="s">
        <v>79</v>
      </c>
      <c r="C28" s="31"/>
      <c r="D28" s="31"/>
      <c r="E28" s="31"/>
      <c r="F28" s="31"/>
      <c r="G28" s="31"/>
      <c r="H28" s="31"/>
      <c r="I28" s="31"/>
    </row>
    <row r="30" spans="2:12" x14ac:dyDescent="0.25">
      <c r="B30" s="54" t="s">
        <v>83</v>
      </c>
      <c r="C30" s="54"/>
      <c r="D30" s="54"/>
      <c r="E30" s="54"/>
      <c r="F30" s="54"/>
      <c r="H30" s="54" t="s">
        <v>84</v>
      </c>
      <c r="I30" s="54"/>
      <c r="J30" s="54"/>
      <c r="K30" s="54"/>
      <c r="L30" s="54"/>
    </row>
    <row r="31" spans="2:12" x14ac:dyDescent="0.25">
      <c r="B31" s="29">
        <v>1</v>
      </c>
      <c r="C31" s="11">
        <v>1408</v>
      </c>
      <c r="D31" s="2" t="s">
        <v>16</v>
      </c>
      <c r="E31" s="3">
        <f>1900000*80</f>
        <v>152000000</v>
      </c>
      <c r="F31" s="3"/>
      <c r="H31" s="33">
        <v>1</v>
      </c>
      <c r="I31" s="11">
        <v>6225</v>
      </c>
      <c r="J31" s="2" t="s">
        <v>16</v>
      </c>
      <c r="K31" s="3"/>
      <c r="L31" s="3">
        <f>1900000*6</f>
        <v>11400000</v>
      </c>
    </row>
    <row r="32" spans="2:12" x14ac:dyDescent="0.25">
      <c r="B32" s="29"/>
      <c r="C32" s="11">
        <v>2404</v>
      </c>
      <c r="D32" s="2" t="s">
        <v>26</v>
      </c>
      <c r="E32" s="3">
        <f>E31*19%</f>
        <v>28880000</v>
      </c>
      <c r="F32" s="3"/>
      <c r="H32" s="34"/>
      <c r="I32" s="11">
        <v>2404</v>
      </c>
      <c r="J32" s="2" t="s">
        <v>26</v>
      </c>
      <c r="K32" s="3"/>
      <c r="L32" s="3">
        <f>L31*19%</f>
        <v>2166000</v>
      </c>
    </row>
    <row r="33" spans="2:12" x14ac:dyDescent="0.25">
      <c r="B33" s="29"/>
      <c r="C33" s="11">
        <v>131203</v>
      </c>
      <c r="D33" s="2" t="s">
        <v>17</v>
      </c>
      <c r="E33" s="3"/>
      <c r="F33" s="3">
        <f>E31*2.5%</f>
        <v>3800000</v>
      </c>
      <c r="H33" s="34"/>
      <c r="I33" s="11">
        <v>2422</v>
      </c>
      <c r="J33" s="2" t="s">
        <v>17</v>
      </c>
      <c r="K33" s="3">
        <f>L31*2.5%</f>
        <v>285000</v>
      </c>
      <c r="L33" s="3"/>
    </row>
    <row r="34" spans="2:12" x14ac:dyDescent="0.25">
      <c r="B34" s="29"/>
      <c r="C34" s="11">
        <v>24</v>
      </c>
      <c r="D34" s="2" t="s">
        <v>18</v>
      </c>
      <c r="E34" s="3"/>
      <c r="F34" s="3">
        <f>E31*2/(1000)</f>
        <v>304000</v>
      </c>
      <c r="H34" s="34"/>
      <c r="I34" s="11">
        <v>24</v>
      </c>
      <c r="J34" s="2" t="s">
        <v>18</v>
      </c>
      <c r="K34" s="3">
        <f>L31*2/1000</f>
        <v>22800</v>
      </c>
      <c r="L34" s="3"/>
    </row>
    <row r="35" spans="2:12" x14ac:dyDescent="0.25">
      <c r="B35" s="29"/>
      <c r="C35" s="11">
        <v>2201</v>
      </c>
      <c r="D35" s="2" t="s">
        <v>19</v>
      </c>
      <c r="E35" s="2"/>
      <c r="F35" s="3">
        <f>E31+E32-F33-F34</f>
        <v>176776000</v>
      </c>
      <c r="H35" s="35"/>
      <c r="I35" s="11">
        <v>2201</v>
      </c>
      <c r="J35" s="2" t="s">
        <v>19</v>
      </c>
      <c r="K35" s="3">
        <f>L31+L32-K33-K34</f>
        <v>13258200</v>
      </c>
      <c r="L35" s="3"/>
    </row>
    <row r="36" spans="2:12" x14ac:dyDescent="0.25">
      <c r="B36" s="19"/>
      <c r="C36" s="18"/>
      <c r="E36" s="9"/>
      <c r="F36" s="9"/>
      <c r="H36" s="19"/>
      <c r="I36" s="18"/>
      <c r="K36" s="9"/>
      <c r="L36" s="9"/>
    </row>
    <row r="37" spans="2:12" x14ac:dyDescent="0.25">
      <c r="B37" s="19"/>
      <c r="C37" s="18"/>
      <c r="E37" s="9"/>
      <c r="F37" s="9"/>
      <c r="H37" s="19"/>
      <c r="I37" s="18"/>
      <c r="K37" s="9"/>
      <c r="L37" s="9"/>
    </row>
    <row r="38" spans="2:12" x14ac:dyDescent="0.25">
      <c r="B38" s="17"/>
      <c r="C38" s="13"/>
      <c r="E38" s="9"/>
      <c r="F38" s="9"/>
      <c r="H38" s="17"/>
      <c r="I38" s="13"/>
      <c r="K38" s="9"/>
      <c r="L38" s="9"/>
    </row>
    <row r="39" spans="2:12" x14ac:dyDescent="0.25">
      <c r="B39" s="17"/>
      <c r="C39" s="13"/>
      <c r="E39" s="9"/>
      <c r="F39" s="52" t="s">
        <v>74</v>
      </c>
      <c r="G39" s="52"/>
      <c r="H39" s="52"/>
      <c r="I39" s="52"/>
      <c r="K39" s="9"/>
      <c r="L39" s="9"/>
    </row>
    <row r="40" spans="2:12" x14ac:dyDescent="0.25">
      <c r="B40" s="17"/>
      <c r="C40" s="13"/>
      <c r="E40" s="9"/>
      <c r="F40" s="2">
        <v>11</v>
      </c>
      <c r="G40" s="2" t="s">
        <v>75</v>
      </c>
      <c r="H40" s="2"/>
      <c r="I40" s="3">
        <f>F35-K35</f>
        <v>163517800</v>
      </c>
      <c r="K40" s="9"/>
      <c r="L40" s="9"/>
    </row>
    <row r="41" spans="2:12" x14ac:dyDescent="0.25">
      <c r="B41" s="17"/>
      <c r="C41" s="13"/>
      <c r="E41" s="9"/>
      <c r="F41" s="2">
        <v>2201</v>
      </c>
      <c r="G41" s="2" t="s">
        <v>2</v>
      </c>
      <c r="H41" s="3">
        <f>I40</f>
        <v>163517800</v>
      </c>
      <c r="I41" s="2"/>
      <c r="K41" s="9"/>
      <c r="L41" s="9"/>
    </row>
    <row r="42" spans="2:12" x14ac:dyDescent="0.25">
      <c r="B42" s="17"/>
      <c r="C42" s="13"/>
      <c r="E42" s="9"/>
      <c r="F42" s="9"/>
      <c r="H42" s="17"/>
      <c r="I42" s="13"/>
      <c r="K42" s="9"/>
      <c r="L42" s="9"/>
    </row>
    <row r="45" spans="2:12" x14ac:dyDescent="0.25">
      <c r="B45" s="31" t="s">
        <v>80</v>
      </c>
      <c r="C45" s="31"/>
      <c r="D45" s="31"/>
      <c r="E45" s="31"/>
      <c r="F45" s="31"/>
      <c r="G45" s="31"/>
      <c r="H45" s="31"/>
      <c r="I45" s="31"/>
      <c r="J45" s="31"/>
      <c r="K45" s="31"/>
    </row>
    <row r="46" spans="2:12" x14ac:dyDescent="0.25">
      <c r="B46" s="31" t="s">
        <v>81</v>
      </c>
      <c r="C46" s="31"/>
      <c r="D46" s="31"/>
      <c r="E46" s="31"/>
      <c r="F46" s="31"/>
      <c r="G46" s="31"/>
      <c r="H46" s="31"/>
      <c r="I46" s="31"/>
      <c r="J46" s="31"/>
      <c r="K46" s="31"/>
    </row>
    <row r="47" spans="2:12" x14ac:dyDescent="0.25">
      <c r="B47" s="31" t="s">
        <v>82</v>
      </c>
      <c r="C47" s="31"/>
      <c r="D47" s="31"/>
      <c r="E47" s="31"/>
      <c r="F47" s="31"/>
      <c r="G47" s="31"/>
      <c r="H47" s="31"/>
      <c r="I47" s="31"/>
      <c r="J47" s="31"/>
      <c r="K47" s="31"/>
    </row>
    <row r="49" spans="2:13" x14ac:dyDescent="0.25">
      <c r="B49" s="54" t="s">
        <v>83</v>
      </c>
      <c r="C49" s="54"/>
      <c r="D49" s="54"/>
      <c r="E49" s="54"/>
      <c r="F49" s="54"/>
      <c r="H49" s="54" t="s">
        <v>61</v>
      </c>
      <c r="I49" s="54"/>
      <c r="J49" s="54"/>
      <c r="K49" s="54"/>
      <c r="L49" s="54"/>
    </row>
    <row r="50" spans="2:13" x14ac:dyDescent="0.25">
      <c r="B50" s="29">
        <v>1</v>
      </c>
      <c r="C50" s="11">
        <v>1408</v>
      </c>
      <c r="D50" s="2" t="s">
        <v>16</v>
      </c>
      <c r="E50" s="3">
        <f>16200000</f>
        <v>16200000</v>
      </c>
      <c r="F50" s="3"/>
      <c r="H50" s="29">
        <v>1</v>
      </c>
      <c r="I50" s="11">
        <v>4107</v>
      </c>
      <c r="J50" s="2" t="s">
        <v>61</v>
      </c>
      <c r="K50" s="3"/>
      <c r="L50" s="3">
        <f>700000*15</f>
        <v>10500000</v>
      </c>
    </row>
    <row r="51" spans="2:13" x14ac:dyDescent="0.25">
      <c r="B51" s="29"/>
      <c r="C51" s="11">
        <v>2404</v>
      </c>
      <c r="D51" s="2" t="s">
        <v>26</v>
      </c>
      <c r="E51" s="3">
        <f>E50*19%</f>
        <v>3078000</v>
      </c>
      <c r="F51" s="3"/>
      <c r="H51" s="29"/>
      <c r="I51" s="11">
        <v>2404</v>
      </c>
      <c r="J51" s="2" t="s">
        <v>26</v>
      </c>
      <c r="K51" s="3"/>
      <c r="L51" s="3">
        <f>L50*19%</f>
        <v>1995000</v>
      </c>
      <c r="M51" s="9">
        <f>E50/40</f>
        <v>405000</v>
      </c>
    </row>
    <row r="52" spans="2:13" x14ac:dyDescent="0.25">
      <c r="B52" s="29"/>
      <c r="C52" s="11">
        <v>131203</v>
      </c>
      <c r="D52" s="2" t="s">
        <v>17</v>
      </c>
      <c r="E52" s="3"/>
      <c r="F52" s="3">
        <f>E50*2.5%</f>
        <v>405000</v>
      </c>
      <c r="H52" s="29"/>
      <c r="I52" s="11">
        <v>131203</v>
      </c>
      <c r="J52" s="2" t="s">
        <v>17</v>
      </c>
      <c r="K52" s="3">
        <f>L50*2.5%</f>
        <v>262500</v>
      </c>
      <c r="L52" s="3"/>
    </row>
    <row r="53" spans="2:13" x14ac:dyDescent="0.25">
      <c r="B53" s="29"/>
      <c r="C53" s="11">
        <v>1</v>
      </c>
      <c r="D53" s="2" t="s">
        <v>18</v>
      </c>
      <c r="E53" s="3"/>
      <c r="F53" s="3">
        <f>E50*2/(1000)</f>
        <v>32400</v>
      </c>
      <c r="H53" s="29"/>
      <c r="I53" s="11">
        <v>1</v>
      </c>
      <c r="J53" s="2" t="s">
        <v>18</v>
      </c>
      <c r="K53" s="3">
        <f>L50*2/1000</f>
        <v>21000</v>
      </c>
      <c r="L53" s="3"/>
    </row>
    <row r="54" spans="2:13" x14ac:dyDescent="0.25">
      <c r="B54" s="29"/>
      <c r="C54" s="11">
        <v>2201</v>
      </c>
      <c r="D54" s="2" t="s">
        <v>19</v>
      </c>
      <c r="E54" s="2"/>
      <c r="F54" s="3">
        <f>E50+E51-F52-F53</f>
        <v>18840600</v>
      </c>
      <c r="H54" s="29"/>
      <c r="I54" s="11">
        <v>1305</v>
      </c>
      <c r="J54" s="2" t="s">
        <v>3</v>
      </c>
      <c r="K54" s="3">
        <f>L50+L51-K52-K53</f>
        <v>12211500</v>
      </c>
      <c r="L54" s="3"/>
    </row>
    <row r="55" spans="2:13" x14ac:dyDescent="0.25">
      <c r="B55" s="19"/>
      <c r="C55" s="18"/>
      <c r="E55" s="9"/>
      <c r="F55" s="9"/>
      <c r="H55" s="29"/>
      <c r="I55" s="6">
        <v>6107</v>
      </c>
      <c r="J55" s="2" t="s">
        <v>71</v>
      </c>
      <c r="K55" s="3">
        <f>405000*15</f>
        <v>6075000</v>
      </c>
      <c r="L55" s="2"/>
    </row>
    <row r="56" spans="2:13" x14ac:dyDescent="0.25">
      <c r="B56" s="19"/>
      <c r="C56" s="20"/>
      <c r="E56" s="9"/>
      <c r="F56" s="9"/>
      <c r="H56" s="29"/>
      <c r="I56" s="6">
        <v>1408</v>
      </c>
      <c r="J56" s="2" t="s">
        <v>16</v>
      </c>
      <c r="K56" s="2"/>
      <c r="L56" s="3">
        <f>K55</f>
        <v>6075000</v>
      </c>
    </row>
    <row r="58" spans="2:13" x14ac:dyDescent="0.25">
      <c r="F58" s="52" t="s">
        <v>74</v>
      </c>
      <c r="G58" s="52"/>
      <c r="H58" s="52"/>
      <c r="I58" s="52"/>
    </row>
    <row r="59" spans="2:13" x14ac:dyDescent="0.25">
      <c r="F59" s="2">
        <v>11</v>
      </c>
      <c r="G59" s="2" t="s">
        <v>75</v>
      </c>
      <c r="H59" s="3">
        <f>K54</f>
        <v>12211500</v>
      </c>
      <c r="I59" s="3"/>
    </row>
    <row r="60" spans="2:13" x14ac:dyDescent="0.25">
      <c r="F60" s="2">
        <v>1305</v>
      </c>
      <c r="G60" s="2" t="s">
        <v>3</v>
      </c>
      <c r="H60" s="3"/>
      <c r="I60" s="3">
        <f>K54</f>
        <v>12211500</v>
      </c>
    </row>
    <row r="62" spans="2:13" x14ac:dyDescent="0.25">
      <c r="F62" s="52" t="s">
        <v>85</v>
      </c>
      <c r="G62" s="53"/>
      <c r="H62" s="53"/>
      <c r="I62" s="53"/>
    </row>
    <row r="63" spans="2:13" x14ac:dyDescent="0.25">
      <c r="F63" s="2">
        <v>11</v>
      </c>
      <c r="G63" s="2" t="s">
        <v>75</v>
      </c>
      <c r="H63" s="3"/>
      <c r="I63" s="3">
        <f>H59</f>
        <v>12211500</v>
      </c>
    </row>
    <row r="64" spans="2:13" x14ac:dyDescent="0.25">
      <c r="F64" s="2">
        <v>1102</v>
      </c>
      <c r="G64" s="2" t="s">
        <v>21</v>
      </c>
      <c r="H64" s="3">
        <f>I63</f>
        <v>12211500</v>
      </c>
      <c r="I64" s="3"/>
    </row>
  </sheetData>
  <mergeCells count="24">
    <mergeCell ref="B2:I5"/>
    <mergeCell ref="B7:B13"/>
    <mergeCell ref="B6:F6"/>
    <mergeCell ref="H7:H13"/>
    <mergeCell ref="H6:L6"/>
    <mergeCell ref="F15:I15"/>
    <mergeCell ref="F19:I19"/>
    <mergeCell ref="B23:I26"/>
    <mergeCell ref="B27:I27"/>
    <mergeCell ref="B28:I28"/>
    <mergeCell ref="B46:K46"/>
    <mergeCell ref="B47:K47"/>
    <mergeCell ref="B30:F30"/>
    <mergeCell ref="B31:B35"/>
    <mergeCell ref="H30:L30"/>
    <mergeCell ref="H31:H35"/>
    <mergeCell ref="B45:K45"/>
    <mergeCell ref="F39:I39"/>
    <mergeCell ref="F62:I62"/>
    <mergeCell ref="B49:F49"/>
    <mergeCell ref="B50:B54"/>
    <mergeCell ref="F58:I58"/>
    <mergeCell ref="H49:L49"/>
    <mergeCell ref="H50:H56"/>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DFE-323D-40D7-BE60-41A1D4A7F6CB}">
  <dimension ref="B2:H50"/>
  <sheetViews>
    <sheetView topLeftCell="A33" workbookViewId="0">
      <selection activeCell="F48" sqref="F48"/>
    </sheetView>
  </sheetViews>
  <sheetFormatPr baseColWidth="10" defaultRowHeight="15" x14ac:dyDescent="0.25"/>
  <cols>
    <col min="4" max="4" width="32.28515625" customWidth="1"/>
  </cols>
  <sheetData>
    <row r="2" spans="2:7" x14ac:dyDescent="0.25">
      <c r="B2" s="65" t="s">
        <v>86</v>
      </c>
      <c r="C2" s="65"/>
      <c r="D2" s="65"/>
      <c r="E2" s="65"/>
      <c r="F2" s="65"/>
      <c r="G2" s="65"/>
    </row>
    <row r="3" spans="2:7" x14ac:dyDescent="0.25">
      <c r="B3" s="65" t="s">
        <v>120</v>
      </c>
      <c r="C3" s="65"/>
      <c r="D3" s="65"/>
      <c r="E3" s="65"/>
      <c r="F3" s="65"/>
      <c r="G3" s="65"/>
    </row>
    <row r="4" spans="2:7" x14ac:dyDescent="0.25">
      <c r="B4" t="s">
        <v>87</v>
      </c>
    </row>
    <row r="5" spans="2:7" x14ac:dyDescent="0.25">
      <c r="B5" t="s">
        <v>88</v>
      </c>
    </row>
    <row r="6" spans="2:7" x14ac:dyDescent="0.25">
      <c r="B6" t="s">
        <v>89</v>
      </c>
    </row>
    <row r="7" spans="2:7" x14ac:dyDescent="0.25">
      <c r="B7" t="s">
        <v>90</v>
      </c>
    </row>
    <row r="8" spans="2:7" x14ac:dyDescent="0.25">
      <c r="B8" t="s">
        <v>91</v>
      </c>
    </row>
    <row r="9" spans="2:7" x14ac:dyDescent="0.25">
      <c r="B9" t="s">
        <v>92</v>
      </c>
    </row>
    <row r="10" spans="2:7" x14ac:dyDescent="0.25">
      <c r="B10" t="s">
        <v>93</v>
      </c>
    </row>
    <row r="11" spans="2:7" x14ac:dyDescent="0.25">
      <c r="B11" t="s">
        <v>94</v>
      </c>
    </row>
    <row r="12" spans="2:7" x14ac:dyDescent="0.25">
      <c r="B12" t="s">
        <v>96</v>
      </c>
    </row>
    <row r="13" spans="2:7" x14ac:dyDescent="0.25">
      <c r="B13" t="s">
        <v>97</v>
      </c>
    </row>
    <row r="14" spans="2:7" x14ac:dyDescent="0.25">
      <c r="B14" t="s">
        <v>119</v>
      </c>
    </row>
    <row r="15" spans="2:7" x14ac:dyDescent="0.25">
      <c r="B15" s="65" t="s">
        <v>98</v>
      </c>
      <c r="C15" s="65"/>
      <c r="D15" s="65"/>
      <c r="E15" s="65"/>
      <c r="F15" s="65"/>
      <c r="G15" s="65"/>
    </row>
    <row r="16" spans="2:7" x14ac:dyDescent="0.25">
      <c r="B16" t="s">
        <v>99</v>
      </c>
      <c r="C16" t="s">
        <v>100</v>
      </c>
      <c r="D16" t="s">
        <v>102</v>
      </c>
      <c r="E16" t="s">
        <v>101</v>
      </c>
      <c r="F16" t="s">
        <v>103</v>
      </c>
    </row>
    <row r="17" spans="2:8" x14ac:dyDescent="0.25">
      <c r="B17" s="53">
        <v>1</v>
      </c>
      <c r="C17">
        <v>110102</v>
      </c>
      <c r="D17" t="s">
        <v>111</v>
      </c>
      <c r="E17">
        <v>400000</v>
      </c>
    </row>
    <row r="18" spans="2:8" x14ac:dyDescent="0.25">
      <c r="B18" s="53"/>
      <c r="C18">
        <v>1102</v>
      </c>
      <c r="D18" t="s">
        <v>104</v>
      </c>
      <c r="F18">
        <f>E17</f>
        <v>400000</v>
      </c>
    </row>
    <row r="19" spans="2:8" x14ac:dyDescent="0.25">
      <c r="B19" s="53">
        <v>2</v>
      </c>
      <c r="C19">
        <v>110102</v>
      </c>
      <c r="D19" t="s">
        <v>111</v>
      </c>
      <c r="E19">
        <f>E17*20%</f>
        <v>80000</v>
      </c>
    </row>
    <row r="20" spans="2:8" x14ac:dyDescent="0.25">
      <c r="B20" s="53"/>
      <c r="C20">
        <v>110101</v>
      </c>
      <c r="D20" t="s">
        <v>113</v>
      </c>
      <c r="F20">
        <f>E19</f>
        <v>80000</v>
      </c>
      <c r="H20" t="s">
        <v>116</v>
      </c>
    </row>
    <row r="21" spans="2:8" x14ac:dyDescent="0.25">
      <c r="B21" s="64">
        <v>3</v>
      </c>
      <c r="C21">
        <v>51</v>
      </c>
      <c r="D21" t="s">
        <v>112</v>
      </c>
      <c r="H21">
        <f>E17+E19-F28</f>
        <v>150000</v>
      </c>
    </row>
    <row r="22" spans="2:8" x14ac:dyDescent="0.25">
      <c r="B22" s="64"/>
      <c r="C22">
        <v>511406</v>
      </c>
      <c r="D22" t="s">
        <v>106</v>
      </c>
      <c r="E22">
        <v>60000</v>
      </c>
      <c r="H22" t="s">
        <v>117</v>
      </c>
    </row>
    <row r="23" spans="2:8" x14ac:dyDescent="0.25">
      <c r="B23" s="64"/>
      <c r="C23">
        <v>511405</v>
      </c>
      <c r="D23" t="s">
        <v>107</v>
      </c>
      <c r="E23">
        <v>80000</v>
      </c>
    </row>
    <row r="24" spans="2:8" x14ac:dyDescent="0.25">
      <c r="B24" s="64"/>
      <c r="C24">
        <v>511409</v>
      </c>
      <c r="D24" t="s">
        <v>108</v>
      </c>
      <c r="E24">
        <v>70000</v>
      </c>
    </row>
    <row r="25" spans="2:8" x14ac:dyDescent="0.25">
      <c r="B25" s="64"/>
      <c r="D25" t="s">
        <v>109</v>
      </c>
      <c r="E25">
        <v>30000</v>
      </c>
    </row>
    <row r="26" spans="2:8" x14ac:dyDescent="0.25">
      <c r="B26" s="64"/>
      <c r="C26">
        <v>510709</v>
      </c>
      <c r="D26" t="s">
        <v>95</v>
      </c>
      <c r="E26">
        <v>40000</v>
      </c>
    </row>
    <row r="27" spans="2:8" x14ac:dyDescent="0.25">
      <c r="B27" s="64"/>
      <c r="D27" t="s">
        <v>110</v>
      </c>
      <c r="E27">
        <v>50000</v>
      </c>
    </row>
    <row r="28" spans="2:8" x14ac:dyDescent="0.25">
      <c r="B28" s="64"/>
      <c r="D28" t="s">
        <v>114</v>
      </c>
      <c r="F28">
        <f>SUM(E22:E27)</f>
        <v>330000</v>
      </c>
    </row>
    <row r="29" spans="2:8" x14ac:dyDescent="0.25">
      <c r="B29" s="53" t="s">
        <v>118</v>
      </c>
      <c r="D29" t="s">
        <v>115</v>
      </c>
      <c r="E29">
        <f>F28</f>
        <v>330000</v>
      </c>
    </row>
    <row r="30" spans="2:8" x14ac:dyDescent="0.25">
      <c r="B30" s="53"/>
      <c r="D30" t="s">
        <v>104</v>
      </c>
      <c r="F30">
        <f>E29</f>
        <v>330000</v>
      </c>
    </row>
    <row r="31" spans="2:8" x14ac:dyDescent="0.25">
      <c r="B31" s="53">
        <v>4</v>
      </c>
      <c r="C31">
        <v>110101</v>
      </c>
      <c r="D31" t="s">
        <v>105</v>
      </c>
      <c r="E31">
        <f>F32</f>
        <v>144000</v>
      </c>
    </row>
    <row r="32" spans="2:8" x14ac:dyDescent="0.25">
      <c r="B32" s="53"/>
      <c r="C32">
        <v>110102</v>
      </c>
      <c r="D32" t="s">
        <v>111</v>
      </c>
      <c r="F32">
        <f>480000*30%</f>
        <v>144000</v>
      </c>
    </row>
    <row r="35" spans="2:6" x14ac:dyDescent="0.25">
      <c r="B35" s="53" t="s">
        <v>121</v>
      </c>
      <c r="C35" s="53"/>
      <c r="D35" s="53"/>
      <c r="E35" s="53"/>
      <c r="F35" s="53"/>
    </row>
    <row r="36" spans="2:6" x14ac:dyDescent="0.25">
      <c r="B36" t="s">
        <v>124</v>
      </c>
    </row>
    <row r="37" spans="2:6" x14ac:dyDescent="0.25">
      <c r="B37" s="53">
        <v>1</v>
      </c>
      <c r="C37">
        <v>131405</v>
      </c>
      <c r="D37" t="s">
        <v>122</v>
      </c>
      <c r="E37">
        <v>100000</v>
      </c>
    </row>
    <row r="38" spans="2:6" x14ac:dyDescent="0.25">
      <c r="B38" s="53"/>
      <c r="C38">
        <v>110101</v>
      </c>
      <c r="D38" t="s">
        <v>113</v>
      </c>
      <c r="F38">
        <f>E37</f>
        <v>100000</v>
      </c>
    </row>
    <row r="39" spans="2:6" x14ac:dyDescent="0.25">
      <c r="B39" s="21"/>
    </row>
    <row r="40" spans="2:6" x14ac:dyDescent="0.25">
      <c r="B40" t="s">
        <v>123</v>
      </c>
    </row>
    <row r="41" spans="2:6" x14ac:dyDescent="0.25">
      <c r="B41" s="53">
        <v>2</v>
      </c>
      <c r="C41">
        <v>5114</v>
      </c>
      <c r="D41" t="s">
        <v>125</v>
      </c>
      <c r="E41">
        <v>10000</v>
      </c>
    </row>
    <row r="42" spans="2:6" x14ac:dyDescent="0.25">
      <c r="B42" s="53"/>
      <c r="C42">
        <v>110101</v>
      </c>
      <c r="D42" t="s">
        <v>113</v>
      </c>
      <c r="F42">
        <f>E41</f>
        <v>10000</v>
      </c>
    </row>
    <row r="43" spans="2:6" x14ac:dyDescent="0.25">
      <c r="B43" s="21"/>
    </row>
    <row r="44" spans="2:6" x14ac:dyDescent="0.25">
      <c r="B44" t="s">
        <v>126</v>
      </c>
    </row>
    <row r="45" spans="2:6" x14ac:dyDescent="0.25">
      <c r="C45">
        <v>110101</v>
      </c>
      <c r="D45" t="s">
        <v>113</v>
      </c>
      <c r="E45">
        <v>10000</v>
      </c>
    </row>
    <row r="46" spans="2:6" x14ac:dyDescent="0.25">
      <c r="C46">
        <v>429553</v>
      </c>
      <c r="D46" t="s">
        <v>127</v>
      </c>
      <c r="F46">
        <f>E45</f>
        <v>10000</v>
      </c>
    </row>
    <row r="48" spans="2:6" x14ac:dyDescent="0.25">
      <c r="B48" t="s">
        <v>128</v>
      </c>
    </row>
    <row r="49" spans="3:6" x14ac:dyDescent="0.25">
      <c r="C49">
        <v>110101</v>
      </c>
      <c r="D49" t="s">
        <v>113</v>
      </c>
      <c r="E49">
        <v>80000</v>
      </c>
    </row>
    <row r="50" spans="3:6" x14ac:dyDescent="0.25">
      <c r="C50">
        <v>2219</v>
      </c>
      <c r="D50" t="s">
        <v>129</v>
      </c>
      <c r="F50">
        <f>E49</f>
        <v>80000</v>
      </c>
    </row>
  </sheetData>
  <mergeCells count="11">
    <mergeCell ref="B21:B28"/>
    <mergeCell ref="B2:G2"/>
    <mergeCell ref="B3:G3"/>
    <mergeCell ref="B15:G15"/>
    <mergeCell ref="B17:B18"/>
    <mergeCell ref="B19:B20"/>
    <mergeCell ref="B29:B30"/>
    <mergeCell ref="B31:B32"/>
    <mergeCell ref="B35:F35"/>
    <mergeCell ref="B37:B38"/>
    <mergeCell ref="B41:B4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C2B21-BD5C-4142-92DA-41805F2E2C3B}">
  <dimension ref="B1:J28"/>
  <sheetViews>
    <sheetView tabSelected="1" workbookViewId="0">
      <selection activeCell="O5" sqref="O5"/>
    </sheetView>
  </sheetViews>
  <sheetFormatPr baseColWidth="10" defaultRowHeight="15" x14ac:dyDescent="0.25"/>
  <cols>
    <col min="3" max="3" width="16.42578125" customWidth="1"/>
    <col min="8" max="8" width="12.85546875" customWidth="1"/>
    <col min="9" max="9" width="14" bestFit="1" customWidth="1"/>
    <col min="10" max="10" width="13" bestFit="1" customWidth="1"/>
  </cols>
  <sheetData>
    <row r="1" spans="2:10" x14ac:dyDescent="0.25">
      <c r="B1" s="65" t="s">
        <v>98</v>
      </c>
      <c r="C1" s="65"/>
      <c r="D1" s="65"/>
      <c r="E1" s="65"/>
      <c r="G1" s="65" t="s">
        <v>98</v>
      </c>
      <c r="H1" s="65"/>
      <c r="I1" s="65"/>
      <c r="J1" s="65"/>
    </row>
    <row r="2" spans="2:10" x14ac:dyDescent="0.25">
      <c r="B2" s="22" t="s">
        <v>130</v>
      </c>
      <c r="C2" s="22" t="s">
        <v>131</v>
      </c>
      <c r="D2" s="22" t="s">
        <v>132</v>
      </c>
      <c r="E2" s="22" t="s">
        <v>133</v>
      </c>
      <c r="G2" s="8" t="s">
        <v>130</v>
      </c>
      <c r="H2" s="8" t="s">
        <v>131</v>
      </c>
      <c r="I2" s="8" t="s">
        <v>132</v>
      </c>
      <c r="J2" s="8" t="s">
        <v>133</v>
      </c>
    </row>
    <row r="3" spans="2:10" ht="45" x14ac:dyDescent="0.25">
      <c r="B3" s="23">
        <v>1314</v>
      </c>
      <c r="C3" s="23" t="s">
        <v>136</v>
      </c>
      <c r="D3" s="24">
        <f>2300000-2110000</f>
        <v>190000</v>
      </c>
      <c r="E3" s="23"/>
      <c r="G3" s="2">
        <v>110102</v>
      </c>
      <c r="H3" s="2" t="s">
        <v>111</v>
      </c>
      <c r="I3" s="26">
        <v>300000</v>
      </c>
      <c r="J3" s="2"/>
    </row>
    <row r="4" spans="2:10" x14ac:dyDescent="0.25">
      <c r="B4" s="23">
        <v>110101</v>
      </c>
      <c r="C4" s="23" t="s">
        <v>135</v>
      </c>
      <c r="D4" s="23"/>
      <c r="E4" s="24">
        <f>D3</f>
        <v>190000</v>
      </c>
      <c r="G4" s="2">
        <v>110202</v>
      </c>
      <c r="H4" s="2" t="s">
        <v>104</v>
      </c>
      <c r="I4" s="2"/>
      <c r="J4" s="26">
        <f>I3</f>
        <v>300000</v>
      </c>
    </row>
    <row r="5" spans="2:10" ht="30" customHeight="1" x14ac:dyDescent="0.25">
      <c r="B5" s="32" t="s">
        <v>137</v>
      </c>
      <c r="C5" s="32"/>
      <c r="D5" s="32"/>
      <c r="E5" s="32"/>
      <c r="G5" s="31" t="s">
        <v>143</v>
      </c>
      <c r="H5" s="31"/>
      <c r="I5" s="31"/>
      <c r="J5" s="31"/>
    </row>
    <row r="6" spans="2:10" ht="45" x14ac:dyDescent="0.25">
      <c r="B6" s="23">
        <v>1314</v>
      </c>
      <c r="C6" s="23" t="s">
        <v>136</v>
      </c>
      <c r="D6" s="24">
        <f>3010000-3004500</f>
        <v>5500</v>
      </c>
      <c r="E6" s="23"/>
      <c r="G6" s="2">
        <v>110102</v>
      </c>
      <c r="H6" s="2" t="s">
        <v>111</v>
      </c>
      <c r="I6" s="27">
        <f>I3*30%</f>
        <v>90000</v>
      </c>
      <c r="J6" s="27"/>
    </row>
    <row r="7" spans="2:10" x14ac:dyDescent="0.25">
      <c r="B7" s="23">
        <v>110101</v>
      </c>
      <c r="C7" s="23" t="s">
        <v>135</v>
      </c>
      <c r="D7" s="23"/>
      <c r="E7" s="24">
        <f>D6</f>
        <v>5500</v>
      </c>
      <c r="G7" s="2">
        <v>110101</v>
      </c>
      <c r="H7" s="2" t="s">
        <v>113</v>
      </c>
      <c r="I7" s="27"/>
      <c r="J7" s="27">
        <f>I6</f>
        <v>90000</v>
      </c>
    </row>
    <row r="8" spans="2:10" ht="30.75" customHeight="1" x14ac:dyDescent="0.25">
      <c r="B8" s="32" t="s">
        <v>137</v>
      </c>
      <c r="C8" s="32"/>
      <c r="D8" s="32"/>
      <c r="E8" s="32"/>
      <c r="G8" s="31" t="s">
        <v>144</v>
      </c>
      <c r="H8" s="31"/>
      <c r="I8" s="31"/>
      <c r="J8" s="31"/>
    </row>
    <row r="9" spans="2:10" ht="30" customHeight="1" x14ac:dyDescent="0.25">
      <c r="B9" s="2">
        <v>238095</v>
      </c>
      <c r="C9" s="25" t="s">
        <v>138</v>
      </c>
      <c r="D9" s="2"/>
      <c r="E9" s="26">
        <f>750000-600000</f>
        <v>150000</v>
      </c>
      <c r="G9" s="2">
        <v>110101</v>
      </c>
      <c r="H9" s="2" t="s">
        <v>135</v>
      </c>
      <c r="I9" s="27">
        <f>I6*10%</f>
        <v>9000</v>
      </c>
      <c r="J9" s="27"/>
    </row>
    <row r="10" spans="2:10" x14ac:dyDescent="0.25">
      <c r="B10" s="2">
        <v>110101</v>
      </c>
      <c r="C10" s="2" t="s">
        <v>135</v>
      </c>
      <c r="D10" s="26">
        <f>E9</f>
        <v>150000</v>
      </c>
      <c r="E10" s="2"/>
      <c r="G10" s="2">
        <v>110202</v>
      </c>
      <c r="H10" s="2" t="s">
        <v>142</v>
      </c>
      <c r="I10" s="27"/>
      <c r="J10" s="27">
        <f>I9</f>
        <v>9000</v>
      </c>
    </row>
    <row r="11" spans="2:10" x14ac:dyDescent="0.25">
      <c r="B11" s="51" t="s">
        <v>139</v>
      </c>
      <c r="C11" s="51"/>
      <c r="D11" s="51"/>
      <c r="E11" s="51"/>
      <c r="G11" s="29" t="s">
        <v>145</v>
      </c>
      <c r="H11" s="29"/>
      <c r="I11" s="29"/>
      <c r="J11" s="29"/>
    </row>
    <row r="12" spans="2:10" x14ac:dyDescent="0.25">
      <c r="B12" s="51"/>
      <c r="C12" s="51"/>
      <c r="D12" s="51"/>
      <c r="E12" s="51"/>
      <c r="G12" s="29"/>
      <c r="H12" s="29"/>
      <c r="I12" s="29"/>
      <c r="J12" s="29"/>
    </row>
    <row r="13" spans="2:10" ht="15.75" customHeight="1" x14ac:dyDescent="0.25">
      <c r="B13" s="2">
        <v>429553</v>
      </c>
      <c r="C13" s="2" t="s">
        <v>140</v>
      </c>
      <c r="D13" s="2"/>
      <c r="E13" s="26">
        <f>2205000-2200000</f>
        <v>5000</v>
      </c>
      <c r="G13" s="2">
        <v>510708</v>
      </c>
      <c r="H13" s="2" t="s">
        <v>146</v>
      </c>
      <c r="I13" s="27">
        <v>80000</v>
      </c>
      <c r="J13" s="2"/>
    </row>
    <row r="14" spans="2:10" ht="34.5" customHeight="1" x14ac:dyDescent="0.25">
      <c r="B14" s="2">
        <v>110101</v>
      </c>
      <c r="C14" s="2" t="s">
        <v>135</v>
      </c>
      <c r="D14" s="26">
        <f>E13</f>
        <v>5000</v>
      </c>
      <c r="E14" s="2"/>
      <c r="G14" s="2"/>
      <c r="H14" s="25" t="s">
        <v>147</v>
      </c>
      <c r="I14" s="27"/>
      <c r="J14" s="27"/>
    </row>
    <row r="15" spans="2:10" x14ac:dyDescent="0.25">
      <c r="B15" s="51" t="s">
        <v>141</v>
      </c>
      <c r="C15" s="51"/>
      <c r="D15" s="51"/>
      <c r="E15" s="51"/>
      <c r="G15" s="2">
        <v>510710</v>
      </c>
      <c r="H15" s="2" t="s">
        <v>146</v>
      </c>
      <c r="I15" s="27">
        <v>90000</v>
      </c>
      <c r="J15" s="27"/>
    </row>
    <row r="16" spans="2:10" ht="46.5" customHeight="1" x14ac:dyDescent="0.25">
      <c r="B16" s="51"/>
      <c r="C16" s="51"/>
      <c r="D16" s="51"/>
      <c r="E16" s="51"/>
      <c r="G16" s="2"/>
      <c r="H16" s="25" t="s">
        <v>148</v>
      </c>
      <c r="I16" s="27"/>
      <c r="J16" s="27"/>
    </row>
    <row r="17" spans="7:10" ht="30.75" customHeight="1" x14ac:dyDescent="0.25">
      <c r="G17" s="28">
        <v>511104</v>
      </c>
      <c r="H17" s="25" t="s">
        <v>149</v>
      </c>
      <c r="I17" s="27">
        <v>60000</v>
      </c>
      <c r="J17" s="2"/>
    </row>
    <row r="18" spans="7:10" x14ac:dyDescent="0.25">
      <c r="G18" s="2">
        <v>5114</v>
      </c>
      <c r="H18" s="25" t="s">
        <v>134</v>
      </c>
      <c r="I18" s="27">
        <v>30000</v>
      </c>
      <c r="J18" s="2"/>
    </row>
    <row r="19" spans="7:10" ht="45" x14ac:dyDescent="0.25">
      <c r="G19" s="28">
        <v>511406</v>
      </c>
      <c r="H19" s="25" t="s">
        <v>150</v>
      </c>
      <c r="I19" s="2"/>
      <c r="J19" s="2"/>
    </row>
    <row r="20" spans="7:10" x14ac:dyDescent="0.25">
      <c r="G20" s="2">
        <v>5114</v>
      </c>
      <c r="H20" s="25" t="s">
        <v>134</v>
      </c>
      <c r="I20" s="27">
        <v>20000</v>
      </c>
      <c r="J20" s="2"/>
    </row>
    <row r="21" spans="7:10" ht="45" x14ac:dyDescent="0.25">
      <c r="G21" s="28">
        <v>511405</v>
      </c>
      <c r="H21" s="25" t="s">
        <v>151</v>
      </c>
      <c r="I21" s="2"/>
      <c r="J21" s="2"/>
    </row>
    <row r="22" spans="7:10" ht="45" x14ac:dyDescent="0.25">
      <c r="G22" s="28">
        <v>2211</v>
      </c>
      <c r="H22" s="25" t="s">
        <v>152</v>
      </c>
      <c r="I22" s="2"/>
      <c r="J22" s="16">
        <f>SUM(I13:I20)</f>
        <v>280000</v>
      </c>
    </row>
    <row r="23" spans="7:10" x14ac:dyDescent="0.25">
      <c r="G23" s="32" t="s">
        <v>153</v>
      </c>
      <c r="H23" s="32"/>
      <c r="I23" s="32"/>
      <c r="J23" s="32"/>
    </row>
    <row r="24" spans="7:10" x14ac:dyDescent="0.25">
      <c r="G24" s="32"/>
      <c r="H24" s="32"/>
      <c r="I24" s="32"/>
      <c r="J24" s="32"/>
    </row>
    <row r="25" spans="7:10" ht="45" x14ac:dyDescent="0.25">
      <c r="G25" s="28">
        <v>2211</v>
      </c>
      <c r="H25" s="25" t="s">
        <v>152</v>
      </c>
      <c r="I25" s="16">
        <f>J22</f>
        <v>280000</v>
      </c>
      <c r="J25" s="2"/>
    </row>
    <row r="26" spans="7:10" x14ac:dyDescent="0.25">
      <c r="G26" s="2">
        <v>110202</v>
      </c>
      <c r="H26" s="2" t="s">
        <v>104</v>
      </c>
      <c r="I26" s="2"/>
      <c r="J26" s="16">
        <f>I25</f>
        <v>280000</v>
      </c>
    </row>
    <row r="27" spans="7:10" x14ac:dyDescent="0.25">
      <c r="G27" s="32" t="s">
        <v>154</v>
      </c>
      <c r="H27" s="32"/>
      <c r="I27" s="32"/>
      <c r="J27" s="32"/>
    </row>
    <row r="28" spans="7:10" x14ac:dyDescent="0.25">
      <c r="G28" s="32"/>
      <c r="H28" s="32"/>
      <c r="I28" s="32"/>
      <c r="J28" s="32"/>
    </row>
  </sheetData>
  <mergeCells count="11">
    <mergeCell ref="G23:J24"/>
    <mergeCell ref="G27:J28"/>
    <mergeCell ref="B15:E16"/>
    <mergeCell ref="G5:J5"/>
    <mergeCell ref="G1:J1"/>
    <mergeCell ref="G8:J8"/>
    <mergeCell ref="G11:J12"/>
    <mergeCell ref="B5:E5"/>
    <mergeCell ref="B1:E1"/>
    <mergeCell ref="B8:E8"/>
    <mergeCell ref="B11:E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EJERCICIO 3</vt:lpstr>
      <vt:lpstr>TALLER COMPRAS</vt:lpstr>
      <vt:lpstr>MEDICIÓN Y COSTO DE INVENTARIO</vt:lpstr>
      <vt:lpstr>VENTAS</vt:lpstr>
      <vt:lpstr>DEVOLUCIONES VENTA</vt:lpstr>
      <vt:lpstr>MOVIMIENTOS CAJA</vt:lpstr>
      <vt:lpstr>MOVIMIENTOS DE CAJA 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2015-06-05T18:19:34Z</dcterms:created>
  <dcterms:modified xsi:type="dcterms:W3CDTF">2023-06-09T21:02:17Z</dcterms:modified>
</cp:coreProperties>
</file>