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 SEMESTRE- CONTADURÍA PÚBLICA\PROCESOS CONTABLES I\"/>
    </mc:Choice>
  </mc:AlternateContent>
  <xr:revisionPtr revIDLastSave="0" documentId="13_ncr:1_{1D693A36-3957-4DF3-8231-F1789CD94055}" xr6:coauthVersionLast="47" xr6:coauthVersionMax="47" xr10:uidLastSave="{00000000-0000-0000-0000-000000000000}"/>
  <bookViews>
    <workbookView xWindow="-120" yWindow="-120" windowWidth="20730" windowHeight="11160" activeTab="2" xr2:uid="{5FCC5DCB-717E-4F79-863F-6974D723A3FB}"/>
  </bookViews>
  <sheets>
    <sheet name="Registros contables" sheetId="1" r:id="rId1"/>
    <sheet name="PEPS" sheetId="2" r:id="rId2"/>
    <sheet name="Estado de resultados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9" i="4"/>
  <c r="C3" i="4"/>
  <c r="C4" i="4"/>
  <c r="C5" i="4"/>
  <c r="C6" i="4"/>
  <c r="C8" i="4"/>
  <c r="F38" i="1"/>
  <c r="F54" i="1"/>
  <c r="E10" i="1"/>
  <c r="F11" i="1"/>
  <c r="H5" i="1"/>
  <c r="J5" i="1"/>
  <c r="E5" i="1"/>
  <c r="F7" i="1"/>
  <c r="F8" i="1"/>
  <c r="E6" i="1"/>
  <c r="F9" i="1"/>
  <c r="F12" i="1"/>
  <c r="F13" i="1"/>
  <c r="E17" i="1"/>
  <c r="F18" i="1"/>
  <c r="E14" i="1"/>
  <c r="E15" i="1"/>
  <c r="E16" i="1"/>
  <c r="F19" i="1"/>
  <c r="F21" i="1"/>
  <c r="F22" i="1"/>
  <c r="H17" i="1"/>
  <c r="E27" i="1"/>
  <c r="F28" i="1"/>
  <c r="E24" i="1"/>
  <c r="E25" i="1"/>
  <c r="E23" i="1"/>
  <c r="E26" i="1"/>
  <c r="F29" i="1"/>
  <c r="H31" i="1"/>
  <c r="J31" i="1"/>
  <c r="E31" i="1"/>
  <c r="F33" i="1"/>
  <c r="F34" i="1"/>
  <c r="E32" i="1"/>
  <c r="F35" i="1"/>
  <c r="E36" i="1"/>
  <c r="F37" i="1"/>
  <c r="H38" i="1"/>
  <c r="J38" i="1"/>
  <c r="H40" i="1"/>
  <c r="E40" i="1"/>
  <c r="F41" i="1"/>
  <c r="G42" i="1"/>
  <c r="E42" i="1"/>
  <c r="F43" i="1"/>
  <c r="F44" i="1"/>
  <c r="F47" i="1"/>
  <c r="F49" i="1"/>
  <c r="F52" i="1"/>
  <c r="F55" i="1"/>
  <c r="E56" i="1"/>
  <c r="F57" i="1"/>
  <c r="F58" i="1"/>
  <c r="E20" i="1"/>
  <c r="E30" i="1"/>
  <c r="E39" i="1"/>
  <c r="E45" i="1"/>
  <c r="E58" i="1"/>
  <c r="I11" i="2"/>
  <c r="H11" i="2"/>
  <c r="I13" i="1"/>
  <c r="E22" i="2"/>
  <c r="E19" i="2"/>
  <c r="K19" i="2"/>
  <c r="H21" i="2"/>
  <c r="K21" i="2"/>
  <c r="J19" i="2"/>
  <c r="J20" i="2"/>
  <c r="J21" i="2"/>
  <c r="L21" i="2"/>
  <c r="I21" i="2"/>
  <c r="H20" i="2"/>
  <c r="I20" i="2"/>
  <c r="L20" i="2"/>
  <c r="K20" i="2"/>
  <c r="E12" i="2"/>
  <c r="F19" i="2"/>
  <c r="L19" i="2"/>
  <c r="E8" i="2"/>
  <c r="K8" i="2"/>
  <c r="H10" i="2"/>
  <c r="I10" i="2"/>
  <c r="K11" i="2"/>
  <c r="J8" i="2"/>
  <c r="J10" i="2"/>
  <c r="J11" i="2"/>
  <c r="L11" i="2"/>
  <c r="K10" i="2"/>
  <c r="L10" i="2"/>
  <c r="L7" i="2"/>
  <c r="H9" i="2"/>
  <c r="G9" i="2"/>
  <c r="I9" i="2"/>
  <c r="L9" i="2"/>
  <c r="K9" i="2"/>
  <c r="J9" i="2"/>
  <c r="F8" i="2"/>
  <c r="L8" i="2"/>
</calcChain>
</file>

<file path=xl/sharedStrings.xml><?xml version="1.0" encoding="utf-8"?>
<sst xmlns="http://schemas.openxmlformats.org/spreadsheetml/2006/main" count="146" uniqueCount="79">
  <si>
    <t xml:space="preserve">REGISTRO CONTABLE </t>
  </si>
  <si>
    <t>FECHA</t>
  </si>
  <si>
    <t>CÓDIGO</t>
  </si>
  <si>
    <t>CUENTA</t>
  </si>
  <si>
    <t>DEBE</t>
  </si>
  <si>
    <t xml:space="preserve">HABER </t>
  </si>
  <si>
    <t>EMPRESA COMERCIAL S.A.S</t>
  </si>
  <si>
    <t>MERCANCÍAS</t>
  </si>
  <si>
    <t>IVA (19%)</t>
  </si>
  <si>
    <t>RET. FUENTE</t>
  </si>
  <si>
    <t>RET. ICA</t>
  </si>
  <si>
    <t xml:space="preserve">PROVEEDORES </t>
  </si>
  <si>
    <t>a.</t>
  </si>
  <si>
    <t xml:space="preserve">Descuento </t>
  </si>
  <si>
    <t>Compra</t>
  </si>
  <si>
    <t xml:space="preserve">CLIENTES </t>
  </si>
  <si>
    <t>COSTO DE VENTAS</t>
  </si>
  <si>
    <t>b.</t>
  </si>
  <si>
    <t xml:space="preserve">Costo unitario </t>
  </si>
  <si>
    <t>CAJA</t>
  </si>
  <si>
    <t>b.1</t>
  </si>
  <si>
    <t>c.</t>
  </si>
  <si>
    <t>d.</t>
  </si>
  <si>
    <t>BANCOS</t>
  </si>
  <si>
    <t>e.</t>
  </si>
  <si>
    <t>RET. IVA (15%)</t>
  </si>
  <si>
    <t xml:space="preserve">f. </t>
  </si>
  <si>
    <t xml:space="preserve">g. </t>
  </si>
  <si>
    <t>VENTAS</t>
  </si>
  <si>
    <t>IVA</t>
  </si>
  <si>
    <t>Venta</t>
  </si>
  <si>
    <t>DEVOLUCIONES EN VENTA</t>
  </si>
  <si>
    <t>SERVICIOS</t>
  </si>
  <si>
    <t>COSTOS Y GASTOS POR PAGAR</t>
  </si>
  <si>
    <t>h.</t>
  </si>
  <si>
    <t>i.</t>
  </si>
  <si>
    <t>BONOS</t>
  </si>
  <si>
    <t>INGRESOS FINANCIEROS</t>
  </si>
  <si>
    <t>j.</t>
  </si>
  <si>
    <t>HONORARIOS</t>
  </si>
  <si>
    <t xml:space="preserve">COSTOS Y GASTOS POR PAGAR </t>
  </si>
  <si>
    <t>k.</t>
  </si>
  <si>
    <t>l.</t>
  </si>
  <si>
    <t>GASTOS FINANCIEROS</t>
  </si>
  <si>
    <t>PRODUCTO</t>
  </si>
  <si>
    <t xml:space="preserve">Cantidad máxima </t>
  </si>
  <si>
    <t>REFERENCIA</t>
  </si>
  <si>
    <t xml:space="preserve">Método de valoración </t>
  </si>
  <si>
    <t>PEPS</t>
  </si>
  <si>
    <t>ENTRADAS  (compras)</t>
  </si>
  <si>
    <t>SALIDAS (ventas)</t>
  </si>
  <si>
    <t xml:space="preserve">SALDOS </t>
  </si>
  <si>
    <t>DETALLE</t>
  </si>
  <si>
    <t>CANTIDAD</t>
  </si>
  <si>
    <t>VALOR UNITARIO</t>
  </si>
  <si>
    <t xml:space="preserve">V. TOTAL </t>
  </si>
  <si>
    <t>a</t>
  </si>
  <si>
    <t>b</t>
  </si>
  <si>
    <t>Sillas</t>
  </si>
  <si>
    <t xml:space="preserve">Compra </t>
  </si>
  <si>
    <t xml:space="preserve">Venta </t>
  </si>
  <si>
    <t>Inventario inicial</t>
  </si>
  <si>
    <t>c</t>
  </si>
  <si>
    <t>Mesas</t>
  </si>
  <si>
    <t>e</t>
  </si>
  <si>
    <t>f</t>
  </si>
  <si>
    <t xml:space="preserve">Devolución </t>
  </si>
  <si>
    <t>h</t>
  </si>
  <si>
    <t>ESTADO DE RESULTADO</t>
  </si>
  <si>
    <t>Ventas</t>
  </si>
  <si>
    <t>(-) Costo de ventas</t>
  </si>
  <si>
    <t>(=) Utilidad bruta</t>
  </si>
  <si>
    <t>(-) Gastos opera. administrativos</t>
  </si>
  <si>
    <t>(-) Gastos opera. por ventas</t>
  </si>
  <si>
    <t>e.1</t>
  </si>
  <si>
    <t>a.1</t>
  </si>
  <si>
    <t>Impuesto de renta</t>
  </si>
  <si>
    <t xml:space="preserve">Utilidad del ejercicio </t>
  </si>
  <si>
    <t>Utilidad antes del impuesto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</si>
</sst>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9" formatCode="[$ $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/>
    <xf numFmtId="164" fontId="0" fillId="0" borderId="1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0" xfId="0" applyNumberFormat="1"/>
    <xf numFmtId="164" fontId="2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/>
    <xf numFmtId="0" fontId="0" fillId="0" borderId="1" xfId="0" applyFill="1" applyBorder="1"/>
    <xf numFmtId="165" fontId="0" fillId="0" borderId="1" xfId="1" applyNumberFormat="1" applyFont="1" applyBorder="1"/>
    <xf numFmtId="0" fontId="0" fillId="0" borderId="1" xfId="0" applyBorder="1" applyAlignment="1">
      <alignment horizontal="left" vertical="center"/>
    </xf>
    <xf numFmtId="164" fontId="2" fillId="5" borderId="1" xfId="0" applyNumberFormat="1" applyFont="1" applyFill="1" applyBorder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/>
    <xf numFmtId="169" fontId="4" fillId="0" borderId="1" xfId="0" applyNumberFormat="1" applyFont="1" applyBorder="1"/>
    <xf numFmtId="0" fontId="4" fillId="6" borderId="1" xfId="0" applyFont="1" applyFill="1" applyBorder="1"/>
    <xf numFmtId="169" fontId="4" fillId="6" borderId="1" xfId="0" applyNumberFormat="1" applyFont="1" applyFill="1" applyBorder="1"/>
    <xf numFmtId="169" fontId="4" fillId="0" borderId="0" xfId="0" applyNumberFormat="1" applyFont="1"/>
    <xf numFmtId="165" fontId="4" fillId="0" borderId="1" xfId="1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169" fontId="4" fillId="0" borderId="0" xfId="0" applyNumberFormat="1" applyFont="1" applyFill="1" applyBorder="1"/>
    <xf numFmtId="169" fontId="4" fillId="0" borderId="1" xfId="0" applyNumberFormat="1" applyFont="1" applyFill="1" applyBorder="1"/>
    <xf numFmtId="0" fontId="4" fillId="0" borderId="1" xfId="0" applyFont="1" applyFill="1" applyBorder="1"/>
    <xf numFmtId="169" fontId="4" fillId="7" borderId="1" xfId="0" applyNumberFormat="1" applyFont="1" applyFill="1" applyBorder="1"/>
    <xf numFmtId="0" fontId="4" fillId="7" borderId="1" xfId="0" applyFont="1" applyFill="1" applyBorder="1"/>
    <xf numFmtId="165" fontId="0" fillId="0" borderId="0" xfId="0" applyNumberFormat="1"/>
    <xf numFmtId="0" fontId="2" fillId="8" borderId="1" xfId="0" applyFont="1" applyFill="1" applyBorder="1" applyAlignment="1">
      <alignment horizontal="center"/>
    </xf>
    <xf numFmtId="0" fontId="2" fillId="4" borderId="4" xfId="0" applyFont="1" applyFill="1" applyBorder="1"/>
    <xf numFmtId="164" fontId="0" fillId="4" borderId="4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B6D1-E1CC-4E5E-9970-BF053D5BBF36}">
  <dimension ref="B2:J58"/>
  <sheetViews>
    <sheetView topLeftCell="A2" zoomScaleNormal="100" workbookViewId="0">
      <selection activeCell="G52" sqref="G52"/>
    </sheetView>
  </sheetViews>
  <sheetFormatPr baseColWidth="10" defaultRowHeight="15" x14ac:dyDescent="0.25"/>
  <cols>
    <col min="3" max="3" width="11.28515625" customWidth="1"/>
    <col min="4" max="4" width="28.42578125" customWidth="1"/>
    <col min="5" max="6" width="14" bestFit="1" customWidth="1"/>
    <col min="7" max="7" width="15.42578125" customWidth="1"/>
  </cols>
  <sheetData>
    <row r="2" spans="2:10" x14ac:dyDescent="0.25">
      <c r="B2" s="1" t="s">
        <v>0</v>
      </c>
      <c r="C2" s="1"/>
      <c r="D2" s="1"/>
      <c r="E2" s="1"/>
      <c r="F2" s="1"/>
    </row>
    <row r="3" spans="2:10" x14ac:dyDescent="0.25">
      <c r="B3" s="2" t="s">
        <v>6</v>
      </c>
      <c r="C3" s="3"/>
      <c r="D3" s="3"/>
      <c r="E3" s="3"/>
      <c r="F3" s="4"/>
    </row>
    <row r="4" spans="2:10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</row>
    <row r="5" spans="2:10" x14ac:dyDescent="0.25">
      <c r="B5" s="6" t="s">
        <v>12</v>
      </c>
      <c r="C5" s="7">
        <v>1408</v>
      </c>
      <c r="D5" s="8" t="s">
        <v>7</v>
      </c>
      <c r="E5" s="9">
        <f>H5-J5</f>
        <v>3037500</v>
      </c>
      <c r="F5" s="9"/>
      <c r="G5" s="43" t="s">
        <v>14</v>
      </c>
      <c r="H5" s="9">
        <f>135000*25</f>
        <v>3375000</v>
      </c>
      <c r="I5" s="13" t="s">
        <v>13</v>
      </c>
      <c r="J5" s="9">
        <f>H5*10%</f>
        <v>337500</v>
      </c>
    </row>
    <row r="6" spans="2:10" x14ac:dyDescent="0.25">
      <c r="B6" s="10"/>
      <c r="C6" s="7">
        <v>2404</v>
      </c>
      <c r="D6" s="8" t="s">
        <v>8</v>
      </c>
      <c r="E6" s="9">
        <f>E5*19%</f>
        <v>577125</v>
      </c>
      <c r="F6" s="9"/>
    </row>
    <row r="7" spans="2:10" x14ac:dyDescent="0.25">
      <c r="B7" s="10"/>
      <c r="C7" s="7">
        <v>242208</v>
      </c>
      <c r="D7" s="8" t="s">
        <v>9</v>
      </c>
      <c r="E7" s="9"/>
      <c r="F7" s="9">
        <f>E5*2.5%</f>
        <v>75937.5</v>
      </c>
    </row>
    <row r="8" spans="2:10" x14ac:dyDescent="0.25">
      <c r="B8" s="10"/>
      <c r="C8" s="7">
        <v>2424</v>
      </c>
      <c r="D8" s="8" t="s">
        <v>10</v>
      </c>
      <c r="E8" s="9"/>
      <c r="F8" s="9">
        <f>E5*2/(1000)</f>
        <v>6075</v>
      </c>
    </row>
    <row r="9" spans="2:10" x14ac:dyDescent="0.25">
      <c r="B9" s="11"/>
      <c r="C9" s="7">
        <v>2201</v>
      </c>
      <c r="D9" s="8" t="s">
        <v>11</v>
      </c>
      <c r="E9" s="9"/>
      <c r="F9" s="9">
        <f>E5+E6-F7-F8</f>
        <v>3532612.5</v>
      </c>
    </row>
    <row r="10" spans="2:10" x14ac:dyDescent="0.25">
      <c r="B10" s="14" t="s">
        <v>75</v>
      </c>
      <c r="C10" s="7">
        <v>2201</v>
      </c>
      <c r="D10" s="8" t="s">
        <v>11</v>
      </c>
      <c r="E10" s="9">
        <f>F9</f>
        <v>3532612.5</v>
      </c>
      <c r="F10" s="9"/>
    </row>
    <row r="11" spans="2:10" x14ac:dyDescent="0.25">
      <c r="B11" s="14"/>
      <c r="C11" s="15">
        <v>1101</v>
      </c>
      <c r="D11" s="8" t="s">
        <v>19</v>
      </c>
      <c r="E11" s="9"/>
      <c r="F11" s="9">
        <f>E10</f>
        <v>3532612.5</v>
      </c>
    </row>
    <row r="12" spans="2:10" x14ac:dyDescent="0.25">
      <c r="B12" s="14" t="s">
        <v>17</v>
      </c>
      <c r="C12" s="7">
        <v>4107</v>
      </c>
      <c r="D12" s="8" t="s">
        <v>28</v>
      </c>
      <c r="E12" s="9"/>
      <c r="F12" s="9">
        <f>210000*40</f>
        <v>8400000</v>
      </c>
    </row>
    <row r="13" spans="2:10" x14ac:dyDescent="0.25">
      <c r="B13" s="14"/>
      <c r="C13" s="7">
        <v>2404</v>
      </c>
      <c r="D13" s="8" t="s">
        <v>8</v>
      </c>
      <c r="E13" s="9"/>
      <c r="F13" s="9">
        <f>F12*19%</f>
        <v>1596000</v>
      </c>
      <c r="I13" s="12">
        <f>E17+E27</f>
        <v>5079500</v>
      </c>
    </row>
    <row r="14" spans="2:10" x14ac:dyDescent="0.25">
      <c r="B14" s="14"/>
      <c r="C14" s="7">
        <v>1</v>
      </c>
      <c r="D14" s="8" t="s">
        <v>9</v>
      </c>
      <c r="E14" s="9">
        <f>F12*2.5%</f>
        <v>210000</v>
      </c>
      <c r="F14" s="9"/>
    </row>
    <row r="15" spans="2:10" x14ac:dyDescent="0.25">
      <c r="B15" s="14"/>
      <c r="C15" s="7">
        <v>1</v>
      </c>
      <c r="D15" s="8" t="s">
        <v>10</v>
      </c>
      <c r="E15" s="9">
        <f>F12*2/(1000)</f>
        <v>16800</v>
      </c>
      <c r="F15" s="9"/>
    </row>
    <row r="16" spans="2:10" x14ac:dyDescent="0.25">
      <c r="B16" s="14"/>
      <c r="C16" s="7">
        <v>13</v>
      </c>
      <c r="D16" s="8" t="s">
        <v>15</v>
      </c>
      <c r="E16" s="9">
        <f>F12+F13-E14-E15</f>
        <v>9769200</v>
      </c>
      <c r="F16" s="9"/>
    </row>
    <row r="17" spans="2:10" x14ac:dyDescent="0.25">
      <c r="B17" s="14"/>
      <c r="C17" s="7">
        <v>6135</v>
      </c>
      <c r="D17" s="8" t="s">
        <v>16</v>
      </c>
      <c r="E17" s="9">
        <f>PEPS!I9+PEPS!I10</f>
        <v>4107500</v>
      </c>
      <c r="F17" s="9"/>
      <c r="G17" s="43" t="s">
        <v>18</v>
      </c>
      <c r="H17" s="9">
        <f>E5/25</f>
        <v>121500</v>
      </c>
    </row>
    <row r="18" spans="2:10" x14ac:dyDescent="0.25">
      <c r="B18" s="14"/>
      <c r="C18" s="7">
        <v>1435</v>
      </c>
      <c r="D18" s="8" t="s">
        <v>7</v>
      </c>
      <c r="E18" s="9"/>
      <c r="F18" s="9">
        <f>E17</f>
        <v>4107500</v>
      </c>
    </row>
    <row r="19" spans="2:10" x14ac:dyDescent="0.25">
      <c r="B19" s="14" t="s">
        <v>20</v>
      </c>
      <c r="C19" s="7">
        <v>13</v>
      </c>
      <c r="D19" s="8" t="s">
        <v>15</v>
      </c>
      <c r="E19" s="9"/>
      <c r="F19" s="9">
        <f>E16</f>
        <v>9769200</v>
      </c>
    </row>
    <row r="20" spans="2:10" x14ac:dyDescent="0.25">
      <c r="B20" s="14"/>
      <c r="C20" s="15">
        <v>1101</v>
      </c>
      <c r="D20" s="8" t="s">
        <v>19</v>
      </c>
      <c r="E20" s="9">
        <f>F19</f>
        <v>9769200</v>
      </c>
      <c r="F20" s="9"/>
    </row>
    <row r="21" spans="2:10" x14ac:dyDescent="0.25">
      <c r="B21" s="14" t="s">
        <v>21</v>
      </c>
      <c r="C21" s="7">
        <v>4107</v>
      </c>
      <c r="D21" s="8" t="s">
        <v>28</v>
      </c>
      <c r="E21" s="9"/>
      <c r="F21" s="9">
        <f>200000*8</f>
        <v>1600000</v>
      </c>
    </row>
    <row r="22" spans="2:10" x14ac:dyDescent="0.25">
      <c r="B22" s="14"/>
      <c r="C22" s="7">
        <v>2404</v>
      </c>
      <c r="D22" s="8" t="s">
        <v>8</v>
      </c>
      <c r="E22" s="9"/>
      <c r="F22" s="9">
        <f>F21*19%</f>
        <v>304000</v>
      </c>
    </row>
    <row r="23" spans="2:10" x14ac:dyDescent="0.25">
      <c r="B23" s="14"/>
      <c r="C23" s="7">
        <v>1</v>
      </c>
      <c r="D23" s="8" t="s">
        <v>25</v>
      </c>
      <c r="E23" s="9">
        <f>F22*15%</f>
        <v>45600</v>
      </c>
      <c r="F23" s="8"/>
    </row>
    <row r="24" spans="2:10" x14ac:dyDescent="0.25">
      <c r="B24" s="14"/>
      <c r="C24" s="7">
        <v>1</v>
      </c>
      <c r="D24" s="8" t="s">
        <v>9</v>
      </c>
      <c r="E24" s="9">
        <f>F21*2.5%</f>
        <v>40000</v>
      </c>
      <c r="F24" s="9"/>
    </row>
    <row r="25" spans="2:10" x14ac:dyDescent="0.25">
      <c r="B25" s="14"/>
      <c r="C25" s="7">
        <v>1</v>
      </c>
      <c r="D25" s="8" t="s">
        <v>10</v>
      </c>
      <c r="E25" s="9">
        <f>F21*2/(1000)</f>
        <v>3200</v>
      </c>
      <c r="F25" s="9"/>
    </row>
    <row r="26" spans="2:10" x14ac:dyDescent="0.25">
      <c r="B26" s="14"/>
      <c r="C26" s="7">
        <v>13</v>
      </c>
      <c r="D26" s="8" t="s">
        <v>15</v>
      </c>
      <c r="E26" s="9">
        <f>F21+F22-E24-E25-E23</f>
        <v>1815200</v>
      </c>
      <c r="F26" s="9"/>
    </row>
    <row r="27" spans="2:10" x14ac:dyDescent="0.25">
      <c r="B27" s="14"/>
      <c r="C27" s="7">
        <v>6135</v>
      </c>
      <c r="D27" s="8" t="s">
        <v>16</v>
      </c>
      <c r="E27" s="9">
        <f>H17*8</f>
        <v>972000</v>
      </c>
      <c r="F27" s="9"/>
    </row>
    <row r="28" spans="2:10" x14ac:dyDescent="0.25">
      <c r="B28" s="14"/>
      <c r="C28" s="7">
        <v>1435</v>
      </c>
      <c r="D28" s="8" t="s">
        <v>7</v>
      </c>
      <c r="E28" s="9"/>
      <c r="F28" s="9">
        <f>E27</f>
        <v>972000</v>
      </c>
    </row>
    <row r="29" spans="2:10" x14ac:dyDescent="0.25">
      <c r="B29" s="14" t="s">
        <v>22</v>
      </c>
      <c r="C29" s="7">
        <v>13</v>
      </c>
      <c r="D29" s="8" t="s">
        <v>15</v>
      </c>
      <c r="E29" s="9"/>
      <c r="F29" s="9">
        <f>E26</f>
        <v>1815200</v>
      </c>
    </row>
    <row r="30" spans="2:10" x14ac:dyDescent="0.25">
      <c r="B30" s="14"/>
      <c r="C30" s="15">
        <v>1102</v>
      </c>
      <c r="D30" s="8" t="s">
        <v>23</v>
      </c>
      <c r="E30" s="9">
        <f>F29</f>
        <v>1815200</v>
      </c>
      <c r="F30" s="9"/>
    </row>
    <row r="31" spans="2:10" x14ac:dyDescent="0.25">
      <c r="B31" s="6" t="s">
        <v>24</v>
      </c>
      <c r="C31" s="7">
        <v>1408</v>
      </c>
      <c r="D31" s="8" t="s">
        <v>7</v>
      </c>
      <c r="E31" s="9">
        <f>H31-J31</f>
        <v>1824000</v>
      </c>
      <c r="F31" s="9"/>
      <c r="G31" s="43" t="s">
        <v>14</v>
      </c>
      <c r="H31" s="9">
        <f>80000*24</f>
        <v>1920000</v>
      </c>
      <c r="I31" s="13" t="s">
        <v>13</v>
      </c>
      <c r="J31" s="9">
        <f>H31*5%</f>
        <v>96000</v>
      </c>
    </row>
    <row r="32" spans="2:10" x14ac:dyDescent="0.25">
      <c r="B32" s="10"/>
      <c r="C32" s="7">
        <v>2404</v>
      </c>
      <c r="D32" s="8" t="s">
        <v>8</v>
      </c>
      <c r="E32" s="9">
        <f>E31*19%</f>
        <v>346560</v>
      </c>
      <c r="F32" s="9"/>
    </row>
    <row r="33" spans="2:10" x14ac:dyDescent="0.25">
      <c r="B33" s="10"/>
      <c r="C33" s="7">
        <v>242208</v>
      </c>
      <c r="D33" s="8" t="s">
        <v>9</v>
      </c>
      <c r="E33" s="9"/>
      <c r="F33" s="9">
        <f>E31*2.5%</f>
        <v>45600</v>
      </c>
    </row>
    <row r="34" spans="2:10" x14ac:dyDescent="0.25">
      <c r="B34" s="10"/>
      <c r="C34" s="7">
        <v>2424</v>
      </c>
      <c r="D34" s="8" t="s">
        <v>10</v>
      </c>
      <c r="E34" s="9"/>
      <c r="F34" s="9">
        <f>E31*2/(1000)</f>
        <v>3648</v>
      </c>
    </row>
    <row r="35" spans="2:10" x14ac:dyDescent="0.25">
      <c r="B35" s="11"/>
      <c r="C35" s="7">
        <v>2201</v>
      </c>
      <c r="D35" s="8" t="s">
        <v>11</v>
      </c>
      <c r="E35" s="9"/>
      <c r="F35" s="9">
        <f>E31+E32-F33-F34</f>
        <v>2121312</v>
      </c>
    </row>
    <row r="36" spans="2:10" x14ac:dyDescent="0.25">
      <c r="B36" s="14" t="s">
        <v>74</v>
      </c>
      <c r="C36" s="7">
        <v>2201</v>
      </c>
      <c r="D36" s="8" t="s">
        <v>11</v>
      </c>
      <c r="E36" s="9">
        <f>F35</f>
        <v>2121312</v>
      </c>
      <c r="F36" s="9"/>
    </row>
    <row r="37" spans="2:10" x14ac:dyDescent="0.25">
      <c r="B37" s="14"/>
      <c r="C37" s="15">
        <v>1101</v>
      </c>
      <c r="D37" s="8" t="s">
        <v>19</v>
      </c>
      <c r="E37" s="9"/>
      <c r="F37" s="9">
        <f>E36</f>
        <v>2121312</v>
      </c>
    </row>
    <row r="38" spans="2:10" x14ac:dyDescent="0.25">
      <c r="B38" s="6" t="s">
        <v>26</v>
      </c>
      <c r="C38" s="7">
        <v>4107</v>
      </c>
      <c r="D38" s="8" t="s">
        <v>28</v>
      </c>
      <c r="E38" s="9"/>
      <c r="F38" s="9">
        <f>H38+J38</f>
        <v>2284800</v>
      </c>
      <c r="G38" s="43" t="s">
        <v>30</v>
      </c>
      <c r="H38" s="9">
        <f>160000*12</f>
        <v>1920000</v>
      </c>
      <c r="I38" s="13" t="s">
        <v>29</v>
      </c>
      <c r="J38" s="9">
        <f>H38*19%</f>
        <v>364800</v>
      </c>
    </row>
    <row r="39" spans="2:10" x14ac:dyDescent="0.25">
      <c r="B39" s="10"/>
      <c r="C39" s="7">
        <v>13</v>
      </c>
      <c r="D39" s="8" t="s">
        <v>15</v>
      </c>
      <c r="E39" s="9">
        <f>F38</f>
        <v>2284800</v>
      </c>
      <c r="F39" s="9"/>
    </row>
    <row r="40" spans="2:10" x14ac:dyDescent="0.25">
      <c r="B40" s="10"/>
      <c r="C40" s="7">
        <v>6135</v>
      </c>
      <c r="D40" s="8" t="s">
        <v>16</v>
      </c>
      <c r="E40" s="9">
        <f>H40*12</f>
        <v>912000</v>
      </c>
      <c r="F40" s="9"/>
      <c r="G40" s="43" t="s">
        <v>18</v>
      </c>
      <c r="H40" s="9">
        <f>E31/24</f>
        <v>76000</v>
      </c>
    </row>
    <row r="41" spans="2:10" x14ac:dyDescent="0.25">
      <c r="B41" s="11"/>
      <c r="C41" s="7">
        <v>1435</v>
      </c>
      <c r="D41" s="8" t="s">
        <v>7</v>
      </c>
      <c r="E41" s="9"/>
      <c r="F41" s="9">
        <f>E40</f>
        <v>912000</v>
      </c>
    </row>
    <row r="42" spans="2:10" x14ac:dyDescent="0.25">
      <c r="B42" s="14" t="s">
        <v>27</v>
      </c>
      <c r="C42" s="7">
        <v>4107</v>
      </c>
      <c r="D42" s="8" t="s">
        <v>31</v>
      </c>
      <c r="E42" s="9">
        <f>G42*5</f>
        <v>952000</v>
      </c>
      <c r="F42" s="8"/>
      <c r="G42" s="44">
        <f>F38/12</f>
        <v>190400</v>
      </c>
    </row>
    <row r="43" spans="2:10" x14ac:dyDescent="0.25">
      <c r="B43" s="14"/>
      <c r="C43" s="7">
        <v>13</v>
      </c>
      <c r="D43" s="8" t="s">
        <v>15</v>
      </c>
      <c r="E43" s="8"/>
      <c r="F43" s="9">
        <f>E42</f>
        <v>952000</v>
      </c>
    </row>
    <row r="44" spans="2:10" x14ac:dyDescent="0.25">
      <c r="B44" s="14"/>
      <c r="C44" s="7">
        <v>6135</v>
      </c>
      <c r="D44" s="8" t="s">
        <v>16</v>
      </c>
      <c r="E44" s="9"/>
      <c r="F44" s="9">
        <f>H40*5</f>
        <v>380000</v>
      </c>
    </row>
    <row r="45" spans="2:10" x14ac:dyDescent="0.25">
      <c r="B45" s="14"/>
      <c r="C45" s="7">
        <v>1435</v>
      </c>
      <c r="D45" s="8" t="s">
        <v>7</v>
      </c>
      <c r="E45" s="9">
        <f>F44</f>
        <v>380000</v>
      </c>
      <c r="F45" s="9"/>
    </row>
    <row r="46" spans="2:10" x14ac:dyDescent="0.25">
      <c r="B46" s="14" t="s">
        <v>34</v>
      </c>
      <c r="C46" s="15">
        <v>233550</v>
      </c>
      <c r="D46" s="8" t="s">
        <v>32</v>
      </c>
      <c r="E46" s="16">
        <v>150000</v>
      </c>
      <c r="F46" s="16"/>
    </row>
    <row r="47" spans="2:10" x14ac:dyDescent="0.25">
      <c r="B47" s="14"/>
      <c r="C47" s="15">
        <v>2335</v>
      </c>
      <c r="D47" s="8" t="s">
        <v>33</v>
      </c>
      <c r="E47" s="16"/>
      <c r="F47" s="16">
        <f>E46</f>
        <v>150000</v>
      </c>
    </row>
    <row r="48" spans="2:10" x14ac:dyDescent="0.25">
      <c r="B48" s="14" t="s">
        <v>35</v>
      </c>
      <c r="C48" s="15"/>
      <c r="D48" s="8" t="s">
        <v>36</v>
      </c>
      <c r="E48" s="16">
        <v>200000</v>
      </c>
      <c r="F48" s="16"/>
    </row>
    <row r="49" spans="2:6" x14ac:dyDescent="0.25">
      <c r="B49" s="14"/>
      <c r="C49" s="15">
        <v>2335</v>
      </c>
      <c r="D49" s="8" t="s">
        <v>33</v>
      </c>
      <c r="E49" s="16"/>
      <c r="F49" s="16">
        <f>E48</f>
        <v>200000</v>
      </c>
    </row>
    <row r="50" spans="2:6" x14ac:dyDescent="0.25">
      <c r="B50" s="14" t="s">
        <v>38</v>
      </c>
      <c r="C50" s="15">
        <v>1102</v>
      </c>
      <c r="D50" s="17" t="s">
        <v>23</v>
      </c>
      <c r="E50" s="18">
        <v>46500</v>
      </c>
      <c r="F50" s="18"/>
    </row>
    <row r="51" spans="2:6" x14ac:dyDescent="0.25">
      <c r="B51" s="14"/>
      <c r="C51" s="15">
        <v>2422</v>
      </c>
      <c r="D51" s="8" t="s">
        <v>9</v>
      </c>
      <c r="E51" s="18">
        <v>3500</v>
      </c>
      <c r="F51" s="8"/>
    </row>
    <row r="52" spans="2:6" x14ac:dyDescent="0.25">
      <c r="B52" s="14"/>
      <c r="C52" s="15">
        <v>4210</v>
      </c>
      <c r="D52" s="17" t="s">
        <v>37</v>
      </c>
      <c r="E52" s="18"/>
      <c r="F52" s="18">
        <f>E50+E51</f>
        <v>50000</v>
      </c>
    </row>
    <row r="53" spans="2:6" x14ac:dyDescent="0.25">
      <c r="B53" s="14" t="s">
        <v>41</v>
      </c>
      <c r="C53" s="19">
        <v>5102</v>
      </c>
      <c r="D53" s="8" t="s">
        <v>39</v>
      </c>
      <c r="E53" s="16">
        <v>500000</v>
      </c>
      <c r="F53" s="16"/>
    </row>
    <row r="54" spans="2:6" x14ac:dyDescent="0.25">
      <c r="B54" s="14"/>
      <c r="C54" s="15">
        <v>242203</v>
      </c>
      <c r="D54" s="8" t="s">
        <v>9</v>
      </c>
      <c r="E54" s="16"/>
      <c r="F54" s="16">
        <f>E53*10%</f>
        <v>50000</v>
      </c>
    </row>
    <row r="55" spans="2:6" x14ac:dyDescent="0.25">
      <c r="B55" s="14"/>
      <c r="C55" s="15">
        <v>221105</v>
      </c>
      <c r="D55" s="8" t="s">
        <v>40</v>
      </c>
      <c r="E55" s="16"/>
      <c r="F55" s="16">
        <f>E53-F54</f>
        <v>450000</v>
      </c>
    </row>
    <row r="56" spans="2:6" x14ac:dyDescent="0.25">
      <c r="B56" s="14" t="s">
        <v>42</v>
      </c>
      <c r="C56" s="15">
        <v>233505</v>
      </c>
      <c r="D56" s="8" t="s">
        <v>43</v>
      </c>
      <c r="E56" s="16">
        <f>2000000*2%</f>
        <v>40000</v>
      </c>
      <c r="F56" s="16"/>
    </row>
    <row r="57" spans="2:6" x14ac:dyDescent="0.25">
      <c r="B57" s="11"/>
      <c r="C57" s="15">
        <v>2335</v>
      </c>
      <c r="D57" s="8" t="s">
        <v>33</v>
      </c>
      <c r="E57" s="16"/>
      <c r="F57" s="16">
        <f>E56</f>
        <v>40000</v>
      </c>
    </row>
    <row r="58" spans="2:6" x14ac:dyDescent="0.25">
      <c r="E58" s="20">
        <f>SUM(E5:E57)</f>
        <v>45471809.5</v>
      </c>
      <c r="F58" s="20">
        <f>SUM(F5:F57)</f>
        <v>45471809.5</v>
      </c>
    </row>
  </sheetData>
  <mergeCells count="17">
    <mergeCell ref="B46:B47"/>
    <mergeCell ref="B48:B49"/>
    <mergeCell ref="B50:B52"/>
    <mergeCell ref="B53:B55"/>
    <mergeCell ref="B56:B57"/>
    <mergeCell ref="B10:B11"/>
    <mergeCell ref="B29:B30"/>
    <mergeCell ref="B31:B35"/>
    <mergeCell ref="B36:B37"/>
    <mergeCell ref="B38:B41"/>
    <mergeCell ref="B42:B45"/>
    <mergeCell ref="B2:F2"/>
    <mergeCell ref="B3:F3"/>
    <mergeCell ref="B5:B9"/>
    <mergeCell ref="B12:B18"/>
    <mergeCell ref="B19:B20"/>
    <mergeCell ref="B21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CD93-3E95-4332-8E64-3E66A11DFBF3}">
  <dimension ref="B2:L22"/>
  <sheetViews>
    <sheetView workbookViewId="0">
      <selection activeCell="C13" sqref="C13"/>
    </sheetView>
  </sheetViews>
  <sheetFormatPr baseColWidth="10" defaultRowHeight="15" x14ac:dyDescent="0.25"/>
  <cols>
    <col min="3" max="3" width="17" customWidth="1"/>
    <col min="4" max="4" width="20.5703125" customWidth="1"/>
    <col min="5" max="5" width="18" customWidth="1"/>
    <col min="6" max="6" width="15.85546875" customWidth="1"/>
    <col min="8" max="8" width="17.5703125" customWidth="1"/>
    <col min="9" max="9" width="17.85546875" customWidth="1"/>
    <col min="11" max="11" width="16.28515625" customWidth="1"/>
    <col min="12" max="12" width="17" customWidth="1"/>
  </cols>
  <sheetData>
    <row r="2" spans="2:12" x14ac:dyDescent="0.25">
      <c r="B2" s="21" t="s">
        <v>44</v>
      </c>
      <c r="C2" s="22" t="s">
        <v>58</v>
      </c>
      <c r="D2" s="23" t="s">
        <v>45</v>
      </c>
      <c r="E2" s="8"/>
    </row>
    <row r="3" spans="2:12" x14ac:dyDescent="0.25">
      <c r="B3" s="23" t="s">
        <v>46</v>
      </c>
      <c r="C3" s="8"/>
      <c r="D3" s="23" t="s">
        <v>47</v>
      </c>
      <c r="E3" s="8" t="s">
        <v>48</v>
      </c>
    </row>
    <row r="5" spans="2:12" x14ac:dyDescent="0.25">
      <c r="B5" s="24"/>
      <c r="C5" s="24"/>
      <c r="D5" s="25" t="s">
        <v>49</v>
      </c>
      <c r="E5" s="26"/>
      <c r="F5" s="26"/>
      <c r="G5" s="25" t="s">
        <v>50</v>
      </c>
      <c r="H5" s="26"/>
      <c r="I5" s="26"/>
      <c r="J5" s="25" t="s">
        <v>51</v>
      </c>
      <c r="K5" s="26"/>
      <c r="L5" s="26"/>
    </row>
    <row r="6" spans="2:12" x14ac:dyDescent="0.25">
      <c r="B6" s="27" t="s">
        <v>1</v>
      </c>
      <c r="C6" s="27" t="s">
        <v>52</v>
      </c>
      <c r="D6" s="27" t="s">
        <v>53</v>
      </c>
      <c r="E6" s="27" t="s">
        <v>54</v>
      </c>
      <c r="F6" s="27" t="s">
        <v>55</v>
      </c>
      <c r="G6" s="27" t="s">
        <v>53</v>
      </c>
      <c r="H6" s="27" t="s">
        <v>54</v>
      </c>
      <c r="I6" s="27" t="s">
        <v>55</v>
      </c>
      <c r="J6" s="27" t="s">
        <v>53</v>
      </c>
      <c r="K6" s="27" t="s">
        <v>54</v>
      </c>
      <c r="L6" s="27" t="s">
        <v>55</v>
      </c>
    </row>
    <row r="7" spans="2:12" x14ac:dyDescent="0.25">
      <c r="B7" s="27"/>
      <c r="C7" s="27" t="s">
        <v>61</v>
      </c>
      <c r="D7" s="27"/>
      <c r="E7" s="27"/>
      <c r="F7" s="27"/>
      <c r="G7" s="27"/>
      <c r="H7" s="27"/>
      <c r="I7" s="27"/>
      <c r="J7" s="27">
        <v>35</v>
      </c>
      <c r="K7" s="33">
        <v>100000</v>
      </c>
      <c r="L7" s="33">
        <f>K7*J7</f>
        <v>3500000</v>
      </c>
    </row>
    <row r="8" spans="2:12" x14ac:dyDescent="0.25">
      <c r="B8" s="24" t="s">
        <v>56</v>
      </c>
      <c r="C8" s="24" t="s">
        <v>59</v>
      </c>
      <c r="D8" s="24">
        <v>25</v>
      </c>
      <c r="E8" s="28">
        <f>135000-E12</f>
        <v>121500</v>
      </c>
      <c r="F8" s="28">
        <f>E8*D8</f>
        <v>3037500</v>
      </c>
      <c r="G8" s="24"/>
      <c r="H8" s="24"/>
      <c r="I8" s="24"/>
      <c r="J8" s="24">
        <f>D8</f>
        <v>25</v>
      </c>
      <c r="K8" s="28">
        <f>E8</f>
        <v>121500</v>
      </c>
      <c r="L8" s="28">
        <f>F8</f>
        <v>3037500</v>
      </c>
    </row>
    <row r="9" spans="2:12" x14ac:dyDescent="0.25">
      <c r="B9" s="24" t="s">
        <v>57</v>
      </c>
      <c r="C9" s="24" t="s">
        <v>60</v>
      </c>
      <c r="D9" s="24"/>
      <c r="E9" s="29"/>
      <c r="F9" s="29"/>
      <c r="G9" s="30">
        <f>J7</f>
        <v>35</v>
      </c>
      <c r="H9" s="31">
        <f>K7</f>
        <v>100000</v>
      </c>
      <c r="I9" s="31">
        <f>H9*G9</f>
        <v>3500000</v>
      </c>
      <c r="J9" s="30">
        <f>J7-G9</f>
        <v>0</v>
      </c>
      <c r="K9" s="31">
        <f>K7-H9</f>
        <v>0</v>
      </c>
      <c r="L9" s="37">
        <f>L7-I9</f>
        <v>0</v>
      </c>
    </row>
    <row r="10" spans="2:12" x14ac:dyDescent="0.25">
      <c r="B10" s="38"/>
      <c r="C10" s="38" t="s">
        <v>60</v>
      </c>
      <c r="D10" s="38"/>
      <c r="E10" s="37"/>
      <c r="F10" s="37"/>
      <c r="G10" s="38">
        <v>5</v>
      </c>
      <c r="H10" s="37">
        <f>K8</f>
        <v>121500</v>
      </c>
      <c r="I10" s="37">
        <f>H10*G10</f>
        <v>607500</v>
      </c>
      <c r="J10" s="38">
        <f>J8-G10</f>
        <v>20</v>
      </c>
      <c r="K10" s="37">
        <f>H10</f>
        <v>121500</v>
      </c>
      <c r="L10" s="37">
        <f>K10*J10</f>
        <v>2430000</v>
      </c>
    </row>
    <row r="11" spans="2:12" x14ac:dyDescent="0.25">
      <c r="B11" s="24" t="s">
        <v>62</v>
      </c>
      <c r="C11" s="38" t="s">
        <v>60</v>
      </c>
      <c r="D11" s="38"/>
      <c r="E11" s="37"/>
      <c r="F11" s="37"/>
      <c r="G11" s="38">
        <v>8</v>
      </c>
      <c r="H11" s="37">
        <f>K10</f>
        <v>121500</v>
      </c>
      <c r="I11" s="37">
        <f>H11*G11</f>
        <v>972000</v>
      </c>
      <c r="J11" s="40">
        <f>J10-G11</f>
        <v>12</v>
      </c>
      <c r="K11" s="37">
        <f>K8</f>
        <v>121500</v>
      </c>
      <c r="L11" s="39">
        <f>K11*J11</f>
        <v>1458000</v>
      </c>
    </row>
    <row r="12" spans="2:12" x14ac:dyDescent="0.25">
      <c r="B12" s="34"/>
      <c r="C12" s="35"/>
      <c r="D12" s="35"/>
      <c r="E12" s="32">
        <f>135000*10%</f>
        <v>13500</v>
      </c>
      <c r="F12" s="36"/>
      <c r="G12" s="35"/>
      <c r="H12" s="36"/>
      <c r="I12" s="36"/>
      <c r="J12" s="35"/>
      <c r="K12" s="36"/>
      <c r="L12" s="36"/>
    </row>
    <row r="13" spans="2:12" x14ac:dyDescent="0.25">
      <c r="B13" s="34"/>
      <c r="C13" s="35"/>
      <c r="D13" s="35"/>
      <c r="E13" s="36"/>
      <c r="F13" s="36"/>
      <c r="G13" s="35"/>
      <c r="H13" s="36"/>
      <c r="I13" s="36"/>
      <c r="J13" s="35"/>
      <c r="K13" s="36"/>
      <c r="L13" s="36"/>
    </row>
    <row r="14" spans="2:12" x14ac:dyDescent="0.25">
      <c r="B14" s="21" t="s">
        <v>44</v>
      </c>
      <c r="C14" s="22" t="s">
        <v>63</v>
      </c>
      <c r="D14" s="23" t="s">
        <v>45</v>
      </c>
      <c r="E14" s="8"/>
    </row>
    <row r="15" spans="2:12" x14ac:dyDescent="0.25">
      <c r="B15" s="23" t="s">
        <v>46</v>
      </c>
      <c r="C15" s="8"/>
      <c r="D15" s="23" t="s">
        <v>47</v>
      </c>
      <c r="E15" s="8" t="s">
        <v>48</v>
      </c>
    </row>
    <row r="17" spans="2:12" x14ac:dyDescent="0.25">
      <c r="B17" s="24"/>
      <c r="C17" s="24"/>
      <c r="D17" s="25" t="s">
        <v>49</v>
      </c>
      <c r="E17" s="26"/>
      <c r="F17" s="26"/>
      <c r="G17" s="25" t="s">
        <v>50</v>
      </c>
      <c r="H17" s="26"/>
      <c r="I17" s="26"/>
      <c r="J17" s="25" t="s">
        <v>51</v>
      </c>
      <c r="K17" s="26"/>
      <c r="L17" s="26"/>
    </row>
    <row r="18" spans="2:12" x14ac:dyDescent="0.25">
      <c r="B18" s="27" t="s">
        <v>1</v>
      </c>
      <c r="C18" s="27" t="s">
        <v>52</v>
      </c>
      <c r="D18" s="27" t="s">
        <v>53</v>
      </c>
      <c r="E18" s="27" t="s">
        <v>54</v>
      </c>
      <c r="F18" s="27" t="s">
        <v>55</v>
      </c>
      <c r="G18" s="27" t="s">
        <v>53</v>
      </c>
      <c r="H18" s="27" t="s">
        <v>54</v>
      </c>
      <c r="I18" s="27" t="s">
        <v>55</v>
      </c>
      <c r="J18" s="27" t="s">
        <v>53</v>
      </c>
      <c r="K18" s="27" t="s">
        <v>54</v>
      </c>
      <c r="L18" s="27" t="s">
        <v>55</v>
      </c>
    </row>
    <row r="19" spans="2:12" x14ac:dyDescent="0.25">
      <c r="B19" s="24" t="s">
        <v>64</v>
      </c>
      <c r="C19" s="24" t="s">
        <v>59</v>
      </c>
      <c r="D19" s="24">
        <v>24</v>
      </c>
      <c r="E19" s="28">
        <f>80000-E22</f>
        <v>76000</v>
      </c>
      <c r="F19" s="28">
        <f>E19*D19</f>
        <v>1824000</v>
      </c>
      <c r="G19" s="24"/>
      <c r="H19" s="24"/>
      <c r="I19" s="24"/>
      <c r="J19" s="24">
        <f>D19</f>
        <v>24</v>
      </c>
      <c r="K19" s="28">
        <f>E19</f>
        <v>76000</v>
      </c>
      <c r="L19" s="28">
        <f>F19</f>
        <v>1824000</v>
      </c>
    </row>
    <row r="20" spans="2:12" x14ac:dyDescent="0.25">
      <c r="B20" s="24" t="s">
        <v>65</v>
      </c>
      <c r="C20" s="24" t="s">
        <v>60</v>
      </c>
      <c r="D20" s="24"/>
      <c r="E20" s="29"/>
      <c r="F20" s="29"/>
      <c r="G20" s="30">
        <v>12</v>
      </c>
      <c r="H20" s="31">
        <f>E19</f>
        <v>76000</v>
      </c>
      <c r="I20" s="31">
        <f>H20*G20</f>
        <v>912000</v>
      </c>
      <c r="J20" s="30">
        <f>J19-G20</f>
        <v>12</v>
      </c>
      <c r="K20" s="31">
        <f>H20</f>
        <v>76000</v>
      </c>
      <c r="L20" s="37">
        <f>I20</f>
        <v>912000</v>
      </c>
    </row>
    <row r="21" spans="2:12" x14ac:dyDescent="0.25">
      <c r="B21" s="38" t="s">
        <v>67</v>
      </c>
      <c r="C21" s="38" t="s">
        <v>66</v>
      </c>
      <c r="D21" s="38"/>
      <c r="E21" s="37"/>
      <c r="F21" s="37"/>
      <c r="G21" s="38">
        <v>5</v>
      </c>
      <c r="H21" s="37">
        <f>K19</f>
        <v>76000</v>
      </c>
      <c r="I21" s="37">
        <f>H21*G21</f>
        <v>380000</v>
      </c>
      <c r="J21" s="40">
        <f>J20+G21</f>
        <v>17</v>
      </c>
      <c r="K21" s="37">
        <f>H21</f>
        <v>76000</v>
      </c>
      <c r="L21" s="39">
        <f>K21*J21</f>
        <v>1292000</v>
      </c>
    </row>
    <row r="22" spans="2:12" x14ac:dyDescent="0.25">
      <c r="E22" s="41">
        <f>80000*5%</f>
        <v>4000</v>
      </c>
    </row>
  </sheetData>
  <mergeCells count="6">
    <mergeCell ref="D5:F5"/>
    <mergeCell ref="G5:I5"/>
    <mergeCell ref="J5:L5"/>
    <mergeCell ref="D17:F17"/>
    <mergeCell ref="G17:I17"/>
    <mergeCell ref="J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89A9-AE25-42BA-A3D9-33A2EEB04DAA}">
  <dimension ref="B2:C10"/>
  <sheetViews>
    <sheetView tabSelected="1" workbookViewId="0">
      <selection activeCell="B17" sqref="B17"/>
    </sheetView>
  </sheetViews>
  <sheetFormatPr baseColWidth="10" defaultRowHeight="15" x14ac:dyDescent="0.25"/>
  <cols>
    <col min="2" max="2" width="31.140625" customWidth="1"/>
    <col min="3" max="3" width="15.5703125" bestFit="1" customWidth="1"/>
  </cols>
  <sheetData>
    <row r="2" spans="2:3" x14ac:dyDescent="0.25">
      <c r="B2" s="42" t="s">
        <v>68</v>
      </c>
      <c r="C2" s="42"/>
    </row>
    <row r="3" spans="2:3" x14ac:dyDescent="0.25">
      <c r="B3" s="23" t="s">
        <v>69</v>
      </c>
      <c r="C3" s="18">
        <f>'Registros contables'!F12+'Registros contables'!F21+'Registros contables'!F38-'Registros contables'!E42</f>
        <v>11332800</v>
      </c>
    </row>
    <row r="4" spans="2:3" x14ac:dyDescent="0.25">
      <c r="B4" s="23" t="s">
        <v>70</v>
      </c>
      <c r="C4" s="9">
        <f>'Registros contables'!E17+'Registros contables'!E27+'Registros contables'!E40-'Registros contables'!F44</f>
        <v>5611500</v>
      </c>
    </row>
    <row r="5" spans="2:3" x14ac:dyDescent="0.25">
      <c r="B5" s="23" t="s">
        <v>71</v>
      </c>
      <c r="C5" s="9">
        <f>C3-C4</f>
        <v>5721300</v>
      </c>
    </row>
    <row r="6" spans="2:3" x14ac:dyDescent="0.25">
      <c r="B6" s="23" t="s">
        <v>72</v>
      </c>
      <c r="C6" s="9">
        <f>'Registros contables'!F47+'Registros contables'!E48+'Registros contables'!F55+'Registros contables'!E56</f>
        <v>840000</v>
      </c>
    </row>
    <row r="7" spans="2:3" x14ac:dyDescent="0.25">
      <c r="B7" s="23" t="s">
        <v>73</v>
      </c>
      <c r="C7" s="9">
        <v>0</v>
      </c>
    </row>
    <row r="8" spans="2:3" x14ac:dyDescent="0.25">
      <c r="B8" s="23" t="s">
        <v>78</v>
      </c>
      <c r="C8" s="9">
        <f>C5-C6-C7</f>
        <v>4881300</v>
      </c>
    </row>
    <row r="9" spans="2:3" x14ac:dyDescent="0.25">
      <c r="B9" s="23" t="s">
        <v>76</v>
      </c>
      <c r="C9" s="9">
        <f>C8*35%</f>
        <v>1708455</v>
      </c>
    </row>
    <row r="10" spans="2:3" x14ac:dyDescent="0.25">
      <c r="B10" s="23" t="s">
        <v>77</v>
      </c>
      <c r="C10" s="9">
        <f>C8-C9</f>
        <v>3172845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 contables</vt:lpstr>
      <vt:lpstr>PEPS</vt:lpstr>
      <vt:lpstr>Estado de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2023-05-14T00:37:25Z</dcterms:created>
  <dcterms:modified xsi:type="dcterms:W3CDTF">2023-05-15T02:33:56Z</dcterms:modified>
</cp:coreProperties>
</file>