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8E679325-9C67-4124-9964-50F6D94A746E}" xr6:coauthVersionLast="47" xr6:coauthVersionMax="47" xr10:uidLastSave="{00000000-0000-0000-0000-000000000000}"/>
  <bookViews>
    <workbookView xWindow="-120" yWindow="-120" windowWidth="20730" windowHeight="11160" tabRatio="507" xr2:uid="{00000000-000D-0000-FFFF-FFFF00000000}"/>
  </bookViews>
  <sheets>
    <sheet name="PROC1" sheetId="1" r:id="rId1"/>
    <sheet name="PRINT1" sheetId="6" r:id="rId2"/>
    <sheet name="TABLA" sheetId="2" r:id="rId3"/>
    <sheet name="Tabprima" sheetId="12" r:id="rId4"/>
  </sheets>
  <calcPr calcId="191029"/>
</workbook>
</file>

<file path=xl/calcChain.xml><?xml version="1.0" encoding="utf-8"?>
<calcChain xmlns="http://schemas.openxmlformats.org/spreadsheetml/2006/main">
  <c r="K72" i="1" l="1"/>
  <c r="E73" i="1"/>
  <c r="F73" i="1" s="1"/>
  <c r="G73" i="1" s="1"/>
  <c r="D73" i="1"/>
  <c r="C30" i="12" l="1"/>
  <c r="I12" i="1"/>
  <c r="J70" i="1" s="1"/>
  <c r="H58" i="1"/>
  <c r="H43" i="1"/>
  <c r="K75" i="1" l="1"/>
  <c r="G75" i="1"/>
  <c r="D69" i="6" l="1"/>
  <c r="I34" i="1"/>
  <c r="I69" i="1" s="1"/>
  <c r="E38" i="1"/>
  <c r="E44" i="1" l="1"/>
  <c r="H44" i="1" s="1"/>
  <c r="E38" i="6"/>
  <c r="I61" i="1"/>
  <c r="F56" i="6" s="1"/>
  <c r="I62" i="1"/>
  <c r="F57" i="6" s="1"/>
  <c r="I63" i="1"/>
  <c r="F58" i="6" s="1"/>
  <c r="I64" i="1"/>
  <c r="F59" i="6" s="1"/>
  <c r="I65" i="1"/>
  <c r="F60" i="6" s="1"/>
  <c r="G53" i="1"/>
  <c r="E54" i="1"/>
  <c r="E54" i="6"/>
  <c r="E55" i="6"/>
  <c r="E56" i="6"/>
  <c r="E57" i="6"/>
  <c r="E58" i="6"/>
  <c r="E59" i="6"/>
  <c r="E60" i="6"/>
  <c r="D54" i="6"/>
  <c r="D55" i="6"/>
  <c r="D56" i="6"/>
  <c r="D57" i="6"/>
  <c r="D58" i="6"/>
  <c r="D59" i="6"/>
  <c r="D60" i="6"/>
  <c r="E39" i="6"/>
  <c r="D39" i="6"/>
  <c r="F21" i="2"/>
  <c r="G51" i="1"/>
  <c r="F64" i="6"/>
  <c r="D23" i="12"/>
  <c r="D24" i="12" s="1"/>
  <c r="E53" i="6"/>
  <c r="D61" i="6"/>
  <c r="D53" i="6"/>
  <c r="E48" i="6"/>
  <c r="D48" i="6"/>
  <c r="E40" i="6"/>
  <c r="D40" i="6"/>
  <c r="D38" i="6"/>
  <c r="H42" i="1"/>
  <c r="I42" i="1" s="1"/>
  <c r="H41" i="1"/>
  <c r="I41" i="1" s="1"/>
  <c r="E57" i="1"/>
  <c r="E66" i="1" s="1"/>
  <c r="I60" i="1"/>
  <c r="F55" i="6" s="1"/>
  <c r="I51" i="1"/>
  <c r="I44" i="1"/>
  <c r="G50" i="1"/>
  <c r="I50" i="1" s="1"/>
  <c r="F29" i="6"/>
  <c r="F28" i="6"/>
  <c r="E27" i="6"/>
  <c r="D27" i="6"/>
  <c r="I31" i="1"/>
  <c r="F27" i="6" s="1"/>
  <c r="E8" i="6"/>
  <c r="E10" i="6"/>
  <c r="F14" i="6"/>
  <c r="E14" i="6"/>
  <c r="D14" i="6"/>
  <c r="D36" i="6"/>
  <c r="D15" i="6"/>
  <c r="D3" i="6"/>
  <c r="D76" i="6"/>
  <c r="D75" i="6"/>
  <c r="D74" i="6"/>
  <c r="D72" i="6"/>
  <c r="D67" i="6"/>
  <c r="D65" i="6"/>
  <c r="D64" i="6"/>
  <c r="D63" i="6"/>
  <c r="D49" i="6"/>
  <c r="D47" i="6"/>
  <c r="D46" i="6"/>
  <c r="D43" i="6"/>
  <c r="D41" i="6"/>
  <c r="D37" i="6"/>
  <c r="D34" i="6"/>
  <c r="D33" i="6"/>
  <c r="D32" i="6"/>
  <c r="D31" i="6"/>
  <c r="D30" i="6"/>
  <c r="D29" i="6"/>
  <c r="D28" i="6"/>
  <c r="D26" i="6"/>
  <c r="D25" i="6"/>
  <c r="D24" i="6"/>
  <c r="D22" i="6"/>
  <c r="D21" i="6"/>
  <c r="D20" i="6"/>
  <c r="D19" i="6"/>
  <c r="D18" i="6"/>
  <c r="D17" i="6"/>
  <c r="D16" i="6"/>
  <c r="E11" i="6"/>
  <c r="D8" i="6"/>
  <c r="D276" i="1"/>
  <c r="D275" i="1"/>
  <c r="E46" i="6"/>
  <c r="E47" i="6"/>
  <c r="E37" i="6"/>
  <c r="E17" i="6"/>
  <c r="E18" i="6"/>
  <c r="E19" i="6"/>
  <c r="E20" i="6"/>
  <c r="E21" i="6"/>
  <c r="E22" i="6"/>
  <c r="E24" i="6"/>
  <c r="E25" i="6"/>
  <c r="E26" i="6"/>
  <c r="E28" i="6"/>
  <c r="E29" i="6"/>
  <c r="E30" i="6"/>
  <c r="E31" i="6"/>
  <c r="E32" i="6"/>
  <c r="E33" i="6"/>
  <c r="E16" i="6"/>
  <c r="F11" i="6"/>
  <c r="F8" i="6"/>
  <c r="D10" i="6"/>
  <c r="D9" i="6"/>
  <c r="D99" i="1"/>
  <c r="D101" i="1" s="1"/>
  <c r="D15" i="1" s="1"/>
  <c r="I29" i="1"/>
  <c r="F25" i="6" s="1"/>
  <c r="I35" i="1"/>
  <c r="F31" i="6" s="1"/>
  <c r="I36" i="1"/>
  <c r="F32" i="6" s="1"/>
  <c r="I27" i="1"/>
  <c r="I37" i="1"/>
  <c r="F33" i="6" s="1"/>
  <c r="I30" i="1"/>
  <c r="F26" i="6" s="1"/>
  <c r="I28" i="1"/>
  <c r="F24" i="6" s="1"/>
  <c r="I26" i="1"/>
  <c r="F22" i="6" s="1"/>
  <c r="I25" i="1"/>
  <c r="F21" i="6" s="1"/>
  <c r="I24" i="1"/>
  <c r="F20" i="6" s="1"/>
  <c r="I23" i="1"/>
  <c r="F19" i="6" s="1"/>
  <c r="I22" i="1"/>
  <c r="F18" i="6" s="1"/>
  <c r="I21" i="1"/>
  <c r="F17" i="6" s="1"/>
  <c r="I20" i="1"/>
  <c r="E34" i="6"/>
  <c r="E5" i="1"/>
  <c r="D5" i="6" s="1"/>
  <c r="F30" i="6"/>
  <c r="G76" i="6"/>
  <c r="E45" i="1" l="1"/>
  <c r="E41" i="6" s="1"/>
  <c r="J77" i="1"/>
  <c r="F16" i="6"/>
  <c r="I38" i="1"/>
  <c r="J52" i="1" s="1"/>
  <c r="F37" i="6"/>
  <c r="D277" i="1"/>
  <c r="F38" i="6"/>
  <c r="F40" i="6"/>
  <c r="F46" i="6"/>
  <c r="F47" i="6"/>
  <c r="G52" i="1" l="1"/>
  <c r="I52" i="1" s="1"/>
  <c r="G58" i="1"/>
  <c r="I57" i="1" s="1"/>
  <c r="F34" i="6"/>
  <c r="G43" i="1"/>
  <c r="K43" i="1" s="1"/>
  <c r="I43" i="1" s="1"/>
  <c r="D81" i="6"/>
  <c r="F52" i="6" l="1"/>
  <c r="I66" i="1"/>
  <c r="F61" i="6" s="1"/>
  <c r="I54" i="1"/>
  <c r="F49" i="6" s="1"/>
  <c r="F48" i="6"/>
  <c r="I45" i="1"/>
  <c r="I47" i="1" s="1"/>
  <c r="F39" i="6"/>
  <c r="I68" i="1" l="1"/>
  <c r="I70" i="1" s="1"/>
  <c r="G72" i="1" s="1"/>
  <c r="F75" i="1"/>
  <c r="F41" i="6"/>
  <c r="F43" i="6"/>
  <c r="F63" i="6" l="1"/>
  <c r="F65" i="6" l="1"/>
  <c r="H72" i="1"/>
  <c r="I72" i="1" s="1"/>
  <c r="C31" i="12" s="1"/>
  <c r="C32" i="12" l="1"/>
  <c r="F67" i="6"/>
  <c r="D27" i="12" l="1"/>
  <c r="H75" i="1"/>
  <c r="I75" i="1" s="1"/>
  <c r="I77" i="1" s="1"/>
  <c r="H7" i="2" s="1"/>
  <c r="D25" i="12" l="1"/>
  <c r="D26" i="12" s="1"/>
  <c r="H7" i="12" s="1"/>
  <c r="F72" i="6"/>
  <c r="F69" i="6"/>
  <c r="G17" i="2"/>
  <c r="H17" i="2" s="1"/>
  <c r="G16" i="2"/>
  <c r="H16" i="2" s="1"/>
  <c r="G12" i="2"/>
  <c r="H12" i="2" s="1"/>
  <c r="G14" i="2"/>
  <c r="H14" i="2" s="1"/>
  <c r="G15" i="2"/>
  <c r="H15" i="2" s="1"/>
  <c r="F20" i="2"/>
  <c r="F22" i="2" s="1"/>
  <c r="F23" i="2" s="1"/>
  <c r="F24" i="2" s="1"/>
  <c r="G13" i="2"/>
  <c r="H13" i="2" s="1"/>
  <c r="G17" i="12" l="1"/>
  <c r="H17" i="12" s="1"/>
  <c r="G12" i="12"/>
  <c r="H12" i="12" s="1"/>
  <c r="G15" i="12"/>
  <c r="H15" i="12" s="1"/>
  <c r="G16" i="12"/>
  <c r="H16" i="12" s="1"/>
  <c r="G13" i="12"/>
  <c r="H13" i="12" s="1"/>
  <c r="G14" i="12"/>
  <c r="H14" i="12" s="1"/>
  <c r="H18" i="2"/>
  <c r="I81" i="1" s="1"/>
  <c r="J81" i="1" s="1"/>
  <c r="H18" i="12" l="1"/>
  <c r="I82" i="1" s="1"/>
  <c r="F75" i="6" s="1"/>
  <c r="F27" i="2"/>
  <c r="J82" i="1" l="1"/>
  <c r="F74" i="6"/>
  <c r="I84" i="1"/>
  <c r="F7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familia</author>
    <author>William Dussan</author>
  </authors>
  <commentList>
    <comment ref="D29" authorId="0" shapeId="0" xr:uid="{00000000-0006-0000-0000-000001000000}">
      <text>
        <r>
          <rPr>
            <b/>
            <sz val="8"/>
            <color indexed="81"/>
            <rFont val="Tahoma"/>
            <family val="2"/>
          </rPr>
          <t xml:space="preserve">DOCTRINA. No se deben incluir los valores pagados a terceros por alimentación del trabajador en los certificados de ingresos y retenciones, cuando dichos pagos no excedan de (41 UVT) mensuales. “El parágrafo 4 del articulo 1° del Decreto 1345 de 1999 dispuso que en el certificado de ingresos y retenciones debía incluirse el valor de los vales o tiquetes para la adquisición de alimentos. Ese parágrafo fue demandado y el Consejo de Estado en sentencia del 14 de abril de 2000 declaro su nulidad.
Así las cosas, con base en la citada sentencia es de concluir que los certif icados de ingresos y retenciones no deben incorporar el valor de los vales o tiquetes para la adquisición de alimentos por parte del trabajador, en la medida en que, como lo expresa  el  artículo 387-1  del  estatuto  tributario, no constituyen ingreso  para  el mismo. Empero, si  estos  pagos  a  terceros por concepto de  alimentación para  el trabajador  o  su  f familia  exceden  el  valor  de  (…)  (Hoy:  41  UVT ),  tal  exceso  si  deberá  incluirse tanto en la base  de  retención en la fuente por pagos  laborales,  como en  el  certif icado de  ingresos  y  retenciones”. (DIAN, Conc. 53743, ago.22/2002).
</t>
        </r>
        <r>
          <rPr>
            <sz val="8"/>
            <color indexed="81"/>
            <rFont val="Tahoma"/>
            <family val="2"/>
          </rPr>
          <t xml:space="preserve">
</t>
        </r>
      </text>
    </comment>
    <comment ref="D34" authorId="0" shapeId="0" xr:uid="{00000000-0006-0000-0000-000003000000}">
      <text>
        <r>
          <rPr>
            <b/>
            <sz val="9"/>
            <color indexed="81"/>
            <rFont val="Tahoma"/>
            <family val="2"/>
          </rPr>
          <t xml:space="preserve">Por el método 1, este valor debe calcularse de forma independiente
</t>
        </r>
      </text>
    </comment>
    <comment ref="D50" authorId="0" shapeId="0" xr:uid="{7E2663B2-6E29-490B-B520-33A40A33B933}">
      <text>
        <r>
          <rPr>
            <b/>
            <sz val="9"/>
            <color indexed="81"/>
            <rFont val="Tahoma"/>
            <family val="2"/>
          </rPr>
          <t xml:space="preserve">Los pagos efectuados en el año gravable inmediatamente anterior por concepto de intereses o corrección monetaria en virtud de préstamos para la adquisición de vivienda o costo financiero en virtud de un contrato de leasing que tenga por objeto un bien inmueble destinado a vivienda del trabajador, sin exceder de cien (100) UVT mensuales (artículos 119 y 387 E.T.). Oficio 041556 de 2013 (Julio 8) </t>
        </r>
      </text>
    </comment>
    <comment ref="D51" authorId="0" shapeId="0" xr:uid="{E2C9299A-B008-4CEF-B3EF-23437A72A506}">
      <text>
        <r>
          <rPr>
            <b/>
            <sz val="9"/>
            <color indexed="81"/>
            <rFont val="Tahoma"/>
            <family val="2"/>
          </rPr>
          <t xml:space="preserve">Art 387 ET, </t>
        </r>
        <r>
          <rPr>
            <sz val="9"/>
            <color indexed="81"/>
            <rFont val="Tahoma"/>
            <family val="2"/>
          </rPr>
          <t xml:space="preserve">El trabajador podrá disminuir de su base de retención lo dispuesto en el inciso anterior; los pagos por salud, siempre que el valor a disminuir mensualmente, en este último caso, no supere dieciséis (16) UVT mensuales;. 
Los pagos por salud deberán cumplir las condiciones de control que señale el Gobierno Nacional:
a) Los pagos efectuados por contratos de prestación de servicios a empresas de medicina prepagada vigiladas por la Superintendencia Nacional de Salud, que impliquen protección al trabajador, su cónyuge, sus hijos y/o dependientes.
b) Los pagos efectuados por seguros de salud, expedidos por compañías de seguros vigiladas por la Superintendencia Financiera de Colombia, con la misma limitación del literal anterior.
</t>
        </r>
        <r>
          <rPr>
            <b/>
            <sz val="9"/>
            <color indexed="81"/>
            <rFont val="Tahoma"/>
            <family val="2"/>
          </rPr>
          <t>PARÁGRAFO 1o.</t>
        </r>
        <r>
          <rPr>
            <sz val="9"/>
            <color indexed="81"/>
            <rFont val="Tahoma"/>
            <family val="2"/>
          </rPr>
          <t xml:space="preserve"> Cuando se trate del Procedimiento de Retención número dos, el valor que sea procedente disminuir mensualmente, determinado en la forma señalada en el presente artículo, se tendrá en cuenta tanto para calcular el porcentaje fijo de retención semestral, como para determinar la base sometida a retención.</t>
        </r>
      </text>
    </comment>
    <comment ref="D52" authorId="1" shapeId="0" xr:uid="{6DDAFA75-5F42-4BC8-858B-C5C9378E833E}">
      <text>
        <r>
          <rPr>
            <sz val="9"/>
            <color indexed="81"/>
            <rFont val="Tahoma"/>
            <family val="2"/>
          </rPr>
          <t>1. Los hijos del contribuyente que tengan hasta 18 años de edad.
2. Los hijos del contribuyente con edad entre 18 y 23 años, cuando el padre o madre contribuyente persona natural se encuentre financiando su educación en instituciones formales de educación superior certificadas por el ICFES o la autoridad oficial correspondiente; o en los programas técnicos de educación no formal debidamente acreditados por la autoridad competente.
3. Los hijos del contribuyente mayores de 18 años que se encuentren en situación de dependencia originada en factores físicos o psicológicos que sean certificados por Medicina Legal.
4. El cónyuge o compañero permanente del contribuyente que se encuentre en situación de dependencia sea por ausencia de ingresos o ingresos en el año menores a doscientas sesenta (260) UVT, certificada por contador público, o por dependencia originada en factores físicos o psicológicos que sean certificados por Medicina Legal, y,
5. Los padres y los hermanos del contribuyente que se encuentren en situación de dependencia, sea por ausencia de ingresos o ingresos en el año menores a doscientas sesenta (260) UVT, certificada por contador público, o por dependencia originada en factores físicos o psicológicos que sean certificados por Medicina Legal.</t>
        </r>
      </text>
    </comment>
    <comment ref="E73" authorId="1" shapeId="0" xr:uid="{7F824BD7-21F9-47CF-A653-E426C47849E4}">
      <text>
        <r>
          <rPr>
            <b/>
            <sz val="9"/>
            <color indexed="81"/>
            <rFont val="Tahoma"/>
            <family val="2"/>
          </rPr>
          <t>William Dussan:</t>
        </r>
        <r>
          <rPr>
            <sz val="9"/>
            <color indexed="81"/>
            <rFont val="Tahoma"/>
            <family val="2"/>
          </rPr>
          <t xml:space="preserve">
Valos distribuido en numero de meses seleccionado</t>
        </r>
      </text>
    </comment>
  </commentList>
</comments>
</file>

<file path=xl/sharedStrings.xml><?xml version="1.0" encoding="utf-8"?>
<sst xmlns="http://schemas.openxmlformats.org/spreadsheetml/2006/main" count="157" uniqueCount="123">
  <si>
    <t>&gt;0</t>
  </si>
  <si>
    <t>En adelante</t>
  </si>
  <si>
    <t>MÁS</t>
  </si>
  <si>
    <t>UVT</t>
  </si>
  <si>
    <t>TOTAL INGRESOS AÑO ANTERIOR</t>
  </si>
  <si>
    <t>Tabla netamente informativa</t>
  </si>
  <si>
    <t>www.consultorcontable.com</t>
  </si>
  <si>
    <t>16 UVT</t>
  </si>
  <si>
    <t>Procedimiento No. 1</t>
  </si>
  <si>
    <t>Datos</t>
  </si>
  <si>
    <t>Limites</t>
  </si>
  <si>
    <t>Depuración</t>
  </si>
  <si>
    <t>Mes</t>
  </si>
  <si>
    <t>Conceptos</t>
  </si>
  <si>
    <t>Subtotal  (A)</t>
  </si>
  <si>
    <t>Total deducciones</t>
  </si>
  <si>
    <t>Base Gravable (Ver Tabla)</t>
  </si>
  <si>
    <t>Rangos en  UVT</t>
  </si>
  <si>
    <t>Desde</t>
  </si>
  <si>
    <t>Hasta</t>
  </si>
  <si>
    <t>Tarifa marginal</t>
  </si>
  <si>
    <t>Impuesto</t>
  </si>
  <si>
    <t>Resultado</t>
  </si>
  <si>
    <t>Tabla de retención en la fuente para ingresos laborales</t>
  </si>
  <si>
    <t>Sueldo</t>
  </si>
  <si>
    <t>Auxilio de transporte</t>
  </si>
  <si>
    <t>Comisiones</t>
  </si>
  <si>
    <t>Horas extras</t>
  </si>
  <si>
    <t>Recargos nocturnos y dominicales</t>
  </si>
  <si>
    <t>Bonificaciones</t>
  </si>
  <si>
    <t>Incapacidades</t>
  </si>
  <si>
    <t>Vacaciones</t>
  </si>
  <si>
    <t>Primas extralegales</t>
  </si>
  <si>
    <t xml:space="preserve"> </t>
  </si>
  <si>
    <t>Prima</t>
  </si>
  <si>
    <t>Salarios</t>
  </si>
  <si>
    <t xml:space="preserve">Prima </t>
  </si>
  <si>
    <t>Limite 240 UVT</t>
  </si>
  <si>
    <t>Base de retención prima</t>
  </si>
  <si>
    <t>Exceso de las 41 UVT por pagos por concepto de alimentación (art 387-1 ET)</t>
  </si>
  <si>
    <t>Otros auxilios (movilidad, alimentación, etc.)</t>
  </si>
  <si>
    <t>Viáticos</t>
  </si>
  <si>
    <t>Formulas Limites</t>
  </si>
  <si>
    <t/>
  </si>
  <si>
    <t>Menos Deducciones</t>
  </si>
  <si>
    <t>__________________</t>
  </si>
  <si>
    <t>Revisó</t>
  </si>
  <si>
    <t>Menos rentas exentas</t>
  </si>
  <si>
    <t>Menos deducciones</t>
  </si>
  <si>
    <t>Aportes a Fondos de Pensiones Voluntarias (art. 126-1 ET)</t>
  </si>
  <si>
    <t>Total pagos laborales en el mes</t>
  </si>
  <si>
    <t>Fondo de Solidaridad Pensional</t>
  </si>
  <si>
    <t>Valor retención en la fuente Art. 383 ET</t>
  </si>
  <si>
    <t>Valor retención en la fuente a practicar por prima de servicios (art. 383 ET)</t>
  </si>
  <si>
    <t>Licencia de maternidad</t>
  </si>
  <si>
    <t>Intereses por prestamos de vivienda (promedio año anterior o los meses correspondientes)</t>
  </si>
  <si>
    <t>Pagos por salud prepagada, Plan complementario de salud, o seguros de salud (art 387 ET)- Promedio del año anterior</t>
  </si>
  <si>
    <t>Otros ingresos laborales- Bonos, cheques electrónicos, pagos indirectos</t>
  </si>
  <si>
    <t>Aportes obligatorios a Fondos de Pensiones (art. 55 ET)</t>
  </si>
  <si>
    <t>Sin límites</t>
  </si>
  <si>
    <t>Total renta exentas</t>
  </si>
  <si>
    <t>Base</t>
  </si>
  <si>
    <t>Cesantías (no se tienen en cuenta para efectos de la retención en la fuente)</t>
  </si>
  <si>
    <t>Intereses sobre cesantías  (no se tienen en cuenta para efectos de la retención en la fuente)</t>
  </si>
  <si>
    <t>Menos ingresos no constitutivos de renta ni ganancia ocasional</t>
  </si>
  <si>
    <t>Total ingresos no constitutivos de renta ni ganancia ocasional</t>
  </si>
  <si>
    <t>Valor de la prima de servicios</t>
  </si>
  <si>
    <t>Indemnizaciones por accidentes de trabajo o enfermedad (art 206 ET Num 1)</t>
  </si>
  <si>
    <t>Gastos de entierro del trabajador (art 206 ET Num 3)</t>
  </si>
  <si>
    <t xml:space="preserve">Art. 383 del ET </t>
  </si>
  <si>
    <t>25 % del ingreso laboral y hasta 2.500 UVT</t>
  </si>
  <si>
    <r>
      <t xml:space="preserve">Aportes voluntarios a fondos de pensiones obligatorios (Régimen ahorro individual) </t>
    </r>
    <r>
      <rPr>
        <sz val="8"/>
        <rFont val="Arial"/>
        <family val="2"/>
      </rPr>
      <t>(Art. 55 ET)</t>
    </r>
  </si>
  <si>
    <t>(30%) del ingreso laboral o ingreso tributario del año, y hasta (3.800) UVT por año.</t>
  </si>
  <si>
    <t>Indemnizaciones proteccion a la maternidad (art 206 ET Num 2)</t>
  </si>
  <si>
    <t>Otras rentas exentas (Art. 206 ET)</t>
  </si>
  <si>
    <t>Aportes obligatorios al sistema de salud (art. 56 ET)</t>
  </si>
  <si>
    <t>Hasta 10% del total de ingresos brutos laborales  y hasta 32 UVT</t>
  </si>
  <si>
    <t>(Ingreso laboral gravado expresado en UVT menos 95 UVT)*19%</t>
  </si>
  <si>
    <t>(Ingreso laboral gravado expresado en UVT menos 150 UVT)*28% más 10 UVT</t>
  </si>
  <si>
    <t>(Ingreso laboral gravado expresado en UVT menos 360 UVT)*33% más 69 UVT</t>
  </si>
  <si>
    <t>(Ingreso laboral gravado expresado en UVT menos 640 UVT)*35% más 162 UVT</t>
  </si>
  <si>
    <t>(Ingreso laboral gravado expresado en UVT menos 945 UVT)*37% más 268 UVT</t>
  </si>
  <si>
    <t>(Ingreso laboral gravado expresado en UVT menos 2300 UVT)*39% más 770 UVT</t>
  </si>
  <si>
    <t>VALOR UVT</t>
  </si>
  <si>
    <t>Seleccione "SI" si tiene derecho a dependientes (Art 387 ET)</t>
  </si>
  <si>
    <t>SI</t>
  </si>
  <si>
    <t>NO</t>
  </si>
  <si>
    <t>Aportes con destino a cuentas AFC, AVC (art 126-4 ET)</t>
  </si>
  <si>
    <t>Total retenciones a practicar  en el mes (Art. 383 ET)</t>
  </si>
  <si>
    <t>Total Ingresos mes (No se incluye la prima)</t>
  </si>
  <si>
    <t>Art. 383 del ET</t>
  </si>
  <si>
    <t>Prima el cálculo se realiza de forma independiente.</t>
  </si>
  <si>
    <t>Subtotal  (B)</t>
  </si>
  <si>
    <t>Diseño</t>
  </si>
  <si>
    <t>William Dussan Salazar</t>
  </si>
  <si>
    <t>consultorcontable1@gmail.com</t>
  </si>
  <si>
    <t>Retención aplicable para el año 2023</t>
  </si>
  <si>
    <t>Enero de 2023</t>
  </si>
  <si>
    <t>Febrero de 2023</t>
  </si>
  <si>
    <t>Marzo de 2023</t>
  </si>
  <si>
    <t>Abril de 2023</t>
  </si>
  <si>
    <t>Mayo de 2023</t>
  </si>
  <si>
    <t>Junio de 2023</t>
  </si>
  <si>
    <t>Julio de 2023</t>
  </si>
  <si>
    <t>Agosto de 2023</t>
  </si>
  <si>
    <t>Septiembre de 2023</t>
  </si>
  <si>
    <t>Octubre de 2023</t>
  </si>
  <si>
    <t>Noviembre de 2023</t>
  </si>
  <si>
    <t>Diciembre de 2023</t>
  </si>
  <si>
    <t>Año 2023</t>
  </si>
  <si>
    <t>790 UVT anual</t>
  </si>
  <si>
    <t>100 UVT  promedio año anterior</t>
  </si>
  <si>
    <t>Control renta exenta</t>
  </si>
  <si>
    <t>LIMITE GENERAL DE RENTAS EXENTAS Y DEDUCCIONES   40% DEL INGRESO NETO Y HASTA 1.340 UVT</t>
  </si>
  <si>
    <t>CONSULTORCONTABLE</t>
  </si>
  <si>
    <t>Menos renta exenta -25%  del subtotal (B)  (Numeral 10 art. 206 ET)</t>
  </si>
  <si>
    <t>Menos 25% renta exenta limitada</t>
  </si>
  <si>
    <t>Valor usado</t>
  </si>
  <si>
    <t>Valor disponible</t>
  </si>
  <si>
    <t>Menos 25% renta exenta prima</t>
  </si>
  <si>
    <t>Versión  4 2023  12/03/2023</t>
  </si>
  <si>
    <t xml:space="preserve">Nombre del empleado   PEDRO PEREZ </t>
  </si>
  <si>
    <t>cc  1152467320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</si>
</sst>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 #,##0_ ;_ * \-#,##0_ ;_ * &quot;-&quot;_ ;_ @_ "/>
    <numFmt numFmtId="165" formatCode="_ &quot;$&quot;\ * #,##0.00_ ;_ &quot;$&quot;\ * \-#,##0.00_ ;_ &quot;$&quot;\ * &quot;-&quot;??_ ;_ @_ "/>
    <numFmt numFmtId="166" formatCode="_ * #,##0.00_ ;_ * \-#,##0.00_ ;_ * &quot;-&quot;??_ ;_ @_ "/>
    <numFmt numFmtId="167" formatCode="_ * #,##0.0_ ;_ * \-#,##0.0_ ;_ * &quot;-&quot;??_ ;_ @_ "/>
    <numFmt numFmtId="168" formatCode="_ * #,##0_ ;_ * \-#,##0_ ;_ * &quot;-&quot;??_ ;_ @_ "/>
    <numFmt numFmtId="169" formatCode="0.0"/>
    <numFmt numFmtId="170" formatCode="_ &quot;$&quot;\ * #,##0_ ;_ &quot;$&quot;\ * \-#,##0_ ;_ &quot;$&quot;\ * &quot;-&quot;??_ ;_ @_ "/>
    <numFmt numFmtId="171" formatCode="0.0%"/>
    <numFmt numFmtId="172" formatCode="[$-C0A]d\-mmm\-yy;@"/>
    <numFmt numFmtId="173" formatCode="_ * #,##0.0_ ;_ * \-#,##0.0_ ;_ * &quot;-&quot;_ ;_ @_ "/>
    <numFmt numFmtId="174" formatCode="_-* #,##0.0_-;\-* #,##0.0_-;_-* &quot;-&quot;?_-;_-@_-"/>
  </numFmts>
  <fonts count="68" x14ac:knownFonts="1">
    <font>
      <sz val="10"/>
      <name val="Arial"/>
    </font>
    <font>
      <sz val="10"/>
      <name val="Arial"/>
      <family val="2"/>
    </font>
    <font>
      <sz val="8"/>
      <name val="Arial"/>
      <family val="2"/>
    </font>
    <font>
      <b/>
      <sz val="10"/>
      <name val="Arial"/>
      <family val="2"/>
    </font>
    <font>
      <sz val="11"/>
      <name val="Arial"/>
      <family val="2"/>
    </font>
    <font>
      <sz val="10"/>
      <name val="Arial"/>
      <family val="2"/>
    </font>
    <font>
      <sz val="11"/>
      <color indexed="13"/>
      <name val="Verdana"/>
      <family val="2"/>
    </font>
    <font>
      <b/>
      <sz val="10"/>
      <color indexed="9"/>
      <name val="Arial"/>
      <family val="2"/>
    </font>
    <font>
      <sz val="10"/>
      <color indexed="9"/>
      <name val="Arial"/>
      <family val="2"/>
    </font>
    <font>
      <u/>
      <sz val="10"/>
      <color indexed="12"/>
      <name val="Arial"/>
      <family val="2"/>
    </font>
    <font>
      <b/>
      <sz val="10"/>
      <name val="Tahoma"/>
      <family val="2"/>
    </font>
    <font>
      <b/>
      <sz val="12"/>
      <name val="Arial"/>
      <family val="2"/>
    </font>
    <font>
      <i/>
      <sz val="11"/>
      <name val="Arial"/>
      <family val="2"/>
    </font>
    <font>
      <b/>
      <sz val="11"/>
      <color indexed="9"/>
      <name val="Arial"/>
      <family val="2"/>
    </font>
    <font>
      <b/>
      <sz val="12"/>
      <name val="Tahoma"/>
      <family val="2"/>
    </font>
    <font>
      <sz val="10"/>
      <color indexed="56"/>
      <name val="Arial"/>
      <family val="2"/>
    </font>
    <font>
      <sz val="9"/>
      <color indexed="81"/>
      <name val="Tahoma"/>
      <family val="2"/>
    </font>
    <font>
      <b/>
      <sz val="9"/>
      <color indexed="81"/>
      <name val="Tahoma"/>
      <family val="2"/>
    </font>
    <font>
      <sz val="10"/>
      <color indexed="8"/>
      <name val="Arial"/>
      <family val="2"/>
    </font>
    <font>
      <b/>
      <sz val="14"/>
      <color indexed="11"/>
      <name val="Arial"/>
      <family val="2"/>
    </font>
    <font>
      <b/>
      <sz val="16"/>
      <color indexed="11"/>
      <name val="Arial"/>
      <family val="2"/>
    </font>
    <font>
      <sz val="11"/>
      <color indexed="13"/>
      <name val="Arial"/>
      <family val="2"/>
    </font>
    <font>
      <sz val="10"/>
      <color indexed="12"/>
      <name val="Arial"/>
      <family val="2"/>
    </font>
    <font>
      <b/>
      <sz val="10"/>
      <color indexed="13"/>
      <name val="Arial"/>
      <family val="2"/>
    </font>
    <font>
      <b/>
      <sz val="12"/>
      <color indexed="53"/>
      <name val="Arial"/>
      <family val="2"/>
    </font>
    <font>
      <sz val="7"/>
      <name val="Arial"/>
      <family val="2"/>
    </font>
    <font>
      <b/>
      <sz val="7"/>
      <name val="Arial"/>
      <family val="2"/>
    </font>
    <font>
      <b/>
      <sz val="10"/>
      <color indexed="10"/>
      <name val="Arial"/>
      <family val="2"/>
    </font>
    <font>
      <b/>
      <sz val="11"/>
      <color indexed="53"/>
      <name val="Arial"/>
      <family val="2"/>
    </font>
    <font>
      <b/>
      <sz val="8"/>
      <name val="Arial"/>
      <family val="2"/>
    </font>
    <font>
      <b/>
      <sz val="10"/>
      <color indexed="53"/>
      <name val="Arial"/>
      <family val="2"/>
    </font>
    <font>
      <sz val="8"/>
      <color indexed="9"/>
      <name val="Arial"/>
      <family val="2"/>
    </font>
    <font>
      <b/>
      <sz val="14"/>
      <name val="Arial"/>
      <family val="2"/>
    </font>
    <font>
      <b/>
      <sz val="16"/>
      <name val="Arial"/>
      <family val="2"/>
    </font>
    <font>
      <sz val="6"/>
      <name val="Arial"/>
      <family val="2"/>
    </font>
    <font>
      <b/>
      <sz val="11"/>
      <name val="Arial"/>
      <family val="2"/>
    </font>
    <font>
      <sz val="12"/>
      <name val="Arial"/>
      <family val="2"/>
    </font>
    <font>
      <b/>
      <sz val="8"/>
      <color indexed="81"/>
      <name val="Tahoma"/>
      <family val="2"/>
    </font>
    <font>
      <sz val="8"/>
      <color indexed="81"/>
      <name val="Tahoma"/>
      <family val="2"/>
    </font>
    <font>
      <sz val="10"/>
      <name val="Arial"/>
      <family val="2"/>
    </font>
    <font>
      <u/>
      <sz val="10"/>
      <color theme="0"/>
      <name val="Arial"/>
      <family val="2"/>
    </font>
    <font>
      <sz val="10"/>
      <color rgb="FFFF0000"/>
      <name val="Arial"/>
      <family val="2"/>
    </font>
    <font>
      <sz val="10"/>
      <color theme="0"/>
      <name val="Arial"/>
      <family val="2"/>
    </font>
    <font>
      <sz val="6"/>
      <color theme="0"/>
      <name val="Arial"/>
      <family val="2"/>
    </font>
    <font>
      <b/>
      <sz val="8"/>
      <color rgb="FFFF0000"/>
      <name val="Arial"/>
      <family val="2"/>
    </font>
    <font>
      <b/>
      <sz val="10"/>
      <color rgb="FFFF0000"/>
      <name val="Arial"/>
      <family val="2"/>
    </font>
    <font>
      <sz val="7"/>
      <color rgb="FFFF0000"/>
      <name val="Arial"/>
      <family val="2"/>
    </font>
    <font>
      <b/>
      <sz val="7"/>
      <color rgb="FFFF0000"/>
      <name val="Arial"/>
      <family val="2"/>
    </font>
    <font>
      <sz val="8"/>
      <color rgb="FFFF0000"/>
      <name val="Arial"/>
      <family val="2"/>
    </font>
    <font>
      <b/>
      <sz val="10"/>
      <color theme="0"/>
      <name val="Arial"/>
      <family val="2"/>
    </font>
    <font>
      <sz val="9"/>
      <color rgb="FFFF0000"/>
      <name val="Arial"/>
      <family val="2"/>
    </font>
    <font>
      <sz val="11"/>
      <color rgb="FF000000"/>
      <name val="Arial"/>
      <family val="2"/>
    </font>
    <font>
      <b/>
      <sz val="14"/>
      <color rgb="FFFF0000"/>
      <name val="Arial"/>
      <family val="2"/>
    </font>
    <font>
      <sz val="10"/>
      <color theme="1"/>
      <name val="Arial"/>
      <family val="2"/>
    </font>
    <font>
      <b/>
      <sz val="14"/>
      <color theme="1"/>
      <name val="Arial"/>
      <family val="2"/>
    </font>
    <font>
      <b/>
      <sz val="12"/>
      <color theme="1"/>
      <name val="Arial"/>
      <family val="2"/>
    </font>
    <font>
      <b/>
      <sz val="16"/>
      <color theme="1"/>
      <name val="Arial"/>
      <family val="2"/>
    </font>
    <font>
      <b/>
      <sz val="11"/>
      <color rgb="FFFFC000"/>
      <name val="Arial"/>
      <family val="2"/>
    </font>
    <font>
      <sz val="11"/>
      <color theme="0"/>
      <name val="Arial"/>
      <family val="2"/>
    </font>
    <font>
      <b/>
      <sz val="11"/>
      <color rgb="FFFF0000"/>
      <name val="Arial"/>
      <family val="2"/>
    </font>
    <font>
      <sz val="11"/>
      <color rgb="FFFF0000"/>
      <name val="Arial"/>
      <family val="2"/>
    </font>
    <font>
      <sz val="11"/>
      <color theme="0" tint="-4.9989318521683403E-2"/>
      <name val="Arial"/>
      <family val="2"/>
    </font>
    <font>
      <b/>
      <sz val="11"/>
      <color theme="0" tint="-4.9989318521683403E-2"/>
      <name val="Arial"/>
      <family val="2"/>
    </font>
    <font>
      <sz val="11"/>
      <color theme="0" tint="-0.249977111117893"/>
      <name val="Arial"/>
      <family val="2"/>
    </font>
    <font>
      <sz val="9"/>
      <color rgb="FFFFFF00"/>
      <name val="Arial"/>
      <family val="2"/>
    </font>
    <font>
      <sz val="9"/>
      <color indexed="13"/>
      <name val="Arial"/>
      <family val="2"/>
    </font>
    <font>
      <sz val="10"/>
      <color rgb="FF0070C0"/>
      <name val="Arial"/>
      <family val="2"/>
    </font>
    <font>
      <sz val="9"/>
      <name val="Arial"/>
      <family val="2"/>
    </font>
  </fonts>
  <fills count="21">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indexed="18"/>
        <bgColor indexed="64"/>
      </patternFill>
    </fill>
    <fill>
      <patternFill patternType="solid">
        <fgColor theme="0"/>
        <bgColor indexed="64"/>
      </patternFill>
    </fill>
    <fill>
      <patternFill patternType="solid">
        <fgColor theme="1"/>
        <bgColor indexed="64"/>
      </patternFill>
    </fill>
    <fill>
      <patternFill patternType="solid">
        <fgColor theme="0"/>
        <bgColor indexed="24"/>
      </patternFill>
    </fill>
    <fill>
      <patternFill patternType="solid">
        <fgColor theme="0" tint="-0.249977111117893"/>
        <bgColor indexed="64"/>
      </patternFill>
    </fill>
    <fill>
      <patternFill patternType="solid">
        <fgColor rgb="FFFFFFFF"/>
        <bgColor indexed="64"/>
      </patternFill>
    </fill>
    <fill>
      <patternFill patternType="solid">
        <fgColor rgb="FF00206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theme="4" tint="-0.249977111117893"/>
        <bgColor indexed="64"/>
      </patternFill>
    </fill>
    <fill>
      <patternFill patternType="solid">
        <fgColor theme="1" tint="0.249977111117893"/>
        <bgColor indexed="64"/>
      </patternFill>
    </fill>
    <fill>
      <patternFill patternType="solid">
        <fgColor rgb="FFFFFF00"/>
        <bgColor indexed="64"/>
      </patternFill>
    </fill>
  </fills>
  <borders count="39">
    <border>
      <left/>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53"/>
      </left>
      <right/>
      <top style="medium">
        <color indexed="53"/>
      </top>
      <bottom style="medium">
        <color indexed="53"/>
      </bottom>
      <diagonal/>
    </border>
    <border>
      <left/>
      <right/>
      <top style="medium">
        <color indexed="53"/>
      </top>
      <bottom style="medium">
        <color indexed="53"/>
      </bottom>
      <diagonal/>
    </border>
    <border>
      <left/>
      <right style="medium">
        <color indexed="53"/>
      </right>
      <top style="medium">
        <color indexed="53"/>
      </top>
      <bottom style="medium">
        <color indexed="53"/>
      </bottom>
      <diagonal/>
    </border>
    <border>
      <left style="medium">
        <color indexed="53"/>
      </left>
      <right style="medium">
        <color indexed="53"/>
      </right>
      <top style="medium">
        <color indexed="53"/>
      </top>
      <bottom style="medium">
        <color indexed="5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medium">
        <color indexed="64"/>
      </bottom>
      <diagonal/>
    </border>
    <border>
      <left/>
      <right/>
      <top style="thin">
        <color indexed="64"/>
      </top>
      <bottom/>
      <diagonal/>
    </border>
    <border>
      <left style="medium">
        <color rgb="FF000000"/>
      </left>
      <right style="thin">
        <color indexed="64"/>
      </right>
      <top style="medium">
        <color rgb="FF000000"/>
      </top>
      <bottom style="medium">
        <color rgb="FF000000"/>
      </bottom>
      <diagonal/>
    </border>
    <border>
      <left style="medium">
        <color rgb="FF000000"/>
      </left>
      <right style="thin">
        <color indexed="64"/>
      </right>
      <top style="medium">
        <color rgb="FF000000"/>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diagonal/>
    </border>
  </borders>
  <cellStyleXfs count="7">
    <xf numFmtId="0" fontId="0" fillId="0" borderId="0"/>
    <xf numFmtId="0" fontId="9" fillId="0" borderId="0" applyNumberFormat="0" applyFill="0" applyBorder="0" applyAlignment="0" applyProtection="0">
      <alignment vertical="top"/>
      <protection locked="0"/>
    </xf>
    <xf numFmtId="166"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0" fontId="1" fillId="0" borderId="0"/>
  </cellStyleXfs>
  <cellXfs count="298">
    <xf numFmtId="0" fontId="0" fillId="0" borderId="0" xfId="0"/>
    <xf numFmtId="0" fontId="3" fillId="0" borderId="0" xfId="0" applyFont="1" applyAlignment="1">
      <alignment horizontal="center"/>
    </xf>
    <xf numFmtId="0" fontId="0" fillId="0" borderId="1" xfId="0" applyBorder="1"/>
    <xf numFmtId="0" fontId="0" fillId="0" borderId="2" xfId="0" applyBorder="1"/>
    <xf numFmtId="169" fontId="0" fillId="0" borderId="0" xfId="0" applyNumberFormat="1"/>
    <xf numFmtId="166" fontId="0" fillId="0" borderId="1" xfId="2" applyFont="1" applyBorder="1"/>
    <xf numFmtId="166" fontId="0" fillId="0" borderId="2" xfId="2" applyFont="1" applyBorder="1"/>
    <xf numFmtId="166" fontId="0" fillId="0" borderId="3" xfId="2" applyFont="1" applyBorder="1"/>
    <xf numFmtId="167" fontId="0" fillId="0" borderId="0" xfId="2" applyNumberFormat="1" applyFont="1"/>
    <xf numFmtId="166" fontId="0" fillId="0" borderId="0" xfId="2" applyFont="1"/>
    <xf numFmtId="170" fontId="0" fillId="0" borderId="0" xfId="4" applyNumberFormat="1" applyFont="1"/>
    <xf numFmtId="166" fontId="0" fillId="0" borderId="0" xfId="0" applyNumberFormat="1"/>
    <xf numFmtId="171" fontId="0" fillId="0" borderId="0" xfId="5" applyNumberFormat="1" applyFont="1"/>
    <xf numFmtId="0" fontId="0" fillId="0" borderId="0" xfId="0" applyAlignment="1">
      <alignment horizontal="right"/>
    </xf>
    <xf numFmtId="0" fontId="10" fillId="0" borderId="0" xfId="0" applyFont="1" applyAlignment="1">
      <alignment horizontal="left"/>
    </xf>
    <xf numFmtId="0" fontId="4" fillId="3" borderId="5" xfId="0" applyFont="1" applyFill="1" applyBorder="1" applyAlignment="1">
      <alignment horizontal="center" vertical="top" wrapText="1"/>
    </xf>
    <xf numFmtId="9" fontId="4" fillId="3" borderId="5" xfId="0" applyNumberFormat="1" applyFont="1" applyFill="1" applyBorder="1" applyAlignment="1">
      <alignment horizontal="center" vertical="top" wrapText="1"/>
    </xf>
    <xf numFmtId="0" fontId="4" fillId="3" borderId="6" xfId="0" applyFont="1" applyFill="1" applyBorder="1" applyAlignment="1">
      <alignment horizontal="center" vertical="top" wrapText="1"/>
    </xf>
    <xf numFmtId="9" fontId="4" fillId="3" borderId="6" xfId="0" applyNumberFormat="1" applyFont="1" applyFill="1" applyBorder="1" applyAlignment="1">
      <alignment horizontal="center" vertical="top" wrapText="1"/>
    </xf>
    <xf numFmtId="0" fontId="4" fillId="3" borderId="4" xfId="0" applyFont="1" applyFill="1" applyBorder="1" applyAlignment="1">
      <alignment horizontal="center" vertical="top" wrapText="1"/>
    </xf>
    <xf numFmtId="9" fontId="4" fillId="3" borderId="4" xfId="0" applyNumberFormat="1" applyFont="1" applyFill="1" applyBorder="1" applyAlignment="1">
      <alignment horizontal="center" vertical="top" wrapText="1"/>
    </xf>
    <xf numFmtId="0" fontId="11" fillId="0" borderId="0" xfId="0" applyFont="1" applyAlignment="1">
      <alignment horizontal="center"/>
    </xf>
    <xf numFmtId="0" fontId="0" fillId="0" borderId="7" xfId="0" applyBorder="1"/>
    <xf numFmtId="0" fontId="0" fillId="0" borderId="8" xfId="0" applyBorder="1"/>
    <xf numFmtId="170" fontId="15" fillId="0" borderId="0" xfId="4" applyNumberFormat="1" applyFont="1"/>
    <xf numFmtId="0" fontId="5" fillId="0" borderId="0" xfId="0" applyFont="1"/>
    <xf numFmtId="0" fontId="3" fillId="0" borderId="0" xfId="0" applyFont="1"/>
    <xf numFmtId="10" fontId="18" fillId="8" borderId="0" xfId="5" applyNumberFormat="1" applyFont="1" applyFill="1" applyBorder="1" applyAlignment="1" applyProtection="1">
      <protection locked="0"/>
    </xf>
    <xf numFmtId="172" fontId="18" fillId="8" borderId="0" xfId="0" applyNumberFormat="1" applyFont="1" applyFill="1" applyProtection="1">
      <protection locked="0"/>
    </xf>
    <xf numFmtId="10" fontId="40" fillId="8" borderId="0" xfId="1" applyNumberFormat="1" applyFont="1" applyFill="1" applyBorder="1" applyAlignment="1" applyProtection="1">
      <protection locked="0"/>
    </xf>
    <xf numFmtId="168" fontId="5" fillId="0" borderId="0" xfId="2" applyNumberFormat="1" applyFont="1"/>
    <xf numFmtId="168" fontId="41" fillId="0" borderId="0" xfId="2" applyNumberFormat="1" applyFont="1"/>
    <xf numFmtId="168" fontId="19" fillId="2" borderId="0" xfId="2" applyNumberFormat="1" applyFont="1" applyFill="1" applyAlignment="1">
      <alignment horizontal="left"/>
    </xf>
    <xf numFmtId="168" fontId="42" fillId="0" borderId="0" xfId="2" applyNumberFormat="1" applyFont="1"/>
    <xf numFmtId="168" fontId="43" fillId="6" borderId="0" xfId="2" applyNumberFormat="1" applyFont="1" applyFill="1" applyBorder="1" applyAlignment="1">
      <alignment horizontal="center" vertical="center"/>
    </xf>
    <xf numFmtId="168" fontId="42" fillId="6" borderId="0" xfId="2" applyNumberFormat="1" applyFont="1" applyFill="1" applyBorder="1" applyProtection="1">
      <protection locked="0"/>
    </xf>
    <xf numFmtId="168" fontId="5" fillId="0" borderId="3" xfId="2" applyNumberFormat="1" applyFont="1" applyBorder="1" applyAlignment="1" applyProtection="1">
      <alignment horizontal="center"/>
      <protection locked="0"/>
    </xf>
    <xf numFmtId="14" fontId="5" fillId="0" borderId="0" xfId="0" applyNumberFormat="1" applyFont="1"/>
    <xf numFmtId="168" fontId="5" fillId="0" borderId="6" xfId="2" applyNumberFormat="1" applyFont="1" applyBorder="1" applyProtection="1">
      <protection locked="0"/>
    </xf>
    <xf numFmtId="168" fontId="3" fillId="0" borderId="0" xfId="2" applyNumberFormat="1" applyFont="1" applyAlignment="1">
      <alignment horizontal="center"/>
    </xf>
    <xf numFmtId="168" fontId="45" fillId="0" borderId="0" xfId="2" applyNumberFormat="1" applyFont="1" applyAlignment="1">
      <alignment horizontal="center"/>
    </xf>
    <xf numFmtId="0" fontId="24" fillId="2" borderId="3" xfId="0" applyFont="1" applyFill="1" applyBorder="1" applyAlignment="1">
      <alignment horizontal="center" vertical="center"/>
    </xf>
    <xf numFmtId="0" fontId="5" fillId="4" borderId="6" xfId="0" applyFont="1" applyFill="1" applyBorder="1"/>
    <xf numFmtId="168" fontId="5" fillId="4" borderId="6" xfId="2" applyNumberFormat="1" applyFont="1" applyFill="1" applyBorder="1"/>
    <xf numFmtId="0" fontId="5" fillId="0" borderId="0" xfId="0" applyFont="1" applyAlignment="1">
      <alignment horizontal="center" vertical="center"/>
    </xf>
    <xf numFmtId="0" fontId="3" fillId="4" borderId="6" xfId="0" applyFont="1" applyFill="1" applyBorder="1" applyAlignment="1">
      <alignment horizontal="left"/>
    </xf>
    <xf numFmtId="168" fontId="3" fillId="4" borderId="6" xfId="2" applyNumberFormat="1" applyFont="1" applyFill="1" applyBorder="1"/>
    <xf numFmtId="168" fontId="26" fillId="4" borderId="6" xfId="2" applyNumberFormat="1" applyFont="1" applyFill="1" applyBorder="1" applyAlignment="1">
      <alignment horizontal="center"/>
    </xf>
    <xf numFmtId="168" fontId="47" fillId="4" borderId="6" xfId="2" applyNumberFormat="1" applyFont="1" applyFill="1" applyBorder="1" applyAlignment="1">
      <alignment horizontal="center"/>
    </xf>
    <xf numFmtId="168" fontId="25" fillId="0" borderId="0" xfId="2" applyNumberFormat="1" applyFont="1" applyAlignment="1">
      <alignment horizontal="center"/>
    </xf>
    <xf numFmtId="168" fontId="46" fillId="0" borderId="0" xfId="2" applyNumberFormat="1" applyFont="1" applyAlignment="1">
      <alignment horizontal="center"/>
    </xf>
    <xf numFmtId="0" fontId="7" fillId="2" borderId="13" xfId="0" applyFont="1" applyFill="1" applyBorder="1" applyAlignment="1">
      <alignment horizontal="left"/>
    </xf>
    <xf numFmtId="0" fontId="7" fillId="2" borderId="14" xfId="0" applyFont="1" applyFill="1" applyBorder="1" applyAlignment="1">
      <alignment horizontal="left"/>
    </xf>
    <xf numFmtId="0" fontId="7" fillId="2" borderId="15" xfId="0" applyFont="1" applyFill="1" applyBorder="1" applyAlignment="1">
      <alignment horizontal="left"/>
    </xf>
    <xf numFmtId="0" fontId="45" fillId="2" borderId="15" xfId="0" applyFont="1" applyFill="1" applyBorder="1" applyAlignment="1">
      <alignment horizontal="left"/>
    </xf>
    <xf numFmtId="168" fontId="7" fillId="2" borderId="6" xfId="2" applyNumberFormat="1" applyFont="1" applyFill="1" applyBorder="1"/>
    <xf numFmtId="168" fontId="5" fillId="0" borderId="0" xfId="2" applyNumberFormat="1" applyFont="1" applyFill="1"/>
    <xf numFmtId="0" fontId="27" fillId="0" borderId="0" xfId="0" applyFont="1"/>
    <xf numFmtId="0" fontId="24" fillId="0" borderId="0" xfId="0" applyFont="1" applyAlignment="1">
      <alignment horizontal="center" vertical="center"/>
    </xf>
    <xf numFmtId="166" fontId="5" fillId="0" borderId="0" xfId="2" applyFont="1"/>
    <xf numFmtId="168" fontId="5" fillId="4" borderId="6" xfId="2" applyNumberFormat="1" applyFont="1" applyFill="1" applyBorder="1" applyAlignment="1">
      <alignment horizontal="center" vertical="center"/>
    </xf>
    <xf numFmtId="0" fontId="3" fillId="4" borderId="6" xfId="0" applyFont="1" applyFill="1" applyBorder="1"/>
    <xf numFmtId="168" fontId="8" fillId="0" borderId="0" xfId="2" applyNumberFormat="1" applyFont="1"/>
    <xf numFmtId="0" fontId="45" fillId="2" borderId="14" xfId="0" applyFont="1" applyFill="1" applyBorder="1" applyAlignment="1">
      <alignment horizontal="left"/>
    </xf>
    <xf numFmtId="168" fontId="7" fillId="2" borderId="15" xfId="2" applyNumberFormat="1" applyFont="1" applyFill="1" applyBorder="1"/>
    <xf numFmtId="0" fontId="7" fillId="2" borderId="0" xfId="0" applyFont="1" applyFill="1" applyAlignment="1">
      <alignment horizontal="left"/>
    </xf>
    <xf numFmtId="0" fontId="45" fillId="2" borderId="0" xfId="0" applyFont="1" applyFill="1" applyAlignment="1">
      <alignment horizontal="left"/>
    </xf>
    <xf numFmtId="0" fontId="49" fillId="2" borderId="13" xfId="0" applyFont="1" applyFill="1" applyBorder="1" applyAlignment="1">
      <alignment horizontal="left"/>
    </xf>
    <xf numFmtId="168" fontId="23" fillId="2" borderId="6" xfId="2" applyNumberFormat="1" applyFont="1" applyFill="1" applyBorder="1"/>
    <xf numFmtId="168" fontId="7" fillId="2" borderId="6" xfId="2" applyNumberFormat="1" applyFont="1" applyFill="1" applyBorder="1" applyProtection="1">
      <protection hidden="1"/>
    </xf>
    <xf numFmtId="167" fontId="5" fillId="0" borderId="0" xfId="2" applyNumberFormat="1" applyFont="1"/>
    <xf numFmtId="167" fontId="5" fillId="0" borderId="0" xfId="2" applyNumberFormat="1" applyFont="1" applyFill="1"/>
    <xf numFmtId="0" fontId="28" fillId="2" borderId="18" xfId="0" applyFont="1" applyFill="1" applyBorder="1" applyAlignment="1">
      <alignment horizontal="left"/>
    </xf>
    <xf numFmtId="168" fontId="29" fillId="0" borderId="0" xfId="2" applyNumberFormat="1" applyFont="1" applyFill="1" applyBorder="1"/>
    <xf numFmtId="168" fontId="44" fillId="0" borderId="0" xfId="2" applyNumberFormat="1" applyFont="1" applyFill="1" applyBorder="1"/>
    <xf numFmtId="170" fontId="30" fillId="2" borderId="6" xfId="4" applyNumberFormat="1" applyFont="1" applyFill="1" applyBorder="1"/>
    <xf numFmtId="0" fontId="28" fillId="2" borderId="15" xfId="0" applyFont="1" applyFill="1" applyBorder="1" applyAlignment="1">
      <alignment horizontal="left"/>
    </xf>
    <xf numFmtId="14" fontId="41" fillId="0" borderId="0" xfId="0" applyNumberFormat="1" applyFont="1" applyProtection="1">
      <protection hidden="1"/>
    </xf>
    <xf numFmtId="0" fontId="31" fillId="0" borderId="0" xfId="0" applyFont="1" applyProtection="1">
      <protection hidden="1"/>
    </xf>
    <xf numFmtId="0" fontId="41" fillId="0" borderId="0" xfId="0" applyFont="1"/>
    <xf numFmtId="0" fontId="8" fillId="0" borderId="0" xfId="0" applyFont="1"/>
    <xf numFmtId="0" fontId="42" fillId="0" borderId="0" xfId="0" applyFont="1"/>
    <xf numFmtId="0" fontId="45" fillId="0" borderId="0" xfId="0" applyFont="1"/>
    <xf numFmtId="0" fontId="5" fillId="9" borderId="6" xfId="0" applyFont="1" applyFill="1" applyBorder="1"/>
    <xf numFmtId="0" fontId="49" fillId="2" borderId="19" xfId="0" applyFont="1" applyFill="1" applyBorder="1" applyAlignment="1">
      <alignment horizontal="left"/>
    </xf>
    <xf numFmtId="0" fontId="45" fillId="0" borderId="0" xfId="0" applyFont="1" applyAlignment="1">
      <alignment horizontal="left"/>
    </xf>
    <xf numFmtId="168" fontId="5" fillId="0" borderId="0" xfId="2" applyNumberFormat="1" applyFont="1" applyFill="1" applyProtection="1"/>
    <xf numFmtId="168" fontId="11" fillId="0" borderId="0" xfId="2" applyNumberFormat="1" applyFont="1" applyFill="1" applyAlignment="1" applyProtection="1">
      <alignment horizontal="left"/>
    </xf>
    <xf numFmtId="168" fontId="32" fillId="0" borderId="0" xfId="2" applyNumberFormat="1" applyFont="1" applyFill="1" applyAlignment="1" applyProtection="1">
      <alignment horizontal="left"/>
    </xf>
    <xf numFmtId="168" fontId="33" fillId="0" borderId="0" xfId="2" applyNumberFormat="1" applyFont="1" applyFill="1" applyAlignment="1" applyProtection="1">
      <alignment horizontal="right"/>
    </xf>
    <xf numFmtId="0" fontId="5" fillId="0" borderId="0" xfId="0" applyFont="1" applyAlignment="1">
      <alignment horizontal="left"/>
    </xf>
    <xf numFmtId="0" fontId="32" fillId="0" borderId="0" xfId="0" applyFont="1"/>
    <xf numFmtId="0" fontId="11" fillId="0" borderId="0" xfId="0" applyFont="1"/>
    <xf numFmtId="168" fontId="34" fillId="0" borderId="0" xfId="2" applyNumberFormat="1" applyFont="1" applyFill="1" applyBorder="1" applyAlignment="1" applyProtection="1">
      <alignment horizontal="center" vertical="center"/>
    </xf>
    <xf numFmtId="168" fontId="5" fillId="0" borderId="0" xfId="2" applyNumberFormat="1" applyFont="1" applyFill="1" applyBorder="1" applyProtection="1"/>
    <xf numFmtId="168" fontId="3" fillId="0" borderId="6" xfId="2" applyNumberFormat="1" applyFont="1" applyFill="1" applyBorder="1" applyAlignment="1" applyProtection="1">
      <alignment horizontal="center"/>
    </xf>
    <xf numFmtId="168" fontId="5" fillId="0" borderId="6" xfId="2" applyNumberFormat="1" applyFont="1" applyFill="1" applyBorder="1" applyAlignment="1" applyProtection="1">
      <alignment horizontal="center"/>
    </xf>
    <xf numFmtId="0" fontId="5" fillId="0" borderId="0" xfId="0" applyFont="1" applyAlignment="1">
      <alignment horizontal="center"/>
    </xf>
    <xf numFmtId="0" fontId="29" fillId="0" borderId="0" xfId="0" applyFont="1"/>
    <xf numFmtId="0" fontId="11" fillId="0" borderId="3" xfId="0" applyFont="1" applyBorder="1" applyAlignment="1">
      <alignment horizontal="center" vertical="center"/>
    </xf>
    <xf numFmtId="0" fontId="3" fillId="0" borderId="0" xfId="0" applyFont="1" applyAlignment="1">
      <alignment horizontal="left"/>
    </xf>
    <xf numFmtId="0" fontId="5" fillId="0" borderId="6" xfId="0" applyFont="1" applyBorder="1"/>
    <xf numFmtId="168" fontId="5" fillId="0" borderId="6" xfId="2" applyNumberFormat="1" applyFont="1" applyFill="1" applyBorder="1" applyProtection="1"/>
    <xf numFmtId="0" fontId="3" fillId="0" borderId="6" xfId="0" applyFont="1" applyBorder="1"/>
    <xf numFmtId="168" fontId="3" fillId="0" borderId="6" xfId="2" applyNumberFormat="1" applyFont="1" applyFill="1" applyBorder="1" applyProtection="1"/>
    <xf numFmtId="0" fontId="3" fillId="0" borderId="13" xfId="0" applyFont="1" applyBorder="1" applyAlignment="1">
      <alignment horizontal="left"/>
    </xf>
    <xf numFmtId="0" fontId="3" fillId="0" borderId="14" xfId="0" applyFont="1" applyBorder="1" applyAlignment="1">
      <alignment horizontal="left"/>
    </xf>
    <xf numFmtId="168" fontId="3" fillId="0" borderId="0" xfId="2" applyNumberFormat="1" applyFont="1" applyFill="1" applyBorder="1" applyProtection="1"/>
    <xf numFmtId="0" fontId="11" fillId="0" borderId="0" xfId="0" applyFont="1" applyAlignment="1">
      <alignment horizontal="center" vertical="center"/>
    </xf>
    <xf numFmtId="168" fontId="3" fillId="0" borderId="6" xfId="2" applyNumberFormat="1" applyFont="1" applyFill="1" applyBorder="1" applyAlignment="1" applyProtection="1">
      <alignment horizontal="center" vertical="center"/>
    </xf>
    <xf numFmtId="0" fontId="3" fillId="0" borderId="15" xfId="0" applyFont="1" applyBorder="1" applyAlignment="1">
      <alignment horizontal="left"/>
    </xf>
    <xf numFmtId="0" fontId="35" fillId="0" borderId="6" xfId="0" applyFont="1" applyBorder="1" applyAlignment="1">
      <alignment horizontal="left"/>
    </xf>
    <xf numFmtId="170" fontId="3" fillId="0" borderId="6" xfId="4" applyNumberFormat="1" applyFont="1" applyFill="1" applyBorder="1" applyProtection="1"/>
    <xf numFmtId="0" fontId="3" fillId="0" borderId="6" xfId="0" applyFont="1" applyBorder="1" applyAlignment="1">
      <alignment horizontal="left"/>
    </xf>
    <xf numFmtId="10" fontId="30" fillId="2" borderId="6" xfId="5" applyNumberFormat="1" applyFont="1" applyFill="1" applyBorder="1"/>
    <xf numFmtId="10" fontId="3" fillId="0" borderId="0" xfId="5" applyNumberFormat="1" applyFont="1" applyFill="1" applyProtection="1"/>
    <xf numFmtId="166" fontId="3" fillId="0" borderId="0" xfId="0" applyNumberFormat="1" applyFont="1"/>
    <xf numFmtId="0" fontId="35" fillId="0" borderId="0" xfId="0" applyFont="1" applyAlignment="1">
      <alignment horizontal="left"/>
    </xf>
    <xf numFmtId="170" fontId="3" fillId="0" borderId="0" xfId="4" applyNumberFormat="1" applyFont="1" applyFill="1" applyBorder="1" applyProtection="1"/>
    <xf numFmtId="0" fontId="35" fillId="0" borderId="13" xfId="0" applyFont="1" applyBorder="1" applyAlignment="1">
      <alignment horizontal="center"/>
    </xf>
    <xf numFmtId="168" fontId="35" fillId="0" borderId="15" xfId="2" applyNumberFormat="1" applyFont="1" applyFill="1" applyBorder="1" applyAlignment="1" applyProtection="1">
      <alignment horizontal="center"/>
    </xf>
    <xf numFmtId="168" fontId="35" fillId="0" borderId="6" xfId="2" applyNumberFormat="1" applyFont="1" applyFill="1" applyBorder="1" applyAlignment="1" applyProtection="1">
      <alignment horizontal="center"/>
    </xf>
    <xf numFmtId="0" fontId="5" fillId="4" borderId="6" xfId="0" applyFont="1" applyFill="1" applyBorder="1" applyAlignment="1">
      <alignment wrapText="1"/>
    </xf>
    <xf numFmtId="166" fontId="35" fillId="0" borderId="0" xfId="2" applyFont="1" applyFill="1" applyProtection="1">
      <protection hidden="1"/>
    </xf>
    <xf numFmtId="0" fontId="9" fillId="0" borderId="0" xfId="1" applyAlignment="1" applyProtection="1"/>
    <xf numFmtId="167" fontId="0" fillId="0" borderId="0" xfId="0" applyNumberFormat="1"/>
    <xf numFmtId="164" fontId="0" fillId="0" borderId="0" xfId="3" applyFont="1"/>
    <xf numFmtId="9" fontId="0" fillId="0" borderId="0" xfId="0" applyNumberFormat="1"/>
    <xf numFmtId="173" fontId="0" fillId="0" borderId="0" xfId="3" applyNumberFormat="1" applyFont="1"/>
    <xf numFmtId="174" fontId="0" fillId="0" borderId="0" xfId="0" applyNumberFormat="1"/>
    <xf numFmtId="0" fontId="5" fillId="11" borderId="0" xfId="0" applyFont="1" applyFill="1"/>
    <xf numFmtId="168" fontId="5" fillId="11" borderId="0" xfId="2" applyNumberFormat="1" applyFont="1" applyFill="1"/>
    <xf numFmtId="168" fontId="41" fillId="11" borderId="0" xfId="2" applyNumberFormat="1" applyFont="1" applyFill="1"/>
    <xf numFmtId="168" fontId="19" fillId="11" borderId="0" xfId="2" applyNumberFormat="1" applyFont="1" applyFill="1" applyAlignment="1">
      <alignment horizontal="left"/>
    </xf>
    <xf numFmtId="168" fontId="4" fillId="11" borderId="0" xfId="2" applyNumberFormat="1" applyFont="1" applyFill="1" applyAlignment="1">
      <alignment horizontal="center"/>
    </xf>
    <xf numFmtId="166" fontId="39" fillId="12" borderId="21" xfId="2" applyFont="1" applyFill="1" applyBorder="1"/>
    <xf numFmtId="166" fontId="12" fillId="3" borderId="6" xfId="2" applyFont="1" applyFill="1" applyBorder="1" applyAlignment="1">
      <alignment horizontal="center" vertical="top" wrapText="1"/>
    </xf>
    <xf numFmtId="0" fontId="0" fillId="0" borderId="6" xfId="0" applyBorder="1"/>
    <xf numFmtId="166" fontId="0" fillId="0" borderId="6" xfId="2" applyFont="1" applyBorder="1"/>
    <xf numFmtId="0" fontId="5" fillId="0" borderId="23" xfId="0" applyFont="1" applyBorder="1" applyAlignment="1">
      <alignment horizontal="center" vertical="center"/>
    </xf>
    <xf numFmtId="168" fontId="3" fillId="0" borderId="23" xfId="2" applyNumberFormat="1" applyFont="1" applyFill="1" applyBorder="1" applyProtection="1"/>
    <xf numFmtId="0" fontId="54" fillId="14" borderId="0" xfId="0" applyFont="1" applyFill="1"/>
    <xf numFmtId="0" fontId="55" fillId="14" borderId="0" xfId="0" applyFont="1" applyFill="1"/>
    <xf numFmtId="0" fontId="5" fillId="14" borderId="0" xfId="0" applyFont="1" applyFill="1"/>
    <xf numFmtId="168" fontId="5" fillId="14" borderId="0" xfId="2" applyNumberFormat="1" applyFont="1" applyFill="1"/>
    <xf numFmtId="168" fontId="41" fillId="14" borderId="0" xfId="2" applyNumberFormat="1" applyFont="1" applyFill="1"/>
    <xf numFmtId="168" fontId="19" fillId="14" borderId="0" xfId="2" applyNumberFormat="1" applyFont="1" applyFill="1" applyAlignment="1">
      <alignment horizontal="left"/>
    </xf>
    <xf numFmtId="168" fontId="20" fillId="14" borderId="0" xfId="2" applyNumberFormat="1" applyFont="1" applyFill="1" applyAlignment="1">
      <alignment horizontal="right"/>
    </xf>
    <xf numFmtId="168" fontId="52" fillId="14" borderId="0" xfId="2" applyNumberFormat="1" applyFont="1" applyFill="1" applyAlignment="1">
      <alignment horizontal="left"/>
    </xf>
    <xf numFmtId="0" fontId="5" fillId="14" borderId="0" xfId="0" applyFont="1" applyFill="1" applyAlignment="1">
      <alignment horizontal="left"/>
    </xf>
    <xf numFmtId="0" fontId="41" fillId="14" borderId="0" xfId="0" applyFont="1" applyFill="1" applyAlignment="1">
      <alignment horizontal="left"/>
    </xf>
    <xf numFmtId="168" fontId="21" fillId="14" borderId="0" xfId="2" applyNumberFormat="1" applyFont="1" applyFill="1" applyAlignment="1">
      <alignment horizontal="right"/>
    </xf>
    <xf numFmtId="168" fontId="56" fillId="14" borderId="0" xfId="2" applyNumberFormat="1" applyFont="1" applyFill="1" applyAlignment="1">
      <alignment horizontal="left"/>
    </xf>
    <xf numFmtId="0" fontId="53" fillId="14" borderId="0" xfId="0" applyFont="1" applyFill="1" applyAlignment="1">
      <alignment horizontal="left"/>
    </xf>
    <xf numFmtId="168" fontId="54" fillId="14" borderId="0" xfId="2" applyNumberFormat="1" applyFont="1" applyFill="1" applyAlignment="1">
      <alignment horizontal="left"/>
    </xf>
    <xf numFmtId="0" fontId="57" fillId="2" borderId="9" xfId="0" applyFont="1" applyFill="1" applyBorder="1" applyAlignment="1">
      <alignment horizontal="left"/>
    </xf>
    <xf numFmtId="0" fontId="57" fillId="2" borderId="10" xfId="0" applyFont="1" applyFill="1" applyBorder="1" applyAlignment="1">
      <alignment horizontal="center"/>
    </xf>
    <xf numFmtId="0" fontId="57" fillId="2" borderId="11" xfId="0" applyFont="1" applyFill="1" applyBorder="1" applyAlignment="1">
      <alignment horizontal="center"/>
    </xf>
    <xf numFmtId="168" fontId="57" fillId="2" borderId="11" xfId="2" applyNumberFormat="1" applyFont="1" applyFill="1" applyBorder="1" applyAlignment="1">
      <alignment horizontal="center"/>
    </xf>
    <xf numFmtId="168" fontId="57" fillId="2" borderId="12" xfId="2" applyNumberFormat="1" applyFont="1" applyFill="1" applyBorder="1" applyAlignment="1">
      <alignment horizontal="center"/>
    </xf>
    <xf numFmtId="168" fontId="2" fillId="9" borderId="6" xfId="2" applyNumberFormat="1" applyFont="1" applyFill="1" applyBorder="1" applyAlignment="1">
      <alignment horizontal="center" vertical="center" wrapText="1"/>
    </xf>
    <xf numFmtId="168" fontId="2" fillId="9" borderId="6" xfId="2" applyNumberFormat="1" applyFont="1" applyFill="1" applyBorder="1"/>
    <xf numFmtId="168" fontId="25" fillId="9" borderId="6" xfId="2" applyNumberFormat="1" applyFont="1" applyFill="1" applyBorder="1" applyAlignment="1">
      <alignment horizontal="center"/>
    </xf>
    <xf numFmtId="14" fontId="42" fillId="6" borderId="0" xfId="0" applyNumberFormat="1" applyFont="1" applyFill="1" applyProtection="1">
      <protection hidden="1"/>
    </xf>
    <xf numFmtId="0" fontId="42" fillId="6" borderId="0" xfId="0" applyFont="1" applyFill="1" applyProtection="1">
      <protection hidden="1"/>
    </xf>
    <xf numFmtId="168" fontId="46" fillId="9" borderId="6" xfId="2" applyNumberFormat="1" applyFont="1" applyFill="1" applyBorder="1" applyAlignment="1">
      <alignment horizontal="center"/>
    </xf>
    <xf numFmtId="168" fontId="48" fillId="9" borderId="16" xfId="2" applyNumberFormat="1" applyFont="1" applyFill="1" applyBorder="1" applyAlignment="1">
      <alignment horizontal="center" vertical="center" wrapText="1"/>
    </xf>
    <xf numFmtId="168" fontId="48" fillId="9" borderId="6" xfId="2" applyNumberFormat="1" applyFont="1" applyFill="1" applyBorder="1" applyAlignment="1">
      <alignment horizontal="center" vertical="center" wrapText="1"/>
    </xf>
    <xf numFmtId="168" fontId="48" fillId="9" borderId="6" xfId="2" applyNumberFormat="1" applyFont="1" applyFill="1" applyBorder="1"/>
    <xf numFmtId="168" fontId="41" fillId="9" borderId="6" xfId="2" applyNumberFormat="1" applyFont="1" applyFill="1" applyBorder="1"/>
    <xf numFmtId="168" fontId="48" fillId="9" borderId="17" xfId="2" applyNumberFormat="1" applyFont="1" applyFill="1" applyBorder="1" applyAlignment="1">
      <alignment horizontal="center" vertical="center" wrapText="1"/>
    </xf>
    <xf numFmtId="0" fontId="5" fillId="13" borderId="6" xfId="0" applyFont="1" applyFill="1" applyBorder="1"/>
    <xf numFmtId="168" fontId="48" fillId="9" borderId="22" xfId="2" applyNumberFormat="1" applyFont="1" applyFill="1" applyBorder="1" applyAlignment="1">
      <alignment horizontal="center" vertical="center" wrapText="1"/>
    </xf>
    <xf numFmtId="168" fontId="5" fillId="13" borderId="6" xfId="2" applyNumberFormat="1" applyFont="1" applyFill="1" applyBorder="1" applyProtection="1"/>
    <xf numFmtId="168" fontId="48" fillId="13" borderId="17" xfId="2" applyNumberFormat="1" applyFont="1" applyFill="1" applyBorder="1" applyAlignment="1">
      <alignment horizontal="center" vertical="center" wrapText="1"/>
    </xf>
    <xf numFmtId="168" fontId="41" fillId="13" borderId="0" xfId="2" applyNumberFormat="1" applyFont="1" applyFill="1"/>
    <xf numFmtId="168" fontId="3" fillId="0" borderId="16" xfId="2" applyNumberFormat="1" applyFont="1" applyFill="1" applyBorder="1" applyAlignment="1" applyProtection="1">
      <alignment horizontal="left" vertical="center"/>
    </xf>
    <xf numFmtId="168" fontId="5" fillId="0" borderId="16" xfId="2" applyNumberFormat="1" applyFont="1" applyFill="1" applyBorder="1" applyAlignment="1" applyProtection="1">
      <alignment horizontal="center"/>
    </xf>
    <xf numFmtId="168" fontId="3" fillId="6" borderId="32" xfId="2" applyNumberFormat="1" applyFont="1" applyFill="1" applyBorder="1" applyAlignment="1" applyProtection="1">
      <alignment horizontal="left" vertical="center"/>
    </xf>
    <xf numFmtId="168" fontId="5" fillId="6" borderId="32" xfId="2" applyNumberFormat="1" applyFont="1" applyFill="1" applyBorder="1" applyAlignment="1" applyProtection="1">
      <alignment horizontal="center"/>
    </xf>
    <xf numFmtId="168" fontId="5" fillId="6" borderId="0" xfId="2" applyNumberFormat="1" applyFont="1" applyFill="1" applyBorder="1"/>
    <xf numFmtId="168" fontId="41" fillId="6" borderId="0" xfId="2" applyNumberFormat="1" applyFont="1" applyFill="1" applyBorder="1"/>
    <xf numFmtId="168" fontId="5" fillId="6" borderId="0" xfId="2" applyNumberFormat="1" applyFont="1" applyFill="1" applyBorder="1" applyAlignment="1" applyProtection="1">
      <alignment horizontal="center"/>
      <protection locked="0"/>
    </xf>
    <xf numFmtId="0" fontId="35" fillId="0" borderId="6" xfId="0" applyFont="1" applyBorder="1" applyAlignment="1" applyProtection="1">
      <alignment horizontal="left"/>
      <protection locked="0"/>
    </xf>
    <xf numFmtId="0" fontId="4" fillId="0" borderId="6" xfId="0" applyFont="1" applyBorder="1" applyAlignment="1" applyProtection="1">
      <alignment horizontal="left"/>
      <protection locked="0"/>
    </xf>
    <xf numFmtId="0" fontId="5" fillId="6" borderId="0" xfId="0" applyFont="1" applyFill="1" applyAlignment="1" applyProtection="1">
      <alignment horizontal="center"/>
      <protection locked="0"/>
    </xf>
    <xf numFmtId="0" fontId="4" fillId="0" borderId="6" xfId="0" applyFont="1" applyBorder="1" applyAlignment="1">
      <alignment horizontal="left"/>
    </xf>
    <xf numFmtId="168" fontId="1" fillId="9" borderId="6" xfId="2" applyNumberFormat="1" applyFont="1" applyFill="1" applyBorder="1" applyProtection="1"/>
    <xf numFmtId="0" fontId="1" fillId="4" borderId="6" xfId="0" applyFont="1" applyFill="1" applyBorder="1"/>
    <xf numFmtId="168" fontId="1" fillId="0" borderId="6" xfId="2" applyNumberFormat="1" applyFont="1" applyBorder="1" applyProtection="1">
      <protection locked="0"/>
    </xf>
    <xf numFmtId="0" fontId="1" fillId="4" borderId="6" xfId="0" applyFont="1" applyFill="1" applyBorder="1" applyAlignment="1">
      <alignment wrapText="1"/>
    </xf>
    <xf numFmtId="0" fontId="1" fillId="4" borderId="6" xfId="6" applyFill="1" applyBorder="1"/>
    <xf numFmtId="0" fontId="1" fillId="9" borderId="6" xfId="6" applyFill="1" applyBorder="1"/>
    <xf numFmtId="0" fontId="1" fillId="13" borderId="6" xfId="6" applyFill="1" applyBorder="1"/>
    <xf numFmtId="0" fontId="7" fillId="7" borderId="6" xfId="0" applyFont="1" applyFill="1" applyBorder="1" applyAlignment="1">
      <alignment horizontal="left"/>
    </xf>
    <xf numFmtId="168" fontId="1" fillId="7" borderId="6" xfId="2" applyNumberFormat="1" applyFont="1" applyFill="1" applyBorder="1"/>
    <xf numFmtId="168" fontId="42" fillId="7" borderId="6" xfId="2" applyNumberFormat="1" applyFont="1" applyFill="1" applyBorder="1"/>
    <xf numFmtId="168" fontId="49" fillId="7" borderId="6" xfId="2" applyNumberFormat="1" applyFont="1" applyFill="1" applyBorder="1"/>
    <xf numFmtId="0" fontId="0" fillId="0" borderId="15" xfId="0" applyBorder="1"/>
    <xf numFmtId="0" fontId="51" fillId="10" borderId="6" xfId="0" applyFont="1" applyFill="1" applyBorder="1" applyAlignment="1">
      <alignment horizontal="left" vertical="top" wrapText="1"/>
    </xf>
    <xf numFmtId="0" fontId="58" fillId="17" borderId="6" xfId="0" applyFont="1" applyFill="1" applyBorder="1" applyAlignment="1">
      <alignment horizontal="center" vertical="top" wrapText="1"/>
    </xf>
    <xf numFmtId="0" fontId="5" fillId="6" borderId="0" xfId="0" applyFont="1" applyFill="1"/>
    <xf numFmtId="168" fontId="29" fillId="6" borderId="0" xfId="2" applyNumberFormat="1" applyFont="1" applyFill="1" applyBorder="1"/>
    <xf numFmtId="168" fontId="44" fillId="6" borderId="0" xfId="2" applyNumberFormat="1" applyFont="1" applyFill="1" applyBorder="1"/>
    <xf numFmtId="168" fontId="5" fillId="6" borderId="0" xfId="2" applyNumberFormat="1" applyFont="1" applyFill="1"/>
    <xf numFmtId="170" fontId="30" fillId="6" borderId="0" xfId="4" applyNumberFormat="1" applyFont="1" applyFill="1" applyBorder="1"/>
    <xf numFmtId="10" fontId="30" fillId="6" borderId="0" xfId="5" applyNumberFormat="1" applyFont="1" applyFill="1" applyBorder="1"/>
    <xf numFmtId="0" fontId="49" fillId="6" borderId="0" xfId="0" applyFont="1" applyFill="1" applyAlignment="1">
      <alignment horizontal="left"/>
    </xf>
    <xf numFmtId="0" fontId="28" fillId="6" borderId="0" xfId="0" applyFont="1" applyFill="1" applyAlignment="1">
      <alignment horizontal="left"/>
    </xf>
    <xf numFmtId="168" fontId="29" fillId="0" borderId="0" xfId="2" applyNumberFormat="1" applyFont="1" applyFill="1" applyBorder="1" applyProtection="1">
      <protection locked="0"/>
    </xf>
    <xf numFmtId="168" fontId="44" fillId="0" borderId="0" xfId="2" applyNumberFormat="1" applyFont="1" applyFill="1" applyBorder="1" applyProtection="1">
      <protection locked="0"/>
    </xf>
    <xf numFmtId="170" fontId="30" fillId="0" borderId="0" xfId="4" applyNumberFormat="1" applyFont="1" applyFill="1" applyBorder="1" applyProtection="1">
      <protection locked="0"/>
    </xf>
    <xf numFmtId="168" fontId="5" fillId="0" borderId="0" xfId="2" applyNumberFormat="1" applyFont="1" applyFill="1" applyProtection="1">
      <protection locked="0"/>
    </xf>
    <xf numFmtId="0" fontId="5" fillId="0" borderId="0" xfId="0" applyFont="1" applyProtection="1">
      <protection locked="0"/>
    </xf>
    <xf numFmtId="168" fontId="5" fillId="0" borderId="0" xfId="2" applyNumberFormat="1" applyFont="1" applyProtection="1">
      <protection locked="0"/>
    </xf>
    <xf numFmtId="168" fontId="41" fillId="0" borderId="0" xfId="2" applyNumberFormat="1" applyFont="1" applyProtection="1">
      <protection locked="0"/>
    </xf>
    <xf numFmtId="0" fontId="28" fillId="0" borderId="0" xfId="0" applyFont="1" applyAlignment="1" applyProtection="1">
      <alignment horizontal="left"/>
      <protection locked="0"/>
    </xf>
    <xf numFmtId="166" fontId="12" fillId="3" borderId="5" xfId="2" applyFont="1" applyFill="1" applyBorder="1" applyAlignment="1">
      <alignment horizontal="center" vertical="top" wrapText="1"/>
    </xf>
    <xf numFmtId="0" fontId="51" fillId="10" borderId="33" xfId="0" applyFont="1" applyFill="1" applyBorder="1" applyAlignment="1">
      <alignment horizontal="left" vertical="top" wrapText="1"/>
    </xf>
    <xf numFmtId="0" fontId="51" fillId="10" borderId="34" xfId="0" applyFont="1" applyFill="1" applyBorder="1" applyAlignment="1">
      <alignment horizontal="left" vertical="top" wrapText="1"/>
    </xf>
    <xf numFmtId="0" fontId="61" fillId="19" borderId="4" xfId="0" applyFont="1" applyFill="1" applyBorder="1" applyAlignment="1">
      <alignment horizontal="center" vertical="top" wrapText="1"/>
    </xf>
    <xf numFmtId="168" fontId="5" fillId="0" borderId="14" xfId="2" applyNumberFormat="1" applyFont="1" applyFill="1" applyBorder="1" applyProtection="1"/>
    <xf numFmtId="0" fontId="3" fillId="0" borderId="13" xfId="0" applyFont="1" applyBorder="1"/>
    <xf numFmtId="0" fontId="36" fillId="0" borderId="0" xfId="0" applyFont="1" applyAlignment="1">
      <alignment horizontal="left"/>
    </xf>
    <xf numFmtId="168" fontId="5" fillId="0" borderId="0" xfId="0" applyNumberFormat="1" applyFont="1"/>
    <xf numFmtId="168" fontId="64" fillId="2" borderId="6" xfId="2" applyNumberFormat="1" applyFont="1" applyFill="1" applyBorder="1" applyAlignment="1">
      <alignment horizontal="center"/>
    </xf>
    <xf numFmtId="168" fontId="65" fillId="2" borderId="6" xfId="2" applyNumberFormat="1" applyFont="1" applyFill="1" applyBorder="1" applyAlignment="1">
      <alignment horizontal="center"/>
    </xf>
    <xf numFmtId="168" fontId="50" fillId="0" borderId="0" xfId="2" applyNumberFormat="1" applyFont="1"/>
    <xf numFmtId="0" fontId="1" fillId="0" borderId="0" xfId="0" applyFont="1"/>
    <xf numFmtId="0" fontId="1" fillId="6" borderId="0" xfId="0" applyFont="1" applyFill="1" applyProtection="1">
      <protection hidden="1"/>
    </xf>
    <xf numFmtId="168" fontId="48" fillId="0" borderId="0" xfId="2" applyNumberFormat="1" applyFont="1" applyProtection="1">
      <protection locked="0"/>
    </xf>
    <xf numFmtId="168" fontId="45" fillId="0" borderId="15" xfId="2" applyNumberFormat="1" applyFont="1" applyFill="1" applyBorder="1" applyAlignment="1" applyProtection="1">
      <alignment horizontal="left"/>
      <protection locked="0"/>
    </xf>
    <xf numFmtId="0" fontId="35" fillId="0" borderId="24" xfId="0" applyFont="1" applyBorder="1" applyAlignment="1">
      <alignment horizontal="left" vertical="center" readingOrder="2"/>
    </xf>
    <xf numFmtId="0" fontId="4" fillId="0" borderId="24" xfId="0" applyFont="1" applyBorder="1" applyAlignment="1">
      <alignment horizontal="left" vertical="center" readingOrder="2"/>
    </xf>
    <xf numFmtId="0" fontId="63" fillId="0" borderId="0" xfId="0" applyFont="1" applyAlignment="1">
      <alignment horizontal="left" vertical="center" readingOrder="2"/>
    </xf>
    <xf numFmtId="0" fontId="67" fillId="0" borderId="0" xfId="0" applyFont="1" applyAlignment="1">
      <alignment horizontal="left" vertical="center" readingOrder="2"/>
    </xf>
    <xf numFmtId="168" fontId="1" fillId="0" borderId="6" xfId="2" applyNumberFormat="1" applyFont="1" applyBorder="1" applyAlignment="1" applyProtection="1">
      <alignment vertical="center"/>
      <protection locked="0"/>
    </xf>
    <xf numFmtId="168" fontId="48" fillId="0" borderId="0" xfId="2" applyNumberFormat="1" applyFont="1" applyAlignment="1" applyProtection="1">
      <alignment horizontal="left" wrapText="1"/>
      <protection locked="0"/>
    </xf>
    <xf numFmtId="168" fontId="41" fillId="6" borderId="0" xfId="2" applyNumberFormat="1" applyFont="1" applyFill="1"/>
    <xf numFmtId="168" fontId="46" fillId="0" borderId="0" xfId="2" applyNumberFormat="1" applyFont="1" applyAlignment="1" applyProtection="1">
      <alignment horizontal="left"/>
      <protection locked="0"/>
    </xf>
    <xf numFmtId="168" fontId="3" fillId="16" borderId="3" xfId="2" applyNumberFormat="1" applyFont="1" applyFill="1" applyBorder="1" applyAlignment="1" applyProtection="1">
      <alignment horizontal="center"/>
    </xf>
    <xf numFmtId="168" fontId="3" fillId="15" borderId="36" xfId="2" applyNumberFormat="1" applyFont="1" applyFill="1" applyBorder="1" applyAlignment="1" applyProtection="1">
      <alignment horizontal="left" vertical="center"/>
    </xf>
    <xf numFmtId="168" fontId="1" fillId="15" borderId="4" xfId="2" applyNumberFormat="1" applyFont="1" applyFill="1" applyBorder="1"/>
    <xf numFmtId="168" fontId="1" fillId="15" borderId="37" xfId="2" applyNumberFormat="1" applyFont="1" applyFill="1" applyBorder="1"/>
    <xf numFmtId="168" fontId="1" fillId="15" borderId="3" xfId="2" applyNumberFormat="1" applyFont="1" applyFill="1" applyBorder="1" applyAlignment="1" applyProtection="1">
      <alignment horizontal="center"/>
    </xf>
    <xf numFmtId="168" fontId="0" fillId="0" borderId="0" xfId="2" applyNumberFormat="1" applyFont="1"/>
    <xf numFmtId="168" fontId="3" fillId="0" borderId="0" xfId="2" applyNumberFormat="1" applyFont="1"/>
    <xf numFmtId="168" fontId="0" fillId="20" borderId="0" xfId="2" applyNumberFormat="1" applyFont="1" applyFill="1"/>
    <xf numFmtId="168" fontId="0" fillId="0" borderId="0" xfId="2" applyNumberFormat="1" applyFont="1" applyFill="1"/>
    <xf numFmtId="0" fontId="3" fillId="13" borderId="0" xfId="0" applyFont="1" applyFill="1"/>
    <xf numFmtId="168" fontId="2" fillId="9" borderId="17" xfId="2" applyNumberFormat="1" applyFont="1" applyFill="1" applyBorder="1" applyAlignment="1">
      <alignment horizontal="center" vertical="center" wrapText="1"/>
    </xf>
    <xf numFmtId="168" fontId="2" fillId="9" borderId="6" xfId="2" applyNumberFormat="1" applyFont="1" applyFill="1" applyBorder="1" applyAlignment="1">
      <alignment horizontal="center" vertical="center" wrapText="1"/>
    </xf>
    <xf numFmtId="168" fontId="5" fillId="4" borderId="22" xfId="2" applyNumberFormat="1" applyFont="1" applyFill="1" applyBorder="1" applyAlignment="1" applyProtection="1">
      <alignment horizontal="center" vertical="center"/>
      <protection hidden="1"/>
    </xf>
    <xf numFmtId="168" fontId="5" fillId="4" borderId="17" xfId="2" applyNumberFormat="1" applyFont="1" applyFill="1" applyBorder="1" applyAlignment="1" applyProtection="1">
      <alignment horizontal="center" vertical="center"/>
      <protection hidden="1"/>
    </xf>
    <xf numFmtId="168" fontId="60" fillId="0" borderId="0" xfId="2" applyNumberFormat="1" applyFont="1" applyAlignment="1" applyProtection="1">
      <alignment horizontal="left" wrapText="1"/>
      <protection hidden="1"/>
    </xf>
    <xf numFmtId="168" fontId="22" fillId="0" borderId="0" xfId="2" applyNumberFormat="1" applyFont="1" applyAlignment="1" applyProtection="1">
      <alignment horizontal="center" vertical="center" wrapText="1"/>
      <protection hidden="1"/>
    </xf>
    <xf numFmtId="0" fontId="1" fillId="4" borderId="16" xfId="0" applyFont="1" applyFill="1" applyBorder="1" applyAlignment="1">
      <alignment horizontal="left" vertical="center"/>
    </xf>
    <xf numFmtId="0" fontId="1" fillId="4" borderId="17" xfId="0" applyFont="1" applyFill="1" applyBorder="1" applyAlignment="1">
      <alignment horizontal="left" vertical="center"/>
    </xf>
    <xf numFmtId="168" fontId="1" fillId="0" borderId="16" xfId="2" applyNumberFormat="1" applyFont="1" applyBorder="1" applyAlignment="1" applyProtection="1">
      <alignment horizontal="right" vertical="center"/>
      <protection locked="0"/>
    </xf>
    <xf numFmtId="168" fontId="1" fillId="0" borderId="17" xfId="2" applyNumberFormat="1" applyFont="1" applyBorder="1" applyAlignment="1" applyProtection="1">
      <alignment horizontal="right" vertical="center"/>
      <protection locked="0"/>
    </xf>
    <xf numFmtId="168" fontId="2" fillId="9" borderId="16" xfId="2" applyNumberFormat="1" applyFont="1" applyFill="1" applyBorder="1" applyAlignment="1">
      <alignment horizontal="center" vertical="center" wrapText="1"/>
    </xf>
    <xf numFmtId="168" fontId="57" fillId="13" borderId="9" xfId="2" applyNumberFormat="1" applyFont="1" applyFill="1" applyBorder="1" applyAlignment="1">
      <alignment horizontal="center"/>
    </xf>
    <xf numFmtId="168" fontId="57" fillId="13" borderId="11" xfId="2" applyNumberFormat="1" applyFont="1" applyFill="1" applyBorder="1" applyAlignment="1">
      <alignment horizontal="center"/>
    </xf>
    <xf numFmtId="168" fontId="5" fillId="4" borderId="16" xfId="2" applyNumberFormat="1" applyFont="1" applyFill="1" applyBorder="1" applyAlignment="1">
      <alignment horizontal="center"/>
    </xf>
    <xf numFmtId="168" fontId="5" fillId="4" borderId="17" xfId="2" applyNumberFormat="1" applyFont="1" applyFill="1" applyBorder="1" applyAlignment="1">
      <alignment horizontal="center"/>
    </xf>
    <xf numFmtId="168" fontId="66" fillId="0" borderId="24" xfId="2" applyNumberFormat="1" applyFont="1" applyBorder="1" applyAlignment="1">
      <alignment horizontal="left"/>
    </xf>
    <xf numFmtId="168" fontId="66" fillId="0" borderId="0" xfId="2" applyNumberFormat="1" applyFont="1" applyAlignment="1">
      <alignment horizontal="left"/>
    </xf>
    <xf numFmtId="168" fontId="3" fillId="16" borderId="35" xfId="2" applyNumberFormat="1" applyFont="1" applyFill="1" applyBorder="1" applyAlignment="1">
      <alignment horizontal="center"/>
    </xf>
    <xf numFmtId="168" fontId="3" fillId="16" borderId="5" xfId="2" applyNumberFormat="1" applyFont="1" applyFill="1" applyBorder="1" applyAlignment="1">
      <alignment horizontal="center"/>
    </xf>
    <xf numFmtId="168" fontId="3" fillId="16" borderId="38" xfId="2" applyNumberFormat="1" applyFont="1" applyFill="1" applyBorder="1" applyAlignment="1">
      <alignment horizontal="center"/>
    </xf>
    <xf numFmtId="0" fontId="59" fillId="0" borderId="0" xfId="0" applyFont="1" applyAlignment="1" applyProtection="1">
      <alignment horizontal="left"/>
      <protection hidden="1"/>
    </xf>
    <xf numFmtId="168" fontId="48" fillId="0" borderId="0" xfId="2" applyNumberFormat="1" applyFont="1" applyAlignment="1" applyProtection="1">
      <alignment horizontal="left" wrapText="1"/>
      <protection locked="0"/>
    </xf>
    <xf numFmtId="168" fontId="3" fillId="0" borderId="16" xfId="2" applyNumberFormat="1" applyFont="1" applyFill="1" applyBorder="1" applyAlignment="1" applyProtection="1">
      <alignment horizontal="center"/>
    </xf>
    <xf numFmtId="168" fontId="3" fillId="0" borderId="22" xfId="2" applyNumberFormat="1" applyFont="1" applyFill="1" applyBorder="1" applyAlignment="1" applyProtection="1">
      <alignment horizontal="center"/>
    </xf>
    <xf numFmtId="168" fontId="3" fillId="0" borderId="17" xfId="2" applyNumberFormat="1" applyFont="1" applyFill="1" applyBorder="1" applyAlignment="1" applyProtection="1">
      <alignment horizontal="center"/>
    </xf>
    <xf numFmtId="168" fontId="3" fillId="0" borderId="13" xfId="2" applyNumberFormat="1" applyFont="1" applyFill="1" applyBorder="1" applyAlignment="1" applyProtection="1">
      <alignment horizontal="center"/>
    </xf>
    <xf numFmtId="168" fontId="3" fillId="0" borderId="15" xfId="2" applyNumberFormat="1" applyFont="1" applyFill="1" applyBorder="1" applyAlignment="1" applyProtection="1">
      <alignment horizontal="center"/>
    </xf>
    <xf numFmtId="0" fontId="14" fillId="14" borderId="0" xfId="0" applyFont="1" applyFill="1" applyAlignment="1">
      <alignment horizontal="center"/>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5" borderId="27" xfId="0" applyFont="1" applyFill="1" applyBorder="1" applyAlignment="1">
      <alignment horizontal="center" vertical="center" wrapText="1"/>
    </xf>
    <xf numFmtId="0" fontId="6" fillId="5" borderId="28" xfId="0" applyFont="1" applyFill="1" applyBorder="1" applyAlignment="1">
      <alignment horizontal="center" vertical="center" wrapText="1"/>
    </xf>
    <xf numFmtId="0" fontId="61" fillId="19" borderId="13" xfId="0" applyFont="1" applyFill="1" applyBorder="1" applyAlignment="1">
      <alignment horizontal="center" vertical="center" wrapText="1"/>
    </xf>
    <xf numFmtId="0" fontId="61" fillId="19" borderId="15" xfId="0" applyFont="1" applyFill="1" applyBorder="1" applyAlignment="1">
      <alignment horizontal="center" vertical="center" wrapText="1"/>
    </xf>
    <xf numFmtId="0" fontId="62" fillId="19" borderId="29" xfId="0" applyFont="1" applyFill="1" applyBorder="1" applyAlignment="1">
      <alignment horizontal="left"/>
    </xf>
    <xf numFmtId="0" fontId="62" fillId="19" borderId="30" xfId="0" applyFont="1" applyFill="1" applyBorder="1" applyAlignment="1">
      <alignment horizontal="left"/>
    </xf>
    <xf numFmtId="0" fontId="62" fillId="19" borderId="20" xfId="0" applyFont="1" applyFill="1" applyBorder="1" applyAlignment="1">
      <alignment horizontal="left"/>
    </xf>
    <xf numFmtId="0" fontId="61" fillId="19" borderId="16" xfId="0" applyFont="1" applyFill="1" applyBorder="1" applyAlignment="1">
      <alignment horizontal="center" vertical="center" wrapText="1"/>
    </xf>
    <xf numFmtId="0" fontId="61" fillId="19" borderId="31" xfId="0" applyFont="1" applyFill="1" applyBorder="1" applyAlignment="1">
      <alignment horizontal="center" vertical="center" wrapText="1"/>
    </xf>
    <xf numFmtId="0" fontId="61" fillId="19" borderId="16" xfId="0" applyFont="1" applyFill="1" applyBorder="1" applyAlignment="1">
      <alignment horizontal="center" vertical="top" wrapText="1"/>
    </xf>
    <xf numFmtId="0" fontId="61" fillId="19" borderId="31" xfId="0" applyFont="1" applyFill="1" applyBorder="1" applyAlignment="1">
      <alignment horizontal="center" vertical="top" wrapText="1"/>
    </xf>
    <xf numFmtId="0" fontId="6" fillId="5" borderId="24" xfId="0" applyFont="1" applyFill="1" applyBorder="1" applyAlignment="1">
      <alignment horizontal="center" vertical="center" wrapText="1"/>
    </xf>
    <xf numFmtId="0" fontId="13" fillId="18" borderId="29" xfId="0" applyFont="1" applyFill="1" applyBorder="1" applyAlignment="1">
      <alignment horizontal="left"/>
    </xf>
    <xf numFmtId="0" fontId="13" fillId="18" borderId="30" xfId="0" applyFont="1" applyFill="1" applyBorder="1" applyAlignment="1">
      <alignment horizontal="left"/>
    </xf>
    <xf numFmtId="0" fontId="13" fillId="18" borderId="20" xfId="0" applyFont="1" applyFill="1" applyBorder="1" applyAlignment="1">
      <alignment horizontal="left"/>
    </xf>
    <xf numFmtId="0" fontId="58" fillId="17" borderId="6" xfId="0" applyFont="1" applyFill="1" applyBorder="1" applyAlignment="1">
      <alignment horizontal="center" vertical="center" wrapText="1"/>
    </xf>
    <xf numFmtId="0" fontId="58" fillId="17" borderId="6" xfId="0" applyFont="1" applyFill="1" applyBorder="1" applyAlignment="1">
      <alignment horizontal="center" vertical="top" wrapText="1"/>
    </xf>
    <xf numFmtId="0" fontId="6" fillId="5" borderId="0" xfId="0" applyFont="1" applyFill="1" applyAlignment="1">
      <alignment horizontal="center" vertical="center" wrapText="1"/>
    </xf>
  </cellXfs>
  <cellStyles count="7">
    <cellStyle name="Hipervínculo" xfId="1" builtinId="8"/>
    <cellStyle name="Millares" xfId="2" builtinId="3"/>
    <cellStyle name="Millares [0]" xfId="3" builtinId="6"/>
    <cellStyle name="Moneda" xfId="4" builtinId="4"/>
    <cellStyle name="Normal" xfId="0" builtinId="0"/>
    <cellStyle name="Normal 2" xfId="6" xr:uid="{6DDE4528-FFB3-4D92-9923-B811CE40FD4A}"/>
    <cellStyle name="Porcentaje"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hyperlink" Target="#PROC1!A7"/><Relationship Id="rId3" Type="http://schemas.openxmlformats.org/officeDocument/2006/relationships/image" Target="../media/image2.png"/><Relationship Id="rId7" Type="http://schemas.openxmlformats.org/officeDocument/2006/relationships/image" Target="../media/image4.gif"/><Relationship Id="rId2" Type="http://schemas.openxmlformats.org/officeDocument/2006/relationships/image" Target="../media/image1.gif"/><Relationship Id="rId1" Type="http://schemas.openxmlformats.org/officeDocument/2006/relationships/hyperlink" Target="#PRINT1!A1"/><Relationship Id="rId6" Type="http://schemas.openxmlformats.org/officeDocument/2006/relationships/hyperlink" Target="https://www.consultorcontable.com/aporte-voluntario/" TargetMode="External"/><Relationship Id="rId5" Type="http://schemas.openxmlformats.org/officeDocument/2006/relationships/image" Target="../media/image3.png"/><Relationship Id="rId4" Type="http://schemas.openxmlformats.org/officeDocument/2006/relationships/hyperlink" Target="https://www.consultorcontable.com/herramientas/"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PROC1!A7"/></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PROC1!A7"/></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PROC1!A7"/></Relationships>
</file>

<file path=xl/drawings/drawing1.xml><?xml version="1.0" encoding="utf-8"?>
<xdr:wsDr xmlns:xdr="http://schemas.openxmlformats.org/drawingml/2006/spreadsheetDrawing" xmlns:a="http://schemas.openxmlformats.org/drawingml/2006/main">
  <xdr:twoCellAnchor>
    <xdr:from>
      <xdr:col>3</xdr:col>
      <xdr:colOff>1297305</xdr:colOff>
      <xdr:row>1</xdr:row>
      <xdr:rowOff>26670</xdr:rowOff>
    </xdr:from>
    <xdr:to>
      <xdr:col>3</xdr:col>
      <xdr:colOff>3492501</xdr:colOff>
      <xdr:row>4</xdr:row>
      <xdr:rowOff>200025</xdr:rowOff>
    </xdr:to>
    <xdr:sp macro="" textlink="">
      <xdr:nvSpPr>
        <xdr:cNvPr id="6" name="5 CuadroTexto">
          <a:extLst>
            <a:ext uri="{FF2B5EF4-FFF2-40B4-BE49-F238E27FC236}">
              <a16:creationId xmlns:a16="http://schemas.microsoft.com/office/drawing/2014/main" id="{00000000-0008-0000-0000-000006000000}"/>
            </a:ext>
          </a:extLst>
        </xdr:cNvPr>
        <xdr:cNvSpPr txBox="1"/>
      </xdr:nvSpPr>
      <xdr:spPr>
        <a:xfrm>
          <a:off x="1791194" y="90170"/>
          <a:ext cx="2195196" cy="5684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CO" sz="1400">
              <a:latin typeface="Arial" panose="020B0604020202020204" pitchFamily="34" charset="0"/>
              <a:cs typeface="Arial" panose="020B0604020202020204" pitchFamily="34" charset="0"/>
            </a:rPr>
            <a:t>Retefuente para asalariados-</a:t>
          </a:r>
          <a:r>
            <a:rPr lang="es-CO" sz="1400" baseline="0">
              <a:latin typeface="Arial" panose="020B0604020202020204" pitchFamily="34" charset="0"/>
              <a:cs typeface="Arial" panose="020B0604020202020204" pitchFamily="34" charset="0"/>
            </a:rPr>
            <a:t> Art. 385 ET</a:t>
          </a:r>
          <a:endParaRPr lang="es-CO" sz="1400">
            <a:latin typeface="Arial" panose="020B0604020202020204" pitchFamily="34" charset="0"/>
            <a:cs typeface="Arial" panose="020B0604020202020204" pitchFamily="34" charset="0"/>
          </a:endParaRPr>
        </a:p>
      </xdr:txBody>
    </xdr:sp>
    <xdr:clientData/>
  </xdr:twoCellAnchor>
  <xdr:twoCellAnchor>
    <xdr:from>
      <xdr:col>3</xdr:col>
      <xdr:colOff>4103511</xdr:colOff>
      <xdr:row>1</xdr:row>
      <xdr:rowOff>36104</xdr:rowOff>
    </xdr:from>
    <xdr:to>
      <xdr:col>3</xdr:col>
      <xdr:colOff>4798835</xdr:colOff>
      <xdr:row>4</xdr:row>
      <xdr:rowOff>224014</xdr:rowOff>
    </xdr:to>
    <xdr:grpSp>
      <xdr:nvGrpSpPr>
        <xdr:cNvPr id="5" name="Grupo 4">
          <a:hlinkClick xmlns:r="http://schemas.openxmlformats.org/officeDocument/2006/relationships" r:id="rId1" tooltip="Ir a vista prar impresión"/>
          <a:extLst>
            <a:ext uri="{FF2B5EF4-FFF2-40B4-BE49-F238E27FC236}">
              <a16:creationId xmlns:a16="http://schemas.microsoft.com/office/drawing/2014/main" id="{00000000-0008-0000-0000-000005000000}"/>
            </a:ext>
          </a:extLst>
        </xdr:cNvPr>
        <xdr:cNvGrpSpPr/>
      </xdr:nvGrpSpPr>
      <xdr:grpSpPr>
        <a:xfrm>
          <a:off x="4579761" y="105799"/>
          <a:ext cx="695324" cy="582849"/>
          <a:chOff x="1009650" y="114068"/>
          <a:chExt cx="695324" cy="590782"/>
        </a:xfrm>
      </xdr:grpSpPr>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3000" y="114068"/>
            <a:ext cx="438150" cy="422120"/>
          </a:xfrm>
          <a:prstGeom prst="rect">
            <a:avLst/>
          </a:prstGeom>
        </xdr:spPr>
      </xdr:pic>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1009650" y="295276"/>
            <a:ext cx="695324"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900"/>
              <a:t>Vista</a:t>
            </a:r>
            <a:br>
              <a:rPr lang="es-MX" sz="900"/>
            </a:br>
            <a:r>
              <a:rPr lang="es-MX" sz="900"/>
              <a:t> Impresión</a:t>
            </a:r>
          </a:p>
        </xdr:txBody>
      </xdr:sp>
    </xdr:grpSp>
    <xdr:clientData/>
  </xdr:twoCellAnchor>
  <xdr:twoCellAnchor editAs="oneCell">
    <xdr:from>
      <xdr:col>1</xdr:col>
      <xdr:colOff>38099</xdr:colOff>
      <xdr:row>1</xdr:row>
      <xdr:rowOff>38101</xdr:rowOff>
    </xdr:from>
    <xdr:to>
      <xdr:col>3</xdr:col>
      <xdr:colOff>1251229</xdr:colOff>
      <xdr:row>4</xdr:row>
      <xdr:rowOff>200025</xdr:rowOff>
    </xdr:to>
    <xdr:pic>
      <xdr:nvPicPr>
        <xdr:cNvPr id="10" name="Imagen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2874" y="104776"/>
          <a:ext cx="1584605" cy="561974"/>
        </a:xfrm>
        <a:prstGeom prst="rect">
          <a:avLst/>
        </a:prstGeom>
      </xdr:spPr>
    </xdr:pic>
    <xdr:clientData/>
  </xdr:twoCellAnchor>
  <xdr:twoCellAnchor>
    <xdr:from>
      <xdr:col>8</xdr:col>
      <xdr:colOff>303388</xdr:colOff>
      <xdr:row>1</xdr:row>
      <xdr:rowOff>14112</xdr:rowOff>
    </xdr:from>
    <xdr:to>
      <xdr:col>9</xdr:col>
      <xdr:colOff>490668</xdr:colOff>
      <xdr:row>4</xdr:row>
      <xdr:rowOff>187481</xdr:rowOff>
    </xdr:to>
    <xdr:grpSp>
      <xdr:nvGrpSpPr>
        <xdr:cNvPr id="9" name="Grupo 8">
          <a:hlinkClick xmlns:r="http://schemas.openxmlformats.org/officeDocument/2006/relationships" r:id="rId4"/>
          <a:extLst>
            <a:ext uri="{FF2B5EF4-FFF2-40B4-BE49-F238E27FC236}">
              <a16:creationId xmlns:a16="http://schemas.microsoft.com/office/drawing/2014/main" id="{CB963CE0-B71E-448D-A4D9-DB2E26B82678}"/>
            </a:ext>
          </a:extLst>
        </xdr:cNvPr>
        <xdr:cNvGrpSpPr/>
      </xdr:nvGrpSpPr>
      <xdr:grpSpPr>
        <a:xfrm>
          <a:off x="9340522" y="83807"/>
          <a:ext cx="1616030" cy="568308"/>
          <a:chOff x="3048000" y="2209800"/>
          <a:chExt cx="1683058" cy="568480"/>
        </a:xfrm>
      </xdr:grpSpPr>
      <xdr:sp macro="" textlink="">
        <xdr:nvSpPr>
          <xdr:cNvPr id="11" name="Rectángulo: esquinas redondeadas 10">
            <a:extLst>
              <a:ext uri="{FF2B5EF4-FFF2-40B4-BE49-F238E27FC236}">
                <a16:creationId xmlns:a16="http://schemas.microsoft.com/office/drawing/2014/main" id="{52BEBD2B-4BCC-4F27-B465-CC4CA7FA20C0}"/>
              </a:ext>
            </a:extLst>
          </xdr:cNvPr>
          <xdr:cNvSpPr/>
        </xdr:nvSpPr>
        <xdr:spPr>
          <a:xfrm>
            <a:off x="3048000" y="2209800"/>
            <a:ext cx="1658398" cy="568480"/>
          </a:xfrm>
          <a:prstGeom prst="roundRect">
            <a:avLst>
              <a:gd name="adj" fmla="val 1373"/>
            </a:avLst>
          </a:prstGeom>
          <a:ln w="3175"/>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CO" sz="1100"/>
          </a:p>
        </xdr:txBody>
      </xdr:sp>
      <xdr:pic>
        <xdr:nvPicPr>
          <xdr:cNvPr id="12" name="Imagen 11">
            <a:extLst>
              <a:ext uri="{FF2B5EF4-FFF2-40B4-BE49-F238E27FC236}">
                <a16:creationId xmlns:a16="http://schemas.microsoft.com/office/drawing/2014/main" id="{218C24F3-808E-412D-A466-C1E5338FC3A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091156" y="2243240"/>
            <a:ext cx="484727" cy="525843"/>
          </a:xfrm>
          <a:prstGeom prst="rect">
            <a:avLst/>
          </a:prstGeom>
        </xdr:spPr>
      </xdr:pic>
      <xdr:sp macro="" textlink="">
        <xdr:nvSpPr>
          <xdr:cNvPr id="13" name="CuadroTexto 12">
            <a:extLst>
              <a:ext uri="{FF2B5EF4-FFF2-40B4-BE49-F238E27FC236}">
                <a16:creationId xmlns:a16="http://schemas.microsoft.com/office/drawing/2014/main" id="{277CAAF7-E986-4591-AE45-EF823F5A2624}"/>
              </a:ext>
            </a:extLst>
          </xdr:cNvPr>
          <xdr:cNvSpPr txBox="1"/>
        </xdr:nvSpPr>
        <xdr:spPr>
          <a:xfrm>
            <a:off x="3584359" y="2229864"/>
            <a:ext cx="1146699" cy="321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Descargue otras</a:t>
            </a:r>
          </a:p>
        </xdr:txBody>
      </xdr:sp>
      <xdr:sp macro="" textlink="">
        <xdr:nvSpPr>
          <xdr:cNvPr id="14" name="CuadroTexto 13">
            <a:extLst>
              <a:ext uri="{FF2B5EF4-FFF2-40B4-BE49-F238E27FC236}">
                <a16:creationId xmlns:a16="http://schemas.microsoft.com/office/drawing/2014/main" id="{BF359A91-7E13-406B-9800-F21DD9C30634}"/>
              </a:ext>
            </a:extLst>
          </xdr:cNvPr>
          <xdr:cNvSpPr txBox="1"/>
        </xdr:nvSpPr>
        <xdr:spPr>
          <a:xfrm>
            <a:off x="3601129" y="2428631"/>
            <a:ext cx="967912" cy="321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Herramientas</a:t>
            </a:r>
          </a:p>
        </xdr:txBody>
      </xdr:sp>
    </xdr:grpSp>
    <xdr:clientData/>
  </xdr:twoCellAnchor>
  <xdr:twoCellAnchor editAs="oneCell">
    <xdr:from>
      <xdr:col>9</xdr:col>
      <xdr:colOff>519108</xdr:colOff>
      <xdr:row>1</xdr:row>
      <xdr:rowOff>14110</xdr:rowOff>
    </xdr:from>
    <xdr:to>
      <xdr:col>10</xdr:col>
      <xdr:colOff>1262942</xdr:colOff>
      <xdr:row>4</xdr:row>
      <xdr:rowOff>203787</xdr:rowOff>
    </xdr:to>
    <xdr:grpSp>
      <xdr:nvGrpSpPr>
        <xdr:cNvPr id="2" name="Grupo 1">
          <a:hlinkClick xmlns:r="http://schemas.openxmlformats.org/officeDocument/2006/relationships" r:id="rId6"/>
          <a:extLst>
            <a:ext uri="{FF2B5EF4-FFF2-40B4-BE49-F238E27FC236}">
              <a16:creationId xmlns:a16="http://schemas.microsoft.com/office/drawing/2014/main" id="{64CDF3E2-8D33-4A3C-856F-F84DAF490A56}"/>
            </a:ext>
          </a:extLst>
        </xdr:cNvPr>
        <xdr:cNvGrpSpPr/>
      </xdr:nvGrpSpPr>
      <xdr:grpSpPr>
        <a:xfrm>
          <a:off x="10984992" y="83805"/>
          <a:ext cx="1615023" cy="584616"/>
          <a:chOff x="6981288" y="3287542"/>
          <a:chExt cx="1654001" cy="575764"/>
        </a:xfrm>
      </xdr:grpSpPr>
      <xdr:sp macro="" textlink="">
        <xdr:nvSpPr>
          <xdr:cNvPr id="7" name="Rectángulo: esquinas redondeadas 6">
            <a:extLst>
              <a:ext uri="{FF2B5EF4-FFF2-40B4-BE49-F238E27FC236}">
                <a16:creationId xmlns:a16="http://schemas.microsoft.com/office/drawing/2014/main" id="{612DDF15-D515-98AA-F888-B380CCEA759D}"/>
              </a:ext>
            </a:extLst>
          </xdr:cNvPr>
          <xdr:cNvSpPr/>
        </xdr:nvSpPr>
        <xdr:spPr>
          <a:xfrm>
            <a:off x="6981288" y="3287542"/>
            <a:ext cx="1654001" cy="575764"/>
          </a:xfrm>
          <a:prstGeom prst="roundRect">
            <a:avLst>
              <a:gd name="adj" fmla="val 1373"/>
            </a:avLst>
          </a:prstGeom>
          <a:ln w="3175"/>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CO" sz="1100"/>
          </a:p>
        </xdr:txBody>
      </xdr:sp>
      <xdr:sp macro="" textlink="">
        <xdr:nvSpPr>
          <xdr:cNvPr id="8" name="CuadroTexto 7">
            <a:extLst>
              <a:ext uri="{FF2B5EF4-FFF2-40B4-BE49-F238E27FC236}">
                <a16:creationId xmlns:a16="http://schemas.microsoft.com/office/drawing/2014/main" id="{DF7BB1CA-5D6C-3AB4-4870-B406C1B24C20}"/>
              </a:ext>
            </a:extLst>
          </xdr:cNvPr>
          <xdr:cNvSpPr txBox="1"/>
        </xdr:nvSpPr>
        <xdr:spPr>
          <a:xfrm>
            <a:off x="7462663" y="3307863"/>
            <a:ext cx="1162050" cy="533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50"/>
              <a:t>Realice</a:t>
            </a:r>
            <a:r>
              <a:rPr lang="es-CO" sz="1050" baseline="0"/>
              <a:t> un aporte </a:t>
            </a:r>
            <a:r>
              <a:rPr lang="es-CO" sz="1050" b="1" baseline="0">
                <a:solidFill>
                  <a:srgbClr val="FFC000"/>
                </a:solidFill>
              </a:rPr>
              <a:t>voluntario</a:t>
            </a:r>
            <a:endParaRPr lang="es-CO" sz="1050" b="1">
              <a:solidFill>
                <a:srgbClr val="FFC000"/>
              </a:solidFill>
            </a:endParaRPr>
          </a:p>
        </xdr:txBody>
      </xdr:sp>
      <xdr:pic>
        <xdr:nvPicPr>
          <xdr:cNvPr id="15" name="Imagen 14">
            <a:extLst>
              <a:ext uri="{FF2B5EF4-FFF2-40B4-BE49-F238E27FC236}">
                <a16:creationId xmlns:a16="http://schemas.microsoft.com/office/drawing/2014/main" id="{6B57AA0C-4355-5E45-09CF-3E477C34179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00545" y="3321049"/>
            <a:ext cx="527101" cy="514747"/>
          </a:xfrm>
          <a:prstGeom prst="rect">
            <a:avLst/>
          </a:prstGeom>
        </xdr:spPr>
      </xdr:pic>
    </xdr:grpSp>
    <xdr:clientData/>
  </xdr:twoCellAnchor>
  <xdr:twoCellAnchor>
    <xdr:from>
      <xdr:col>5</xdr:col>
      <xdr:colOff>1804331</xdr:colOff>
      <xdr:row>3</xdr:row>
      <xdr:rowOff>23232</xdr:rowOff>
    </xdr:from>
    <xdr:to>
      <xdr:col>5</xdr:col>
      <xdr:colOff>2183781</xdr:colOff>
      <xdr:row>4</xdr:row>
      <xdr:rowOff>154879</xdr:rowOff>
    </xdr:to>
    <xdr:sp macro="" textlink="">
      <xdr:nvSpPr>
        <xdr:cNvPr id="16" name="Flecha: cheurón 15">
          <a:hlinkClick xmlns:r="http://schemas.openxmlformats.org/officeDocument/2006/relationships" r:id="rId8" tooltip="Ir arriba"/>
          <a:extLst>
            <a:ext uri="{FF2B5EF4-FFF2-40B4-BE49-F238E27FC236}">
              <a16:creationId xmlns:a16="http://schemas.microsoft.com/office/drawing/2014/main" id="{959D497B-5193-4367-94F3-389ACCAC98B4}"/>
            </a:ext>
          </a:extLst>
        </xdr:cNvPr>
        <xdr:cNvSpPr/>
      </xdr:nvSpPr>
      <xdr:spPr>
        <a:xfrm rot="16200000">
          <a:off x="9079726" y="313629"/>
          <a:ext cx="216830" cy="379450"/>
        </a:xfrm>
        <a:prstGeom prst="chevron">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76200</xdr:colOff>
      <xdr:row>1</xdr:row>
      <xdr:rowOff>85725</xdr:rowOff>
    </xdr:from>
    <xdr:to>
      <xdr:col>3</xdr:col>
      <xdr:colOff>12502</xdr:colOff>
      <xdr:row>3</xdr:row>
      <xdr:rowOff>77561</xdr:rowOff>
    </xdr:to>
    <xdr:pic>
      <xdr:nvPicPr>
        <xdr:cNvPr id="10" name="Imagen 9" descr="Imagen relacionada">
          <a:hlinkClick xmlns:r="http://schemas.openxmlformats.org/officeDocument/2006/relationships" r:id="rId1" tooltip="Retornar"/>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800000">
          <a:off x="76200" y="152400"/>
          <a:ext cx="412552" cy="306161"/>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41413</xdr:colOff>
      <xdr:row>1</xdr:row>
      <xdr:rowOff>99391</xdr:rowOff>
    </xdr:from>
    <xdr:to>
      <xdr:col>1</xdr:col>
      <xdr:colOff>453965</xdr:colOff>
      <xdr:row>3</xdr:row>
      <xdr:rowOff>57683</xdr:rowOff>
    </xdr:to>
    <xdr:pic>
      <xdr:nvPicPr>
        <xdr:cNvPr id="3" name="Imagen 2" descr="Imagen relacionada">
          <a:hlinkClick xmlns:r="http://schemas.openxmlformats.org/officeDocument/2006/relationships" r:id="rId1" tooltip="Retornar"/>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800000">
          <a:off x="99391" y="165652"/>
          <a:ext cx="412552" cy="306161"/>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74543</xdr:colOff>
      <xdr:row>1</xdr:row>
      <xdr:rowOff>132521</xdr:rowOff>
    </xdr:from>
    <xdr:to>
      <xdr:col>1</xdr:col>
      <xdr:colOff>487095</xdr:colOff>
      <xdr:row>3</xdr:row>
      <xdr:rowOff>90813</xdr:rowOff>
    </xdr:to>
    <xdr:pic>
      <xdr:nvPicPr>
        <xdr:cNvPr id="3" name="Imagen 2" descr="Imagen relacionada">
          <a:hlinkClick xmlns:r="http://schemas.openxmlformats.org/officeDocument/2006/relationships" r:id="rId1" tooltip="Retornar"/>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800000">
          <a:off x="132521" y="198782"/>
          <a:ext cx="412552" cy="306161"/>
        </a:xfrm>
        <a:prstGeom prst="rect">
          <a:avLst/>
        </a:prstGeom>
        <a:noFill/>
        <a:extLst>
          <a:ext uri="{909E8E84-426E-40DD-AFC4-6F175D3DCCD1}">
            <a14:hiddenFill xmlns:a14="http://schemas.microsoft.com/office/drawing/2010/main">
              <a:solidFill>
                <a:srgbClr val="FFFFFF"/>
              </a:solidFill>
            </a14:hiddenFill>
          </a:ext>
        </a:extLst>
      </xdr:spPr>
    </xdr:pic>
    <xdr:clientData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consultorcontable.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N277"/>
  <sheetViews>
    <sheetView showGridLines="0" tabSelected="1" defaultGridColor="0" colorId="23" zoomScale="82" zoomScaleNormal="82" workbookViewId="0">
      <pane ySplit="6" topLeftCell="A7" activePane="bottomLeft" state="frozen"/>
      <selection pane="bottomLeft" activeCell="E52" sqref="E52:E53"/>
    </sheetView>
  </sheetViews>
  <sheetFormatPr baseColWidth="10" defaultColWidth="0" defaultRowHeight="12.75" outlineLevelCol="1" x14ac:dyDescent="0.2"/>
  <cols>
    <col min="1" max="1" width="1.5703125" style="25" customWidth="1"/>
    <col min="2" max="2" width="4" style="25" customWidth="1"/>
    <col min="3" max="3" width="1.5703125" style="25" customWidth="1"/>
    <col min="4" max="4" width="76.5703125" style="25" customWidth="1"/>
    <col min="5" max="5" width="19.42578125" style="30" customWidth="1"/>
    <col min="6" max="6" width="32.28515625" style="30" customWidth="1" outlineLevel="1"/>
    <col min="7" max="7" width="15.5703125" style="31" hidden="1" customWidth="1" outlineLevel="1"/>
    <col min="8" max="8" width="16.140625" style="31" hidden="1" customWidth="1" outlineLevel="1"/>
    <col min="9" max="9" width="21.42578125" style="30" customWidth="1"/>
    <col min="10" max="10" width="13" style="30" bestFit="1" customWidth="1"/>
    <col min="11" max="11" width="20.140625" style="30" customWidth="1"/>
    <col min="12" max="13" width="11.42578125" style="30" hidden="1" customWidth="1"/>
    <col min="14" max="14" width="11.42578125" style="25" hidden="1" customWidth="1"/>
    <col min="15" max="16384" width="0" style="25" hidden="1"/>
  </cols>
  <sheetData>
    <row r="1" spans="1:14" ht="5.25" customHeight="1" x14ac:dyDescent="0.2"/>
    <row r="2" spans="1:14" ht="8.25" customHeight="1" x14ac:dyDescent="0.25">
      <c r="B2" s="143"/>
      <c r="C2" s="143"/>
      <c r="D2" s="143"/>
      <c r="E2" s="144"/>
      <c r="F2" s="144"/>
      <c r="G2" s="145"/>
      <c r="H2" s="145"/>
      <c r="I2" s="144"/>
      <c r="J2" s="146"/>
      <c r="K2" s="146"/>
      <c r="L2" s="32"/>
      <c r="M2" s="32"/>
      <c r="N2" s="32"/>
    </row>
    <row r="3" spans="1:14" ht="16.5" customHeight="1" x14ac:dyDescent="0.3">
      <c r="B3" s="143"/>
      <c r="C3" s="143"/>
      <c r="D3" s="147"/>
      <c r="E3" s="152" t="s">
        <v>96</v>
      </c>
      <c r="F3" s="146"/>
      <c r="G3" s="148"/>
      <c r="H3" s="148"/>
      <c r="I3" s="146"/>
      <c r="J3" s="146"/>
      <c r="K3" s="146"/>
      <c r="L3" s="32"/>
      <c r="M3" s="32"/>
      <c r="N3" s="32"/>
    </row>
    <row r="4" spans="1:14" ht="6.75" customHeight="1" x14ac:dyDescent="0.3">
      <c r="B4" s="143"/>
      <c r="C4" s="143"/>
      <c r="D4" s="147"/>
      <c r="E4" s="153"/>
      <c r="F4" s="149"/>
      <c r="G4" s="150"/>
      <c r="H4" s="150"/>
      <c r="I4" s="149"/>
      <c r="J4" s="146"/>
      <c r="K4" s="146"/>
      <c r="L4" s="32"/>
      <c r="M4" s="32"/>
      <c r="N4" s="32"/>
    </row>
    <row r="5" spans="1:14" ht="18" x14ac:dyDescent="0.25">
      <c r="B5" s="143"/>
      <c r="C5" s="143"/>
      <c r="D5" s="151"/>
      <c r="E5" s="154" t="str">
        <f>+B8</f>
        <v>Procedimiento No. 1</v>
      </c>
      <c r="F5" s="146"/>
      <c r="G5" s="148"/>
      <c r="H5" s="148"/>
      <c r="I5" s="146"/>
      <c r="J5" s="146"/>
      <c r="K5" s="146"/>
      <c r="L5" s="32"/>
      <c r="M5" s="32"/>
      <c r="N5" s="32"/>
    </row>
    <row r="6" spans="1:14" ht="6" customHeight="1" x14ac:dyDescent="0.25">
      <c r="B6" s="130"/>
      <c r="C6" s="130"/>
      <c r="D6" s="130"/>
      <c r="E6" s="134"/>
      <c r="F6" s="131"/>
      <c r="G6" s="132"/>
      <c r="H6" s="132"/>
      <c r="I6" s="131"/>
      <c r="J6" s="133"/>
      <c r="K6" s="133"/>
      <c r="L6" s="32"/>
      <c r="M6" s="32"/>
      <c r="N6" s="32"/>
    </row>
    <row r="8" spans="1:14" ht="18" x14ac:dyDescent="0.25">
      <c r="B8" s="141" t="s">
        <v>8</v>
      </c>
      <c r="C8" s="142"/>
      <c r="D8" s="142"/>
      <c r="E8" s="25"/>
      <c r="F8" s="33"/>
      <c r="I8" s="34" t="s">
        <v>4</v>
      </c>
      <c r="K8" s="255"/>
      <c r="L8" s="255"/>
      <c r="M8" s="255"/>
      <c r="N8" s="255"/>
    </row>
    <row r="9" spans="1:14" ht="15" customHeight="1" x14ac:dyDescent="0.2">
      <c r="E9" s="25"/>
      <c r="F9" s="33"/>
      <c r="I9" s="35"/>
      <c r="K9" s="255"/>
      <c r="L9" s="255"/>
      <c r="M9" s="255"/>
      <c r="N9" s="255"/>
    </row>
    <row r="10" spans="1:14" ht="13.5" thickBot="1" x14ac:dyDescent="0.25">
      <c r="D10" s="90"/>
      <c r="K10" s="255"/>
      <c r="L10" s="255"/>
      <c r="M10" s="255"/>
      <c r="N10" s="255"/>
    </row>
    <row r="11" spans="1:14" ht="15.75" thickBot="1" x14ac:dyDescent="0.3">
      <c r="D11" s="183" t="s">
        <v>114</v>
      </c>
      <c r="F11" s="240" t="s">
        <v>12</v>
      </c>
      <c r="I11" s="36" t="s">
        <v>97</v>
      </c>
      <c r="K11" s="255"/>
      <c r="L11" s="255"/>
      <c r="M11" s="255"/>
      <c r="N11" s="255"/>
    </row>
    <row r="12" spans="1:14" ht="15" thickBot="1" x14ac:dyDescent="0.25">
      <c r="D12" s="184" t="s">
        <v>121</v>
      </c>
      <c r="I12" s="33" t="str">
        <f>LEFT(I11,5)</f>
        <v>Enero</v>
      </c>
      <c r="K12" s="255"/>
      <c r="L12" s="255"/>
      <c r="M12" s="255"/>
      <c r="N12" s="255"/>
    </row>
    <row r="13" spans="1:14" ht="15" thickBot="1" x14ac:dyDescent="0.25">
      <c r="D13" s="184" t="s">
        <v>122</v>
      </c>
      <c r="F13" s="267" t="s">
        <v>83</v>
      </c>
      <c r="G13" s="268"/>
      <c r="H13" s="268"/>
      <c r="I13" s="269"/>
      <c r="K13" s="255"/>
      <c r="L13" s="255"/>
      <c r="M13" s="255"/>
      <c r="N13" s="255"/>
    </row>
    <row r="14" spans="1:14" ht="13.5" thickBot="1" x14ac:dyDescent="0.25">
      <c r="A14" s="37"/>
      <c r="D14" s="185"/>
      <c r="F14" s="241" t="s">
        <v>109</v>
      </c>
      <c r="G14" s="242"/>
      <c r="H14" s="243"/>
      <c r="I14" s="244">
        <v>42412</v>
      </c>
    </row>
    <row r="15" spans="1:14" ht="15" x14ac:dyDescent="0.25">
      <c r="D15" s="270" t="str">
        <f ca="1">IF(D101=1,"Visite www.consultorcontable.com y descargue la versión para el año actual","")</f>
        <v/>
      </c>
      <c r="E15" s="270"/>
      <c r="F15" s="180"/>
      <c r="G15" s="181"/>
      <c r="H15" s="181"/>
      <c r="I15" s="182"/>
    </row>
    <row r="16" spans="1:14" ht="13.5" thickBot="1" x14ac:dyDescent="0.25"/>
    <row r="17" spans="2:12" ht="15.75" thickBot="1" x14ac:dyDescent="0.3">
      <c r="B17" s="155"/>
      <c r="C17" s="156"/>
      <c r="D17" s="157" t="s">
        <v>13</v>
      </c>
      <c r="E17" s="158" t="s">
        <v>9</v>
      </c>
      <c r="F17" s="159" t="s">
        <v>10</v>
      </c>
      <c r="G17" s="261" t="s">
        <v>42</v>
      </c>
      <c r="H17" s="262"/>
      <c r="I17" s="159" t="s">
        <v>11</v>
      </c>
    </row>
    <row r="18" spans="2:12" ht="13.5" thickBot="1" x14ac:dyDescent="0.25">
      <c r="D18" s="1"/>
      <c r="E18" s="39"/>
      <c r="F18" s="39"/>
      <c r="G18" s="40"/>
      <c r="H18" s="40"/>
      <c r="I18" s="39"/>
      <c r="L18" s="30" t="s">
        <v>33</v>
      </c>
    </row>
    <row r="19" spans="2:12" ht="14.25" customHeight="1" thickBot="1" x14ac:dyDescent="0.3">
      <c r="B19" s="41">
        <v>1</v>
      </c>
      <c r="C19" s="21"/>
      <c r="D19" s="85" t="s">
        <v>50</v>
      </c>
    </row>
    <row r="20" spans="2:12" ht="12.75" customHeight="1" x14ac:dyDescent="0.2">
      <c r="D20" s="42" t="s">
        <v>24</v>
      </c>
      <c r="E20" s="38">
        <v>6000000</v>
      </c>
      <c r="F20" s="162"/>
      <c r="G20" s="165"/>
      <c r="H20" s="165"/>
      <c r="I20" s="43">
        <f>+E20</f>
        <v>6000000</v>
      </c>
    </row>
    <row r="21" spans="2:12" ht="12.75" customHeight="1" x14ac:dyDescent="0.2">
      <c r="D21" s="42" t="s">
        <v>25</v>
      </c>
      <c r="E21" s="38">
        <v>0</v>
      </c>
      <c r="F21" s="162"/>
      <c r="G21" s="165"/>
      <c r="H21" s="165"/>
      <c r="I21" s="43">
        <f t="shared" ref="I21:I37" si="0">+E21</f>
        <v>0</v>
      </c>
    </row>
    <row r="22" spans="2:12" ht="12.75" customHeight="1" x14ac:dyDescent="0.2">
      <c r="D22" s="42" t="s">
        <v>26</v>
      </c>
      <c r="E22" s="38">
        <v>0</v>
      </c>
      <c r="F22" s="162"/>
      <c r="G22" s="165"/>
      <c r="H22" s="165"/>
      <c r="I22" s="43">
        <f t="shared" si="0"/>
        <v>0</v>
      </c>
    </row>
    <row r="23" spans="2:12" ht="12.75" customHeight="1" x14ac:dyDescent="0.2">
      <c r="D23" s="42" t="s">
        <v>27</v>
      </c>
      <c r="E23" s="38">
        <v>0</v>
      </c>
      <c r="F23" s="162"/>
      <c r="G23" s="165"/>
      <c r="H23" s="165"/>
      <c r="I23" s="43">
        <f t="shared" si="0"/>
        <v>0</v>
      </c>
    </row>
    <row r="24" spans="2:12" ht="12.75" customHeight="1" x14ac:dyDescent="0.2">
      <c r="D24" s="42" t="s">
        <v>28</v>
      </c>
      <c r="E24" s="38">
        <v>0</v>
      </c>
      <c r="F24" s="162"/>
      <c r="G24" s="165"/>
      <c r="H24" s="165"/>
      <c r="I24" s="43">
        <f t="shared" si="0"/>
        <v>0</v>
      </c>
    </row>
    <row r="25" spans="2:12" ht="12.75" customHeight="1" x14ac:dyDescent="0.2">
      <c r="D25" s="42" t="s">
        <v>40</v>
      </c>
      <c r="E25" s="38"/>
      <c r="F25" s="162"/>
      <c r="G25" s="165"/>
      <c r="H25" s="165"/>
      <c r="I25" s="43">
        <f t="shared" si="0"/>
        <v>0</v>
      </c>
    </row>
    <row r="26" spans="2:12" ht="12.75" customHeight="1" x14ac:dyDescent="0.2">
      <c r="D26" s="42" t="s">
        <v>29</v>
      </c>
      <c r="E26" s="38">
        <v>0</v>
      </c>
      <c r="F26" s="162"/>
      <c r="G26" s="165"/>
      <c r="H26" s="165"/>
      <c r="I26" s="43">
        <f t="shared" si="0"/>
        <v>0</v>
      </c>
    </row>
    <row r="27" spans="2:12" hidden="1" x14ac:dyDescent="0.2">
      <c r="D27" s="171"/>
      <c r="E27" s="38">
        <v>0</v>
      </c>
      <c r="F27" s="162"/>
      <c r="G27" s="165"/>
      <c r="H27" s="165"/>
      <c r="I27" s="43">
        <f t="shared" si="0"/>
        <v>0</v>
      </c>
    </row>
    <row r="28" spans="2:12" ht="12.75" customHeight="1" x14ac:dyDescent="0.2">
      <c r="D28" s="42" t="s">
        <v>41</v>
      </c>
      <c r="E28" s="38"/>
      <c r="F28" s="162"/>
      <c r="G28" s="165"/>
      <c r="H28" s="165"/>
      <c r="I28" s="43">
        <f t="shared" si="0"/>
        <v>0</v>
      </c>
    </row>
    <row r="29" spans="2:12" ht="12.75" customHeight="1" x14ac:dyDescent="0.2">
      <c r="D29" s="42" t="s">
        <v>39</v>
      </c>
      <c r="E29" s="38">
        <v>0</v>
      </c>
      <c r="F29" s="162"/>
      <c r="G29" s="165"/>
      <c r="H29" s="165"/>
      <c r="I29" s="43">
        <f t="shared" si="0"/>
        <v>0</v>
      </c>
    </row>
    <row r="30" spans="2:12" ht="12.75" customHeight="1" x14ac:dyDescent="0.2">
      <c r="D30" s="42" t="s">
        <v>30</v>
      </c>
      <c r="E30" s="38">
        <v>0</v>
      </c>
      <c r="F30" s="162"/>
      <c r="G30" s="165"/>
      <c r="H30" s="165"/>
      <c r="I30" s="43">
        <f t="shared" si="0"/>
        <v>0</v>
      </c>
    </row>
    <row r="31" spans="2:12" ht="12.75" customHeight="1" x14ac:dyDescent="0.2">
      <c r="D31" s="42" t="s">
        <v>54</v>
      </c>
      <c r="E31" s="38">
        <v>0</v>
      </c>
      <c r="F31" s="162"/>
      <c r="G31" s="165"/>
      <c r="H31" s="165"/>
      <c r="I31" s="43">
        <f t="shared" si="0"/>
        <v>0</v>
      </c>
    </row>
    <row r="32" spans="2:12" ht="12.75" customHeight="1" x14ac:dyDescent="0.2">
      <c r="D32" s="42" t="s">
        <v>62</v>
      </c>
      <c r="E32" s="187"/>
      <c r="F32" s="162" t="s">
        <v>33</v>
      </c>
      <c r="G32" s="165"/>
      <c r="H32" s="165"/>
      <c r="I32" s="187"/>
    </row>
    <row r="33" spans="2:11" ht="12.75" customHeight="1" x14ac:dyDescent="0.2">
      <c r="D33" s="42" t="s">
        <v>63</v>
      </c>
      <c r="E33" s="187"/>
      <c r="F33" s="162" t="s">
        <v>33</v>
      </c>
      <c r="G33" s="165"/>
      <c r="H33" s="165"/>
      <c r="I33" s="187"/>
    </row>
    <row r="34" spans="2:11" ht="12.75" customHeight="1" x14ac:dyDescent="0.2">
      <c r="D34" s="61" t="s">
        <v>91</v>
      </c>
      <c r="E34" s="38">
        <v>0</v>
      </c>
      <c r="F34" s="162"/>
      <c r="G34" s="165"/>
      <c r="H34" s="165"/>
      <c r="I34" s="43">
        <f t="shared" si="0"/>
        <v>0</v>
      </c>
    </row>
    <row r="35" spans="2:11" ht="12.75" customHeight="1" x14ac:dyDescent="0.2">
      <c r="D35" s="42" t="s">
        <v>31</v>
      </c>
      <c r="E35" s="38">
        <v>0</v>
      </c>
      <c r="F35" s="162"/>
      <c r="G35" s="165"/>
      <c r="H35" s="165"/>
      <c r="I35" s="43">
        <f t="shared" si="0"/>
        <v>0</v>
      </c>
    </row>
    <row r="36" spans="2:11" ht="12.75" customHeight="1" x14ac:dyDescent="0.2">
      <c r="D36" s="42" t="s">
        <v>32</v>
      </c>
      <c r="E36" s="38">
        <v>0</v>
      </c>
      <c r="F36" s="162"/>
      <c r="G36" s="165"/>
      <c r="H36" s="165"/>
      <c r="I36" s="43">
        <f t="shared" si="0"/>
        <v>0</v>
      </c>
    </row>
    <row r="37" spans="2:11" ht="12.75" customHeight="1" x14ac:dyDescent="0.2">
      <c r="B37" s="44"/>
      <c r="D37" s="42" t="s">
        <v>57</v>
      </c>
      <c r="E37" s="38">
        <v>0</v>
      </c>
      <c r="F37" s="162"/>
      <c r="G37" s="165"/>
      <c r="H37" s="165"/>
      <c r="I37" s="43">
        <f t="shared" si="0"/>
        <v>0</v>
      </c>
    </row>
    <row r="38" spans="2:11" ht="12.75" customHeight="1" x14ac:dyDescent="0.2">
      <c r="B38" s="44"/>
      <c r="D38" s="45" t="s">
        <v>89</v>
      </c>
      <c r="E38" s="46">
        <f>SUM(E20:E37)-E34</f>
        <v>6000000</v>
      </c>
      <c r="F38" s="47"/>
      <c r="G38" s="48"/>
      <c r="H38" s="48"/>
      <c r="I38" s="46">
        <f>SUM(I20:I37)-I34</f>
        <v>6000000</v>
      </c>
    </row>
    <row r="39" spans="2:11" ht="13.5" thickBot="1" x14ac:dyDescent="0.25">
      <c r="B39" s="44"/>
      <c r="F39" s="49"/>
      <c r="G39" s="50"/>
      <c r="H39" s="50"/>
      <c r="I39" s="30" t="s">
        <v>33</v>
      </c>
    </row>
    <row r="40" spans="2:11" ht="14.25" customHeight="1" thickBot="1" x14ac:dyDescent="0.25">
      <c r="B40" s="41">
        <v>2</v>
      </c>
      <c r="D40" s="57" t="s">
        <v>64</v>
      </c>
    </row>
    <row r="41" spans="2:11" ht="14.25" customHeight="1" x14ac:dyDescent="0.2">
      <c r="B41" s="58"/>
      <c r="D41" s="42" t="s">
        <v>58</v>
      </c>
      <c r="E41" s="38">
        <v>240000</v>
      </c>
      <c r="F41" s="160" t="s">
        <v>59</v>
      </c>
      <c r="G41" s="166"/>
      <c r="H41" s="166">
        <f>+E41</f>
        <v>240000</v>
      </c>
      <c r="I41" s="43">
        <f>+H41</f>
        <v>240000</v>
      </c>
      <c r="J41" s="31"/>
      <c r="K41"/>
    </row>
    <row r="42" spans="2:11" ht="14.25" customHeight="1" x14ac:dyDescent="0.2">
      <c r="B42" s="58"/>
      <c r="D42" s="42" t="s">
        <v>51</v>
      </c>
      <c r="E42" s="38">
        <v>60000</v>
      </c>
      <c r="F42" s="160" t="s">
        <v>59</v>
      </c>
      <c r="G42" s="167"/>
      <c r="H42" s="167">
        <f>+E42</f>
        <v>60000</v>
      </c>
      <c r="I42" s="43">
        <f>+H42</f>
        <v>60000</v>
      </c>
      <c r="J42" s="31"/>
    </row>
    <row r="43" spans="2:11" ht="14.25" customHeight="1" x14ac:dyDescent="0.2">
      <c r="B43" s="58"/>
      <c r="D43" s="83" t="s">
        <v>71</v>
      </c>
      <c r="E43" s="38">
        <v>0</v>
      </c>
      <c r="F43" s="160" t="s">
        <v>70</v>
      </c>
      <c r="G43" s="167">
        <f>I38*25%</f>
        <v>1500000</v>
      </c>
      <c r="H43" s="167">
        <f>2500/J43*I14</f>
        <v>8835833.333333334</v>
      </c>
      <c r="I43" s="43">
        <f>IF(E43&lt;K43,E43,K43)</f>
        <v>0</v>
      </c>
      <c r="J43" s="38">
        <v>12</v>
      </c>
      <c r="K43" s="33">
        <f>MIN(G43,H43)</f>
        <v>1500000</v>
      </c>
    </row>
    <row r="44" spans="2:11" ht="14.25" customHeight="1" x14ac:dyDescent="0.2">
      <c r="B44" s="58"/>
      <c r="D44" s="122" t="s">
        <v>75</v>
      </c>
      <c r="E44" s="38">
        <f>E38*4%</f>
        <v>240000</v>
      </c>
      <c r="F44" s="160" t="s">
        <v>59</v>
      </c>
      <c r="G44" s="167"/>
      <c r="H44" s="167">
        <f>+E44</f>
        <v>240000</v>
      </c>
      <c r="I44" s="43">
        <f>+E44</f>
        <v>240000</v>
      </c>
      <c r="J44" s="31"/>
      <c r="K44" s="59"/>
    </row>
    <row r="45" spans="2:11" x14ac:dyDescent="0.2">
      <c r="B45" s="44"/>
      <c r="D45" s="61" t="s">
        <v>65</v>
      </c>
      <c r="E45" s="46">
        <f>SUM(E41:E44)</f>
        <v>540000</v>
      </c>
      <c r="F45" s="161"/>
      <c r="G45" s="168"/>
      <c r="H45" s="168"/>
      <c r="I45" s="46">
        <f>SUM(I41:I44)</f>
        <v>540000</v>
      </c>
    </row>
    <row r="46" spans="2:11" x14ac:dyDescent="0.2">
      <c r="B46" s="44"/>
    </row>
    <row r="47" spans="2:11" x14ac:dyDescent="0.2">
      <c r="B47" s="44"/>
      <c r="D47" s="51" t="s">
        <v>14</v>
      </c>
      <c r="E47" s="52"/>
      <c r="F47" s="53"/>
      <c r="G47" s="54"/>
      <c r="H47" s="54"/>
      <c r="I47" s="55">
        <f>+I38-I45</f>
        <v>5460000</v>
      </c>
    </row>
    <row r="48" spans="2:11" ht="13.5" thickBot="1" x14ac:dyDescent="0.25">
      <c r="B48" s="44"/>
      <c r="H48" s="31" t="s">
        <v>33</v>
      </c>
      <c r="I48" s="62"/>
    </row>
    <row r="49" spans="2:14" ht="16.5" thickBot="1" x14ac:dyDescent="0.25">
      <c r="B49" s="41">
        <v>3</v>
      </c>
      <c r="D49" s="82" t="s">
        <v>48</v>
      </c>
      <c r="H49" s="31" t="s">
        <v>33</v>
      </c>
    </row>
    <row r="50" spans="2:14" ht="16.5" customHeight="1" x14ac:dyDescent="0.2">
      <c r="B50" s="44"/>
      <c r="D50" s="188" t="s">
        <v>55</v>
      </c>
      <c r="E50" s="189"/>
      <c r="F50" s="160" t="s">
        <v>111</v>
      </c>
      <c r="G50" s="167">
        <f>100*I14</f>
        <v>4241200</v>
      </c>
      <c r="H50" s="169"/>
      <c r="I50" s="43">
        <f>+IF((E50&gt;G50),G50,E50)</f>
        <v>0</v>
      </c>
    </row>
    <row r="51" spans="2:14" ht="28.15" customHeight="1" x14ac:dyDescent="0.2">
      <c r="B51" s="44"/>
      <c r="D51" s="190" t="s">
        <v>56</v>
      </c>
      <c r="E51" s="189"/>
      <c r="F51" s="160" t="s">
        <v>7</v>
      </c>
      <c r="G51" s="167">
        <f>16*I14</f>
        <v>678592</v>
      </c>
      <c r="H51" s="169"/>
      <c r="I51" s="43">
        <f>+IF(E51&lt;(16*I14),E51,(16*I14))</f>
        <v>0</v>
      </c>
    </row>
    <row r="52" spans="2:14" ht="12" customHeight="1" x14ac:dyDescent="0.2">
      <c r="B52" s="44"/>
      <c r="D52" s="256" t="s">
        <v>84</v>
      </c>
      <c r="E52" s="258"/>
      <c r="F52" s="260" t="s">
        <v>76</v>
      </c>
      <c r="G52" s="167">
        <f>I38*0.1</f>
        <v>600000</v>
      </c>
      <c r="H52" s="170"/>
      <c r="I52" s="263">
        <f>IF(E52="SI",MIN(G52:G53),0)</f>
        <v>0</v>
      </c>
      <c r="J52" s="265" t="str">
        <f>IF(AND(E52="",I38&gt;3000000),"&lt;&lt;Revise si tiene dependientes","")</f>
        <v>&lt;&lt;Revise si tiene dependientes</v>
      </c>
      <c r="K52" s="266"/>
      <c r="L52" s="266"/>
      <c r="M52" s="266"/>
      <c r="N52" s="266"/>
    </row>
    <row r="53" spans="2:14" ht="10.5" customHeight="1" x14ac:dyDescent="0.2">
      <c r="B53" s="44"/>
      <c r="D53" s="257"/>
      <c r="E53" s="259"/>
      <c r="F53" s="250"/>
      <c r="G53" s="170">
        <f>32*I14</f>
        <v>1357184</v>
      </c>
      <c r="H53" s="170"/>
      <c r="I53" s="264"/>
      <c r="J53" s="265"/>
      <c r="K53" s="266"/>
      <c r="L53" s="266"/>
      <c r="M53" s="266"/>
      <c r="N53" s="266"/>
    </row>
    <row r="54" spans="2:14" x14ac:dyDescent="0.2">
      <c r="B54" s="44"/>
      <c r="D54" s="61" t="s">
        <v>15</v>
      </c>
      <c r="E54" s="46">
        <f>SUM(E50:E53)</f>
        <v>0</v>
      </c>
      <c r="F54" s="161"/>
      <c r="G54" s="168"/>
      <c r="H54" s="168"/>
      <c r="I54" s="46">
        <f>SUM(I50:I53)</f>
        <v>0</v>
      </c>
      <c r="K54" s="30" t="s">
        <v>33</v>
      </c>
    </row>
    <row r="55" spans="2:14" ht="13.5" thickBot="1" x14ac:dyDescent="0.25">
      <c r="B55" s="44"/>
      <c r="D55" s="44"/>
      <c r="E55" s="44"/>
      <c r="F55" s="44"/>
      <c r="G55" s="44"/>
      <c r="H55" s="44"/>
      <c r="I55" s="44"/>
    </row>
    <row r="56" spans="2:14" ht="16.5" thickBot="1" x14ac:dyDescent="0.25">
      <c r="B56" s="41">
        <v>4</v>
      </c>
      <c r="D56" s="82" t="s">
        <v>47</v>
      </c>
      <c r="E56" s="44"/>
      <c r="F56" s="139"/>
      <c r="G56" s="139"/>
      <c r="H56" s="139"/>
      <c r="I56" s="139"/>
    </row>
    <row r="57" spans="2:14" hidden="1" x14ac:dyDescent="0.2">
      <c r="B57" s="44"/>
      <c r="D57" s="171"/>
      <c r="E57" s="173">
        <f>+E27</f>
        <v>0</v>
      </c>
      <c r="F57" s="250" t="s">
        <v>72</v>
      </c>
      <c r="G57" s="174"/>
      <c r="H57" s="175"/>
      <c r="I57" s="252">
        <f>+IF(H58&lt;G58,H58,G58)</f>
        <v>0</v>
      </c>
    </row>
    <row r="58" spans="2:14" x14ac:dyDescent="0.2">
      <c r="B58" s="44"/>
      <c r="D58" s="191" t="s">
        <v>49</v>
      </c>
      <c r="E58" s="189">
        <v>0</v>
      </c>
      <c r="F58" s="251"/>
      <c r="G58" s="172">
        <f>IF((E58+E59)&lt;(I38*30%),(+E58+E59),(I38*30%))</f>
        <v>0</v>
      </c>
      <c r="H58" s="166">
        <f>+I14*(3800/J58)</f>
        <v>13430466.666666668</v>
      </c>
      <c r="I58" s="252"/>
      <c r="J58" s="236">
        <v>12</v>
      </c>
    </row>
    <row r="59" spans="2:14" x14ac:dyDescent="0.2">
      <c r="B59" s="44"/>
      <c r="D59" s="192" t="s">
        <v>87</v>
      </c>
      <c r="E59" s="189">
        <v>0</v>
      </c>
      <c r="F59" s="251"/>
      <c r="G59" s="167"/>
      <c r="H59" s="170"/>
      <c r="I59" s="253"/>
    </row>
    <row r="60" spans="2:14" hidden="1" x14ac:dyDescent="0.2">
      <c r="D60" s="193"/>
      <c r="E60" s="189"/>
      <c r="F60" s="160"/>
      <c r="G60" s="167"/>
      <c r="H60" s="167"/>
      <c r="I60" s="60">
        <f t="shared" ref="I60:I65" si="1">+E60</f>
        <v>0</v>
      </c>
    </row>
    <row r="61" spans="2:14" x14ac:dyDescent="0.2">
      <c r="D61" s="191" t="s">
        <v>67</v>
      </c>
      <c r="E61" s="189">
        <v>0</v>
      </c>
      <c r="F61" s="160"/>
      <c r="G61" s="167"/>
      <c r="H61" s="167"/>
      <c r="I61" s="60">
        <f t="shared" si="1"/>
        <v>0</v>
      </c>
    </row>
    <row r="62" spans="2:14" ht="12.75" hidden="1" customHeight="1" x14ac:dyDescent="0.2">
      <c r="D62" s="193"/>
      <c r="E62" s="189"/>
      <c r="F62" s="160"/>
      <c r="G62" s="167"/>
      <c r="H62" s="167"/>
      <c r="I62" s="60">
        <f t="shared" si="1"/>
        <v>0</v>
      </c>
    </row>
    <row r="63" spans="2:14" x14ac:dyDescent="0.2">
      <c r="B63" s="44"/>
      <c r="D63" s="191" t="s">
        <v>73</v>
      </c>
      <c r="E63" s="189">
        <v>0</v>
      </c>
      <c r="F63" s="160"/>
      <c r="G63" s="167"/>
      <c r="H63" s="167"/>
      <c r="I63" s="60">
        <f t="shared" si="1"/>
        <v>0</v>
      </c>
    </row>
    <row r="64" spans="2:14" x14ac:dyDescent="0.2">
      <c r="B64" s="44"/>
      <c r="D64" s="191" t="s">
        <v>68</v>
      </c>
      <c r="E64" s="189">
        <v>0</v>
      </c>
      <c r="F64" s="160"/>
      <c r="G64" s="167"/>
      <c r="H64" s="167"/>
      <c r="I64" s="60">
        <f t="shared" si="1"/>
        <v>0</v>
      </c>
      <c r="K64" s="59"/>
    </row>
    <row r="65" spans="2:12" x14ac:dyDescent="0.2">
      <c r="B65" s="44"/>
      <c r="D65" s="191" t="s">
        <v>74</v>
      </c>
      <c r="E65" s="189">
        <v>0</v>
      </c>
      <c r="F65" s="160"/>
      <c r="G65" s="167"/>
      <c r="H65" s="167"/>
      <c r="I65" s="60">
        <f t="shared" si="1"/>
        <v>0</v>
      </c>
    </row>
    <row r="66" spans="2:12" x14ac:dyDescent="0.2">
      <c r="B66" s="44"/>
      <c r="D66" s="61" t="s">
        <v>60</v>
      </c>
      <c r="E66" s="46">
        <f>SUM(E57:E65)</f>
        <v>0</v>
      </c>
      <c r="F66" s="161"/>
      <c r="G66" s="168"/>
      <c r="H66" s="168"/>
      <c r="I66" s="46">
        <f>SUM(I57:I65)</f>
        <v>0</v>
      </c>
      <c r="K66" s="214"/>
    </row>
    <row r="67" spans="2:12" x14ac:dyDescent="0.2">
      <c r="B67" s="44"/>
      <c r="I67" s="62"/>
      <c r="J67" s="214"/>
      <c r="K67" s="214"/>
    </row>
    <row r="68" spans="2:12" x14ac:dyDescent="0.2">
      <c r="B68" s="44"/>
      <c r="D68" s="51" t="s">
        <v>92</v>
      </c>
      <c r="E68" s="52"/>
      <c r="F68" s="52"/>
      <c r="G68" s="63"/>
      <c r="H68" s="54"/>
      <c r="I68" s="64">
        <f>+I47-I54-I66</f>
        <v>5460000</v>
      </c>
      <c r="J68" s="214"/>
      <c r="K68" s="214"/>
    </row>
    <row r="69" spans="2:12" x14ac:dyDescent="0.2">
      <c r="B69" s="44"/>
      <c r="D69" s="65" t="s">
        <v>66</v>
      </c>
      <c r="E69" s="65"/>
      <c r="F69" s="65"/>
      <c r="G69" s="66"/>
      <c r="H69" s="66"/>
      <c r="I69" s="55">
        <f>I34</f>
        <v>0</v>
      </c>
      <c r="J69" s="214"/>
      <c r="K69" s="214"/>
    </row>
    <row r="70" spans="2:12" x14ac:dyDescent="0.2">
      <c r="B70" s="44"/>
      <c r="D70" s="51" t="s">
        <v>92</v>
      </c>
      <c r="E70" s="52"/>
      <c r="F70" s="52"/>
      <c r="G70" s="63"/>
      <c r="H70" s="54"/>
      <c r="I70" s="55">
        <f>+I68</f>
        <v>5460000</v>
      </c>
      <c r="J70" s="271" t="str">
        <f>IF(I12="Enero","",IF(E72=0,"Digite el valor acumulado de esta renta exenta de meses anteriores de este año. Celda E72",""))</f>
        <v/>
      </c>
      <c r="K70" s="271"/>
    </row>
    <row r="71" spans="2:12" ht="13.5" thickBot="1" x14ac:dyDescent="0.25">
      <c r="B71" s="44"/>
      <c r="E71" s="227" t="s">
        <v>112</v>
      </c>
      <c r="G71" s="31" t="s">
        <v>61</v>
      </c>
      <c r="I71" s="62"/>
      <c r="J71" s="271"/>
      <c r="K71" s="271"/>
    </row>
    <row r="72" spans="2:12" ht="16.5" thickBot="1" x14ac:dyDescent="0.25">
      <c r="B72" s="41">
        <v>5</v>
      </c>
      <c r="D72" s="67" t="s">
        <v>115</v>
      </c>
      <c r="E72" s="231"/>
      <c r="F72" s="226" t="s">
        <v>110</v>
      </c>
      <c r="G72" s="225">
        <f>+I70</f>
        <v>5460000</v>
      </c>
      <c r="H72" s="225">
        <f>+I70*0.25</f>
        <v>1365000</v>
      </c>
      <c r="I72" s="68">
        <f>IF(H72&lt;G73,H72,G73)</f>
        <v>1365000</v>
      </c>
      <c r="J72" s="38">
        <v>12</v>
      </c>
      <c r="K72" s="239" t="str">
        <f>IF(E72&gt;D73,"Ya usó el tope de 790 UVT año","")</f>
        <v/>
      </c>
    </row>
    <row r="73" spans="2:12" hidden="1" x14ac:dyDescent="0.2">
      <c r="B73" s="44"/>
      <c r="D73" s="238">
        <f>790*I14</f>
        <v>33505480</v>
      </c>
      <c r="E73" s="238">
        <f>790/J72*I14</f>
        <v>2792123.333333333</v>
      </c>
      <c r="F73" s="238">
        <f>IF(E73&lt;D73-E72,E73,D73-E72)</f>
        <v>2792123.333333333</v>
      </c>
      <c r="G73" s="31">
        <f>IF(F73&lt;0,0,F73)</f>
        <v>2792123.333333333</v>
      </c>
      <c r="J73" s="237"/>
      <c r="K73" s="237"/>
    </row>
    <row r="74" spans="2:12" x14ac:dyDescent="0.2">
      <c r="B74" s="44"/>
      <c r="E74" s="224"/>
      <c r="J74" s="214"/>
      <c r="K74" s="214"/>
    </row>
    <row r="75" spans="2:12" x14ac:dyDescent="0.2">
      <c r="B75" s="44"/>
      <c r="D75" s="194" t="s">
        <v>113</v>
      </c>
      <c r="E75" s="195"/>
      <c r="F75" s="196">
        <f>+I47*0.4</f>
        <v>2184000</v>
      </c>
      <c r="G75" s="196">
        <f>IFERROR(1340*I14/J75,0)</f>
        <v>4736006.666666667</v>
      </c>
      <c r="H75" s="196">
        <f>+I72+I66+I54</f>
        <v>1365000</v>
      </c>
      <c r="I75" s="197">
        <f>MIN(F75:H75)</f>
        <v>1365000</v>
      </c>
      <c r="J75" s="38">
        <v>12</v>
      </c>
      <c r="K75" s="230" t="str">
        <f>IF(J75="","Digite número de meses","")</f>
        <v/>
      </c>
    </row>
    <row r="76" spans="2:12" x14ac:dyDescent="0.2">
      <c r="J76" s="214"/>
    </row>
    <row r="77" spans="2:12" x14ac:dyDescent="0.2">
      <c r="D77" s="51" t="s">
        <v>16</v>
      </c>
      <c r="E77" s="52"/>
      <c r="F77" s="53"/>
      <c r="G77" s="54"/>
      <c r="H77" s="54"/>
      <c r="I77" s="69">
        <f>+I47-I75</f>
        <v>4095000</v>
      </c>
      <c r="J77" s="254">
        <f ca="1">+IF((D101=0),0,"Descargue la versión para el año actual")</f>
        <v>0</v>
      </c>
      <c r="K77" s="254"/>
      <c r="L77" s="254"/>
    </row>
    <row r="78" spans="2:12" ht="11.25" customHeight="1" x14ac:dyDescent="0.2">
      <c r="J78" s="254"/>
      <c r="K78" s="254"/>
      <c r="L78" s="254"/>
    </row>
    <row r="79" spans="2:12" ht="3" customHeight="1" x14ac:dyDescent="0.2">
      <c r="I79" s="70"/>
      <c r="J79" s="254"/>
      <c r="K79" s="254"/>
      <c r="L79" s="254"/>
    </row>
    <row r="80" spans="2:12" ht="2.25" customHeight="1" x14ac:dyDescent="0.2">
      <c r="I80" s="71"/>
    </row>
    <row r="81" spans="1:13" ht="15" x14ac:dyDescent="0.25">
      <c r="D81" s="84" t="s">
        <v>52</v>
      </c>
      <c r="E81" s="72"/>
      <c r="F81" s="73"/>
      <c r="G81" s="74"/>
      <c r="H81" s="74"/>
      <c r="I81" s="75">
        <f>ROUND((TABLA!H18*I14),-3)</f>
        <v>13000</v>
      </c>
      <c r="J81" s="114">
        <f>+IF((I81&gt;0),(I81/I38),0)</f>
        <v>2.1666666666666666E-3</v>
      </c>
    </row>
    <row r="82" spans="1:13" ht="15" x14ac:dyDescent="0.25">
      <c r="D82" s="67" t="s">
        <v>53</v>
      </c>
      <c r="E82" s="76"/>
      <c r="F82" s="73"/>
      <c r="G82" s="74"/>
      <c r="H82" s="74"/>
      <c r="I82" s="75">
        <f>+ROUND((Tabprima!H18*I14),-3)</f>
        <v>0</v>
      </c>
      <c r="J82" s="114">
        <f>+IF((I82&gt;0),(I82/$E$34),0)</f>
        <v>0</v>
      </c>
    </row>
    <row r="83" spans="1:13" s="201" customFormat="1" ht="6.95" customHeight="1" x14ac:dyDescent="0.25">
      <c r="D83" s="207"/>
      <c r="E83" s="208"/>
      <c r="F83" s="202"/>
      <c r="G83" s="203"/>
      <c r="H83" s="203"/>
      <c r="I83" s="205"/>
      <c r="J83" s="206"/>
      <c r="K83" s="204"/>
      <c r="L83" s="204"/>
      <c r="M83" s="204"/>
    </row>
    <row r="84" spans="1:13" ht="15" x14ac:dyDescent="0.25">
      <c r="A84" s="77">
        <v>44630</v>
      </c>
      <c r="D84" s="67" t="s">
        <v>88</v>
      </c>
      <c r="E84" s="76"/>
      <c r="F84" s="73"/>
      <c r="G84" s="74"/>
      <c r="H84" s="74"/>
      <c r="I84" s="75">
        <f>SUM(I81:I82)</f>
        <v>13000</v>
      </c>
      <c r="J84" s="206" t="s">
        <v>33</v>
      </c>
    </row>
    <row r="85" spans="1:13" x14ac:dyDescent="0.2">
      <c r="D85" s="78"/>
    </row>
    <row r="86" spans="1:13" ht="15" customHeight="1" x14ac:dyDescent="0.2">
      <c r="A86" s="81" t="s">
        <v>85</v>
      </c>
      <c r="D86" s="232" t="s">
        <v>93</v>
      </c>
      <c r="E86" s="25"/>
      <c r="F86" s="25"/>
      <c r="G86" s="25"/>
      <c r="H86" s="25"/>
      <c r="I86" s="25"/>
      <c r="J86" s="25"/>
    </row>
    <row r="87" spans="1:13" ht="15" customHeight="1" x14ac:dyDescent="0.25">
      <c r="A87" s="81" t="s">
        <v>86</v>
      </c>
      <c r="D87" s="233" t="s">
        <v>94</v>
      </c>
      <c r="E87" s="216"/>
      <c r="F87" s="209"/>
      <c r="G87" s="210"/>
      <c r="H87" s="210"/>
      <c r="I87" s="211"/>
      <c r="J87" s="212"/>
      <c r="K87" s="212"/>
      <c r="L87" s="56"/>
      <c r="M87" s="56"/>
    </row>
    <row r="88" spans="1:13" ht="15" customHeight="1" x14ac:dyDescent="0.2">
      <c r="D88" s="233" t="s">
        <v>95</v>
      </c>
      <c r="E88" s="213"/>
      <c r="F88" s="213"/>
      <c r="G88" s="213"/>
      <c r="H88" s="213"/>
      <c r="I88" s="213"/>
      <c r="J88" s="213"/>
      <c r="K88" s="214"/>
    </row>
    <row r="89" spans="1:13" ht="12.75" customHeight="1" x14ac:dyDescent="0.2">
      <c r="D89" s="235" t="s">
        <v>120</v>
      </c>
      <c r="E89" s="28"/>
      <c r="F89" s="214"/>
      <c r="G89" s="215"/>
      <c r="H89" s="215"/>
      <c r="I89" s="214"/>
      <c r="J89" s="214"/>
      <c r="K89" s="214"/>
    </row>
    <row r="90" spans="1:13" ht="15" customHeight="1" x14ac:dyDescent="0.2">
      <c r="D90" s="234"/>
      <c r="E90" s="28"/>
      <c r="F90" s="214"/>
      <c r="G90" s="215"/>
      <c r="H90" s="215"/>
      <c r="I90" s="214"/>
      <c r="J90" s="214"/>
      <c r="K90" s="214"/>
    </row>
    <row r="91" spans="1:13" x14ac:dyDescent="0.2">
      <c r="D91" s="27"/>
      <c r="E91" s="28"/>
      <c r="F91" s="214"/>
      <c r="G91" s="215"/>
      <c r="H91" s="215"/>
      <c r="I91" s="214"/>
      <c r="J91" s="214"/>
      <c r="K91" s="214"/>
    </row>
    <row r="92" spans="1:13" s="79" customFormat="1" x14ac:dyDescent="0.2">
      <c r="D92" s="27"/>
      <c r="E92" s="28"/>
      <c r="F92" s="215"/>
      <c r="G92" s="215"/>
      <c r="H92" s="215"/>
      <c r="I92" s="215"/>
      <c r="J92" s="215"/>
      <c r="K92" s="215"/>
      <c r="L92" s="31"/>
      <c r="M92" s="31"/>
    </row>
    <row r="93" spans="1:13" s="79" customFormat="1" x14ac:dyDescent="0.2">
      <c r="B93" s="80"/>
      <c r="D93" s="27"/>
      <c r="E93" s="28"/>
      <c r="F93" s="215"/>
      <c r="G93" s="215"/>
      <c r="H93" s="215"/>
      <c r="I93" s="215"/>
      <c r="J93" s="215"/>
      <c r="K93" s="215"/>
      <c r="L93" s="31"/>
      <c r="M93" s="31"/>
    </row>
    <row r="94" spans="1:13" s="79" customFormat="1" x14ac:dyDescent="0.2">
      <c r="B94" s="80"/>
      <c r="D94" s="27"/>
      <c r="E94" s="28"/>
      <c r="F94" s="215"/>
      <c r="G94" s="215"/>
      <c r="H94" s="215"/>
      <c r="I94" s="215"/>
      <c r="J94" s="215"/>
      <c r="K94" s="215"/>
      <c r="L94" s="31"/>
      <c r="M94" s="31"/>
    </row>
    <row r="95" spans="1:13" s="79" customFormat="1" x14ac:dyDescent="0.2">
      <c r="D95" s="29" t="s">
        <v>6</v>
      </c>
      <c r="E95" s="28"/>
      <c r="F95" s="215"/>
      <c r="G95" s="215"/>
      <c r="H95" s="215"/>
      <c r="I95" s="215"/>
      <c r="J95" s="215"/>
      <c r="K95" s="215"/>
      <c r="L95" s="31"/>
      <c r="M95" s="31"/>
    </row>
    <row r="96" spans="1:13" s="79" customFormat="1" x14ac:dyDescent="0.2">
      <c r="D96" s="124"/>
      <c r="E96" s="31"/>
      <c r="F96" s="215"/>
      <c r="G96" s="215"/>
      <c r="H96" s="215"/>
      <c r="I96" s="215"/>
      <c r="J96" s="215"/>
      <c r="K96" s="215"/>
      <c r="L96" s="31"/>
      <c r="M96" s="31"/>
    </row>
    <row r="97" spans="2:13" s="79" customFormat="1" x14ac:dyDescent="0.2">
      <c r="D97" s="228"/>
      <c r="E97" s="31"/>
      <c r="F97" s="31"/>
      <c r="G97" s="31"/>
      <c r="H97" s="31"/>
      <c r="I97" s="31"/>
      <c r="J97" s="31"/>
      <c r="K97" s="31"/>
      <c r="L97" s="31"/>
      <c r="M97" s="31"/>
    </row>
    <row r="98" spans="2:13" s="79" customFormat="1" x14ac:dyDescent="0.2">
      <c r="D98" s="229"/>
      <c r="E98" s="31"/>
      <c r="F98" s="31"/>
      <c r="G98" s="31"/>
      <c r="H98" s="31"/>
      <c r="I98" s="31"/>
      <c r="J98" s="31"/>
      <c r="K98" s="31"/>
      <c r="L98" s="31"/>
      <c r="M98" s="31"/>
    </row>
    <row r="99" spans="2:13" s="79" customFormat="1" hidden="1" x14ac:dyDescent="0.2">
      <c r="D99" s="163">
        <f ca="1">+TODAY( )</f>
        <v>45086</v>
      </c>
      <c r="E99" s="31"/>
      <c r="F99" s="31"/>
      <c r="G99" s="31"/>
      <c r="H99" s="31"/>
      <c r="I99" s="31"/>
      <c r="J99" s="31"/>
      <c r="K99" s="31"/>
      <c r="L99" s="31"/>
      <c r="M99" s="31"/>
    </row>
    <row r="100" spans="2:13" s="79" customFormat="1" hidden="1" x14ac:dyDescent="0.2">
      <c r="D100" s="163">
        <v>45322</v>
      </c>
      <c r="E100" s="31"/>
      <c r="F100" s="31"/>
      <c r="G100" s="31"/>
      <c r="H100" s="31"/>
      <c r="I100" s="31"/>
      <c r="J100" s="31"/>
      <c r="K100" s="31"/>
      <c r="L100" s="31"/>
      <c r="M100" s="31"/>
    </row>
    <row r="101" spans="2:13" s="79" customFormat="1" hidden="1" x14ac:dyDescent="0.2">
      <c r="D101" s="164">
        <f ca="1">IF(D99&gt;D100,1,0)</f>
        <v>0</v>
      </c>
      <c r="E101" s="31"/>
      <c r="F101" s="31"/>
      <c r="G101" s="31"/>
      <c r="H101" s="31"/>
      <c r="I101" s="31"/>
      <c r="J101" s="31"/>
      <c r="K101" s="31"/>
      <c r="L101" s="31"/>
      <c r="M101" s="31"/>
    </row>
    <row r="102" spans="2:13" s="79" customFormat="1" x14ac:dyDescent="0.2">
      <c r="D102" s="229"/>
      <c r="E102" s="31"/>
      <c r="F102" s="31"/>
      <c r="G102" s="31"/>
      <c r="H102" s="31"/>
      <c r="I102" s="31"/>
      <c r="J102" s="31"/>
      <c r="K102" s="31"/>
      <c r="L102" s="31"/>
      <c r="M102" s="31"/>
    </row>
    <row r="103" spans="2:13" s="79" customFormat="1" x14ac:dyDescent="0.2">
      <c r="B103" s="25"/>
      <c r="C103" s="25"/>
      <c r="D103" s="228"/>
      <c r="E103" s="31"/>
      <c r="F103" s="31"/>
      <c r="G103" s="31"/>
      <c r="H103" s="31"/>
      <c r="I103" s="31"/>
      <c r="J103" s="31"/>
      <c r="K103" s="31"/>
      <c r="L103" s="31"/>
      <c r="M103" s="31"/>
    </row>
    <row r="104" spans="2:13" s="79" customFormat="1" x14ac:dyDescent="0.2">
      <c r="B104" s="81" t="s">
        <v>97</v>
      </c>
      <c r="C104" s="81"/>
      <c r="E104" s="31"/>
      <c r="F104" s="31"/>
      <c r="G104" s="31"/>
      <c r="H104" s="31"/>
      <c r="I104" s="31"/>
      <c r="J104" s="31"/>
      <c r="K104" s="31"/>
      <c r="L104" s="31"/>
      <c r="M104" s="31"/>
    </row>
    <row r="105" spans="2:13" s="79" customFormat="1" x14ac:dyDescent="0.2">
      <c r="B105" s="81" t="s">
        <v>98</v>
      </c>
      <c r="C105" s="81"/>
      <c r="D105" s="25"/>
      <c r="E105" s="31"/>
      <c r="F105" s="31"/>
      <c r="G105" s="31"/>
      <c r="H105" s="31"/>
      <c r="I105" s="31"/>
      <c r="J105" s="31"/>
      <c r="K105" s="31"/>
      <c r="L105" s="31"/>
      <c r="M105" s="31"/>
    </row>
    <row r="106" spans="2:13" s="79" customFormat="1" x14ac:dyDescent="0.2">
      <c r="B106" s="81" t="s">
        <v>99</v>
      </c>
      <c r="C106" s="81"/>
      <c r="D106" s="25"/>
      <c r="E106" s="31"/>
      <c r="F106" s="31"/>
      <c r="G106" s="31"/>
      <c r="H106" s="31"/>
      <c r="I106" s="31"/>
      <c r="J106" s="31"/>
      <c r="K106" s="31"/>
      <c r="L106" s="31"/>
      <c r="M106" s="31"/>
    </row>
    <row r="107" spans="2:13" s="79" customFormat="1" x14ac:dyDescent="0.2">
      <c r="B107" s="81" t="s">
        <v>100</v>
      </c>
      <c r="C107" s="81"/>
      <c r="D107" s="25"/>
      <c r="E107" s="31"/>
      <c r="F107" s="31"/>
      <c r="G107" s="31"/>
      <c r="H107" s="31"/>
      <c r="I107" s="31"/>
      <c r="J107" s="31"/>
      <c r="K107" s="31"/>
      <c r="L107" s="31"/>
      <c r="M107" s="31"/>
    </row>
    <row r="108" spans="2:13" s="79" customFormat="1" x14ac:dyDescent="0.2">
      <c r="B108" s="81" t="s">
        <v>101</v>
      </c>
      <c r="C108" s="81"/>
      <c r="D108" s="25"/>
      <c r="E108" s="31"/>
      <c r="F108" s="31"/>
      <c r="G108" s="31"/>
      <c r="H108" s="31"/>
      <c r="I108" s="31"/>
      <c r="J108" s="31"/>
      <c r="K108" s="31"/>
      <c r="L108" s="31"/>
      <c r="M108" s="31"/>
    </row>
    <row r="109" spans="2:13" s="79" customFormat="1" x14ac:dyDescent="0.2">
      <c r="B109" s="81" t="s">
        <v>102</v>
      </c>
      <c r="C109" s="81"/>
      <c r="D109" s="25"/>
      <c r="E109" s="31"/>
      <c r="F109" s="31"/>
      <c r="G109" s="31"/>
      <c r="H109" s="31"/>
      <c r="I109" s="31"/>
      <c r="J109" s="31"/>
      <c r="K109" s="31"/>
      <c r="L109" s="31"/>
      <c r="M109" s="31"/>
    </row>
    <row r="110" spans="2:13" s="79" customFormat="1" x14ac:dyDescent="0.2">
      <c r="B110" s="81" t="s">
        <v>103</v>
      </c>
      <c r="C110" s="81"/>
      <c r="D110" s="25"/>
      <c r="E110" s="31"/>
      <c r="F110" s="31"/>
      <c r="G110" s="31"/>
      <c r="H110" s="31"/>
      <c r="I110" s="31"/>
      <c r="J110" s="31"/>
      <c r="K110" s="31"/>
      <c r="L110" s="31"/>
      <c r="M110" s="31"/>
    </row>
    <row r="111" spans="2:13" s="79" customFormat="1" x14ac:dyDescent="0.2">
      <c r="B111" s="81" t="s">
        <v>104</v>
      </c>
      <c r="C111" s="81"/>
      <c r="D111" s="25"/>
      <c r="E111" s="31"/>
      <c r="F111" s="31"/>
      <c r="G111" s="31"/>
      <c r="H111" s="31"/>
      <c r="I111" s="31"/>
      <c r="J111" s="31"/>
      <c r="K111" s="31"/>
      <c r="L111" s="31"/>
      <c r="M111" s="31"/>
    </row>
    <row r="112" spans="2:13" s="79" customFormat="1" x14ac:dyDescent="0.2">
      <c r="B112" s="81" t="s">
        <v>105</v>
      </c>
      <c r="C112" s="81"/>
      <c r="D112" s="25"/>
      <c r="E112" s="31"/>
      <c r="F112" s="31"/>
      <c r="G112" s="31"/>
      <c r="H112" s="31"/>
      <c r="I112" s="31"/>
      <c r="J112" s="31"/>
      <c r="K112" s="31"/>
      <c r="L112" s="31"/>
      <c r="M112" s="31"/>
    </row>
    <row r="113" spans="2:13" s="79" customFormat="1" x14ac:dyDescent="0.2">
      <c r="B113" s="81" t="s">
        <v>106</v>
      </c>
      <c r="C113" s="81"/>
      <c r="D113" s="25"/>
      <c r="E113" s="31"/>
      <c r="F113" s="31"/>
      <c r="G113" s="31"/>
      <c r="H113" s="31"/>
      <c r="I113" s="31"/>
      <c r="J113" s="31"/>
      <c r="K113" s="31"/>
      <c r="L113" s="31"/>
      <c r="M113" s="31"/>
    </row>
    <row r="114" spans="2:13" s="79" customFormat="1" x14ac:dyDescent="0.2">
      <c r="B114" s="81" t="s">
        <v>107</v>
      </c>
      <c r="C114" s="81"/>
      <c r="D114" s="25"/>
      <c r="E114" s="31"/>
      <c r="F114" s="31"/>
      <c r="G114" s="31"/>
      <c r="H114" s="31"/>
      <c r="I114" s="31"/>
      <c r="J114" s="31"/>
      <c r="K114" s="31"/>
      <c r="L114" s="31"/>
      <c r="M114" s="31"/>
    </row>
    <row r="115" spans="2:13" s="79" customFormat="1" x14ac:dyDescent="0.2">
      <c r="B115" s="81" t="s">
        <v>108</v>
      </c>
      <c r="C115" s="81"/>
      <c r="D115" s="25"/>
      <c r="E115" s="31"/>
      <c r="F115" s="31"/>
      <c r="G115" s="31"/>
      <c r="H115" s="31"/>
      <c r="I115" s="31"/>
      <c r="J115" s="31"/>
      <c r="K115" s="31"/>
      <c r="L115" s="31"/>
      <c r="M115" s="31"/>
    </row>
    <row r="116" spans="2:13" s="79" customFormat="1" x14ac:dyDescent="0.2">
      <c r="B116" s="25"/>
      <c r="C116" s="25"/>
      <c r="D116" s="25"/>
      <c r="E116" s="31"/>
      <c r="F116" s="31"/>
      <c r="G116" s="31"/>
      <c r="H116" s="31"/>
      <c r="I116" s="31"/>
      <c r="J116" s="31"/>
      <c r="K116" s="31"/>
      <c r="L116" s="31"/>
      <c r="M116" s="31"/>
    </row>
    <row r="117" spans="2:13" s="79" customFormat="1" x14ac:dyDescent="0.2">
      <c r="E117" s="31"/>
      <c r="F117" s="31"/>
      <c r="G117" s="31"/>
      <c r="H117" s="31"/>
      <c r="I117" s="31"/>
      <c r="J117" s="31"/>
      <c r="K117" s="31"/>
      <c r="L117" s="31"/>
      <c r="M117" s="31"/>
    </row>
    <row r="118" spans="2:13" s="79" customFormat="1" x14ac:dyDescent="0.2">
      <c r="E118" s="31"/>
      <c r="F118" s="31"/>
      <c r="G118" s="31"/>
      <c r="H118" s="31"/>
      <c r="I118" s="31"/>
      <c r="J118" s="31"/>
      <c r="K118" s="31"/>
      <c r="L118" s="31"/>
      <c r="M118" s="31"/>
    </row>
    <row r="119" spans="2:13" s="79" customFormat="1" x14ac:dyDescent="0.2">
      <c r="E119" s="31"/>
      <c r="F119" s="31"/>
      <c r="G119" s="31"/>
      <c r="H119" s="31"/>
      <c r="I119" s="31"/>
      <c r="J119" s="31"/>
      <c r="K119" s="31"/>
      <c r="L119" s="31"/>
      <c r="M119" s="31"/>
    </row>
    <row r="120" spans="2:13" s="79" customFormat="1" x14ac:dyDescent="0.2">
      <c r="E120" s="31"/>
      <c r="F120" s="31"/>
      <c r="G120" s="31"/>
      <c r="H120" s="31"/>
      <c r="I120" s="31"/>
      <c r="J120" s="31"/>
      <c r="K120" s="31"/>
      <c r="L120" s="31"/>
      <c r="M120" s="31"/>
    </row>
    <row r="121" spans="2:13" s="79" customFormat="1" x14ac:dyDescent="0.2">
      <c r="E121" s="31"/>
      <c r="F121" s="31"/>
      <c r="G121" s="31"/>
      <c r="H121" s="31"/>
      <c r="I121" s="31"/>
      <c r="J121" s="31"/>
      <c r="K121" s="31"/>
      <c r="L121" s="31"/>
      <c r="M121" s="31"/>
    </row>
    <row r="122" spans="2:13" s="79" customFormat="1" x14ac:dyDescent="0.2">
      <c r="E122" s="31"/>
      <c r="F122" s="31"/>
      <c r="G122" s="31"/>
      <c r="H122" s="31"/>
      <c r="I122" s="31"/>
      <c r="J122" s="31"/>
      <c r="K122" s="31"/>
      <c r="L122" s="31"/>
      <c r="M122" s="31"/>
    </row>
    <row r="123" spans="2:13" s="79" customFormat="1" x14ac:dyDescent="0.2">
      <c r="E123" s="31"/>
      <c r="F123" s="31"/>
      <c r="G123" s="31"/>
      <c r="H123" s="31"/>
      <c r="I123" s="31"/>
      <c r="J123" s="31"/>
      <c r="K123" s="31"/>
      <c r="L123" s="31"/>
      <c r="M123" s="31"/>
    </row>
    <row r="124" spans="2:13" s="79" customFormat="1" x14ac:dyDescent="0.2">
      <c r="E124" s="31"/>
      <c r="F124" s="31"/>
      <c r="G124" s="31"/>
      <c r="H124" s="31"/>
      <c r="I124" s="31"/>
      <c r="J124" s="31"/>
      <c r="K124" s="31"/>
      <c r="L124" s="31"/>
      <c r="M124" s="31"/>
    </row>
    <row r="125" spans="2:13" s="79" customFormat="1" x14ac:dyDescent="0.2">
      <c r="E125" s="31"/>
      <c r="F125" s="31"/>
      <c r="G125" s="31"/>
      <c r="H125" s="31"/>
      <c r="I125" s="31"/>
      <c r="J125" s="31"/>
      <c r="K125" s="31"/>
      <c r="L125" s="31"/>
      <c r="M125" s="31"/>
    </row>
    <row r="126" spans="2:13" s="79" customFormat="1" x14ac:dyDescent="0.2">
      <c r="E126" s="31"/>
      <c r="F126" s="31"/>
      <c r="G126" s="31"/>
      <c r="H126" s="31"/>
      <c r="I126" s="31"/>
      <c r="J126" s="31"/>
      <c r="K126" s="31"/>
      <c r="L126" s="31"/>
      <c r="M126" s="31"/>
    </row>
    <row r="127" spans="2:13" s="79" customFormat="1" x14ac:dyDescent="0.2">
      <c r="E127" s="31"/>
      <c r="F127" s="31"/>
      <c r="G127" s="31"/>
      <c r="H127" s="31"/>
      <c r="I127" s="31"/>
      <c r="J127" s="31"/>
      <c r="K127" s="31"/>
      <c r="L127" s="31"/>
      <c r="M127" s="31"/>
    </row>
    <row r="128" spans="2:13" s="79" customFormat="1" x14ac:dyDescent="0.2">
      <c r="E128" s="31"/>
      <c r="F128" s="31"/>
      <c r="G128" s="31"/>
      <c r="H128" s="31"/>
      <c r="I128" s="31"/>
      <c r="J128" s="31"/>
      <c r="K128" s="31"/>
      <c r="L128" s="31"/>
      <c r="M128" s="31"/>
    </row>
    <row r="129" spans="5:13" s="79" customFormat="1" x14ac:dyDescent="0.2">
      <c r="E129" s="31"/>
      <c r="F129" s="31"/>
      <c r="G129" s="31"/>
      <c r="H129" s="31"/>
      <c r="I129" s="31"/>
      <c r="J129" s="31"/>
      <c r="K129" s="31"/>
      <c r="L129" s="31"/>
      <c r="M129" s="31"/>
    </row>
    <row r="130" spans="5:13" s="79" customFormat="1" x14ac:dyDescent="0.2">
      <c r="E130" s="31"/>
      <c r="F130" s="31"/>
      <c r="G130" s="31"/>
      <c r="H130" s="31"/>
      <c r="I130" s="31"/>
      <c r="J130" s="31"/>
      <c r="K130" s="31"/>
      <c r="L130" s="31"/>
      <c r="M130" s="31"/>
    </row>
    <row r="131" spans="5:13" s="79" customFormat="1" x14ac:dyDescent="0.2">
      <c r="E131" s="31"/>
      <c r="F131" s="31"/>
      <c r="G131" s="31"/>
      <c r="H131" s="31"/>
      <c r="I131" s="31"/>
      <c r="J131" s="31"/>
      <c r="K131" s="31"/>
      <c r="L131" s="31"/>
      <c r="M131" s="31"/>
    </row>
    <row r="132" spans="5:13" s="79" customFormat="1" x14ac:dyDescent="0.2">
      <c r="E132" s="31"/>
      <c r="F132" s="31"/>
      <c r="G132" s="31"/>
      <c r="H132" s="31"/>
      <c r="I132" s="31"/>
      <c r="J132" s="31"/>
      <c r="K132" s="31"/>
      <c r="L132" s="31"/>
      <c r="M132" s="31"/>
    </row>
    <row r="275" spans="4:4" x14ac:dyDescent="0.2">
      <c r="D275" s="37">
        <f ca="1">TODAY()</f>
        <v>45086</v>
      </c>
    </row>
    <row r="276" spans="4:4" x14ac:dyDescent="0.2">
      <c r="D276" s="37">
        <f>+A84</f>
        <v>44630</v>
      </c>
    </row>
    <row r="277" spans="4:4" x14ac:dyDescent="0.2">
      <c r="D277" s="25">
        <f ca="1">IF(D276&lt;D275,1,"")</f>
        <v>1</v>
      </c>
    </row>
  </sheetData>
  <sheetProtection algorithmName="SHA-512" hashValue="/wjSVbsbQzkHWYfH+bWRacL9vdNJV5iN3Ub7SlEnZVWkP5hCFCoBlo2uZquvOUqFmD8HSsa8tiRPEANs3ikU+w==" saltValue="GrtZEwY9HgJVkVt6KSJ5qg==" spinCount="100000" sheet="1" objects="1" scenarios="1" formatCells="0" formatColumns="0"/>
  <mergeCells count="13">
    <mergeCell ref="F57:F59"/>
    <mergeCell ref="I57:I59"/>
    <mergeCell ref="J77:L79"/>
    <mergeCell ref="K8:N13"/>
    <mergeCell ref="D52:D53"/>
    <mergeCell ref="E52:E53"/>
    <mergeCell ref="F52:F53"/>
    <mergeCell ref="G17:H17"/>
    <mergeCell ref="I52:I53"/>
    <mergeCell ref="J52:N53"/>
    <mergeCell ref="F13:I13"/>
    <mergeCell ref="D15:E15"/>
    <mergeCell ref="J70:K71"/>
  </mergeCells>
  <phoneticPr fontId="2" type="noConversion"/>
  <dataValidations xWindow="1180" yWindow="332" count="19">
    <dataValidation allowBlank="1" showInputMessage="1" showErrorMessage="1" prompt="Recuerde que estos pagos que efectue el empleador por concepto de alimentación  del trabajador  o de su conyugue co compañero (a) permanente, sus hijos o su padres son ingresos no constitutivos de renta" sqref="E45" xr:uid="{00000000-0002-0000-0000-000000000000}"/>
    <dataValidation type="date" allowBlank="1" showInputMessage="1" showErrorMessage="1" sqref="E89:E95" xr:uid="{00000000-0002-0000-0000-000001000000}">
      <formula1>36526</formula1>
      <formula2>66111</formula2>
    </dataValidation>
    <dataValidation allowBlank="1" showInputMessage="1" showErrorMessage="1" promptTitle="Incluya" prompt="Pagos directos o indirectos_x000a_En dinero o en especie_x000a_Sean o no factor salarial_x000a_Art. 127 y 128 del CST_x000a__x000a_Recuerde que en el mes que se pague prima legal, esta se debe liquidar de forma independiente._x000a_" sqref="D20:D37 E20:E31 E35:E37" xr:uid="{00000000-0002-0000-0000-000003000000}"/>
    <dataValidation type="list" allowBlank="1" showInputMessage="1" showErrorMessage="1" prompt="Seleccione  el mes del cálculo" sqref="I11" xr:uid="{00000000-0002-0000-0000-000004000000}">
      <formula1>$B$104:$B$115</formula1>
    </dataValidation>
    <dataValidation allowBlank="1" showInputMessage="1" showErrorMessage="1" prompt="Este rubro no hace parte de la depuración del procedimiento, por tanto se deja la descripción para que no se cometa el error de digitarlo en otra casilla." sqref="E32:E33 I32:I33" xr:uid="{38DCFF71-5387-4990-A901-A9BB24E16837}"/>
    <dataValidation allowBlank="1" showInputMessage="1" showErrorMessage="1" prompt="Nombre de la empresa o empleador_x000a_" sqref="D11" xr:uid="{FB7493CE-7E74-4E03-AE96-419ACBFEC04B}"/>
    <dataValidation allowBlank="1" showInputMessage="1" showErrorMessage="1" promptTitle="Incluya" prompt="Recuerde que en el mes que se pague prima legal, esta se liquida de forma independiente. Al digitar el valor el aplicativo hará el cálculo_x000a_" sqref="E34" xr:uid="{8226156D-9D40-43C1-A019-E0C41D732A80}"/>
    <dataValidation type="list" allowBlank="1" showInputMessage="1" showErrorMessage="1" error="Digite o seleccione SI ó NO" prompt="Digite o seleccione de la lista: SI  ó NO  tiene derecho a dependientes" sqref="E52:E53" xr:uid="{78BC3D55-EC51-4B4D-8E5E-F48B5300778C}">
      <formula1>$A$86:$A$87</formula1>
    </dataValidation>
    <dataValidation type="whole" allowBlank="1" showInputMessage="1" showErrorMessage="1" prompt="De acuerdo al valor promedio del certificado respectivo." sqref="E50:E51" xr:uid="{7BAF38F1-BAC7-4707-8609-6F412725D036}">
      <formula1>0</formula1>
      <formula2>350000000</formula2>
    </dataValidation>
    <dataValidation allowBlank="1" showInputMessage="1" showErrorMessage="1" prompt="% medido en relación retefuente vs ingresos" sqref="J81" xr:uid="{DB9DDF5D-DFFE-4774-9102-99422FEB8FEE}"/>
    <dataValidation allowBlank="1" showInputMessage="1" showErrorMessage="1" prompt="Total ingresos sin prima de servicios_x000a_" sqref="I38" xr:uid="{6053793F-5557-4D57-A570-2448F2EAE934}"/>
    <dataValidation allowBlank="1" showInputMessage="1" showErrorMessage="1" prompt="Total ingresos sin prima de servicios" sqref="E38" xr:uid="{D8F04375-DE8E-4521-B0D1-D6057ADFADDE}"/>
    <dataValidation allowBlank="1" showInputMessage="1" showErrorMessage="1" prompt="Desde el mes de febrero digíte el valor acumulado que ha utilizado como renta exenta laboral del 25% en los meses anteriores al del cálculo durante este año gravable" sqref="E72" xr:uid="{AFCA4B0F-104B-408B-B88C-1D6B01248B4D}"/>
    <dataValidation allowBlank="1" showInputMessage="1" showErrorMessage="1" promptTitle="Control 40% y hasta 1.340 UVT" prompt="Digite el número de meses que requiere controlar el límite de las 1,340 UVT anual.  Puede dejar en 12 meses y el límite lo establecerá de forma mensual." sqref="J75" xr:uid="{05ED16DA-D646-4AE6-ADBF-4F21A48B640C}"/>
    <dataValidation allowBlank="1" showInputMessage="1" showErrorMessage="1" prompt="Digite el número de meses que requiere controlar el límite de las 1,340 UVT anual.  Puede dejar en 12 meses y el límite lo establecerá de forma mensual." sqref="K75" xr:uid="{DDABA49C-032C-427F-9395-38296EFF8C28}"/>
    <dataValidation allowBlank="1" showInputMessage="1" showErrorMessage="1" prompt="Control del límite de las 2.500 UVT, lo normal es dividir en 12, pero usted podrá cambiar a menos tiempo, pero deberá llevar el control para que durante el año no se pase de 2.500  UVT" sqref="J43" xr:uid="{E03A5D73-89E4-45A5-875B-3F22E99A2A93}"/>
    <dataValidation allowBlank="1" showInputMessage="1" showErrorMessage="1" prompt="Control del límite de las 3800 UVT, lo normal es dividir en 12, pero usted podrá cambiar a menos tiempo, pero deberá llevar el control para que durante el año no se pase de 3800 UVT" sqref="J58" xr:uid="{BA8903BB-376F-4D2D-BD07-6F49BA056FCA}"/>
    <dataValidation allowBlank="1" showInputMessage="1" showErrorMessage="1" promptTitle="Control el límite de las 790 UVT" prompt="Digite el número de meses que requiere controlar el límite de las 790 UVT anual.  Puede dejar en 12 meses y el límite lo establecerá de forma mensual o usarlo como crea conveniente junto con el control de la celda E72" sqref="J72" xr:uid="{5BB0FCC6-056E-4778-B9E2-F4412E03A12C}"/>
    <dataValidation allowBlank="1" showInputMessage="1" showErrorMessage="1" prompt="En nuestro concepto, la deducción por dependientes adicional de 72 UVT aplica únicamente para la declaración anual de renta, no para retefuente. Lo anterior por la forma en que quedó redactada el art. de la Ley de reforma tributaria. Esperemos reglamento." sqref="F52:F53" xr:uid="{E3C7AA7A-6DA2-420A-BD19-D112225FDF25}"/>
  </dataValidations>
  <hyperlinks>
    <hyperlink ref="D95" r:id="rId1" xr:uid="{00000000-0004-0000-0000-000000000000}"/>
  </hyperlinks>
  <pageMargins left="0.19685039370078741" right="0.19685039370078741" top="0.39370078740157483" bottom="0.39370078740157483" header="0" footer="0"/>
  <pageSetup scale="65" orientation="landscape"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6">
    <pageSetUpPr fitToPage="1"/>
  </sheetPr>
  <dimension ref="B1:G109"/>
  <sheetViews>
    <sheetView showGridLines="0" zoomScaleNormal="100" workbookViewId="0">
      <selection activeCell="D1" sqref="D1"/>
    </sheetView>
  </sheetViews>
  <sheetFormatPr baseColWidth="10" defaultColWidth="0" defaultRowHeight="12.75" zeroHeight="1" x14ac:dyDescent="0.2"/>
  <cols>
    <col min="1" max="1" width="1.5703125" style="25" customWidth="1"/>
    <col min="2" max="2" width="4" style="25" customWidth="1"/>
    <col min="3" max="3" width="1.5703125" style="25" customWidth="1"/>
    <col min="4" max="4" width="76.5703125" style="25" customWidth="1"/>
    <col min="5" max="5" width="16.28515625" style="86" customWidth="1"/>
    <col min="6" max="6" width="21.42578125" style="86" customWidth="1"/>
    <col min="7" max="7" width="13" style="86" bestFit="1" customWidth="1"/>
    <col min="8" max="16384" width="0" style="25" hidden="1"/>
  </cols>
  <sheetData>
    <row r="1" spans="2:6" ht="5.25" customHeight="1" x14ac:dyDescent="0.2"/>
    <row r="2" spans="2:6" ht="8.25" customHeight="1" x14ac:dyDescent="0.2"/>
    <row r="3" spans="2:6" ht="16.5" customHeight="1" x14ac:dyDescent="0.25">
      <c r="D3" s="87" t="str">
        <f>+PROC1!E3</f>
        <v>Retención aplicable para el año 2023</v>
      </c>
      <c r="E3" s="25"/>
      <c r="F3" s="88"/>
    </row>
    <row r="4" spans="2:6" ht="6.75" customHeight="1" x14ac:dyDescent="0.3">
      <c r="D4" s="89"/>
      <c r="E4" s="90"/>
      <c r="F4" s="90"/>
    </row>
    <row r="5" spans="2:6" ht="18" x14ac:dyDescent="0.25">
      <c r="C5" s="92"/>
      <c r="D5" s="91" t="str">
        <f>+PROC1!E5</f>
        <v>Procedimiento No. 1</v>
      </c>
      <c r="E5" s="25"/>
      <c r="F5" s="93"/>
    </row>
    <row r="6" spans="2:6" x14ac:dyDescent="0.2">
      <c r="E6" s="25"/>
      <c r="F6" s="94"/>
    </row>
    <row r="7" spans="2:6" x14ac:dyDescent="0.2"/>
    <row r="8" spans="2:6" x14ac:dyDescent="0.2">
      <c r="D8" s="113" t="str">
        <f>+PROC1!D11</f>
        <v>CONSULTORCONTABLE</v>
      </c>
      <c r="E8" s="95" t="str">
        <f>+PROC1!F11</f>
        <v>Mes</v>
      </c>
      <c r="F8" s="96" t="str">
        <f>+PROC1!I11</f>
        <v>Enero de 2023</v>
      </c>
    </row>
    <row r="9" spans="2:6" ht="14.25" x14ac:dyDescent="0.2">
      <c r="D9" s="186" t="str">
        <f>+PROC1!D12</f>
        <v xml:space="preserve">Nombre del empleado   PEDRO PEREZ </v>
      </c>
    </row>
    <row r="10" spans="2:6" ht="14.25" x14ac:dyDescent="0.2">
      <c r="D10" s="186" t="str">
        <f>+PROC1!D13</f>
        <v>cc  1152467320</v>
      </c>
      <c r="E10" s="275" t="str">
        <f>+PROC1!F13</f>
        <v>VALOR UVT</v>
      </c>
      <c r="F10" s="276"/>
    </row>
    <row r="11" spans="2:6" x14ac:dyDescent="0.2">
      <c r="D11" s="97"/>
      <c r="E11" s="176" t="str">
        <f>+PROC1!F14</f>
        <v>Año 2023</v>
      </c>
      <c r="F11" s="177">
        <f>+PROC1!I14</f>
        <v>42412</v>
      </c>
    </row>
    <row r="12" spans="2:6" x14ac:dyDescent="0.2">
      <c r="E12" s="178"/>
      <c r="F12" s="179"/>
    </row>
    <row r="13" spans="2:6" x14ac:dyDescent="0.2">
      <c r="D13" s="98" t="s">
        <v>43</v>
      </c>
    </row>
    <row r="14" spans="2:6" ht="15.75" thickBot="1" x14ac:dyDescent="0.3">
      <c r="D14" s="119" t="str">
        <f>+PROC1!D17</f>
        <v>Conceptos</v>
      </c>
      <c r="E14" s="121" t="str">
        <f>+PROC1!E17</f>
        <v>Datos</v>
      </c>
      <c r="F14" s="120" t="str">
        <f>+PROC1!I17</f>
        <v>Depuración</v>
      </c>
    </row>
    <row r="15" spans="2:6" ht="16.5" thickBot="1" x14ac:dyDescent="0.3">
      <c r="B15" s="99">
        <v>1</v>
      </c>
      <c r="C15" s="21"/>
      <c r="D15" s="100" t="str">
        <f>+PROC1!D19</f>
        <v>Total pagos laborales en el mes</v>
      </c>
    </row>
    <row r="16" spans="2:6" x14ac:dyDescent="0.2">
      <c r="D16" s="101" t="str">
        <f>+PROC1!D20</f>
        <v>Sueldo</v>
      </c>
      <c r="E16" s="102">
        <f>+PROC1!E20</f>
        <v>6000000</v>
      </c>
      <c r="F16" s="102">
        <f>+PROC1!I20</f>
        <v>6000000</v>
      </c>
    </row>
    <row r="17" spans="4:6" x14ac:dyDescent="0.2">
      <c r="D17" s="101" t="str">
        <f>+PROC1!D21</f>
        <v>Auxilio de transporte</v>
      </c>
      <c r="E17" s="102">
        <f>+PROC1!E21</f>
        <v>0</v>
      </c>
      <c r="F17" s="102">
        <f>+PROC1!I21</f>
        <v>0</v>
      </c>
    </row>
    <row r="18" spans="4:6" x14ac:dyDescent="0.2">
      <c r="D18" s="101" t="str">
        <f>+PROC1!D22</f>
        <v>Comisiones</v>
      </c>
      <c r="E18" s="102">
        <f>+PROC1!E22</f>
        <v>0</v>
      </c>
      <c r="F18" s="102">
        <f>+PROC1!I22</f>
        <v>0</v>
      </c>
    </row>
    <row r="19" spans="4:6" x14ac:dyDescent="0.2">
      <c r="D19" s="101" t="str">
        <f>+PROC1!D23</f>
        <v>Horas extras</v>
      </c>
      <c r="E19" s="102">
        <f>+PROC1!E23</f>
        <v>0</v>
      </c>
      <c r="F19" s="102">
        <f>+PROC1!I23</f>
        <v>0</v>
      </c>
    </row>
    <row r="20" spans="4:6" x14ac:dyDescent="0.2">
      <c r="D20" s="101" t="str">
        <f>+PROC1!D24</f>
        <v>Recargos nocturnos y dominicales</v>
      </c>
      <c r="E20" s="102">
        <f>+PROC1!E24</f>
        <v>0</v>
      </c>
      <c r="F20" s="102">
        <f>+PROC1!I24</f>
        <v>0</v>
      </c>
    </row>
    <row r="21" spans="4:6" x14ac:dyDescent="0.2">
      <c r="D21" s="101" t="str">
        <f>+PROC1!D25</f>
        <v>Otros auxilios (movilidad, alimentación, etc.)</v>
      </c>
      <c r="E21" s="102">
        <f>+PROC1!E25</f>
        <v>0</v>
      </c>
      <c r="F21" s="102">
        <f>+PROC1!I25</f>
        <v>0</v>
      </c>
    </row>
    <row r="22" spans="4:6" x14ac:dyDescent="0.2">
      <c r="D22" s="101" t="str">
        <f>+PROC1!D26</f>
        <v>Bonificaciones</v>
      </c>
      <c r="E22" s="102">
        <f>+PROC1!E26</f>
        <v>0</v>
      </c>
      <c r="F22" s="102">
        <f>+PROC1!I26</f>
        <v>0</v>
      </c>
    </row>
    <row r="23" spans="4:6" hidden="1" x14ac:dyDescent="0.2">
      <c r="D23" s="101"/>
      <c r="E23" s="102"/>
      <c r="F23" s="102"/>
    </row>
    <row r="24" spans="4:6" x14ac:dyDescent="0.2">
      <c r="D24" s="101" t="str">
        <f>+PROC1!D28</f>
        <v>Viáticos</v>
      </c>
      <c r="E24" s="102">
        <f>+PROC1!E28</f>
        <v>0</v>
      </c>
      <c r="F24" s="102">
        <f>+PROC1!I28</f>
        <v>0</v>
      </c>
    </row>
    <row r="25" spans="4:6" x14ac:dyDescent="0.2">
      <c r="D25" s="101" t="str">
        <f>+PROC1!D29</f>
        <v>Exceso de las 41 UVT por pagos por concepto de alimentación (art 387-1 ET)</v>
      </c>
      <c r="E25" s="102">
        <f>+PROC1!E29</f>
        <v>0</v>
      </c>
      <c r="F25" s="102">
        <f>+PROC1!I29</f>
        <v>0</v>
      </c>
    </row>
    <row r="26" spans="4:6" x14ac:dyDescent="0.2">
      <c r="D26" s="101" t="str">
        <f>+PROC1!D30</f>
        <v>Incapacidades</v>
      </c>
      <c r="E26" s="102">
        <f>+PROC1!E30</f>
        <v>0</v>
      </c>
      <c r="F26" s="102">
        <f>+PROC1!I30</f>
        <v>0</v>
      </c>
    </row>
    <row r="27" spans="4:6" x14ac:dyDescent="0.2">
      <c r="D27" s="101" t="str">
        <f>+PROC1!D31</f>
        <v>Licencia de maternidad</v>
      </c>
      <c r="E27" s="102">
        <f>+PROC1!E31</f>
        <v>0</v>
      </c>
      <c r="F27" s="102">
        <f>+PROC1!I31</f>
        <v>0</v>
      </c>
    </row>
    <row r="28" spans="4:6" x14ac:dyDescent="0.2">
      <c r="D28" s="101" t="str">
        <f>+PROC1!D32</f>
        <v>Cesantías (no se tienen en cuenta para efectos de la retención en la fuente)</v>
      </c>
      <c r="E28" s="102">
        <f>+PROC1!E32</f>
        <v>0</v>
      </c>
      <c r="F28" s="102">
        <f>+PROC1!I32</f>
        <v>0</v>
      </c>
    </row>
    <row r="29" spans="4:6" x14ac:dyDescent="0.2">
      <c r="D29" s="101" t="str">
        <f>+PROC1!D33</f>
        <v>Intereses sobre cesantías  (no se tienen en cuenta para efectos de la retención en la fuente)</v>
      </c>
      <c r="E29" s="102">
        <f>+PROC1!E33</f>
        <v>0</v>
      </c>
      <c r="F29" s="102">
        <f>+PROC1!I33</f>
        <v>0</v>
      </c>
    </row>
    <row r="30" spans="4:6" x14ac:dyDescent="0.2">
      <c r="D30" s="101" t="str">
        <f>+PROC1!D34</f>
        <v>Prima el cálculo se realiza de forma independiente.</v>
      </c>
      <c r="E30" s="102">
        <f>+PROC1!E34</f>
        <v>0</v>
      </c>
      <c r="F30" s="102">
        <f>+PROC1!I34</f>
        <v>0</v>
      </c>
    </row>
    <row r="31" spans="4:6" x14ac:dyDescent="0.2">
      <c r="D31" s="101" t="str">
        <f>+PROC1!D35</f>
        <v>Vacaciones</v>
      </c>
      <c r="E31" s="102">
        <f>+PROC1!E35</f>
        <v>0</v>
      </c>
      <c r="F31" s="102">
        <f>+PROC1!I35</f>
        <v>0</v>
      </c>
    </row>
    <row r="32" spans="4:6" x14ac:dyDescent="0.2">
      <c r="D32" s="101" t="str">
        <f>+PROC1!D36</f>
        <v>Primas extralegales</v>
      </c>
      <c r="E32" s="102">
        <f>+PROC1!E36</f>
        <v>0</v>
      </c>
      <c r="F32" s="102">
        <f>+PROC1!I36</f>
        <v>0</v>
      </c>
    </row>
    <row r="33" spans="2:6" x14ac:dyDescent="0.2">
      <c r="B33" s="44"/>
      <c r="D33" s="101" t="str">
        <f>+PROC1!D37</f>
        <v>Otros ingresos laborales- Bonos, cheques electrónicos, pagos indirectos</v>
      </c>
      <c r="E33" s="102">
        <f>+PROC1!E37</f>
        <v>0</v>
      </c>
      <c r="F33" s="102">
        <f>+PROC1!I37</f>
        <v>0</v>
      </c>
    </row>
    <row r="34" spans="2:6" x14ac:dyDescent="0.2">
      <c r="B34" s="44"/>
      <c r="D34" s="103" t="str">
        <f>+PROC1!D38</f>
        <v>Total Ingresos mes (No se incluye la prima)</v>
      </c>
      <c r="E34" s="104">
        <f>+PROC1!E38</f>
        <v>6000000</v>
      </c>
      <c r="F34" s="104">
        <f>+PROC1!I38</f>
        <v>6000000</v>
      </c>
    </row>
    <row r="35" spans="2:6" ht="13.5" thickBot="1" x14ac:dyDescent="0.25">
      <c r="B35" s="44"/>
      <c r="F35" s="86" t="s">
        <v>33</v>
      </c>
    </row>
    <row r="36" spans="2:6" ht="16.5" thickBot="1" x14ac:dyDescent="0.25">
      <c r="B36" s="99">
        <v>2</v>
      </c>
      <c r="D36" s="26" t="str">
        <f>+PROC1!D40</f>
        <v>Menos ingresos no constitutivos de renta ni ganancia ocasional</v>
      </c>
    </row>
    <row r="37" spans="2:6" ht="15" customHeight="1" x14ac:dyDescent="0.2">
      <c r="B37" s="108"/>
      <c r="D37" s="101" t="str">
        <f>+PROC1!D41</f>
        <v>Aportes obligatorios a Fondos de Pensiones (art. 55 ET)</v>
      </c>
      <c r="E37" s="102">
        <f>+PROC1!E41</f>
        <v>240000</v>
      </c>
      <c r="F37" s="102">
        <f>+PROC1!I41</f>
        <v>240000</v>
      </c>
    </row>
    <row r="38" spans="2:6" ht="15.75" x14ac:dyDescent="0.2">
      <c r="B38" s="108"/>
      <c r="D38" s="101" t="str">
        <f>+PROC1!D42</f>
        <v>Fondo de Solidaridad Pensional</v>
      </c>
      <c r="E38" s="102">
        <f>+PROC1!E42</f>
        <v>60000</v>
      </c>
      <c r="F38" s="102">
        <f>+PROC1!I42</f>
        <v>60000</v>
      </c>
    </row>
    <row r="39" spans="2:6" ht="15.75" x14ac:dyDescent="0.2">
      <c r="B39" s="108"/>
      <c r="D39" s="101" t="str">
        <f>+PROC1!D43</f>
        <v>Aportes voluntarios a fondos de pensiones obligatorios (Régimen ahorro individual) (Art. 55 ET)</v>
      </c>
      <c r="E39" s="102">
        <f>+PROC1!E43</f>
        <v>0</v>
      </c>
      <c r="F39" s="102">
        <f>+PROC1!I43</f>
        <v>0</v>
      </c>
    </row>
    <row r="40" spans="2:6" ht="15.75" x14ac:dyDescent="0.2">
      <c r="B40" s="108"/>
      <c r="D40" s="101" t="str">
        <f>+PROC1!D44</f>
        <v>Aportes obligatorios al sistema de salud (art. 56 ET)</v>
      </c>
      <c r="E40" s="102">
        <f>+PROC1!E44</f>
        <v>240000</v>
      </c>
      <c r="F40" s="102">
        <f>+PROC1!I44</f>
        <v>240000</v>
      </c>
    </row>
    <row r="41" spans="2:6" x14ac:dyDescent="0.2">
      <c r="B41" s="44"/>
      <c r="D41" s="103" t="str">
        <f>+PROC1!D45</f>
        <v>Total ingresos no constitutivos de renta ni ganancia ocasional</v>
      </c>
      <c r="E41" s="104">
        <f>+PROC1!E45</f>
        <v>540000</v>
      </c>
      <c r="F41" s="109">
        <f>+PROC1!I45</f>
        <v>540000</v>
      </c>
    </row>
    <row r="42" spans="2:6" x14ac:dyDescent="0.2">
      <c r="B42" s="44"/>
    </row>
    <row r="43" spans="2:6" x14ac:dyDescent="0.2">
      <c r="B43" s="44"/>
      <c r="D43" s="105" t="str">
        <f>+PROC1!D47</f>
        <v>Subtotal  (A)</v>
      </c>
      <c r="E43" s="106"/>
      <c r="F43" s="104">
        <f>+PROC1!I47</f>
        <v>5460000</v>
      </c>
    </row>
    <row r="44" spans="2:6" ht="13.5" thickBot="1" x14ac:dyDescent="0.25">
      <c r="B44" s="44"/>
    </row>
    <row r="45" spans="2:6" ht="16.5" thickBot="1" x14ac:dyDescent="0.25">
      <c r="B45" s="99">
        <v>3</v>
      </c>
      <c r="D45" s="26" t="s">
        <v>44</v>
      </c>
    </row>
    <row r="46" spans="2:6" x14ac:dyDescent="0.2">
      <c r="B46" s="44"/>
      <c r="D46" s="101" t="str">
        <f>+PROC1!D50</f>
        <v>Intereses por prestamos de vivienda (promedio año anterior o los meses correspondientes)</v>
      </c>
      <c r="E46" s="102">
        <f>+PROC1!E50</f>
        <v>0</v>
      </c>
      <c r="F46" s="102">
        <f>+PROC1!I50</f>
        <v>0</v>
      </c>
    </row>
    <row r="47" spans="2:6" x14ac:dyDescent="0.2">
      <c r="B47" s="44"/>
      <c r="D47" s="101" t="str">
        <f>+PROC1!D51</f>
        <v>Pagos por salud prepagada, Plan complementario de salud, o seguros de salud (art 387 ET)- Promedio del año anterior</v>
      </c>
      <c r="E47" s="102">
        <f>+PROC1!E51</f>
        <v>0</v>
      </c>
      <c r="F47" s="102">
        <f>+PROC1!I51</f>
        <v>0</v>
      </c>
    </row>
    <row r="48" spans="2:6" x14ac:dyDescent="0.2">
      <c r="B48" s="44"/>
      <c r="D48" s="101" t="str">
        <f>+PROC1!D52</f>
        <v>Seleccione "SI" si tiene derecho a dependientes (Art 387 ET)</v>
      </c>
      <c r="E48" s="102">
        <f>+PROC1!E52</f>
        <v>0</v>
      </c>
      <c r="F48" s="102">
        <f>+PROC1!I52</f>
        <v>0</v>
      </c>
    </row>
    <row r="49" spans="2:6" x14ac:dyDescent="0.2">
      <c r="B49" s="44"/>
      <c r="D49" s="103" t="str">
        <f>+PROC1!D54</f>
        <v>Total deducciones</v>
      </c>
      <c r="E49" s="104" t="s">
        <v>33</v>
      </c>
      <c r="F49" s="104">
        <f>+PROC1!I54</f>
        <v>0</v>
      </c>
    </row>
    <row r="50" spans="2:6" x14ac:dyDescent="0.2">
      <c r="B50" s="44"/>
      <c r="D50" s="26"/>
      <c r="E50" s="107"/>
      <c r="F50" s="107"/>
    </row>
    <row r="51" spans="2:6" x14ac:dyDescent="0.2">
      <c r="B51" s="44"/>
      <c r="D51" s="26" t="s">
        <v>47</v>
      </c>
      <c r="E51" s="107"/>
      <c r="F51" s="140"/>
    </row>
    <row r="52" spans="2:6" hidden="1" x14ac:dyDescent="0.2">
      <c r="B52" s="44"/>
      <c r="D52" s="171"/>
      <c r="E52" s="104"/>
      <c r="F52" s="272">
        <f>+PROC1!I57</f>
        <v>0</v>
      </c>
    </row>
    <row r="53" spans="2:6" x14ac:dyDescent="0.2">
      <c r="B53" s="44"/>
      <c r="D53" s="101" t="str">
        <f>+PROC1!D58</f>
        <v>Aportes a Fondos de Pensiones Voluntarias (art. 126-1 ET)</v>
      </c>
      <c r="E53" s="102">
        <f>+PROC1!E58</f>
        <v>0</v>
      </c>
      <c r="F53" s="273"/>
    </row>
    <row r="54" spans="2:6" x14ac:dyDescent="0.2">
      <c r="B54" s="44"/>
      <c r="D54" s="101" t="str">
        <f>+PROC1!D59</f>
        <v>Aportes con destino a cuentas AFC, AVC (art 126-4 ET)</v>
      </c>
      <c r="E54" s="102">
        <f>+PROC1!E59</f>
        <v>0</v>
      </c>
      <c r="F54" s="274"/>
    </row>
    <row r="55" spans="2:6" hidden="1" x14ac:dyDescent="0.2">
      <c r="B55" s="44"/>
      <c r="D55" s="101">
        <f>+PROC1!D60</f>
        <v>0</v>
      </c>
      <c r="E55" s="102">
        <f>+PROC1!E60</f>
        <v>0</v>
      </c>
      <c r="F55" s="104">
        <f>+PROC1!I60</f>
        <v>0</v>
      </c>
    </row>
    <row r="56" spans="2:6" hidden="1" x14ac:dyDescent="0.2">
      <c r="B56" s="44"/>
      <c r="D56" s="101" t="str">
        <f>+PROC1!D61</f>
        <v>Indemnizaciones por accidentes de trabajo o enfermedad (art 206 ET Num 1)</v>
      </c>
      <c r="E56" s="102">
        <f>+PROC1!E61</f>
        <v>0</v>
      </c>
      <c r="F56" s="104">
        <f>+PROC1!I61</f>
        <v>0</v>
      </c>
    </row>
    <row r="57" spans="2:6" ht="0.6" hidden="1" customHeight="1" x14ac:dyDescent="0.2">
      <c r="B57" s="44"/>
      <c r="D57" s="101">
        <f>+PROC1!D62</f>
        <v>0</v>
      </c>
      <c r="E57" s="102">
        <f>+PROC1!E62</f>
        <v>0</v>
      </c>
      <c r="F57" s="104">
        <f>+PROC1!I62</f>
        <v>0</v>
      </c>
    </row>
    <row r="58" spans="2:6" x14ac:dyDescent="0.2">
      <c r="B58" s="44"/>
      <c r="D58" s="101" t="str">
        <f>+PROC1!D63</f>
        <v>Indemnizaciones proteccion a la maternidad (art 206 ET Num 2)</v>
      </c>
      <c r="E58" s="102">
        <f>+PROC1!E63</f>
        <v>0</v>
      </c>
      <c r="F58" s="104">
        <f>+PROC1!I63</f>
        <v>0</v>
      </c>
    </row>
    <row r="59" spans="2:6" x14ac:dyDescent="0.2">
      <c r="B59" s="44"/>
      <c r="D59" s="101" t="str">
        <f>+PROC1!D64</f>
        <v>Gastos de entierro del trabajador (art 206 ET Num 3)</v>
      </c>
      <c r="E59" s="102">
        <f>+PROC1!E64</f>
        <v>0</v>
      </c>
      <c r="F59" s="104">
        <f>+PROC1!I64</f>
        <v>0</v>
      </c>
    </row>
    <row r="60" spans="2:6" x14ac:dyDescent="0.2">
      <c r="B60" s="44"/>
      <c r="D60" s="101" t="str">
        <f>+PROC1!D65</f>
        <v>Otras rentas exentas (Art. 206 ET)</v>
      </c>
      <c r="E60" s="102">
        <f>+PROC1!E65</f>
        <v>0</v>
      </c>
      <c r="F60" s="104">
        <f>+PROC1!I65</f>
        <v>0</v>
      </c>
    </row>
    <row r="61" spans="2:6" x14ac:dyDescent="0.2">
      <c r="B61" s="44"/>
      <c r="D61" s="103" t="str">
        <f>+PROC1!D66</f>
        <v>Total renta exentas</v>
      </c>
      <c r="E61" s="102"/>
      <c r="F61" s="104">
        <f>+PROC1!I66</f>
        <v>0</v>
      </c>
    </row>
    <row r="62" spans="2:6" x14ac:dyDescent="0.2">
      <c r="B62" s="44"/>
    </row>
    <row r="63" spans="2:6" x14ac:dyDescent="0.2">
      <c r="B63" s="44"/>
      <c r="D63" s="105" t="str">
        <f>+PROC1!D68</f>
        <v>Subtotal  (B)</v>
      </c>
      <c r="E63" s="106"/>
      <c r="F63" s="104">
        <f>+PROC1!I68</f>
        <v>5460000</v>
      </c>
    </row>
    <row r="64" spans="2:6" x14ac:dyDescent="0.2">
      <c r="B64" s="44"/>
      <c r="D64" s="105" t="str">
        <f>+PROC1!D69</f>
        <v>Valor de la prima de servicios</v>
      </c>
      <c r="E64" s="106"/>
      <c r="F64" s="104">
        <f>+PROC1!I69</f>
        <v>0</v>
      </c>
    </row>
    <row r="65" spans="2:7" x14ac:dyDescent="0.2">
      <c r="B65" s="44"/>
      <c r="D65" s="105" t="str">
        <f>+PROC1!D70</f>
        <v>Subtotal  (B)</v>
      </c>
      <c r="E65" s="106"/>
      <c r="F65" s="104">
        <f>+PROC1!I70</f>
        <v>5460000</v>
      </c>
    </row>
    <row r="66" spans="2:7" ht="13.5" thickBot="1" x14ac:dyDescent="0.25">
      <c r="B66" s="44"/>
    </row>
    <row r="67" spans="2:7" ht="16.5" thickBot="1" x14ac:dyDescent="0.25">
      <c r="B67" s="99">
        <v>4</v>
      </c>
      <c r="D67" s="105" t="str">
        <f>+PROC1!D72</f>
        <v>Menos renta exenta -25%  del subtotal (B)  (Numeral 10 art. 206 ET)</v>
      </c>
      <c r="E67" s="110"/>
      <c r="F67" s="104">
        <f>+PROC1!I72</f>
        <v>1365000</v>
      </c>
    </row>
    <row r="68" spans="2:7" x14ac:dyDescent="0.2"/>
    <row r="69" spans="2:7" x14ac:dyDescent="0.2">
      <c r="D69" s="222" t="str">
        <f>+PROC1!D75</f>
        <v>LIMITE GENERAL DE RENTAS EXENTAS Y DEDUCCIONES   40% DEL INGRESO NETO Y HASTA 1.340 UVT</v>
      </c>
      <c r="E69" s="221"/>
      <c r="F69" s="104">
        <f>+PROC1!I75</f>
        <v>1365000</v>
      </c>
    </row>
    <row r="70" spans="2:7" ht="11.45" customHeight="1" x14ac:dyDescent="0.2"/>
    <row r="72" spans="2:7" ht="15" x14ac:dyDescent="0.25">
      <c r="D72" s="105" t="str">
        <f>+PROC1!D77</f>
        <v>Base Gravable (Ver Tabla)</v>
      </c>
      <c r="E72" s="106"/>
      <c r="F72" s="104">
        <f>+PROC1!I77</f>
        <v>4095000</v>
      </c>
      <c r="G72" s="123"/>
    </row>
    <row r="73" spans="2:7" x14ac:dyDescent="0.2"/>
    <row r="74" spans="2:7" ht="15" x14ac:dyDescent="0.25">
      <c r="D74" s="113" t="str">
        <f>+PROC1!D81</f>
        <v>Valor retención en la fuente Art. 383 ET</v>
      </c>
      <c r="E74" s="111"/>
      <c r="F74" s="112">
        <f>+PROC1!I81</f>
        <v>13000</v>
      </c>
      <c r="G74" s="115"/>
    </row>
    <row r="75" spans="2:7" ht="15" x14ac:dyDescent="0.25">
      <c r="D75" s="113" t="str">
        <f>+PROC1!D82</f>
        <v>Valor retención en la fuente a practicar por prima de servicios (art. 383 ET)</v>
      </c>
      <c r="E75" s="111"/>
      <c r="F75" s="112">
        <f>+PROC1!I82</f>
        <v>0</v>
      </c>
    </row>
    <row r="76" spans="2:7" ht="15" x14ac:dyDescent="0.25">
      <c r="D76" s="113" t="str">
        <f>+PROC1!D84</f>
        <v>Total retenciones a practicar  en el mes (Art. 383 ET)</v>
      </c>
      <c r="E76" s="111"/>
      <c r="F76" s="112">
        <f>+PROC1!I84</f>
        <v>13000</v>
      </c>
      <c r="G76" s="115" t="str">
        <f>+PROC1!J84</f>
        <v xml:space="preserve"> </v>
      </c>
    </row>
    <row r="77" spans="2:7" ht="15" x14ac:dyDescent="0.25">
      <c r="D77" s="100"/>
      <c r="E77" s="117"/>
      <c r="F77" s="118"/>
      <c r="G77" s="115"/>
    </row>
    <row r="78" spans="2:7" ht="15" x14ac:dyDescent="0.25">
      <c r="D78" s="100"/>
      <c r="E78" s="117"/>
      <c r="F78" s="118"/>
      <c r="G78" s="115"/>
    </row>
    <row r="79" spans="2:7" ht="15" x14ac:dyDescent="0.25">
      <c r="D79" s="100"/>
      <c r="E79" s="117"/>
      <c r="F79" s="118"/>
      <c r="G79" s="115"/>
    </row>
    <row r="80" spans="2:7" x14ac:dyDescent="0.2"/>
    <row r="81" spans="4:6" ht="15" x14ac:dyDescent="0.2">
      <c r="D81" s="223">
        <f ca="1">+PROC1!J77</f>
        <v>0</v>
      </c>
    </row>
    <row r="82" spans="4:6" x14ac:dyDescent="0.2"/>
    <row r="83" spans="4:6" x14ac:dyDescent="0.2"/>
    <row r="84" spans="4:6" x14ac:dyDescent="0.2">
      <c r="F84" s="86" t="s">
        <v>45</v>
      </c>
    </row>
    <row r="85" spans="4:6" x14ac:dyDescent="0.2">
      <c r="F85" s="86" t="s">
        <v>46</v>
      </c>
    </row>
    <row r="86" spans="4:6" x14ac:dyDescent="0.2"/>
    <row r="87" spans="4:6" x14ac:dyDescent="0.2"/>
    <row r="95" spans="4:6" x14ac:dyDescent="0.2"/>
    <row r="96" spans="4: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sheetData>
  <sheetProtection algorithmName="SHA-512" hashValue="hNYkwAX71zff8rgrnIe+i8Buk8q+7Rkdwku2ueCqgs/pWTeRR5HcX85hwKP9vaSWDxVVrL11dv1pJ8wllPXLlA==" saltValue="biabbSo3un0xMp4DVfeEjQ==" spinCount="100000" sheet="1" objects="1" scenarios="1"/>
  <mergeCells count="2">
    <mergeCell ref="F52:F54"/>
    <mergeCell ref="E10:F10"/>
  </mergeCells>
  <phoneticPr fontId="2" type="noConversion"/>
  <dataValidations xWindow="951" yWindow="123" count="4">
    <dataValidation allowBlank="1" showInputMessage="1" showErrorMessage="1" prompt="Recuerde que estos pagos que efectue el empleador por concepto de alimentación  del trabajador  o de su conyugue co compañero (a) permanente, sus hijos o su padres son ingresos no constitutivos de renta" sqref="E41" xr:uid="{00000000-0002-0000-0100-000000000000}"/>
    <dataValidation allowBlank="1" showInputMessage="1" showErrorMessage="1" promptTitle="Incluya" prompt="Pagos directos o indirectos_x000a_En dinero o en especie_x000a_Sean o no factor salarial_x000a_Art. 127 y 128 del CST_x000a__x000a_Recuerde que en el mes que se pague prima legal, esta se debe liquidar de forma independiente._x000a_" sqref="D34 D16:E33" xr:uid="{00000000-0002-0000-0100-000001000000}"/>
    <dataValidation allowBlank="1" showInputMessage="1" showErrorMessage="1" prompt="Digite la totalidad de los ingresos recibidos en el año anterior" sqref="F6" xr:uid="{00000000-0002-0000-0100-000002000000}"/>
    <dataValidation allowBlank="1" showInputMessage="1" showErrorMessage="1" prompt="Digite el valor promedio mensual  correspondinte al descontado al trabajador en el año inmediatamente anterior_x000a_" sqref="E46:E48" xr:uid="{00000000-0002-0000-0100-000003000000}"/>
  </dataValidations>
  <pageMargins left="0.39370078740157483" right="0.39370078740157483" top="0.19685039370078741" bottom="0.19685039370078741" header="0" footer="0"/>
  <pageSetup scale="74" orientation="portrait" r:id="rId1"/>
  <headerFooter alignWithMargins="0">
    <oddFooter>&amp;C&amp;D&amp;T&amp;R&amp;8
&amp;10www.consultorcontable.com</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2"/>
  <dimension ref="B1:I32"/>
  <sheetViews>
    <sheetView showGridLines="0" defaultGridColor="0" colorId="23" zoomScaleNormal="100" workbookViewId="0">
      <selection activeCell="A15" sqref="A15"/>
    </sheetView>
  </sheetViews>
  <sheetFormatPr baseColWidth="10" defaultColWidth="0" defaultRowHeight="12.75" outlineLevelCol="1" x14ac:dyDescent="0.2"/>
  <cols>
    <col min="1" max="1" width="0.85546875" customWidth="1"/>
    <col min="2" max="2" width="14.7109375" bestFit="1" customWidth="1"/>
    <col min="3" max="3" width="16.7109375" customWidth="1"/>
    <col min="4" max="4" width="14.140625" customWidth="1"/>
    <col min="5" max="5" width="51.5703125" customWidth="1"/>
    <col min="6" max="6" width="13.140625" hidden="1" customWidth="1" outlineLevel="1"/>
    <col min="7" max="7" width="12.42578125" hidden="1" customWidth="1" outlineLevel="1"/>
    <col min="8" max="8" width="9.5703125" hidden="1" customWidth="1" outlineLevel="1"/>
    <col min="9" max="9" width="11.42578125" customWidth="1" collapsed="1"/>
  </cols>
  <sheetData>
    <row r="1" spans="2:8" ht="5.25" customHeight="1" x14ac:dyDescent="0.2">
      <c r="E1" s="13"/>
    </row>
    <row r="2" spans="2:8" ht="12" customHeight="1" x14ac:dyDescent="0.2">
      <c r="B2" s="143"/>
      <c r="C2" s="143"/>
      <c r="D2" s="143"/>
      <c r="E2" s="144"/>
    </row>
    <row r="3" spans="2:8" ht="15.75" customHeight="1" x14ac:dyDescent="0.25">
      <c r="B3" s="143"/>
      <c r="C3" s="277" t="s">
        <v>23</v>
      </c>
      <c r="D3" s="277"/>
      <c r="E3" s="277"/>
      <c r="F3" s="21"/>
    </row>
    <row r="4" spans="2:8" ht="17.25" customHeight="1" x14ac:dyDescent="0.2">
      <c r="B4" s="143"/>
      <c r="C4" s="143"/>
      <c r="D4" s="143"/>
      <c r="E4" s="144"/>
    </row>
    <row r="5" spans="2:8" ht="13.5" thickBot="1" x14ac:dyDescent="0.25"/>
    <row r="6" spans="2:8" ht="15.75" thickBot="1" x14ac:dyDescent="0.3">
      <c r="B6" s="284" t="s">
        <v>69</v>
      </c>
      <c r="C6" s="285"/>
      <c r="D6" s="285"/>
      <c r="E6" s="286"/>
    </row>
    <row r="7" spans="2:8" ht="15" customHeight="1" x14ac:dyDescent="0.2">
      <c r="B7" s="14"/>
      <c r="C7" s="1"/>
      <c r="D7" s="1" t="s">
        <v>35</v>
      </c>
      <c r="E7" s="1"/>
      <c r="G7" t="s">
        <v>3</v>
      </c>
      <c r="H7" s="8">
        <f>+PROC1!I77/PROC1!I14</f>
        <v>96.552862397434694</v>
      </c>
    </row>
    <row r="8" spans="2:8" ht="10.9" customHeight="1" thickBot="1" x14ac:dyDescent="0.25">
      <c r="B8" s="1"/>
      <c r="C8" s="1"/>
      <c r="D8" s="1"/>
      <c r="E8" s="1"/>
    </row>
    <row r="9" spans="2:8" ht="14.25" customHeight="1" x14ac:dyDescent="0.2">
      <c r="B9" s="282" t="s">
        <v>17</v>
      </c>
      <c r="C9" s="283"/>
      <c r="D9" s="289" t="s">
        <v>20</v>
      </c>
      <c r="E9" s="287" t="s">
        <v>21</v>
      </c>
      <c r="F9" s="280" t="s">
        <v>2</v>
      </c>
      <c r="G9" s="278" t="s">
        <v>22</v>
      </c>
      <c r="H9" s="278" t="s">
        <v>3</v>
      </c>
    </row>
    <row r="10" spans="2:8" ht="15" customHeight="1" thickBot="1" x14ac:dyDescent="0.25">
      <c r="B10" s="220" t="s">
        <v>18</v>
      </c>
      <c r="C10" s="220" t="s">
        <v>19</v>
      </c>
      <c r="D10" s="290"/>
      <c r="E10" s="288"/>
      <c r="F10" s="281"/>
      <c r="G10" s="279"/>
      <c r="H10" s="279"/>
    </row>
    <row r="11" spans="2:8" ht="23.25" customHeight="1" thickBot="1" x14ac:dyDescent="0.25">
      <c r="B11" s="15" t="s">
        <v>0</v>
      </c>
      <c r="C11" s="15">
        <v>95</v>
      </c>
      <c r="D11" s="16">
        <v>0</v>
      </c>
      <c r="E11" s="217">
        <v>0</v>
      </c>
      <c r="F11" s="22"/>
      <c r="G11" s="2"/>
      <c r="H11" s="5"/>
    </row>
    <row r="12" spans="2:8" ht="29.25" thickBot="1" x14ac:dyDescent="0.25">
      <c r="B12" s="17">
        <v>95</v>
      </c>
      <c r="C12" s="17">
        <v>150</v>
      </c>
      <c r="D12" s="18">
        <v>0.19</v>
      </c>
      <c r="E12" s="218" t="s">
        <v>77</v>
      </c>
      <c r="F12" s="22"/>
      <c r="G12" s="2" t="b">
        <f t="shared" ref="G12:G17" si="0">AND($H$7&gt;=B12,$H$7&lt;C12)</f>
        <v>1</v>
      </c>
      <c r="H12" s="5">
        <f>IF(G12=TRUE,($H$7-B12)*D12,0)</f>
        <v>0.29504385551259193</v>
      </c>
    </row>
    <row r="13" spans="2:8" ht="29.25" thickBot="1" x14ac:dyDescent="0.25">
      <c r="B13" s="17">
        <v>150</v>
      </c>
      <c r="C13" s="17">
        <v>360</v>
      </c>
      <c r="D13" s="18">
        <v>0.28000000000000003</v>
      </c>
      <c r="E13" s="218" t="s">
        <v>78</v>
      </c>
      <c r="F13" s="22">
        <v>10</v>
      </c>
      <c r="G13" s="2" t="b">
        <f t="shared" si="0"/>
        <v>0</v>
      </c>
      <c r="H13" s="5">
        <f>IF(G13=TRUE,($H$7-B13)*D13+F13,0)</f>
        <v>0</v>
      </c>
    </row>
    <row r="14" spans="2:8" ht="29.25" thickBot="1" x14ac:dyDescent="0.25">
      <c r="B14" s="19">
        <v>360</v>
      </c>
      <c r="C14" s="19">
        <v>640</v>
      </c>
      <c r="D14" s="20">
        <v>0.33</v>
      </c>
      <c r="E14" s="218" t="s">
        <v>79</v>
      </c>
      <c r="F14" s="23">
        <v>69</v>
      </c>
      <c r="G14" s="3" t="b">
        <f t="shared" si="0"/>
        <v>0</v>
      </c>
      <c r="H14" s="6">
        <f>IF(G14=TRUE,($H$7-B14)*D14+F14,0)</f>
        <v>0</v>
      </c>
    </row>
    <row r="15" spans="2:8" ht="29.25" thickBot="1" x14ac:dyDescent="0.25">
      <c r="B15" s="19">
        <v>640</v>
      </c>
      <c r="C15" s="19">
        <v>945</v>
      </c>
      <c r="D15" s="20">
        <v>0.35</v>
      </c>
      <c r="E15" s="218" t="s">
        <v>80</v>
      </c>
      <c r="F15" s="23">
        <v>162</v>
      </c>
      <c r="G15" s="3" t="b">
        <f t="shared" si="0"/>
        <v>0</v>
      </c>
      <c r="H15" s="6">
        <f>IF(G15=TRUE,($H$7-B15)*D15+F15,0)</f>
        <v>0</v>
      </c>
    </row>
    <row r="16" spans="2:8" ht="29.25" thickBot="1" x14ac:dyDescent="0.25">
      <c r="B16" s="19">
        <v>945</v>
      </c>
      <c r="C16" s="19">
        <v>2300</v>
      </c>
      <c r="D16" s="20">
        <v>0.37</v>
      </c>
      <c r="E16" s="218" t="s">
        <v>81</v>
      </c>
      <c r="F16" s="23">
        <v>268</v>
      </c>
      <c r="G16" s="3" t="b">
        <f t="shared" si="0"/>
        <v>0</v>
      </c>
      <c r="H16" s="6">
        <f>IF(G16=TRUE,($H$7-B16)*D16+F16,0)</f>
        <v>0</v>
      </c>
    </row>
    <row r="17" spans="2:8" ht="29.25" thickBot="1" x14ac:dyDescent="0.25">
      <c r="B17" s="17">
        <v>2300</v>
      </c>
      <c r="C17" s="17" t="s">
        <v>1</v>
      </c>
      <c r="D17" s="18">
        <v>0.39</v>
      </c>
      <c r="E17" s="219" t="s">
        <v>82</v>
      </c>
      <c r="F17" s="23">
        <v>770</v>
      </c>
      <c r="G17" s="3" t="b">
        <f t="shared" si="0"/>
        <v>0</v>
      </c>
      <c r="H17" s="6">
        <f>IF(G17=TRUE,($H$7-B17)*D17+F17,0)</f>
        <v>0</v>
      </c>
    </row>
    <row r="18" spans="2:8" ht="13.5" thickBot="1" x14ac:dyDescent="0.25">
      <c r="H18" s="7">
        <f>SUM(H12:H17)</f>
        <v>0.29504385551259193</v>
      </c>
    </row>
    <row r="19" spans="2:8" x14ac:dyDescent="0.2">
      <c r="B19" s="24" t="s">
        <v>5</v>
      </c>
      <c r="C19" s="10"/>
    </row>
    <row r="20" spans="2:8" x14ac:dyDescent="0.2">
      <c r="B20" s="10"/>
      <c r="C20" s="10"/>
      <c r="F20" s="125">
        <f>+H7</f>
        <v>96.552862397434694</v>
      </c>
    </row>
    <row r="21" spans="2:8" x14ac:dyDescent="0.2">
      <c r="B21" s="10"/>
      <c r="C21" s="10"/>
      <c r="F21">
        <f>+G21</f>
        <v>145</v>
      </c>
      <c r="G21">
        <v>145</v>
      </c>
    </row>
    <row r="22" spans="2:8" x14ac:dyDescent="0.2">
      <c r="F22" s="4">
        <f>+F20-F21</f>
        <v>-48.447137602565306</v>
      </c>
    </row>
    <row r="23" spans="2:8" x14ac:dyDescent="0.2">
      <c r="F23" s="126">
        <f>+F22*G23</f>
        <v>-13.565198528718287</v>
      </c>
      <c r="G23" s="127">
        <v>0.28000000000000003</v>
      </c>
    </row>
    <row r="24" spans="2:8" x14ac:dyDescent="0.2">
      <c r="F24" s="128">
        <f>+F23+G24</f>
        <v>-2.5651985287182875</v>
      </c>
      <c r="G24">
        <v>11</v>
      </c>
    </row>
    <row r="27" spans="2:8" x14ac:dyDescent="0.2">
      <c r="F27" s="129">
        <f>+H18-F24</f>
        <v>2.8602423842308795</v>
      </c>
    </row>
    <row r="28" spans="2:8" x14ac:dyDescent="0.2">
      <c r="D28" s="11"/>
    </row>
    <row r="32" spans="2:8" x14ac:dyDescent="0.2">
      <c r="C32" s="12"/>
      <c r="D32" s="9"/>
    </row>
  </sheetData>
  <sheetProtection algorithmName="SHA-512" hashValue="TsPI3c5KTRUAPC0Vqc1MBKdjNElnvXdSBHUf2pqRfcoCmfVTYEXhdqYEynwEVqm3q4NqfCLhBhBAfnrxPgF3yQ==" saltValue="O37fCgyj5PoZsY5shfr+wg==" spinCount="100000" sheet="1" objects="1" scenarios="1"/>
  <mergeCells count="8">
    <mergeCell ref="C3:E3"/>
    <mergeCell ref="H9:H10"/>
    <mergeCell ref="F9:F10"/>
    <mergeCell ref="B9:C9"/>
    <mergeCell ref="B6:E6"/>
    <mergeCell ref="E9:E10"/>
    <mergeCell ref="D9:D10"/>
    <mergeCell ref="G9:G10"/>
  </mergeCells>
  <phoneticPr fontId="2" type="noConversion"/>
  <printOptions horizontalCentered="1" verticalCentered="1"/>
  <pageMargins left="0.78740157480314965" right="0.78740157480314965" top="0.98425196850393704" bottom="0.98425196850393704" header="0" footer="0"/>
  <pageSetup paperSize="119" scale="9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7"/>
  <dimension ref="B1:H38"/>
  <sheetViews>
    <sheetView showGridLines="0" defaultGridColor="0" topLeftCell="A7" colorId="23" zoomScaleNormal="100" workbookViewId="0">
      <selection activeCell="B12" sqref="B12"/>
    </sheetView>
  </sheetViews>
  <sheetFormatPr baseColWidth="10" defaultColWidth="0" defaultRowHeight="12.75" outlineLevelCol="1" x14ac:dyDescent="0.2"/>
  <cols>
    <col min="1" max="1" width="0.85546875" customWidth="1"/>
    <col min="2" max="2" width="15.7109375" customWidth="1"/>
    <col min="3" max="3" width="16.7109375" customWidth="1"/>
    <col min="4" max="4" width="14.140625" customWidth="1"/>
    <col min="5" max="5" width="51.5703125" customWidth="1"/>
    <col min="6" max="6" width="13.7109375" customWidth="1" outlineLevel="1"/>
    <col min="7" max="7" width="13.5703125" customWidth="1" outlineLevel="1"/>
    <col min="8" max="8" width="12.5703125" customWidth="1" outlineLevel="1"/>
    <col min="9" max="9" width="11.42578125" customWidth="1"/>
  </cols>
  <sheetData>
    <row r="1" spans="2:8" ht="5.25" customHeight="1" x14ac:dyDescent="0.2">
      <c r="E1" s="13"/>
    </row>
    <row r="2" spans="2:8" ht="12" customHeight="1" x14ac:dyDescent="0.2">
      <c r="B2" s="143"/>
      <c r="C2" s="143"/>
      <c r="D2" s="143"/>
      <c r="E2" s="144"/>
    </row>
    <row r="3" spans="2:8" ht="15.75" customHeight="1" x14ac:dyDescent="0.25">
      <c r="B3" s="143"/>
      <c r="C3" s="277" t="s">
        <v>23</v>
      </c>
      <c r="D3" s="277"/>
      <c r="E3" s="277"/>
      <c r="F3" s="21"/>
    </row>
    <row r="4" spans="2:8" ht="17.25" customHeight="1" x14ac:dyDescent="0.2">
      <c r="B4" s="143"/>
      <c r="C4" s="143"/>
      <c r="D4" s="143"/>
      <c r="E4" s="144"/>
    </row>
    <row r="5" spans="2:8" ht="13.5" thickBot="1" x14ac:dyDescent="0.25"/>
    <row r="6" spans="2:8" ht="15.75" thickBot="1" x14ac:dyDescent="0.3">
      <c r="B6" s="292" t="s">
        <v>90</v>
      </c>
      <c r="C6" s="293"/>
      <c r="D6" s="293"/>
      <c r="E6" s="294"/>
    </row>
    <row r="7" spans="2:8" ht="15" customHeight="1" x14ac:dyDescent="0.25">
      <c r="B7" s="14"/>
      <c r="C7" s="1"/>
      <c r="D7" s="21" t="s">
        <v>34</v>
      </c>
      <c r="E7" s="1"/>
      <c r="G7" t="s">
        <v>3</v>
      </c>
      <c r="H7" s="8">
        <f>+D26/PROC1!I14</f>
        <v>0</v>
      </c>
    </row>
    <row r="8" spans="2:8" ht="10.9" customHeight="1" thickBot="1" x14ac:dyDescent="0.25">
      <c r="B8" s="1"/>
      <c r="C8" s="1"/>
      <c r="D8" s="1"/>
      <c r="E8" s="1"/>
    </row>
    <row r="9" spans="2:8" ht="14.25" customHeight="1" x14ac:dyDescent="0.2">
      <c r="B9" s="295" t="s">
        <v>17</v>
      </c>
      <c r="C9" s="295"/>
      <c r="D9" s="296" t="s">
        <v>20</v>
      </c>
      <c r="E9" s="295" t="s">
        <v>21</v>
      </c>
      <c r="F9" s="280" t="s">
        <v>2</v>
      </c>
      <c r="G9" s="278" t="s">
        <v>22</v>
      </c>
      <c r="H9" s="278" t="s">
        <v>3</v>
      </c>
    </row>
    <row r="10" spans="2:8" ht="15" customHeight="1" x14ac:dyDescent="0.2">
      <c r="B10" s="200" t="s">
        <v>18</v>
      </c>
      <c r="C10" s="200" t="s">
        <v>19</v>
      </c>
      <c r="D10" s="296"/>
      <c r="E10" s="295"/>
      <c r="F10" s="297"/>
      <c r="G10" s="291"/>
      <c r="H10" s="291"/>
    </row>
    <row r="11" spans="2:8" ht="23.25" customHeight="1" x14ac:dyDescent="0.2">
      <c r="B11" s="17" t="s">
        <v>0</v>
      </c>
      <c r="C11" s="17">
        <v>95</v>
      </c>
      <c r="D11" s="18">
        <v>0</v>
      </c>
      <c r="E11" s="136">
        <v>0</v>
      </c>
      <c r="F11" s="198"/>
      <c r="G11" s="137"/>
      <c r="H11" s="138"/>
    </row>
    <row r="12" spans="2:8" ht="28.5" x14ac:dyDescent="0.2">
      <c r="B12" s="17">
        <v>95</v>
      </c>
      <c r="C12" s="17">
        <v>150</v>
      </c>
      <c r="D12" s="18">
        <v>0.19</v>
      </c>
      <c r="E12" s="199" t="s">
        <v>77</v>
      </c>
      <c r="F12" s="198"/>
      <c r="G12" s="137" t="b">
        <f t="shared" ref="G12:G17" si="0">AND($H$7&gt;=B12,$H$7&lt;C12)</f>
        <v>0</v>
      </c>
      <c r="H12" s="138">
        <f>IF(G12=TRUE,($H$7-B12)*D12,0)</f>
        <v>0</v>
      </c>
    </row>
    <row r="13" spans="2:8" ht="28.5" x14ac:dyDescent="0.2">
      <c r="B13" s="17">
        <v>150</v>
      </c>
      <c r="C13" s="17">
        <v>360</v>
      </c>
      <c r="D13" s="18">
        <v>0.28000000000000003</v>
      </c>
      <c r="E13" s="199" t="s">
        <v>78</v>
      </c>
      <c r="F13" s="198">
        <v>10</v>
      </c>
      <c r="G13" s="137" t="b">
        <f t="shared" si="0"/>
        <v>0</v>
      </c>
      <c r="H13" s="138">
        <f>IF(G13=TRUE,($H$7-B13)*D13+F13,0)</f>
        <v>0</v>
      </c>
    </row>
    <row r="14" spans="2:8" ht="28.5" x14ac:dyDescent="0.2">
      <c r="B14" s="17">
        <v>360</v>
      </c>
      <c r="C14" s="17">
        <v>640</v>
      </c>
      <c r="D14" s="18">
        <v>0.33</v>
      </c>
      <c r="E14" s="199" t="s">
        <v>79</v>
      </c>
      <c r="F14" s="198">
        <v>69</v>
      </c>
      <c r="G14" s="137" t="b">
        <f t="shared" si="0"/>
        <v>0</v>
      </c>
      <c r="H14" s="138">
        <f>IF(G14=TRUE,($H$7-B14)*D14+F14,0)</f>
        <v>0</v>
      </c>
    </row>
    <row r="15" spans="2:8" ht="28.5" x14ac:dyDescent="0.2">
      <c r="B15" s="17">
        <v>640</v>
      </c>
      <c r="C15" s="17">
        <v>945</v>
      </c>
      <c r="D15" s="18">
        <v>0.35</v>
      </c>
      <c r="E15" s="199" t="s">
        <v>80</v>
      </c>
      <c r="F15" s="198">
        <v>162</v>
      </c>
      <c r="G15" s="137" t="b">
        <f t="shared" si="0"/>
        <v>0</v>
      </c>
      <c r="H15" s="138">
        <f>IF(G15=TRUE,($H$7-B15)*D15+F15,0)</f>
        <v>0</v>
      </c>
    </row>
    <row r="16" spans="2:8" ht="28.5" x14ac:dyDescent="0.2">
      <c r="B16" s="17">
        <v>945</v>
      </c>
      <c r="C16" s="17">
        <v>2300</v>
      </c>
      <c r="D16" s="18">
        <v>0.37</v>
      </c>
      <c r="E16" s="199" t="s">
        <v>81</v>
      </c>
      <c r="F16" s="198">
        <v>268</v>
      </c>
      <c r="G16" s="137" t="b">
        <f t="shared" si="0"/>
        <v>0</v>
      </c>
      <c r="H16" s="138">
        <f>IF(G16=TRUE,($H$7-B16)*D16+F16,0)</f>
        <v>0</v>
      </c>
    </row>
    <row r="17" spans="2:8" ht="28.5" x14ac:dyDescent="0.2">
      <c r="B17" s="17">
        <v>2300</v>
      </c>
      <c r="C17" s="17" t="s">
        <v>1</v>
      </c>
      <c r="D17" s="18">
        <v>0.39</v>
      </c>
      <c r="E17" s="199" t="s">
        <v>82</v>
      </c>
      <c r="F17" s="198">
        <v>770</v>
      </c>
      <c r="G17" s="137" t="b">
        <f t="shared" si="0"/>
        <v>0</v>
      </c>
      <c r="H17" s="138">
        <f>IF(G17=TRUE,($H$7-B17)*D17+F17,0)</f>
        <v>0</v>
      </c>
    </row>
    <row r="18" spans="2:8" ht="13.5" thickBot="1" x14ac:dyDescent="0.25">
      <c r="H18" s="135">
        <f>SUM(H12:H17)</f>
        <v>0</v>
      </c>
    </row>
    <row r="19" spans="2:8" x14ac:dyDescent="0.2">
      <c r="B19" s="24" t="s">
        <v>5</v>
      </c>
      <c r="C19" s="10"/>
    </row>
    <row r="20" spans="2:8" x14ac:dyDescent="0.2">
      <c r="B20" s="10"/>
      <c r="C20" s="10"/>
    </row>
    <row r="21" spans="2:8" x14ac:dyDescent="0.2">
      <c r="B21" s="10"/>
      <c r="C21" s="10"/>
    </row>
    <row r="22" spans="2:8" x14ac:dyDescent="0.2">
      <c r="F22" s="4"/>
    </row>
    <row r="23" spans="2:8" x14ac:dyDescent="0.2">
      <c r="B23" t="s">
        <v>36</v>
      </c>
      <c r="D23" s="245">
        <f>+PROC1!E34</f>
        <v>0</v>
      </c>
    </row>
    <row r="24" spans="2:8" x14ac:dyDescent="0.2">
      <c r="B24" s="228" t="s">
        <v>119</v>
      </c>
      <c r="D24" s="245">
        <f>+D23*0.25</f>
        <v>0</v>
      </c>
    </row>
    <row r="25" spans="2:8" x14ac:dyDescent="0.2">
      <c r="B25" s="228" t="s">
        <v>116</v>
      </c>
      <c r="D25" s="245">
        <f>IF(C32=0,0,MIN(D27,D24))</f>
        <v>0</v>
      </c>
    </row>
    <row r="26" spans="2:8" x14ac:dyDescent="0.2">
      <c r="B26" s="26" t="s">
        <v>38</v>
      </c>
      <c r="C26" s="26"/>
      <c r="D26" s="246">
        <f>IF(D23-D25&lt;0,0,D23-D25)</f>
        <v>0</v>
      </c>
    </row>
    <row r="27" spans="2:8" hidden="1" x14ac:dyDescent="0.2">
      <c r="B27" s="249"/>
      <c r="C27" s="26"/>
      <c r="D27" s="245">
        <f>IF(D24&lt;C30,C32,(C30-C31))</f>
        <v>1427123.333333333</v>
      </c>
    </row>
    <row r="30" spans="2:8" x14ac:dyDescent="0.2">
      <c r="B30" t="s">
        <v>37</v>
      </c>
      <c r="C30" s="247">
        <f>+PROC1!F73</f>
        <v>2792123.333333333</v>
      </c>
      <c r="G30" s="245"/>
    </row>
    <row r="31" spans="2:8" x14ac:dyDescent="0.2">
      <c r="B31" s="228" t="s">
        <v>117</v>
      </c>
      <c r="C31" s="245">
        <f>+PROC1!I72</f>
        <v>1365000</v>
      </c>
    </row>
    <row r="32" spans="2:8" x14ac:dyDescent="0.2">
      <c r="B32" s="228" t="s">
        <v>118</v>
      </c>
      <c r="C32" s="248">
        <f>+C30-C31</f>
        <v>1427123.333333333</v>
      </c>
    </row>
    <row r="34" spans="2:4" x14ac:dyDescent="0.2">
      <c r="B34" s="26"/>
      <c r="C34" s="116"/>
      <c r="D34" s="11"/>
    </row>
    <row r="38" spans="2:4" x14ac:dyDescent="0.2">
      <c r="C38" s="12"/>
      <c r="D38" s="9"/>
    </row>
  </sheetData>
  <sheetProtection algorithmName="SHA-512" hashValue="BFqspRbsXmfN7IRqYeHGQvCdr3ek5jyyRip11V/s4JxJWN5WVF9FfuGM1dSggtlMPVME4YsKJMAzwysC7+qJfw==" saltValue="cpMWX35ZW7kFjl8tAvpP0w==" spinCount="100000" sheet="1" objects="1" scenarios="1"/>
  <mergeCells count="8">
    <mergeCell ref="G9:G10"/>
    <mergeCell ref="H9:H10"/>
    <mergeCell ref="C3:E3"/>
    <mergeCell ref="B6:E6"/>
    <mergeCell ref="B9:C9"/>
    <mergeCell ref="D9:D10"/>
    <mergeCell ref="E9:E10"/>
    <mergeCell ref="F9:F10"/>
  </mergeCells>
  <printOptions horizontalCentered="1" verticalCentered="1"/>
  <pageMargins left="0.78740157480314965" right="0.78740157480314965" top="0.98425196850393704" bottom="0.98425196850393704" header="0" footer="0"/>
  <pageSetup paperSize="119" scale="9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PROC1</vt:lpstr>
      <vt:lpstr>PRINT1</vt:lpstr>
      <vt:lpstr>TABLA</vt:lpstr>
      <vt:lpstr>Tabprima</vt:lpstr>
    </vt:vector>
  </TitlesOfParts>
  <Company>W&amp;D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DUSSAN SALAZAR</dc:creator>
  <dc:description>APLICATIVO RENTA EN SALARIOS_x000d_
Derechos reservados WILLIAM DUSSAN SALAZAR 2009</dc:description>
  <cp:lastModifiedBy>hp</cp:lastModifiedBy>
  <cp:lastPrinted>2023-01-10T18:21:53Z</cp:lastPrinted>
  <dcterms:created xsi:type="dcterms:W3CDTF">2008-06-25T16:51:19Z</dcterms:created>
  <dcterms:modified xsi:type="dcterms:W3CDTF">2023-06-09T21:08:56Z</dcterms:modified>
</cp:coreProperties>
</file>