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PROCESOS CONTABLES I\"/>
    </mc:Choice>
  </mc:AlternateContent>
  <xr:revisionPtr revIDLastSave="0" documentId="13_ncr:1_{7CC80081-3F6B-4ADD-9D1F-A987734D00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gistros Contables" sheetId="1" r:id="rId1"/>
    <sheet name="Kárdex PP" sheetId="2" r:id="rId2"/>
    <sheet name="Kárdex PEPS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8" i="3"/>
  <c r="H8" i="3"/>
  <c r="K15" i="3"/>
  <c r="K11" i="3"/>
  <c r="L11" i="3"/>
  <c r="J11" i="3"/>
  <c r="L8" i="3"/>
  <c r="L7" i="3"/>
  <c r="L10" i="3"/>
  <c r="J10" i="3"/>
  <c r="J8" i="3"/>
  <c r="K12" i="3"/>
  <c r="K9" i="3"/>
  <c r="I15" i="2"/>
  <c r="F9" i="1"/>
  <c r="K13" i="2"/>
  <c r="L13" i="2"/>
  <c r="L11" i="2"/>
  <c r="J11" i="2"/>
  <c r="I11" i="2"/>
  <c r="H11" i="2"/>
  <c r="K10" i="2"/>
  <c r="L10" i="2"/>
  <c r="J10" i="2"/>
  <c r="F10" i="2"/>
  <c r="K9" i="2"/>
  <c r="L9" i="2"/>
  <c r="J9" i="2"/>
  <c r="I9" i="2"/>
  <c r="H9" i="2"/>
  <c r="L8" i="2"/>
  <c r="L5" i="1"/>
  <c r="K11" i="2"/>
  <c r="K12" i="2"/>
  <c r="K8" i="2"/>
  <c r="I6" i="1"/>
  <c r="I30" i="2"/>
  <c r="L7" i="1"/>
  <c r="L28" i="2"/>
  <c r="L25" i="2"/>
  <c r="L24" i="2"/>
  <c r="K25" i="2"/>
  <c r="F25" i="2"/>
  <c r="I7" i="1"/>
  <c r="I9" i="1"/>
  <c r="I45" i="2"/>
  <c r="L6" i="1"/>
  <c r="L9" i="1"/>
  <c r="F8" i="2"/>
  <c r="L7" i="2"/>
  <c r="I17" i="3"/>
  <c r="G17" i="3"/>
  <c r="F17" i="3"/>
  <c r="D17" i="3"/>
  <c r="L16" i="3"/>
  <c r="K16" i="3"/>
  <c r="J16" i="3"/>
  <c r="L14" i="3"/>
  <c r="K14" i="3"/>
  <c r="J14" i="3"/>
  <c r="L12" i="3"/>
  <c r="J12" i="3"/>
  <c r="J7" i="3"/>
  <c r="J9" i="3"/>
  <c r="J13" i="3"/>
  <c r="J15" i="3"/>
  <c r="K13" i="3"/>
  <c r="L15" i="3"/>
  <c r="H15" i="3"/>
  <c r="I15" i="3"/>
  <c r="L13" i="3"/>
  <c r="H13" i="3"/>
  <c r="I13" i="3"/>
  <c r="G8" i="3"/>
  <c r="H11" i="3"/>
  <c r="I11" i="3"/>
  <c r="K10" i="3"/>
  <c r="L9" i="3"/>
  <c r="H9" i="3"/>
  <c r="I9" i="3"/>
  <c r="L6" i="3"/>
  <c r="I8" i="3"/>
  <c r="F7" i="3"/>
  <c r="F10" i="3"/>
  <c r="F153" i="1"/>
  <c r="F152" i="1"/>
  <c r="F148" i="1"/>
  <c r="J8" i="2"/>
  <c r="F149" i="1"/>
  <c r="F156" i="1"/>
  <c r="F159" i="1"/>
  <c r="E5" i="1"/>
  <c r="E6" i="1"/>
  <c r="F7" i="1"/>
  <c r="E134" i="1"/>
  <c r="F135" i="1"/>
  <c r="E123" i="1"/>
  <c r="F124" i="1"/>
  <c r="E111" i="1"/>
  <c r="F112" i="1"/>
  <c r="E90" i="1"/>
  <c r="F91" i="1"/>
  <c r="E79" i="1"/>
  <c r="F80" i="1"/>
  <c r="H12" i="2"/>
  <c r="I12" i="2"/>
  <c r="L12" i="2"/>
  <c r="J12" i="2"/>
  <c r="H13" i="2"/>
  <c r="I13" i="2"/>
  <c r="E67" i="1"/>
  <c r="F68" i="1"/>
  <c r="E58" i="1"/>
  <c r="F59" i="1"/>
  <c r="E46" i="1"/>
  <c r="F47" i="1"/>
  <c r="E32" i="1"/>
  <c r="F33" i="1"/>
  <c r="I5" i="1"/>
  <c r="I8" i="1"/>
  <c r="I14" i="1"/>
  <c r="I13" i="1"/>
  <c r="I15" i="1"/>
  <c r="I16" i="1"/>
  <c r="I17" i="1"/>
  <c r="I22" i="1"/>
  <c r="I21" i="1"/>
  <c r="I23" i="1"/>
  <c r="I24" i="1"/>
  <c r="I25" i="1"/>
  <c r="F27" i="1"/>
  <c r="F41" i="1"/>
  <c r="F52" i="1"/>
  <c r="F61" i="1"/>
  <c r="F73" i="1"/>
  <c r="F85" i="1"/>
  <c r="F117" i="1"/>
  <c r="F129" i="1"/>
  <c r="F106" i="1"/>
  <c r="D15" i="2"/>
  <c r="E16" i="2"/>
  <c r="N4" i="2"/>
  <c r="N3" i="2"/>
  <c r="E46" i="2"/>
  <c r="D45" i="2"/>
  <c r="K43" i="2"/>
  <c r="J43" i="2"/>
  <c r="H43" i="2"/>
  <c r="K42" i="2"/>
  <c r="L42" i="2"/>
  <c r="K41" i="2"/>
  <c r="J41" i="2"/>
  <c r="H41" i="2"/>
  <c r="K40" i="2"/>
  <c r="J40" i="2"/>
  <c r="H40" i="2"/>
  <c r="K39" i="2"/>
  <c r="J39" i="2"/>
  <c r="L39" i="2"/>
  <c r="L38" i="2"/>
  <c r="K38" i="2"/>
  <c r="J38" i="2"/>
  <c r="F38" i="2"/>
  <c r="D30" i="2"/>
  <c r="D31" i="2"/>
  <c r="E31" i="2"/>
  <c r="F24" i="2"/>
  <c r="J24" i="2"/>
  <c r="J25" i="2"/>
  <c r="H26" i="2"/>
  <c r="I26" i="2"/>
  <c r="L26" i="2"/>
  <c r="J26" i="2"/>
  <c r="K26" i="2"/>
  <c r="H27" i="2"/>
  <c r="I27" i="2"/>
  <c r="L27" i="2"/>
  <c r="F28" i="2"/>
  <c r="J27" i="2"/>
  <c r="J28" i="2"/>
  <c r="K28" i="2"/>
  <c r="K27" i="2"/>
  <c r="K24" i="2"/>
  <c r="D16" i="2"/>
  <c r="I40" i="2"/>
  <c r="L40" i="2"/>
  <c r="I41" i="2"/>
  <c r="L41" i="2"/>
  <c r="F42" i="2"/>
  <c r="I43" i="2"/>
  <c r="L43" i="2"/>
  <c r="E140" i="1"/>
  <c r="E141" i="1"/>
  <c r="F142" i="1"/>
  <c r="F118" i="1"/>
  <c r="E119" i="1"/>
  <c r="E96" i="1"/>
  <c r="E97" i="1"/>
  <c r="F98" i="1"/>
  <c r="F74" i="1"/>
  <c r="E75" i="1"/>
  <c r="F62" i="1"/>
  <c r="E63" i="1"/>
  <c r="F53" i="1"/>
  <c r="E54" i="1"/>
  <c r="D46" i="2"/>
  <c r="J42" i="2"/>
  <c r="F39" i="2"/>
  <c r="J13" i="2"/>
  <c r="E64" i="1"/>
  <c r="E65" i="1"/>
  <c r="E66" i="1"/>
  <c r="F70" i="1"/>
  <c r="E76" i="1"/>
  <c r="E77" i="1"/>
  <c r="E78" i="1"/>
  <c r="F82" i="1"/>
  <c r="E120" i="1"/>
  <c r="E121" i="1"/>
  <c r="E122" i="1"/>
  <c r="F126" i="1"/>
  <c r="F8" i="1"/>
  <c r="F10" i="1"/>
  <c r="E12" i="1"/>
  <c r="F14" i="1"/>
  <c r="F15" i="1"/>
  <c r="E13" i="1"/>
  <c r="F16" i="1"/>
  <c r="E18" i="1"/>
  <c r="F20" i="1"/>
  <c r="F21" i="1"/>
  <c r="E19" i="1"/>
  <c r="F22" i="1"/>
  <c r="E24" i="1"/>
  <c r="F25" i="1"/>
  <c r="F28" i="1"/>
  <c r="E35" i="1"/>
  <c r="F37" i="1"/>
  <c r="F38" i="1"/>
  <c r="E36" i="1"/>
  <c r="F39" i="1"/>
  <c r="F42" i="1"/>
  <c r="E43" i="1"/>
  <c r="E44" i="1"/>
  <c r="E45" i="1"/>
  <c r="F49" i="1"/>
  <c r="F86" i="1"/>
  <c r="E87" i="1"/>
  <c r="E88" i="1"/>
  <c r="E89" i="1"/>
  <c r="F93" i="1"/>
  <c r="F99" i="1"/>
  <c r="F100" i="1"/>
  <c r="F101" i="1"/>
  <c r="E103" i="1"/>
  <c r="F104" i="1"/>
  <c r="F107" i="1"/>
  <c r="E108" i="1"/>
  <c r="E109" i="1"/>
  <c r="E110" i="1"/>
  <c r="F114" i="1"/>
  <c r="F130" i="1"/>
  <c r="E131" i="1"/>
  <c r="E132" i="1"/>
  <c r="E133" i="1"/>
  <c r="F137" i="1"/>
  <c r="F143" i="1"/>
  <c r="F144" i="1"/>
  <c r="F145" i="1"/>
  <c r="F161" i="1"/>
  <c r="E55" i="1"/>
  <c r="E56" i="1"/>
  <c r="E57" i="1"/>
  <c r="E71" i="1"/>
  <c r="E83" i="1"/>
  <c r="E127" i="1"/>
  <c r="E29" i="1"/>
  <c r="E30" i="1"/>
  <c r="E31" i="1"/>
  <c r="E50" i="1"/>
  <c r="E94" i="1"/>
  <c r="E115" i="1"/>
  <c r="E138" i="1"/>
  <c r="E1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6" authorId="0" shapeId="0" xr:uid="{3626673A-E9FA-4E2D-B34B-F876C0173160}">
      <text>
        <r>
          <rPr>
            <sz val="11"/>
            <color theme="1"/>
            <rFont val="Calibri"/>
            <family val="2"/>
            <scheme val="minor"/>
          </rPr>
          <t>======
ID#AAAAvsyW2rI
Kelly Johana Camacho    (2023-04-27 01:49:37)
se coloca el valor de la compra.</t>
        </r>
      </text>
    </comment>
    <comment ref="H40" authorId="0" shapeId="0" xr:uid="{53167775-9A14-4730-88C3-84E85B3B025A}">
      <text>
        <r>
          <rPr>
            <sz val="11"/>
            <color theme="1"/>
            <rFont val="Calibri"/>
            <family val="2"/>
            <scheme val="minor"/>
          </rPr>
          <t>======
ID#AAAAvsyW2rI
Kelly Johana Camacho    (2023-04-27 01:49:37)
se coloca el valor de la compra.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8" authorId="0" shapeId="0" xr:uid="{4D032326-6AD7-4584-BCF9-6C0D6C025B2D}">
      <text>
        <r>
          <rPr>
            <b/>
            <sz val="9"/>
            <color indexed="81"/>
            <rFont val="Tahoma"/>
            <family val="2"/>
          </rPr>
          <t xml:space="preserve">Esta es una misma venta. </t>
        </r>
      </text>
    </comment>
    <comment ref="J14" authorId="0" shapeId="0" xr:uid="{C3E1E597-2BE5-4DB2-BFBD-B3A61EFBFA72}">
      <text>
        <r>
          <rPr>
            <b/>
            <sz val="9"/>
            <color indexed="81"/>
            <rFont val="Tahoma"/>
            <family val="2"/>
          </rPr>
          <t xml:space="preserve">Lo de azul se va bajando porque no se han gastado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<sst xmlns="http://schemas.openxmlformats.org/spreadsheetml/2006/main" count="287" uniqueCount="78">
  <si>
    <t xml:space="preserve">REGISTRO CONTABLE </t>
  </si>
  <si>
    <t>EMPRESA XY</t>
  </si>
  <si>
    <t>FECHA</t>
  </si>
  <si>
    <t>CÓDIGO</t>
  </si>
  <si>
    <t>CUENTA</t>
  </si>
  <si>
    <t>DEBE</t>
  </si>
  <si>
    <t xml:space="preserve">HABER </t>
  </si>
  <si>
    <t>MERCANCÍAS</t>
  </si>
  <si>
    <t>IVA (19%)</t>
  </si>
  <si>
    <t>RET.IVA (15%)</t>
  </si>
  <si>
    <t>RET. FUENTE (2,5%)</t>
  </si>
  <si>
    <t>RET. ICA</t>
  </si>
  <si>
    <t xml:space="preserve">PROVEEDORES </t>
  </si>
  <si>
    <t>RET. FUENTE</t>
  </si>
  <si>
    <t xml:space="preserve">CLIENTES </t>
  </si>
  <si>
    <t>BANCOS</t>
  </si>
  <si>
    <t>3.1</t>
  </si>
  <si>
    <t>RET. IVA (15%)</t>
  </si>
  <si>
    <t>9.1</t>
  </si>
  <si>
    <t>12.1</t>
  </si>
  <si>
    <t>15.1</t>
  </si>
  <si>
    <t>HONORARIOS</t>
  </si>
  <si>
    <t xml:space="preserve">COSTOS Y GASTOS POR PAGAR </t>
  </si>
  <si>
    <t>ARRENDAMIENTOS</t>
  </si>
  <si>
    <t>COSTOS Y GASTOS POR PAGAR</t>
  </si>
  <si>
    <t>SERVICIOS</t>
  </si>
  <si>
    <t>SUELDOS</t>
  </si>
  <si>
    <t>PRODUCTO</t>
  </si>
  <si>
    <t xml:space="preserve">Método de valoración </t>
  </si>
  <si>
    <t>REFERENCIA</t>
  </si>
  <si>
    <t xml:space="preserve">Cantidad máxima </t>
  </si>
  <si>
    <t>ENTRADAS  (compras)</t>
  </si>
  <si>
    <t>SALIDAS (ventas)</t>
  </si>
  <si>
    <t xml:space="preserve">SALDOS </t>
  </si>
  <si>
    <t>DETALLE</t>
  </si>
  <si>
    <t>CANTIDAD</t>
  </si>
  <si>
    <t>VALOR UNITARIO</t>
  </si>
  <si>
    <t xml:space="preserve">V. TOTAL </t>
  </si>
  <si>
    <t xml:space="preserve">Zapatos </t>
  </si>
  <si>
    <t>Damas</t>
  </si>
  <si>
    <t>Prom. Ponderado</t>
  </si>
  <si>
    <t>Compra Ref.23</t>
  </si>
  <si>
    <t>Venta Ref.23</t>
  </si>
  <si>
    <t>Niñas</t>
  </si>
  <si>
    <t>Compra Ref.56</t>
  </si>
  <si>
    <t>Venta Ref.56</t>
  </si>
  <si>
    <t>Correas</t>
  </si>
  <si>
    <t>Compra Ref.17</t>
  </si>
  <si>
    <t>Compra Ref. 17</t>
  </si>
  <si>
    <t>Venta Ref.17</t>
  </si>
  <si>
    <t>(-) COSTO DE VENTAS</t>
  </si>
  <si>
    <t>(+) Inventario inicial</t>
  </si>
  <si>
    <t>(+) Compras del periodo</t>
  </si>
  <si>
    <t>(=) Mercancía disponible</t>
  </si>
  <si>
    <t>(-) Inventario final</t>
  </si>
  <si>
    <t>(=) Costo de ventas</t>
  </si>
  <si>
    <t>Zapatos niñas</t>
  </si>
  <si>
    <t>Zapatos damas</t>
  </si>
  <si>
    <t>Correas damas</t>
  </si>
  <si>
    <t>ESTADO DE RESULTADO</t>
  </si>
  <si>
    <t>Ventas</t>
  </si>
  <si>
    <t>(-) Costo de ventas</t>
  </si>
  <si>
    <t>(=) Utilidad bruta</t>
  </si>
  <si>
    <t>(-) Gastos opera. administrativos</t>
  </si>
  <si>
    <t>(-) Gastos opera. por ventas</t>
  </si>
  <si>
    <t>Ganancias netas</t>
  </si>
  <si>
    <t>Inventario Final</t>
  </si>
  <si>
    <t>Unidades compradas</t>
  </si>
  <si>
    <t>Unidades vendidas</t>
  </si>
  <si>
    <t>Inventario inicial</t>
  </si>
  <si>
    <t>Inventario incial</t>
  </si>
  <si>
    <t>Unidades finales</t>
  </si>
  <si>
    <t>COSTO DE VENTAS</t>
  </si>
  <si>
    <t>SUELDOS POR PAGAR</t>
  </si>
  <si>
    <t>Venta</t>
  </si>
  <si>
    <t>Totales</t>
  </si>
  <si>
    <t xml:space="preserve">Este es el inventario final </t>
  </si>
  <si>
    <t>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</si>
</sst>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"/>
    <numFmt numFmtId="165" formatCode="_-&quot;$&quot;\ * #,##0_-;\-&quot;$&quot;\ * #,##0_-;_-&quot;$&quot;\ * &quot;-&quot;??_-;_-@_-"/>
    <numFmt numFmtId="166" formatCode="[$ $]#,##0"/>
    <numFmt numFmtId="16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5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1" xfId="0" applyBorder="1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3" fillId="0" borderId="0" xfId="0" applyFont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/>
    <xf numFmtId="0" fontId="4" fillId="0" borderId="0" xfId="0" applyFont="1"/>
    <xf numFmtId="0" fontId="6" fillId="0" borderId="0" xfId="0" applyFont="1"/>
    <xf numFmtId="166" fontId="4" fillId="0" borderId="0" xfId="0" applyNumberFormat="1" applyFont="1"/>
    <xf numFmtId="0" fontId="4" fillId="0" borderId="1" xfId="0" applyFont="1" applyBorder="1"/>
    <xf numFmtId="0" fontId="6" fillId="0" borderId="1" xfId="0" applyFont="1" applyBorder="1"/>
    <xf numFmtId="166" fontId="4" fillId="0" borderId="1" xfId="0" applyNumberFormat="1" applyFont="1" applyBorder="1"/>
    <xf numFmtId="165" fontId="4" fillId="0" borderId="1" xfId="0" applyNumberFormat="1" applyFont="1" applyBorder="1"/>
    <xf numFmtId="166" fontId="4" fillId="5" borderId="1" xfId="0" applyNumberFormat="1" applyFont="1" applyFill="1" applyBorder="1"/>
    <xf numFmtId="167" fontId="4" fillId="0" borderId="1" xfId="1" applyNumberFormat="1" applyFont="1" applyBorder="1"/>
    <xf numFmtId="0" fontId="4" fillId="5" borderId="1" xfId="0" applyFont="1" applyFill="1" applyBorder="1"/>
    <xf numFmtId="0" fontId="1" fillId="5" borderId="1" xfId="0" applyFont="1" applyFill="1" applyBorder="1"/>
    <xf numFmtId="166" fontId="0" fillId="5" borderId="1" xfId="0" applyNumberFormat="1" applyFill="1" applyBorder="1"/>
    <xf numFmtId="164" fontId="0" fillId="5" borderId="1" xfId="0" applyNumberFormat="1" applyFill="1" applyBorder="1"/>
    <xf numFmtId="0" fontId="0" fillId="0" borderId="4" xfId="0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1" xfId="0" applyFont="1" applyFill="1" applyBorder="1"/>
    <xf numFmtId="166" fontId="4" fillId="6" borderId="1" xfId="0" applyNumberFormat="1" applyFont="1" applyFill="1" applyBorder="1"/>
    <xf numFmtId="166" fontId="4" fillId="7" borderId="1" xfId="0" applyNumberFormat="1" applyFont="1" applyFill="1" applyBorder="1"/>
    <xf numFmtId="0" fontId="4" fillId="7" borderId="1" xfId="0" applyFont="1" applyFill="1" applyBorder="1"/>
    <xf numFmtId="166" fontId="0" fillId="0" borderId="1" xfId="0" applyNumberFormat="1" applyBorder="1"/>
    <xf numFmtId="165" fontId="0" fillId="0" borderId="1" xfId="2" applyNumberFormat="1" applyFont="1" applyBorder="1"/>
    <xf numFmtId="166" fontId="2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left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1"/>
  <sheetViews>
    <sheetView tabSelected="1" topLeftCell="B1" workbookViewId="0">
      <selection activeCell="K9" sqref="K9"/>
    </sheetView>
  </sheetViews>
  <sheetFormatPr baseColWidth="10" defaultColWidth="9.140625" defaultRowHeight="15" x14ac:dyDescent="0.25"/>
  <cols>
    <col min="4" max="4" width="27.7109375" customWidth="1"/>
    <col min="5" max="5" width="15.85546875" customWidth="1"/>
    <col min="6" max="6" width="15.28515625" customWidth="1"/>
    <col min="8" max="8" width="22.5703125" customWidth="1"/>
    <col min="9" max="9" width="15.140625" customWidth="1"/>
    <col min="11" max="11" width="31.5703125" customWidth="1"/>
    <col min="12" max="12" width="18.7109375" customWidth="1"/>
  </cols>
  <sheetData>
    <row r="2" spans="2:12" x14ac:dyDescent="0.25">
      <c r="B2" s="40" t="s">
        <v>0</v>
      </c>
      <c r="C2" s="40"/>
      <c r="D2" s="40"/>
      <c r="E2" s="40"/>
      <c r="F2" s="40"/>
    </row>
    <row r="3" spans="2:12" x14ac:dyDescent="0.25">
      <c r="B3" s="42" t="s">
        <v>1</v>
      </c>
      <c r="C3" s="48"/>
      <c r="D3" s="48"/>
      <c r="E3" s="48"/>
      <c r="F3" s="43"/>
      <c r="H3" s="41" t="s">
        <v>57</v>
      </c>
      <c r="I3" s="41"/>
      <c r="K3" s="39" t="s">
        <v>59</v>
      </c>
      <c r="L3" s="39"/>
    </row>
    <row r="4" spans="2:12" x14ac:dyDescent="0.25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H4" s="40" t="s">
        <v>50</v>
      </c>
      <c r="I4" s="40"/>
      <c r="K4" s="15" t="s">
        <v>60</v>
      </c>
      <c r="L4" s="4">
        <f>F27+F41+F52+F61+F73+F85+F117+F129+F106</f>
        <v>15155000</v>
      </c>
    </row>
    <row r="5" spans="2:12" x14ac:dyDescent="0.25">
      <c r="B5" s="44">
        <v>1</v>
      </c>
      <c r="C5" s="2">
        <v>1408</v>
      </c>
      <c r="D5" s="3" t="s">
        <v>7</v>
      </c>
      <c r="E5" s="4">
        <f>50000*80</f>
        <v>4000000</v>
      </c>
      <c r="F5" s="4"/>
      <c r="H5" s="3" t="s">
        <v>51</v>
      </c>
      <c r="I5" s="4">
        <f>45000*20</f>
        <v>900000</v>
      </c>
      <c r="K5" s="15" t="s">
        <v>61</v>
      </c>
      <c r="L5" s="4">
        <f>I9+I17+I25</f>
        <v>6851025.9740259741</v>
      </c>
    </row>
    <row r="6" spans="2:12" x14ac:dyDescent="0.25">
      <c r="B6" s="44"/>
      <c r="C6" s="2">
        <v>2404</v>
      </c>
      <c r="D6" s="3" t="s">
        <v>8</v>
      </c>
      <c r="E6" s="4">
        <f>E5*19%</f>
        <v>760000</v>
      </c>
      <c r="F6" s="4"/>
      <c r="H6" s="3" t="s">
        <v>52</v>
      </c>
      <c r="I6" s="4">
        <f>'Kárdex PP'!F8+'Kárdex PP'!F10</f>
        <v>5100000</v>
      </c>
      <c r="K6" s="15" t="s">
        <v>62</v>
      </c>
      <c r="L6" s="4">
        <f>L4-L5</f>
        <v>8303974.0259740259</v>
      </c>
    </row>
    <row r="7" spans="2:12" x14ac:dyDescent="0.25">
      <c r="B7" s="44"/>
      <c r="C7" s="2">
        <v>242208</v>
      </c>
      <c r="D7" s="3" t="s">
        <v>9</v>
      </c>
      <c r="E7" s="4"/>
      <c r="F7" s="4">
        <f>E6*15%</f>
        <v>114000</v>
      </c>
      <c r="H7" s="3" t="s">
        <v>53</v>
      </c>
      <c r="I7" s="4">
        <f>I6+I5</f>
        <v>6000000</v>
      </c>
      <c r="K7" s="15" t="s">
        <v>63</v>
      </c>
      <c r="L7" s="4">
        <f>F149+F153+F156+F159</f>
        <v>4730000</v>
      </c>
    </row>
    <row r="8" spans="2:12" x14ac:dyDescent="0.25">
      <c r="B8" s="44"/>
      <c r="C8" s="2">
        <v>242208</v>
      </c>
      <c r="D8" s="3" t="s">
        <v>10</v>
      </c>
      <c r="E8" s="4"/>
      <c r="F8" s="4">
        <f>E5*2.5%</f>
        <v>100000</v>
      </c>
      <c r="H8" s="3" t="s">
        <v>54</v>
      </c>
      <c r="I8" s="21">
        <f>'Kárdex PP'!L13</f>
        <v>2114000</v>
      </c>
      <c r="K8" s="15" t="s">
        <v>64</v>
      </c>
      <c r="L8" s="4">
        <v>0</v>
      </c>
    </row>
    <row r="9" spans="2:12" x14ac:dyDescent="0.25">
      <c r="B9" s="44"/>
      <c r="C9" s="2">
        <v>2424</v>
      </c>
      <c r="D9" s="3" t="s">
        <v>11</v>
      </c>
      <c r="E9" s="4"/>
      <c r="F9" s="4">
        <f>E5*2/(1000)</f>
        <v>8000</v>
      </c>
      <c r="H9" s="3" t="s">
        <v>55</v>
      </c>
      <c r="I9" s="4">
        <f>I7-I8</f>
        <v>3886000</v>
      </c>
      <c r="K9" s="15" t="s">
        <v>65</v>
      </c>
      <c r="L9" s="28">
        <f>L6-L7-L8</f>
        <v>3573974.0259740259</v>
      </c>
    </row>
    <row r="10" spans="2:12" x14ac:dyDescent="0.25">
      <c r="B10" s="44"/>
      <c r="C10" s="2">
        <v>2201</v>
      </c>
      <c r="D10" s="3" t="s">
        <v>12</v>
      </c>
      <c r="E10" s="4"/>
      <c r="F10" s="4">
        <f>E5+E6-F7-F8-F9</f>
        <v>4538000</v>
      </c>
    </row>
    <row r="11" spans="2:12" x14ac:dyDescent="0.25">
      <c r="H11" s="41" t="s">
        <v>56</v>
      </c>
      <c r="I11" s="41"/>
    </row>
    <row r="12" spans="2:12" x14ac:dyDescent="0.25">
      <c r="B12" s="45">
        <v>2</v>
      </c>
      <c r="C12" s="5">
        <v>1408</v>
      </c>
      <c r="D12" s="3" t="s">
        <v>7</v>
      </c>
      <c r="E12" s="4">
        <f>30000*60</f>
        <v>1800000</v>
      </c>
      <c r="F12" s="4"/>
      <c r="H12" s="42" t="s">
        <v>50</v>
      </c>
      <c r="I12" s="43"/>
    </row>
    <row r="13" spans="2:12" x14ac:dyDescent="0.25">
      <c r="B13" s="46"/>
      <c r="C13" s="5">
        <v>2404</v>
      </c>
      <c r="D13" s="3" t="s">
        <v>8</v>
      </c>
      <c r="E13" s="4">
        <f>E12*19%</f>
        <v>342000</v>
      </c>
      <c r="F13" s="4"/>
      <c r="H13" s="3" t="s">
        <v>51</v>
      </c>
      <c r="I13" s="4">
        <f>37000*5</f>
        <v>185000</v>
      </c>
    </row>
    <row r="14" spans="2:12" x14ac:dyDescent="0.25">
      <c r="B14" s="46"/>
      <c r="C14" s="5">
        <v>242208</v>
      </c>
      <c r="D14" s="3" t="s">
        <v>13</v>
      </c>
      <c r="E14" s="4"/>
      <c r="F14" s="4">
        <f>E12*2.5%</f>
        <v>45000</v>
      </c>
      <c r="H14" s="3" t="s">
        <v>52</v>
      </c>
      <c r="I14" s="4">
        <f>'Kárdex PP'!F25+'Kárdex PP'!F28</f>
        <v>2540000</v>
      </c>
    </row>
    <row r="15" spans="2:12" x14ac:dyDescent="0.25">
      <c r="B15" s="46"/>
      <c r="C15" s="5">
        <v>2424</v>
      </c>
      <c r="D15" s="3" t="s">
        <v>11</v>
      </c>
      <c r="E15" s="4"/>
      <c r="F15" s="4">
        <f>E12*2/(1000)</f>
        <v>3600</v>
      </c>
      <c r="H15" s="3" t="s">
        <v>53</v>
      </c>
      <c r="I15" s="4">
        <f>I14+I13</f>
        <v>2725000</v>
      </c>
    </row>
    <row r="16" spans="2:12" x14ac:dyDescent="0.25">
      <c r="B16" s="47"/>
      <c r="C16" s="5">
        <v>2201</v>
      </c>
      <c r="D16" s="3" t="s">
        <v>12</v>
      </c>
      <c r="E16" s="4"/>
      <c r="F16" s="4">
        <f>E12+E13-F14-F15</f>
        <v>2093400</v>
      </c>
      <c r="H16" s="3" t="s">
        <v>54</v>
      </c>
      <c r="I16" s="4">
        <f>'Kárdex PP'!L28</f>
        <v>1334545.4545454546</v>
      </c>
    </row>
    <row r="17" spans="2:9" x14ac:dyDescent="0.25">
      <c r="H17" s="3" t="s">
        <v>55</v>
      </c>
      <c r="I17" s="4">
        <f>I15-I16</f>
        <v>1390454.5454545454</v>
      </c>
    </row>
    <row r="18" spans="2:9" x14ac:dyDescent="0.25">
      <c r="B18" s="45">
        <v>3</v>
      </c>
      <c r="C18" s="5">
        <v>1408</v>
      </c>
      <c r="D18" s="3" t="s">
        <v>7</v>
      </c>
      <c r="E18" s="4">
        <f>40000*50</f>
        <v>2000000</v>
      </c>
      <c r="F18" s="4"/>
    </row>
    <row r="19" spans="2:9" x14ac:dyDescent="0.25">
      <c r="B19" s="46"/>
      <c r="C19" s="5">
        <v>2404</v>
      </c>
      <c r="D19" s="3" t="s">
        <v>8</v>
      </c>
      <c r="E19" s="4">
        <f>E18*19%</f>
        <v>380000</v>
      </c>
      <c r="F19" s="4"/>
      <c r="H19" s="41" t="s">
        <v>58</v>
      </c>
      <c r="I19" s="41"/>
    </row>
    <row r="20" spans="2:9" x14ac:dyDescent="0.25">
      <c r="B20" s="46"/>
      <c r="C20" s="5">
        <v>242208</v>
      </c>
      <c r="D20" s="3" t="s">
        <v>13</v>
      </c>
      <c r="E20" s="4"/>
      <c r="F20" s="4">
        <f>E18*2.5%</f>
        <v>50000</v>
      </c>
      <c r="H20" s="40" t="s">
        <v>50</v>
      </c>
      <c r="I20" s="40"/>
    </row>
    <row r="21" spans="2:9" x14ac:dyDescent="0.25">
      <c r="B21" s="46"/>
      <c r="C21" s="5">
        <v>2424</v>
      </c>
      <c r="D21" s="3" t="s">
        <v>11</v>
      </c>
      <c r="E21" s="4"/>
      <c r="F21" s="4">
        <f>E18*2/(1000)</f>
        <v>4000</v>
      </c>
      <c r="H21" s="3" t="s">
        <v>51</v>
      </c>
      <c r="I21" s="4">
        <f>'Kárdex PP'!F38</f>
        <v>270000</v>
      </c>
    </row>
    <row r="22" spans="2:9" x14ac:dyDescent="0.25">
      <c r="B22" s="47"/>
      <c r="C22" s="5">
        <v>2201</v>
      </c>
      <c r="D22" s="3" t="s">
        <v>12</v>
      </c>
      <c r="E22" s="4"/>
      <c r="F22" s="4">
        <f>E18+E19-F20-F21</f>
        <v>2326000</v>
      </c>
      <c r="H22" s="3" t="s">
        <v>52</v>
      </c>
      <c r="I22" s="4">
        <f>'Kárdex PP'!F39+'Kárdex PP'!F42</f>
        <v>2280000</v>
      </c>
    </row>
    <row r="23" spans="2:9" x14ac:dyDescent="0.25">
      <c r="B23" s="6"/>
      <c r="C23" s="7"/>
      <c r="E23" s="8"/>
      <c r="F23" s="8"/>
      <c r="H23" s="3" t="s">
        <v>53</v>
      </c>
      <c r="I23" s="4">
        <f>I22+I21</f>
        <v>2550000</v>
      </c>
    </row>
    <row r="24" spans="2:9" x14ac:dyDescent="0.25">
      <c r="B24" s="44" t="s">
        <v>16</v>
      </c>
      <c r="C24" s="5">
        <v>2201</v>
      </c>
      <c r="D24" s="3" t="s">
        <v>12</v>
      </c>
      <c r="E24" s="4">
        <f>F22</f>
        <v>2326000</v>
      </c>
      <c r="F24" s="4"/>
      <c r="H24" s="3" t="s">
        <v>54</v>
      </c>
      <c r="I24" s="4">
        <f>'Kárdex PP'!L43</f>
        <v>975428.57142857148</v>
      </c>
    </row>
    <row r="25" spans="2:9" x14ac:dyDescent="0.25">
      <c r="B25" s="44"/>
      <c r="C25" s="9">
        <v>1102</v>
      </c>
      <c r="D25" s="3" t="s">
        <v>15</v>
      </c>
      <c r="E25" s="4"/>
      <c r="F25" s="4">
        <f>E24</f>
        <v>2326000</v>
      </c>
      <c r="H25" s="3" t="s">
        <v>55</v>
      </c>
      <c r="I25" s="4">
        <f>I23-I24</f>
        <v>1574571.4285714286</v>
      </c>
    </row>
    <row r="27" spans="2:9" x14ac:dyDescent="0.25">
      <c r="B27" s="45">
        <v>4</v>
      </c>
      <c r="C27" s="29">
        <v>4107</v>
      </c>
      <c r="D27" s="3" t="s">
        <v>7</v>
      </c>
      <c r="E27" s="4"/>
      <c r="F27" s="4">
        <f>120000*30</f>
        <v>3600000</v>
      </c>
    </row>
    <row r="28" spans="2:9" x14ac:dyDescent="0.25">
      <c r="B28" s="46"/>
      <c r="C28" s="29">
        <v>2404</v>
      </c>
      <c r="D28" s="3" t="s">
        <v>8</v>
      </c>
      <c r="E28" s="4"/>
      <c r="F28" s="4">
        <f>F27*19%</f>
        <v>684000</v>
      </c>
    </row>
    <row r="29" spans="2:9" x14ac:dyDescent="0.25">
      <c r="B29" s="46"/>
      <c r="C29" s="29">
        <v>1</v>
      </c>
      <c r="D29" s="3" t="s">
        <v>13</v>
      </c>
      <c r="E29" s="4">
        <f>F27*2.5%</f>
        <v>90000</v>
      </c>
      <c r="F29" s="4"/>
    </row>
    <row r="30" spans="2:9" x14ac:dyDescent="0.25">
      <c r="B30" s="46"/>
      <c r="C30" s="29">
        <v>1</v>
      </c>
      <c r="D30" s="3" t="s">
        <v>11</v>
      </c>
      <c r="E30" s="4">
        <f>F27*2/(1000)</f>
        <v>7200</v>
      </c>
      <c r="F30" s="4"/>
    </row>
    <row r="31" spans="2:9" x14ac:dyDescent="0.25">
      <c r="B31" s="46"/>
      <c r="C31" s="29">
        <v>13</v>
      </c>
      <c r="D31" s="3" t="s">
        <v>14</v>
      </c>
      <c r="E31" s="4">
        <f>F27+F28-E29-E30</f>
        <v>4186800</v>
      </c>
      <c r="F31" s="4"/>
    </row>
    <row r="32" spans="2:9" x14ac:dyDescent="0.25">
      <c r="B32" s="46"/>
      <c r="C32" s="5">
        <v>6135</v>
      </c>
      <c r="D32" s="3" t="s">
        <v>72</v>
      </c>
      <c r="E32" s="4">
        <f>'Kárdex PP'!I9</f>
        <v>1470000</v>
      </c>
      <c r="F32" s="4"/>
    </row>
    <row r="33" spans="2:6" x14ac:dyDescent="0.25">
      <c r="B33" s="47"/>
      <c r="C33" s="5">
        <v>1435</v>
      </c>
      <c r="D33" s="3" t="s">
        <v>7</v>
      </c>
      <c r="E33" s="4"/>
      <c r="F33" s="4">
        <f>E32</f>
        <v>1470000</v>
      </c>
    </row>
    <row r="35" spans="2:6" x14ac:dyDescent="0.25">
      <c r="B35" s="45">
        <v>5</v>
      </c>
      <c r="C35" s="5">
        <v>1408</v>
      </c>
      <c r="D35" s="3" t="s">
        <v>7</v>
      </c>
      <c r="E35" s="4">
        <f>55000*20</f>
        <v>1100000</v>
      </c>
      <c r="F35" s="4"/>
    </row>
    <row r="36" spans="2:6" x14ac:dyDescent="0.25">
      <c r="B36" s="46"/>
      <c r="C36" s="5">
        <v>2404</v>
      </c>
      <c r="D36" s="3" t="s">
        <v>8</v>
      </c>
      <c r="E36" s="4">
        <f>E35*19%</f>
        <v>209000</v>
      </c>
      <c r="F36" s="4"/>
    </row>
    <row r="37" spans="2:6" x14ac:dyDescent="0.25">
      <c r="B37" s="46"/>
      <c r="C37" s="5">
        <v>242208</v>
      </c>
      <c r="D37" s="3" t="s">
        <v>13</v>
      </c>
      <c r="E37" s="4"/>
      <c r="F37" s="4">
        <f>E35*2.5%</f>
        <v>27500</v>
      </c>
    </row>
    <row r="38" spans="2:6" x14ac:dyDescent="0.25">
      <c r="B38" s="46"/>
      <c r="C38" s="5">
        <v>2424</v>
      </c>
      <c r="D38" s="3" t="s">
        <v>11</v>
      </c>
      <c r="E38" s="4"/>
      <c r="F38" s="4">
        <f>E35*2/(1000)</f>
        <v>2200</v>
      </c>
    </row>
    <row r="39" spans="2:6" x14ac:dyDescent="0.25">
      <c r="B39" s="47"/>
      <c r="C39" s="5">
        <v>2201</v>
      </c>
      <c r="D39" s="3" t="s">
        <v>12</v>
      </c>
      <c r="E39" s="4"/>
      <c r="F39" s="4">
        <f>E35+E36-F37-F38</f>
        <v>1279300</v>
      </c>
    </row>
    <row r="41" spans="2:6" x14ac:dyDescent="0.25">
      <c r="B41" s="44">
        <v>6</v>
      </c>
      <c r="C41" s="5">
        <v>4107</v>
      </c>
      <c r="D41" s="3" t="s">
        <v>7</v>
      </c>
      <c r="E41" s="4"/>
      <c r="F41" s="4">
        <f>122000*15</f>
        <v>1830000</v>
      </c>
    </row>
    <row r="42" spans="2:6" x14ac:dyDescent="0.25">
      <c r="B42" s="44"/>
      <c r="C42" s="5">
        <v>2404</v>
      </c>
      <c r="D42" s="3" t="s">
        <v>8</v>
      </c>
      <c r="E42" s="4"/>
      <c r="F42" s="4">
        <f>F41*19%</f>
        <v>347700</v>
      </c>
    </row>
    <row r="43" spans="2:6" x14ac:dyDescent="0.25">
      <c r="B43" s="44"/>
      <c r="C43" s="5">
        <v>1</v>
      </c>
      <c r="D43" s="3" t="s">
        <v>13</v>
      </c>
      <c r="E43" s="4">
        <f>F41*2.5%</f>
        <v>45750</v>
      </c>
      <c r="F43" s="4"/>
    </row>
    <row r="44" spans="2:6" x14ac:dyDescent="0.25">
      <c r="B44" s="44"/>
      <c r="C44" s="5">
        <v>1</v>
      </c>
      <c r="D44" s="3" t="s">
        <v>11</v>
      </c>
      <c r="E44" s="4">
        <f>F41*2/(1000)</f>
        <v>3660</v>
      </c>
      <c r="F44" s="4"/>
    </row>
    <row r="45" spans="2:6" x14ac:dyDescent="0.25">
      <c r="B45" s="44"/>
      <c r="C45" s="5">
        <v>13</v>
      </c>
      <c r="D45" s="3" t="s">
        <v>14</v>
      </c>
      <c r="E45" s="4">
        <f>F41+F42-E43-E44</f>
        <v>2128290</v>
      </c>
      <c r="F45" s="4"/>
    </row>
    <row r="46" spans="2:6" x14ac:dyDescent="0.25">
      <c r="B46" s="44"/>
      <c r="C46" s="5">
        <v>6135</v>
      </c>
      <c r="D46" s="3" t="s">
        <v>72</v>
      </c>
      <c r="E46" s="4">
        <f>'Kárdex PP'!I11</f>
        <v>755000</v>
      </c>
      <c r="F46" s="4"/>
    </row>
    <row r="47" spans="2:6" x14ac:dyDescent="0.25">
      <c r="B47" s="44"/>
      <c r="C47" s="5">
        <v>1435</v>
      </c>
      <c r="D47" s="3" t="s">
        <v>7</v>
      </c>
      <c r="E47" s="4"/>
      <c r="F47" s="4">
        <f>E46</f>
        <v>755000</v>
      </c>
    </row>
    <row r="49" spans="2:6" x14ac:dyDescent="0.25">
      <c r="B49" s="44">
        <v>7</v>
      </c>
      <c r="C49" s="5">
        <v>13</v>
      </c>
      <c r="D49" s="3" t="s">
        <v>14</v>
      </c>
      <c r="E49" s="4"/>
      <c r="F49" s="4">
        <f>E45</f>
        <v>2128290</v>
      </c>
    </row>
    <row r="50" spans="2:6" x14ac:dyDescent="0.25">
      <c r="B50" s="44"/>
      <c r="C50" s="9">
        <v>1102</v>
      </c>
      <c r="D50" s="3" t="s">
        <v>15</v>
      </c>
      <c r="E50" s="4">
        <f>F49</f>
        <v>2128290</v>
      </c>
      <c r="F50" s="4"/>
    </row>
    <row r="52" spans="2:6" x14ac:dyDescent="0.25">
      <c r="B52" s="44">
        <v>8</v>
      </c>
      <c r="C52" s="5">
        <v>4107</v>
      </c>
      <c r="D52" s="3" t="s">
        <v>7</v>
      </c>
      <c r="E52" s="4"/>
      <c r="F52" s="4">
        <f>125000*18</f>
        <v>2250000</v>
      </c>
    </row>
    <row r="53" spans="2:6" x14ac:dyDescent="0.25">
      <c r="B53" s="44"/>
      <c r="C53" s="5">
        <v>2404</v>
      </c>
      <c r="D53" s="3" t="s">
        <v>8</v>
      </c>
      <c r="E53" s="4"/>
      <c r="F53" s="4">
        <f>F52*19%</f>
        <v>427500</v>
      </c>
    </row>
    <row r="54" spans="2:6" x14ac:dyDescent="0.25">
      <c r="B54" s="44"/>
      <c r="C54" s="5"/>
      <c r="D54" s="3" t="s">
        <v>17</v>
      </c>
      <c r="E54" s="4">
        <f>F53*15%</f>
        <v>64125</v>
      </c>
      <c r="F54" s="4"/>
    </row>
    <row r="55" spans="2:6" x14ac:dyDescent="0.25">
      <c r="B55" s="44"/>
      <c r="C55" s="5">
        <v>1</v>
      </c>
      <c r="D55" s="3" t="s">
        <v>13</v>
      </c>
      <c r="E55" s="4">
        <f>F52*2.5%</f>
        <v>56250</v>
      </c>
      <c r="F55" s="4"/>
    </row>
    <row r="56" spans="2:6" x14ac:dyDescent="0.25">
      <c r="B56" s="44"/>
      <c r="C56" s="5">
        <v>1</v>
      </c>
      <c r="D56" s="3" t="s">
        <v>11</v>
      </c>
      <c r="E56" s="4">
        <f>F52*2/(1000)</f>
        <v>4500</v>
      </c>
      <c r="F56" s="4"/>
    </row>
    <row r="57" spans="2:6" x14ac:dyDescent="0.25">
      <c r="B57" s="44"/>
      <c r="C57" s="5">
        <v>13</v>
      </c>
      <c r="D57" s="3" t="s">
        <v>14</v>
      </c>
      <c r="E57" s="4">
        <f>F52+F53-E55-E56-E54</f>
        <v>2552625</v>
      </c>
      <c r="F57" s="4"/>
    </row>
    <row r="58" spans="2:6" x14ac:dyDescent="0.25">
      <c r="B58" s="44"/>
      <c r="C58" s="5">
        <v>6135</v>
      </c>
      <c r="D58" s="3" t="s">
        <v>72</v>
      </c>
      <c r="E58" s="4">
        <f>'Kárdex PP'!I12</f>
        <v>906000</v>
      </c>
      <c r="F58" s="4"/>
    </row>
    <row r="59" spans="2:6" x14ac:dyDescent="0.25">
      <c r="B59" s="44"/>
      <c r="C59" s="5">
        <v>1435</v>
      </c>
      <c r="D59" s="3" t="s">
        <v>7</v>
      </c>
      <c r="E59" s="4"/>
      <c r="F59" s="4">
        <f>E58</f>
        <v>906000</v>
      </c>
    </row>
    <row r="61" spans="2:6" x14ac:dyDescent="0.25">
      <c r="B61" s="44">
        <v>9</v>
      </c>
      <c r="C61" s="5">
        <v>4107</v>
      </c>
      <c r="D61" s="3" t="s">
        <v>7</v>
      </c>
      <c r="E61" s="4"/>
      <c r="F61" s="4">
        <f>128000*15</f>
        <v>1920000</v>
      </c>
    </row>
    <row r="62" spans="2:6" x14ac:dyDescent="0.25">
      <c r="B62" s="44"/>
      <c r="C62" s="5">
        <v>2404</v>
      </c>
      <c r="D62" s="3" t="s">
        <v>8</v>
      </c>
      <c r="E62" s="4"/>
      <c r="F62" s="4">
        <f>F61*19%</f>
        <v>364800</v>
      </c>
    </row>
    <row r="63" spans="2:6" x14ac:dyDescent="0.25">
      <c r="B63" s="44"/>
      <c r="C63" s="5"/>
      <c r="D63" s="3" t="s">
        <v>17</v>
      </c>
      <c r="E63" s="4">
        <f>F62*15%</f>
        <v>54720</v>
      </c>
      <c r="F63" s="4"/>
    </row>
    <row r="64" spans="2:6" x14ac:dyDescent="0.25">
      <c r="B64" s="44"/>
      <c r="C64" s="5">
        <v>1</v>
      </c>
      <c r="D64" s="3" t="s">
        <v>13</v>
      </c>
      <c r="E64" s="4">
        <f>F61*2.5%</f>
        <v>48000</v>
      </c>
      <c r="F64" s="4"/>
    </row>
    <row r="65" spans="2:6" x14ac:dyDescent="0.25">
      <c r="B65" s="44"/>
      <c r="C65" s="5">
        <v>1</v>
      </c>
      <c r="D65" s="3" t="s">
        <v>11</v>
      </c>
      <c r="E65" s="4">
        <f>F61*2/(1000)</f>
        <v>3840</v>
      </c>
      <c r="F65" s="4"/>
    </row>
    <row r="66" spans="2:6" x14ac:dyDescent="0.25">
      <c r="B66" s="44"/>
      <c r="C66" s="5">
        <v>13</v>
      </c>
      <c r="D66" s="3" t="s">
        <v>14</v>
      </c>
      <c r="E66" s="4">
        <f>F61+F62-E64-E65-E63</f>
        <v>2178240</v>
      </c>
      <c r="F66" s="4"/>
    </row>
    <row r="67" spans="2:6" x14ac:dyDescent="0.25">
      <c r="B67" s="44"/>
      <c r="C67" s="5">
        <v>6135</v>
      </c>
      <c r="D67" s="3" t="s">
        <v>72</v>
      </c>
      <c r="E67" s="4">
        <f>'Kárdex PP'!I13</f>
        <v>755000</v>
      </c>
      <c r="F67" s="4"/>
    </row>
    <row r="68" spans="2:6" x14ac:dyDescent="0.25">
      <c r="B68" s="44"/>
      <c r="C68" s="5">
        <v>1435</v>
      </c>
      <c r="D68" s="3" t="s">
        <v>7</v>
      </c>
      <c r="E68" s="4"/>
      <c r="F68" s="4">
        <f>E67</f>
        <v>755000</v>
      </c>
    </row>
    <row r="70" spans="2:6" x14ac:dyDescent="0.25">
      <c r="B70" s="44" t="s">
        <v>18</v>
      </c>
      <c r="C70" s="5">
        <v>13</v>
      </c>
      <c r="D70" s="3" t="s">
        <v>14</v>
      </c>
      <c r="E70" s="4"/>
      <c r="F70" s="4">
        <f>E66</f>
        <v>2178240</v>
      </c>
    </row>
    <row r="71" spans="2:6" x14ac:dyDescent="0.25">
      <c r="B71" s="44"/>
      <c r="C71" s="9">
        <v>1102</v>
      </c>
      <c r="D71" s="3" t="s">
        <v>15</v>
      </c>
      <c r="E71" s="4">
        <f>F70</f>
        <v>2178240</v>
      </c>
      <c r="F71" s="4"/>
    </row>
    <row r="73" spans="2:6" x14ac:dyDescent="0.25">
      <c r="B73" s="44">
        <v>10</v>
      </c>
      <c r="C73" s="5">
        <v>4107</v>
      </c>
      <c r="D73" s="3" t="s">
        <v>7</v>
      </c>
      <c r="E73" s="4"/>
      <c r="F73" s="4">
        <f>55000*20</f>
        <v>1100000</v>
      </c>
    </row>
    <row r="74" spans="2:6" x14ac:dyDescent="0.25">
      <c r="B74" s="44"/>
      <c r="C74" s="5">
        <v>2404</v>
      </c>
      <c r="D74" s="3" t="s">
        <v>8</v>
      </c>
      <c r="E74" s="4"/>
      <c r="F74" s="4">
        <f>F73*19%</f>
        <v>209000</v>
      </c>
    </row>
    <row r="75" spans="2:6" x14ac:dyDescent="0.25">
      <c r="B75" s="44"/>
      <c r="C75" s="5"/>
      <c r="D75" s="3" t="s">
        <v>17</v>
      </c>
      <c r="E75" s="4">
        <f>F74*15%</f>
        <v>31350</v>
      </c>
      <c r="F75" s="4"/>
    </row>
    <row r="76" spans="2:6" x14ac:dyDescent="0.25">
      <c r="B76" s="44"/>
      <c r="C76" s="5">
        <v>1</v>
      </c>
      <c r="D76" s="3" t="s">
        <v>13</v>
      </c>
      <c r="E76" s="4">
        <f>F73*2.5%</f>
        <v>27500</v>
      </c>
      <c r="F76" s="4"/>
    </row>
    <row r="77" spans="2:6" x14ac:dyDescent="0.25">
      <c r="B77" s="44"/>
      <c r="C77" s="5">
        <v>1</v>
      </c>
      <c r="D77" s="3" t="s">
        <v>11</v>
      </c>
      <c r="E77" s="4">
        <f>F73*2/(1000)</f>
        <v>2200</v>
      </c>
      <c r="F77" s="4"/>
    </row>
    <row r="78" spans="2:6" x14ac:dyDescent="0.25">
      <c r="B78" s="44"/>
      <c r="C78" s="5">
        <v>13</v>
      </c>
      <c r="D78" s="3" t="s">
        <v>14</v>
      </c>
      <c r="E78" s="4">
        <f>F73+F74-E76-E77-E75</f>
        <v>1247950</v>
      </c>
      <c r="F78" s="4"/>
    </row>
    <row r="79" spans="2:6" x14ac:dyDescent="0.25">
      <c r="B79" s="44"/>
      <c r="C79" s="5">
        <v>6135</v>
      </c>
      <c r="D79" s="3" t="s">
        <v>72</v>
      </c>
      <c r="E79" s="4">
        <f>'Kárdex PP'!I40</f>
        <v>591428.57142857148</v>
      </c>
      <c r="F79" s="4"/>
    </row>
    <row r="80" spans="2:6" x14ac:dyDescent="0.25">
      <c r="B80" s="44"/>
      <c r="C80" s="5">
        <v>1435</v>
      </c>
      <c r="D80" s="3" t="s">
        <v>7</v>
      </c>
      <c r="E80" s="4"/>
      <c r="F80" s="4">
        <f>E79</f>
        <v>591428.57142857148</v>
      </c>
    </row>
    <row r="82" spans="2:6" x14ac:dyDescent="0.25">
      <c r="B82" s="44">
        <v>11</v>
      </c>
      <c r="C82" s="5">
        <v>13</v>
      </c>
      <c r="D82" s="3" t="s">
        <v>14</v>
      </c>
      <c r="E82" s="4"/>
      <c r="F82" s="4">
        <f>E78</f>
        <v>1247950</v>
      </c>
    </row>
    <row r="83" spans="2:6" x14ac:dyDescent="0.25">
      <c r="B83" s="44"/>
      <c r="C83" s="9">
        <v>1102</v>
      </c>
      <c r="D83" s="3" t="s">
        <v>15</v>
      </c>
      <c r="E83" s="4">
        <f>F82</f>
        <v>1247950</v>
      </c>
      <c r="F83" s="4"/>
    </row>
    <row r="85" spans="2:6" x14ac:dyDescent="0.25">
      <c r="B85" s="44">
        <v>12</v>
      </c>
      <c r="C85" s="5">
        <v>4107</v>
      </c>
      <c r="D85" s="3" t="s">
        <v>7</v>
      </c>
      <c r="E85" s="4"/>
      <c r="F85" s="4">
        <f>58000*25</f>
        <v>1450000</v>
      </c>
    </row>
    <row r="86" spans="2:6" x14ac:dyDescent="0.25">
      <c r="B86" s="44"/>
      <c r="C86" s="5">
        <v>2404</v>
      </c>
      <c r="D86" s="3" t="s">
        <v>8</v>
      </c>
      <c r="E86" s="4"/>
      <c r="F86" s="4">
        <f>F85*19%</f>
        <v>275500</v>
      </c>
    </row>
    <row r="87" spans="2:6" x14ac:dyDescent="0.25">
      <c r="B87" s="44"/>
      <c r="C87" s="5">
        <v>1</v>
      </c>
      <c r="D87" s="3" t="s">
        <v>13</v>
      </c>
      <c r="E87" s="4">
        <f>F85*2.5%</f>
        <v>36250</v>
      </c>
      <c r="F87" s="4"/>
    </row>
    <row r="88" spans="2:6" x14ac:dyDescent="0.25">
      <c r="B88" s="44"/>
      <c r="C88" s="5">
        <v>1</v>
      </c>
      <c r="D88" s="3" t="s">
        <v>11</v>
      </c>
      <c r="E88" s="4">
        <f>F85*2/(1000)</f>
        <v>2900</v>
      </c>
      <c r="F88" s="4"/>
    </row>
    <row r="89" spans="2:6" x14ac:dyDescent="0.25">
      <c r="B89" s="44"/>
      <c r="C89" s="5">
        <v>13</v>
      </c>
      <c r="D89" s="3" t="s">
        <v>14</v>
      </c>
      <c r="E89" s="4">
        <f>F85+F86-E87-E88</f>
        <v>1686350</v>
      </c>
      <c r="F89" s="4"/>
    </row>
    <row r="90" spans="2:6" x14ac:dyDescent="0.25">
      <c r="B90" s="44"/>
      <c r="C90" s="5">
        <v>6135</v>
      </c>
      <c r="D90" s="3" t="s">
        <v>72</v>
      </c>
      <c r="E90" s="4">
        <f>'Kárdex PP'!I41</f>
        <v>739285.71428571432</v>
      </c>
      <c r="F90" s="4"/>
    </row>
    <row r="91" spans="2:6" x14ac:dyDescent="0.25">
      <c r="B91" s="44"/>
      <c r="C91" s="5">
        <v>1435</v>
      </c>
      <c r="D91" s="3" t="s">
        <v>7</v>
      </c>
      <c r="E91" s="4"/>
      <c r="F91" s="4">
        <f>E90</f>
        <v>739285.71428571432</v>
      </c>
    </row>
    <row r="93" spans="2:6" x14ac:dyDescent="0.25">
      <c r="B93" s="44" t="s">
        <v>19</v>
      </c>
      <c r="C93" s="5">
        <v>13</v>
      </c>
      <c r="D93" s="3" t="s">
        <v>14</v>
      </c>
      <c r="E93" s="4"/>
      <c r="F93" s="4">
        <f>E89</f>
        <v>1686350</v>
      </c>
    </row>
    <row r="94" spans="2:6" x14ac:dyDescent="0.25">
      <c r="B94" s="44"/>
      <c r="C94" s="9">
        <v>1101</v>
      </c>
      <c r="D94" s="3" t="s">
        <v>77</v>
      </c>
      <c r="E94" s="4">
        <f>F93</f>
        <v>1686350</v>
      </c>
      <c r="F94" s="4"/>
    </row>
    <row r="96" spans="2:6" x14ac:dyDescent="0.25">
      <c r="B96" s="44">
        <v>13</v>
      </c>
      <c r="C96" s="2">
        <v>1408</v>
      </c>
      <c r="D96" s="3" t="s">
        <v>7</v>
      </c>
      <c r="E96" s="4">
        <f>32000*15</f>
        <v>480000</v>
      </c>
      <c r="F96" s="4"/>
    </row>
    <row r="97" spans="2:6" x14ac:dyDescent="0.25">
      <c r="B97" s="44"/>
      <c r="C97" s="2">
        <v>2404</v>
      </c>
      <c r="D97" s="3" t="s">
        <v>8</v>
      </c>
      <c r="E97" s="4">
        <f>E96*19%</f>
        <v>91200</v>
      </c>
      <c r="F97" s="4"/>
    </row>
    <row r="98" spans="2:6" x14ac:dyDescent="0.25">
      <c r="B98" s="44"/>
      <c r="C98" s="2">
        <v>242208</v>
      </c>
      <c r="D98" s="3" t="s">
        <v>9</v>
      </c>
      <c r="E98" s="4"/>
      <c r="F98" s="4">
        <f>E97*15%</f>
        <v>13680</v>
      </c>
    </row>
    <row r="99" spans="2:6" x14ac:dyDescent="0.25">
      <c r="B99" s="44"/>
      <c r="C99" s="2">
        <v>242208</v>
      </c>
      <c r="D99" s="3" t="s">
        <v>10</v>
      </c>
      <c r="E99" s="4"/>
      <c r="F99" s="4">
        <f>E96*2.5%</f>
        <v>12000</v>
      </c>
    </row>
    <row r="100" spans="2:6" x14ac:dyDescent="0.25">
      <c r="B100" s="44"/>
      <c r="C100" s="2">
        <v>2424</v>
      </c>
      <c r="D100" s="3" t="s">
        <v>11</v>
      </c>
      <c r="E100" s="4"/>
      <c r="F100" s="4">
        <f>E96*2/(1000)</f>
        <v>960</v>
      </c>
    </row>
    <row r="101" spans="2:6" x14ac:dyDescent="0.25">
      <c r="B101" s="44"/>
      <c r="C101" s="2">
        <v>2201</v>
      </c>
      <c r="D101" s="3" t="s">
        <v>12</v>
      </c>
      <c r="E101" s="4"/>
      <c r="F101" s="4">
        <f>E96+E97-F98-F99-F100</f>
        <v>544560</v>
      </c>
    </row>
    <row r="103" spans="2:6" x14ac:dyDescent="0.25">
      <c r="B103" s="44">
        <v>14</v>
      </c>
      <c r="C103" s="5">
        <v>2201</v>
      </c>
      <c r="D103" s="3" t="s">
        <v>12</v>
      </c>
      <c r="E103" s="4">
        <f>F101</f>
        <v>544560</v>
      </c>
      <c r="F103" s="4"/>
    </row>
    <row r="104" spans="2:6" x14ac:dyDescent="0.25">
      <c r="B104" s="44"/>
      <c r="C104" s="9">
        <v>1102</v>
      </c>
      <c r="D104" s="3" t="s">
        <v>15</v>
      </c>
      <c r="E104" s="4"/>
      <c r="F104" s="4">
        <f>E103</f>
        <v>544560</v>
      </c>
    </row>
    <row r="106" spans="2:6" x14ac:dyDescent="0.25">
      <c r="B106" s="44">
        <v>15</v>
      </c>
      <c r="C106" s="5">
        <v>4107</v>
      </c>
      <c r="D106" s="3" t="s">
        <v>7</v>
      </c>
      <c r="E106" s="4"/>
      <c r="F106" s="4">
        <f>60000*8</f>
        <v>480000</v>
      </c>
    </row>
    <row r="107" spans="2:6" x14ac:dyDescent="0.25">
      <c r="B107" s="44"/>
      <c r="C107" s="5">
        <v>2404</v>
      </c>
      <c r="D107" s="3" t="s">
        <v>8</v>
      </c>
      <c r="E107" s="4"/>
      <c r="F107" s="4">
        <f>F106*19%</f>
        <v>91200</v>
      </c>
    </row>
    <row r="108" spans="2:6" x14ac:dyDescent="0.25">
      <c r="B108" s="44"/>
      <c r="C108" s="5">
        <v>1</v>
      </c>
      <c r="D108" s="3" t="s">
        <v>13</v>
      </c>
      <c r="E108" s="4">
        <f>F106*2.5%</f>
        <v>12000</v>
      </c>
      <c r="F108" s="4"/>
    </row>
    <row r="109" spans="2:6" x14ac:dyDescent="0.25">
      <c r="B109" s="44"/>
      <c r="C109" s="5">
        <v>1</v>
      </c>
      <c r="D109" s="3" t="s">
        <v>11</v>
      </c>
      <c r="E109" s="4">
        <f>F106*2/(1000)</f>
        <v>960</v>
      </c>
      <c r="F109" s="4"/>
    </row>
    <row r="110" spans="2:6" x14ac:dyDescent="0.25">
      <c r="B110" s="44"/>
      <c r="C110" s="5">
        <v>13</v>
      </c>
      <c r="D110" s="3" t="s">
        <v>14</v>
      </c>
      <c r="E110" s="4">
        <f>F106+F107-E108-E109</f>
        <v>558240</v>
      </c>
      <c r="F110" s="4"/>
    </row>
    <row r="111" spans="2:6" x14ac:dyDescent="0.25">
      <c r="B111" s="44"/>
      <c r="C111" s="5">
        <v>6135</v>
      </c>
      <c r="D111" s="3" t="s">
        <v>72</v>
      </c>
      <c r="E111" s="4">
        <f>'Kárdex PP'!I43</f>
        <v>243857.14285714287</v>
      </c>
      <c r="F111" s="4"/>
    </row>
    <row r="112" spans="2:6" x14ac:dyDescent="0.25">
      <c r="B112" s="44"/>
      <c r="C112" s="5">
        <v>1435</v>
      </c>
      <c r="D112" s="3" t="s">
        <v>7</v>
      </c>
      <c r="E112" s="4"/>
      <c r="F112" s="4">
        <f>E111</f>
        <v>243857.14285714287</v>
      </c>
    </row>
    <row r="114" spans="2:6" x14ac:dyDescent="0.25">
      <c r="B114" s="44" t="s">
        <v>20</v>
      </c>
      <c r="C114" s="5">
        <v>13</v>
      </c>
      <c r="D114" s="3" t="s">
        <v>14</v>
      </c>
      <c r="E114" s="4"/>
      <c r="F114" s="4">
        <f>E110</f>
        <v>558240</v>
      </c>
    </row>
    <row r="115" spans="2:6" x14ac:dyDescent="0.25">
      <c r="B115" s="44"/>
      <c r="C115" s="9">
        <v>1102</v>
      </c>
      <c r="D115" s="3" t="s">
        <v>15</v>
      </c>
      <c r="E115" s="4">
        <f>F114</f>
        <v>558240</v>
      </c>
      <c r="F115" s="4"/>
    </row>
    <row r="117" spans="2:6" x14ac:dyDescent="0.25">
      <c r="B117" s="44">
        <v>16</v>
      </c>
      <c r="C117" s="5">
        <v>4107</v>
      </c>
      <c r="D117" s="3" t="s">
        <v>7</v>
      </c>
      <c r="E117" s="4"/>
      <c r="F117" s="4">
        <f>70000*20</f>
        <v>1400000</v>
      </c>
    </row>
    <row r="118" spans="2:6" x14ac:dyDescent="0.25">
      <c r="B118" s="44"/>
      <c r="C118" s="5">
        <v>2404</v>
      </c>
      <c r="D118" s="3" t="s">
        <v>8</v>
      </c>
      <c r="E118" s="4"/>
      <c r="F118" s="4">
        <f>F117*19%</f>
        <v>266000</v>
      </c>
    </row>
    <row r="119" spans="2:6" x14ac:dyDescent="0.25">
      <c r="B119" s="44"/>
      <c r="C119" s="5"/>
      <c r="D119" s="3" t="s">
        <v>17</v>
      </c>
      <c r="E119" s="4">
        <f>F118*15%</f>
        <v>39900</v>
      </c>
      <c r="F119" s="4"/>
    </row>
    <row r="120" spans="2:6" x14ac:dyDescent="0.25">
      <c r="B120" s="44"/>
      <c r="C120" s="5">
        <v>1</v>
      </c>
      <c r="D120" s="3" t="s">
        <v>13</v>
      </c>
      <c r="E120" s="4">
        <f>F117*2.5%</f>
        <v>35000</v>
      </c>
      <c r="F120" s="4"/>
    </row>
    <row r="121" spans="2:6" x14ac:dyDescent="0.25">
      <c r="B121" s="44"/>
      <c r="C121" s="5">
        <v>1</v>
      </c>
      <c r="D121" s="3" t="s">
        <v>11</v>
      </c>
      <c r="E121" s="4">
        <f>F117*2/(1000)</f>
        <v>2800</v>
      </c>
      <c r="F121" s="4"/>
    </row>
    <row r="122" spans="2:6" x14ac:dyDescent="0.25">
      <c r="B122" s="44"/>
      <c r="C122" s="5">
        <v>13</v>
      </c>
      <c r="D122" s="3" t="s">
        <v>14</v>
      </c>
      <c r="E122" s="4">
        <f>F117+F118-E120-E121-E119</f>
        <v>1588300</v>
      </c>
      <c r="F122" s="4"/>
    </row>
    <row r="123" spans="2:6" x14ac:dyDescent="0.25">
      <c r="B123" s="44"/>
      <c r="C123" s="5">
        <v>6135</v>
      </c>
      <c r="D123" s="3" t="s">
        <v>72</v>
      </c>
      <c r="E123" s="4">
        <f>'Kárdex PP'!I26</f>
        <v>794545.45454545459</v>
      </c>
      <c r="F123" s="4"/>
    </row>
    <row r="124" spans="2:6" x14ac:dyDescent="0.25">
      <c r="B124" s="44"/>
      <c r="C124" s="5">
        <v>1435</v>
      </c>
      <c r="D124" s="3" t="s">
        <v>7</v>
      </c>
      <c r="E124" s="4"/>
      <c r="F124" s="4">
        <f>E123</f>
        <v>794545.45454545459</v>
      </c>
    </row>
    <row r="126" spans="2:6" x14ac:dyDescent="0.25">
      <c r="B126" s="44">
        <v>17</v>
      </c>
      <c r="C126" s="5">
        <v>13</v>
      </c>
      <c r="D126" s="3" t="s">
        <v>14</v>
      </c>
      <c r="E126" s="4"/>
      <c r="F126" s="4">
        <f>E122</f>
        <v>1588300</v>
      </c>
    </row>
    <row r="127" spans="2:6" x14ac:dyDescent="0.25">
      <c r="B127" s="44"/>
      <c r="C127" s="9">
        <v>1101</v>
      </c>
      <c r="D127" s="3" t="s">
        <v>77</v>
      </c>
      <c r="E127" s="4">
        <f>F126</f>
        <v>1588300</v>
      </c>
      <c r="F127" s="4"/>
    </row>
    <row r="129" spans="2:6" x14ac:dyDescent="0.25">
      <c r="B129" s="44">
        <v>18</v>
      </c>
      <c r="C129" s="5">
        <v>4107</v>
      </c>
      <c r="D129" s="3" t="s">
        <v>7</v>
      </c>
      <c r="E129" s="4"/>
      <c r="F129" s="4">
        <f>75000*15</f>
        <v>1125000</v>
      </c>
    </row>
    <row r="130" spans="2:6" x14ac:dyDescent="0.25">
      <c r="B130" s="44"/>
      <c r="C130" s="5">
        <v>2404</v>
      </c>
      <c r="D130" s="3" t="s">
        <v>8</v>
      </c>
      <c r="E130" s="4"/>
      <c r="F130" s="4">
        <f>F129*19%</f>
        <v>213750</v>
      </c>
    </row>
    <row r="131" spans="2:6" x14ac:dyDescent="0.25">
      <c r="B131" s="44"/>
      <c r="C131" s="5">
        <v>1</v>
      </c>
      <c r="D131" s="3" t="s">
        <v>13</v>
      </c>
      <c r="E131" s="4">
        <f>F129*2.5%</f>
        <v>28125</v>
      </c>
      <c r="F131" s="4"/>
    </row>
    <row r="132" spans="2:6" x14ac:dyDescent="0.25">
      <c r="B132" s="44"/>
      <c r="C132" s="5">
        <v>1</v>
      </c>
      <c r="D132" s="3" t="s">
        <v>11</v>
      </c>
      <c r="E132" s="4">
        <f>F129*2/(1000)</f>
        <v>2250</v>
      </c>
      <c r="F132" s="4"/>
    </row>
    <row r="133" spans="2:6" x14ac:dyDescent="0.25">
      <c r="B133" s="44"/>
      <c r="C133" s="5">
        <v>13</v>
      </c>
      <c r="D133" s="3" t="s">
        <v>14</v>
      </c>
      <c r="E133" s="4">
        <f>F129+F130-E131-E132</f>
        <v>1308375</v>
      </c>
      <c r="F133" s="4"/>
    </row>
    <row r="134" spans="2:6" x14ac:dyDescent="0.25">
      <c r="B134" s="44"/>
      <c r="C134" s="5">
        <v>6135</v>
      </c>
      <c r="D134" s="3" t="s">
        <v>72</v>
      </c>
      <c r="E134" s="4">
        <f>'Kárdex PP'!I27</f>
        <v>595909.09090909094</v>
      </c>
      <c r="F134" s="4"/>
    </row>
    <row r="135" spans="2:6" x14ac:dyDescent="0.25">
      <c r="B135" s="44"/>
      <c r="C135" s="5">
        <v>1435</v>
      </c>
      <c r="D135" s="3" t="s">
        <v>7</v>
      </c>
      <c r="E135" s="4"/>
      <c r="F135" s="4">
        <f>E134</f>
        <v>595909.09090909094</v>
      </c>
    </row>
    <row r="137" spans="2:6" x14ac:dyDescent="0.25">
      <c r="B137" s="44">
        <v>19</v>
      </c>
      <c r="C137" s="5">
        <v>13</v>
      </c>
      <c r="D137" s="3" t="s">
        <v>14</v>
      </c>
      <c r="E137" s="4"/>
      <c r="F137" s="4">
        <f>E133</f>
        <v>1308375</v>
      </c>
    </row>
    <row r="138" spans="2:6" x14ac:dyDescent="0.25">
      <c r="B138" s="44"/>
      <c r="C138" s="9">
        <v>1102</v>
      </c>
      <c r="D138" s="3" t="s">
        <v>15</v>
      </c>
      <c r="E138" s="4">
        <f>F137</f>
        <v>1308375</v>
      </c>
      <c r="F138" s="4"/>
    </row>
    <row r="140" spans="2:6" x14ac:dyDescent="0.25">
      <c r="B140" s="44">
        <v>20</v>
      </c>
      <c r="C140" s="2">
        <v>1408</v>
      </c>
      <c r="D140" s="3" t="s">
        <v>7</v>
      </c>
      <c r="E140" s="4">
        <f>45000*12</f>
        <v>540000</v>
      </c>
      <c r="F140" s="4"/>
    </row>
    <row r="141" spans="2:6" x14ac:dyDescent="0.25">
      <c r="B141" s="44"/>
      <c r="C141" s="2">
        <v>2404</v>
      </c>
      <c r="D141" s="3" t="s">
        <v>8</v>
      </c>
      <c r="E141" s="4">
        <f>E140*19%</f>
        <v>102600</v>
      </c>
      <c r="F141" s="4"/>
    </row>
    <row r="142" spans="2:6" x14ac:dyDescent="0.25">
      <c r="B142" s="44"/>
      <c r="C142" s="2">
        <v>242208</v>
      </c>
      <c r="D142" s="3" t="s">
        <v>9</v>
      </c>
      <c r="E142" s="4"/>
      <c r="F142" s="4">
        <f>E141*15%</f>
        <v>15390</v>
      </c>
    </row>
    <row r="143" spans="2:6" x14ac:dyDescent="0.25">
      <c r="B143" s="44"/>
      <c r="C143" s="2">
        <v>242208</v>
      </c>
      <c r="D143" s="3" t="s">
        <v>10</v>
      </c>
      <c r="E143" s="4"/>
      <c r="F143" s="4">
        <f>E140*2.5%</f>
        <v>13500</v>
      </c>
    </row>
    <row r="144" spans="2:6" x14ac:dyDescent="0.25">
      <c r="B144" s="44"/>
      <c r="C144" s="2">
        <v>2424</v>
      </c>
      <c r="D144" s="3" t="s">
        <v>11</v>
      </c>
      <c r="E144" s="4"/>
      <c r="F144" s="4">
        <f>E140*2/(1000)</f>
        <v>1080</v>
      </c>
    </row>
    <row r="145" spans="2:6" x14ac:dyDescent="0.25">
      <c r="B145" s="44"/>
      <c r="C145" s="2">
        <v>2201</v>
      </c>
      <c r="D145" s="3" t="s">
        <v>12</v>
      </c>
      <c r="E145" s="4"/>
      <c r="F145" s="4">
        <f>E140+E141-F142-F143-F144</f>
        <v>612630</v>
      </c>
    </row>
    <row r="147" spans="2:6" x14ac:dyDescent="0.25">
      <c r="B147" s="44">
        <v>21</v>
      </c>
      <c r="C147" s="2">
        <v>5102</v>
      </c>
      <c r="D147" s="3" t="s">
        <v>21</v>
      </c>
      <c r="E147" s="11">
        <v>1000000</v>
      </c>
      <c r="F147" s="11"/>
    </row>
    <row r="148" spans="2:6" x14ac:dyDescent="0.25">
      <c r="B148" s="44"/>
      <c r="C148" s="9">
        <v>242203</v>
      </c>
      <c r="D148" s="3" t="s">
        <v>13</v>
      </c>
      <c r="E148" s="11"/>
      <c r="F148" s="11">
        <f>E147*10%</f>
        <v>100000</v>
      </c>
    </row>
    <row r="149" spans="2:6" x14ac:dyDescent="0.25">
      <c r="B149" s="44"/>
      <c r="C149" s="9">
        <v>221105</v>
      </c>
      <c r="D149" s="3" t="s">
        <v>22</v>
      </c>
      <c r="E149" s="11"/>
      <c r="F149" s="11">
        <f>E147-F148</f>
        <v>900000</v>
      </c>
    </row>
    <row r="150" spans="2:6" x14ac:dyDescent="0.25">
      <c r="E150" s="10"/>
      <c r="F150" s="10"/>
    </row>
    <row r="151" spans="2:6" x14ac:dyDescent="0.25">
      <c r="B151" s="44">
        <v>22</v>
      </c>
      <c r="C151" s="3">
        <v>5104</v>
      </c>
      <c r="D151" s="3" t="s">
        <v>23</v>
      </c>
      <c r="E151" s="11">
        <v>2000000</v>
      </c>
      <c r="F151" s="11"/>
    </row>
    <row r="152" spans="2:6" x14ac:dyDescent="0.25">
      <c r="B152" s="44"/>
      <c r="C152" s="3">
        <v>242203</v>
      </c>
      <c r="D152" s="3" t="s">
        <v>13</v>
      </c>
      <c r="E152" s="11"/>
      <c r="F152" s="11">
        <f>E151*3.5%</f>
        <v>70000</v>
      </c>
    </row>
    <row r="153" spans="2:6" x14ac:dyDescent="0.25">
      <c r="B153" s="44"/>
      <c r="C153" s="3">
        <v>221108</v>
      </c>
      <c r="D153" s="3" t="s">
        <v>24</v>
      </c>
      <c r="E153" s="11"/>
      <c r="F153" s="11">
        <f>E151-F152</f>
        <v>1930000</v>
      </c>
    </row>
    <row r="154" spans="2:6" x14ac:dyDescent="0.25">
      <c r="B154" s="6"/>
      <c r="E154" s="10"/>
      <c r="F154" s="10"/>
    </row>
    <row r="155" spans="2:6" x14ac:dyDescent="0.25">
      <c r="B155" s="44">
        <v>23</v>
      </c>
      <c r="C155" s="3">
        <v>5107</v>
      </c>
      <c r="D155" s="3" t="s">
        <v>25</v>
      </c>
      <c r="E155" s="11">
        <v>400000</v>
      </c>
      <c r="F155" s="11"/>
    </row>
    <row r="156" spans="2:6" x14ac:dyDescent="0.25">
      <c r="B156" s="44"/>
      <c r="C156" s="3">
        <v>221110</v>
      </c>
      <c r="D156" s="3" t="s">
        <v>24</v>
      </c>
      <c r="E156" s="11"/>
      <c r="F156" s="11">
        <f>E155</f>
        <v>400000</v>
      </c>
    </row>
    <row r="157" spans="2:6" x14ac:dyDescent="0.25">
      <c r="B157" s="6"/>
      <c r="E157" s="10"/>
      <c r="F157" s="10"/>
    </row>
    <row r="158" spans="2:6" x14ac:dyDescent="0.25">
      <c r="B158" s="44">
        <v>24</v>
      </c>
      <c r="C158" s="3">
        <v>510102</v>
      </c>
      <c r="D158" s="3" t="s">
        <v>26</v>
      </c>
      <c r="E158" s="11">
        <v>1500000</v>
      </c>
      <c r="F158" s="11"/>
    </row>
    <row r="159" spans="2:6" x14ac:dyDescent="0.25">
      <c r="B159" s="44"/>
      <c r="C159" s="3">
        <v>2211</v>
      </c>
      <c r="D159" s="3" t="s">
        <v>73</v>
      </c>
      <c r="E159" s="11"/>
      <c r="F159" s="11">
        <f>E158</f>
        <v>1500000</v>
      </c>
    </row>
    <row r="160" spans="2:6" x14ac:dyDescent="0.25">
      <c r="E160" s="10"/>
      <c r="F160" s="10"/>
    </row>
    <row r="161" spans="5:6" x14ac:dyDescent="0.25">
      <c r="E161" s="4">
        <f>SUM(E5:E159)</f>
        <v>55156580.97402598</v>
      </c>
      <c r="F161" s="4">
        <f>SUM(F5:F159)</f>
        <v>55156580.97402598</v>
      </c>
    </row>
  </sheetData>
  <mergeCells count="37">
    <mergeCell ref="B85:B91"/>
    <mergeCell ref="B106:B112"/>
    <mergeCell ref="B117:B124"/>
    <mergeCell ref="B96:B101"/>
    <mergeCell ref="B93:B94"/>
    <mergeCell ref="B2:F2"/>
    <mergeCell ref="B3:F3"/>
    <mergeCell ref="B5:B10"/>
    <mergeCell ref="B12:B16"/>
    <mergeCell ref="B18:B22"/>
    <mergeCell ref="B35:B39"/>
    <mergeCell ref="B24:B25"/>
    <mergeCell ref="B49:B50"/>
    <mergeCell ref="B70:B71"/>
    <mergeCell ref="B82:B83"/>
    <mergeCell ref="B27:B33"/>
    <mergeCell ref="B41:B47"/>
    <mergeCell ref="B52:B59"/>
    <mergeCell ref="B61:B68"/>
    <mergeCell ref="B73:B80"/>
    <mergeCell ref="B158:B159"/>
    <mergeCell ref="B103:B104"/>
    <mergeCell ref="B114:B115"/>
    <mergeCell ref="B126:B127"/>
    <mergeCell ref="B137:B138"/>
    <mergeCell ref="B140:B145"/>
    <mergeCell ref="B147:B149"/>
    <mergeCell ref="B151:B153"/>
    <mergeCell ref="B155:B156"/>
    <mergeCell ref="B129:B135"/>
    <mergeCell ref="K3:L3"/>
    <mergeCell ref="H4:I4"/>
    <mergeCell ref="H20:I20"/>
    <mergeCell ref="H3:I3"/>
    <mergeCell ref="H11:I11"/>
    <mergeCell ref="H19:I19"/>
    <mergeCell ref="H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0CC0-03EF-40F5-A76C-2C45D4CA6E18}">
  <dimension ref="B2:N46"/>
  <sheetViews>
    <sheetView workbookViewId="0">
      <selection activeCell="F10" sqref="F10"/>
    </sheetView>
  </sheetViews>
  <sheetFormatPr baseColWidth="10" defaultRowHeight="15" x14ac:dyDescent="0.25"/>
  <cols>
    <col min="3" max="3" width="20" customWidth="1"/>
    <col min="4" max="4" width="20.28515625" customWidth="1"/>
    <col min="5" max="5" width="16.7109375" bestFit="1" customWidth="1"/>
    <col min="6" max="6" width="13" bestFit="1" customWidth="1"/>
    <col min="8" max="8" width="17.7109375" customWidth="1"/>
    <col min="11" max="11" width="16.85546875" customWidth="1"/>
    <col min="12" max="12" width="14.85546875" customWidth="1"/>
    <col min="13" max="13" width="16.7109375" customWidth="1"/>
  </cols>
  <sheetData>
    <row r="2" spans="2:14" x14ac:dyDescent="0.25">
      <c r="B2" s="13" t="s">
        <v>27</v>
      </c>
      <c r="C2" s="14" t="s">
        <v>38</v>
      </c>
      <c r="D2" s="15" t="s">
        <v>30</v>
      </c>
      <c r="E2" s="3"/>
      <c r="F2" s="12"/>
      <c r="K2" s="12"/>
    </row>
    <row r="3" spans="2:14" x14ac:dyDescent="0.25">
      <c r="B3" s="15" t="s">
        <v>29</v>
      </c>
      <c r="C3" s="3" t="s">
        <v>39</v>
      </c>
      <c r="D3" s="15" t="s">
        <v>28</v>
      </c>
      <c r="E3" s="3" t="s">
        <v>40</v>
      </c>
      <c r="M3" s="26" t="s">
        <v>66</v>
      </c>
      <c r="N3" s="27">
        <f>L13+L28+L43</f>
        <v>4423974.0259740259</v>
      </c>
    </row>
    <row r="4" spans="2:14" x14ac:dyDescent="0.25">
      <c r="F4" s="12"/>
      <c r="M4" s="15" t="s">
        <v>71</v>
      </c>
      <c r="N4" s="15">
        <f>E16+E31+E46</f>
        <v>86</v>
      </c>
    </row>
    <row r="5" spans="2:14" x14ac:dyDescent="0.25">
      <c r="B5" s="19"/>
      <c r="C5" s="19"/>
      <c r="D5" s="50" t="s">
        <v>31</v>
      </c>
      <c r="E5" s="51"/>
      <c r="F5" s="51"/>
      <c r="G5" s="50" t="s">
        <v>32</v>
      </c>
      <c r="H5" s="51"/>
      <c r="I5" s="51"/>
      <c r="J5" s="50" t="s">
        <v>33</v>
      </c>
      <c r="K5" s="51"/>
      <c r="L5" s="51"/>
    </row>
    <row r="6" spans="2:14" x14ac:dyDescent="0.25">
      <c r="B6" s="31" t="s">
        <v>2</v>
      </c>
      <c r="C6" s="31" t="s">
        <v>34</v>
      </c>
      <c r="D6" s="31" t="s">
        <v>35</v>
      </c>
      <c r="E6" s="31" t="s">
        <v>36</v>
      </c>
      <c r="F6" s="31" t="s">
        <v>37</v>
      </c>
      <c r="G6" s="31" t="s">
        <v>35</v>
      </c>
      <c r="H6" s="31" t="s">
        <v>36</v>
      </c>
      <c r="I6" s="31" t="s">
        <v>37</v>
      </c>
      <c r="J6" s="31" t="s">
        <v>35</v>
      </c>
      <c r="K6" s="31" t="s">
        <v>36</v>
      </c>
      <c r="L6" s="31" t="s">
        <v>37</v>
      </c>
    </row>
    <row r="7" spans="2:14" x14ac:dyDescent="0.25">
      <c r="B7" s="19">
        <v>0</v>
      </c>
      <c r="C7" s="19" t="s">
        <v>69</v>
      </c>
      <c r="D7" s="19"/>
      <c r="E7" s="22"/>
      <c r="F7" s="22"/>
      <c r="G7" s="19"/>
      <c r="H7" s="19"/>
      <c r="I7" s="19"/>
      <c r="J7" s="19">
        <v>20</v>
      </c>
      <c r="K7" s="22">
        <v>45000</v>
      </c>
      <c r="L7" s="22">
        <f>K7*J7</f>
        <v>900000</v>
      </c>
    </row>
    <row r="8" spans="2:14" x14ac:dyDescent="0.25">
      <c r="B8" s="19">
        <v>1</v>
      </c>
      <c r="C8" s="20" t="s">
        <v>41</v>
      </c>
      <c r="D8" s="19">
        <v>80</v>
      </c>
      <c r="E8" s="21">
        <v>50000</v>
      </c>
      <c r="F8" s="21">
        <f>D8*E8</f>
        <v>4000000</v>
      </c>
      <c r="G8" s="21"/>
      <c r="H8" s="21"/>
      <c r="I8" s="21"/>
      <c r="J8" s="19">
        <f>D8+J7</f>
        <v>100</v>
      </c>
      <c r="K8" s="21">
        <f>L8/J8</f>
        <v>49000</v>
      </c>
      <c r="L8" s="21">
        <f>L7+F8</f>
        <v>4900000</v>
      </c>
    </row>
    <row r="9" spans="2:14" x14ac:dyDescent="0.25">
      <c r="B9" s="19">
        <v>4</v>
      </c>
      <c r="C9" s="20" t="s">
        <v>42</v>
      </c>
      <c r="D9" s="19"/>
      <c r="E9" s="21"/>
      <c r="F9" s="21"/>
      <c r="G9" s="19">
        <v>30</v>
      </c>
      <c r="H9" s="21">
        <f>K8</f>
        <v>49000</v>
      </c>
      <c r="I9" s="21">
        <f>G9*H9</f>
        <v>1470000</v>
      </c>
      <c r="J9" s="19">
        <f>J8-G9</f>
        <v>70</v>
      </c>
      <c r="K9" s="21">
        <f>L9/J9</f>
        <v>49000</v>
      </c>
      <c r="L9" s="21">
        <f>L8-I9</f>
        <v>3430000</v>
      </c>
    </row>
    <row r="10" spans="2:14" x14ac:dyDescent="0.25">
      <c r="B10" s="19">
        <v>5</v>
      </c>
      <c r="C10" s="20" t="s">
        <v>41</v>
      </c>
      <c r="D10" s="19">
        <v>20</v>
      </c>
      <c r="E10" s="21">
        <v>55000</v>
      </c>
      <c r="F10" s="21">
        <f>E10*D10</f>
        <v>1100000</v>
      </c>
      <c r="G10" s="19"/>
      <c r="H10" s="21"/>
      <c r="I10" s="21"/>
      <c r="J10" s="19">
        <f>J9+D10</f>
        <v>90</v>
      </c>
      <c r="K10" s="21">
        <f>L10/J10</f>
        <v>50333.333333333336</v>
      </c>
      <c r="L10" s="21">
        <f>L9+F10</f>
        <v>4530000</v>
      </c>
    </row>
    <row r="11" spans="2:14" x14ac:dyDescent="0.25">
      <c r="B11" s="19">
        <v>6</v>
      </c>
      <c r="C11" s="20" t="s">
        <v>42</v>
      </c>
      <c r="D11" s="21"/>
      <c r="E11" s="21"/>
      <c r="F11" s="21"/>
      <c r="G11" s="19">
        <v>15</v>
      </c>
      <c r="H11" s="21">
        <f>K10</f>
        <v>50333.333333333336</v>
      </c>
      <c r="I11" s="21">
        <f>H11*G11</f>
        <v>755000</v>
      </c>
      <c r="J11" s="19">
        <f>J10-G11</f>
        <v>75</v>
      </c>
      <c r="K11" s="21">
        <f>L11/J11</f>
        <v>50333.333333333336</v>
      </c>
      <c r="L11" s="21">
        <f>L10-I11</f>
        <v>3775000</v>
      </c>
    </row>
    <row r="12" spans="2:14" x14ac:dyDescent="0.25">
      <c r="B12" s="19">
        <v>8</v>
      </c>
      <c r="C12" s="20" t="s">
        <v>42</v>
      </c>
      <c r="D12" s="21"/>
      <c r="E12" s="21"/>
      <c r="F12" s="21"/>
      <c r="G12" s="19">
        <v>18</v>
      </c>
      <c r="H12" s="21">
        <f>K11</f>
        <v>50333.333333333336</v>
      </c>
      <c r="I12" s="21">
        <f>H12*G12</f>
        <v>906000</v>
      </c>
      <c r="J12" s="19">
        <f>J11-G12</f>
        <v>57</v>
      </c>
      <c r="K12" s="21">
        <f>L12/J12</f>
        <v>50333.333333333336</v>
      </c>
      <c r="L12" s="21">
        <f>L11-I12</f>
        <v>2869000</v>
      </c>
    </row>
    <row r="13" spans="2:14" x14ac:dyDescent="0.25">
      <c r="B13" s="19">
        <v>9</v>
      </c>
      <c r="C13" s="20" t="s">
        <v>42</v>
      </c>
      <c r="D13" s="21"/>
      <c r="E13" s="21"/>
      <c r="F13" s="21"/>
      <c r="G13" s="19">
        <v>15</v>
      </c>
      <c r="H13" s="21">
        <f>K12</f>
        <v>50333.333333333336</v>
      </c>
      <c r="I13" s="21">
        <f>H13*G13</f>
        <v>755000</v>
      </c>
      <c r="J13" s="19">
        <f>J12-G13</f>
        <v>42</v>
      </c>
      <c r="K13" s="21">
        <f>H13</f>
        <v>50333.333333333336</v>
      </c>
      <c r="L13" s="23">
        <f>L12-I13</f>
        <v>2114000</v>
      </c>
    </row>
    <row r="14" spans="2:14" x14ac:dyDescent="0.25">
      <c r="B14" s="16"/>
      <c r="C14" s="17"/>
      <c r="D14" s="18"/>
      <c r="E14" s="18"/>
      <c r="F14" s="18"/>
      <c r="G14" s="18"/>
      <c r="H14" s="18"/>
      <c r="I14" s="18"/>
      <c r="J14" s="18"/>
      <c r="K14" s="18"/>
      <c r="L14" s="18"/>
    </row>
    <row r="15" spans="2:14" x14ac:dyDescent="0.25">
      <c r="B15" s="49" t="s">
        <v>67</v>
      </c>
      <c r="C15" s="49"/>
      <c r="D15" s="19">
        <f>D8+D10+D7</f>
        <v>100</v>
      </c>
      <c r="E15" s="18"/>
      <c r="F15" s="18"/>
      <c r="G15" s="18"/>
      <c r="H15" s="18"/>
      <c r="I15" s="38">
        <f>SUM(I7:I14)</f>
        <v>3886000</v>
      </c>
      <c r="J15" s="18"/>
      <c r="K15" s="18"/>
      <c r="L15" s="18"/>
    </row>
    <row r="16" spans="2:14" x14ac:dyDescent="0.25">
      <c r="B16" s="49" t="s">
        <v>68</v>
      </c>
      <c r="C16" s="49"/>
      <c r="D16" s="19">
        <f>G9+SUM(G11:G13)</f>
        <v>78</v>
      </c>
      <c r="E16" s="25">
        <f>D15-D16</f>
        <v>22</v>
      </c>
      <c r="F16" s="18"/>
      <c r="G16" s="18"/>
      <c r="H16" s="18"/>
      <c r="I16" s="18"/>
      <c r="J16" s="18"/>
      <c r="K16" s="18"/>
      <c r="L16" s="18"/>
    </row>
    <row r="17" spans="2:12" x14ac:dyDescent="0.25">
      <c r="B17" s="16"/>
      <c r="C17" s="17"/>
      <c r="D17" s="18"/>
      <c r="E17" s="18"/>
      <c r="F17" s="18"/>
      <c r="G17" s="18"/>
      <c r="H17" s="18"/>
      <c r="I17" s="18"/>
      <c r="J17" s="18"/>
      <c r="K17" s="18"/>
      <c r="L17" s="18"/>
    </row>
    <row r="18" spans="2:12" x14ac:dyDescent="0.25">
      <c r="B18" s="16"/>
      <c r="C18" s="17"/>
      <c r="D18" s="18"/>
      <c r="E18" s="18"/>
      <c r="F18" s="18"/>
      <c r="G18" s="18"/>
      <c r="H18" s="18"/>
      <c r="I18" s="18"/>
      <c r="J18" s="18"/>
      <c r="K18" s="18"/>
      <c r="L18" s="18"/>
    </row>
    <row r="19" spans="2:12" x14ac:dyDescent="0.25">
      <c r="B19" s="13" t="s">
        <v>27</v>
      </c>
      <c r="C19" s="14" t="s">
        <v>38</v>
      </c>
      <c r="D19" s="15" t="s">
        <v>30</v>
      </c>
      <c r="E19" s="3"/>
      <c r="F19" s="12"/>
      <c r="K19" s="12"/>
    </row>
    <row r="20" spans="2:12" x14ac:dyDescent="0.25">
      <c r="B20" s="15" t="s">
        <v>29</v>
      </c>
      <c r="C20" s="3" t="s">
        <v>43</v>
      </c>
      <c r="D20" s="15" t="s">
        <v>28</v>
      </c>
      <c r="E20" s="3" t="s">
        <v>40</v>
      </c>
    </row>
    <row r="21" spans="2:12" x14ac:dyDescent="0.25">
      <c r="F21" s="12"/>
    </row>
    <row r="22" spans="2:12" x14ac:dyDescent="0.25">
      <c r="B22" s="19"/>
      <c r="C22" s="19"/>
      <c r="D22" s="50" t="s">
        <v>31</v>
      </c>
      <c r="E22" s="51"/>
      <c r="F22" s="51"/>
      <c r="G22" s="50" t="s">
        <v>32</v>
      </c>
      <c r="H22" s="51"/>
      <c r="I22" s="51"/>
      <c r="J22" s="50" t="s">
        <v>33</v>
      </c>
      <c r="K22" s="51"/>
      <c r="L22" s="51"/>
    </row>
    <row r="23" spans="2:12" x14ac:dyDescent="0.25">
      <c r="B23" s="19" t="s">
        <v>2</v>
      </c>
      <c r="C23" s="19" t="s">
        <v>34</v>
      </c>
      <c r="D23" s="19" t="s">
        <v>35</v>
      </c>
      <c r="E23" s="19" t="s">
        <v>36</v>
      </c>
      <c r="F23" s="19" t="s">
        <v>37</v>
      </c>
      <c r="G23" s="19" t="s">
        <v>35</v>
      </c>
      <c r="H23" s="19" t="s">
        <v>36</v>
      </c>
      <c r="I23" s="19" t="s">
        <v>37</v>
      </c>
      <c r="J23" s="19" t="s">
        <v>35</v>
      </c>
      <c r="K23" s="19" t="s">
        <v>36</v>
      </c>
      <c r="L23" s="19" t="s">
        <v>37</v>
      </c>
    </row>
    <row r="24" spans="2:12" x14ac:dyDescent="0.25">
      <c r="B24" s="19">
        <v>0</v>
      </c>
      <c r="C24" s="19" t="s">
        <v>70</v>
      </c>
      <c r="D24" s="19">
        <v>5</v>
      </c>
      <c r="E24" s="24">
        <v>37000</v>
      </c>
      <c r="F24" s="24">
        <f>E24*D24</f>
        <v>185000</v>
      </c>
      <c r="G24" s="19"/>
      <c r="H24" s="19"/>
      <c r="I24" s="19"/>
      <c r="J24" s="19">
        <f>D24</f>
        <v>5</v>
      </c>
      <c r="K24" s="24">
        <f>E24</f>
        <v>37000</v>
      </c>
      <c r="L24" s="24">
        <f>F24</f>
        <v>185000</v>
      </c>
    </row>
    <row r="25" spans="2:12" x14ac:dyDescent="0.25">
      <c r="B25" s="19">
        <v>3</v>
      </c>
      <c r="C25" s="20" t="s">
        <v>44</v>
      </c>
      <c r="D25" s="19">
        <v>50</v>
      </c>
      <c r="E25" s="21">
        <v>40000</v>
      </c>
      <c r="F25" s="21">
        <f>D25*E25</f>
        <v>2000000</v>
      </c>
      <c r="G25" s="21"/>
      <c r="H25" s="21"/>
      <c r="I25" s="21"/>
      <c r="J25" s="19">
        <f>D25+J24</f>
        <v>55</v>
      </c>
      <c r="K25" s="21">
        <f>L25/J25</f>
        <v>39727.272727272728</v>
      </c>
      <c r="L25" s="21">
        <f>L24+F25</f>
        <v>2185000</v>
      </c>
    </row>
    <row r="26" spans="2:12" x14ac:dyDescent="0.25">
      <c r="B26" s="19">
        <v>16</v>
      </c>
      <c r="C26" s="20" t="s">
        <v>45</v>
      </c>
      <c r="D26" s="19"/>
      <c r="E26" s="21"/>
      <c r="F26" s="21"/>
      <c r="G26" s="19">
        <v>20</v>
      </c>
      <c r="H26" s="21">
        <f>K25</f>
        <v>39727.272727272728</v>
      </c>
      <c r="I26" s="21">
        <f>G26*H26</f>
        <v>794545.45454545459</v>
      </c>
      <c r="J26" s="19">
        <f>J25-G26</f>
        <v>35</v>
      </c>
      <c r="K26" s="21">
        <f>L26/J26</f>
        <v>39727.272727272728</v>
      </c>
      <c r="L26" s="21">
        <f>L25-I26</f>
        <v>1390454.5454545454</v>
      </c>
    </row>
    <row r="27" spans="2:12" x14ac:dyDescent="0.25">
      <c r="B27" s="19">
        <v>18</v>
      </c>
      <c r="C27" s="20" t="s">
        <v>45</v>
      </c>
      <c r="D27" s="19"/>
      <c r="E27" s="21"/>
      <c r="F27" s="21"/>
      <c r="G27" s="19">
        <v>15</v>
      </c>
      <c r="H27" s="21">
        <f>K26</f>
        <v>39727.272727272728</v>
      </c>
      <c r="I27" s="21">
        <f>H27*G27</f>
        <v>595909.09090909094</v>
      </c>
      <c r="J27" s="19">
        <f>J26-G27</f>
        <v>20</v>
      </c>
      <c r="K27" s="21">
        <f>L27/J27</f>
        <v>39727.272727272721</v>
      </c>
      <c r="L27" s="21">
        <f>L26-I27</f>
        <v>794545.45454545447</v>
      </c>
    </row>
    <row r="28" spans="2:12" x14ac:dyDescent="0.25">
      <c r="B28" s="19">
        <v>20</v>
      </c>
      <c r="C28" s="20" t="s">
        <v>44</v>
      </c>
      <c r="D28" s="19">
        <v>12</v>
      </c>
      <c r="E28" s="21">
        <v>45000</v>
      </c>
      <c r="F28" s="21">
        <f>E28*D28</f>
        <v>540000</v>
      </c>
      <c r="G28" s="21"/>
      <c r="H28" s="21"/>
      <c r="I28" s="21"/>
      <c r="J28" s="19">
        <f>J27+D28</f>
        <v>32</v>
      </c>
      <c r="K28" s="21">
        <f>L28/J28</f>
        <v>41704.545454545456</v>
      </c>
      <c r="L28" s="23">
        <f>L27+F28</f>
        <v>1334545.4545454546</v>
      </c>
    </row>
    <row r="29" spans="2:12" x14ac:dyDescent="0.25">
      <c r="B29" s="16"/>
      <c r="C29" s="17"/>
      <c r="D29" s="18"/>
      <c r="E29" s="18"/>
      <c r="F29" s="18"/>
      <c r="G29" s="18"/>
      <c r="H29" s="18"/>
      <c r="I29" s="18"/>
      <c r="J29" s="18"/>
      <c r="K29" s="18"/>
      <c r="L29" s="18"/>
    </row>
    <row r="30" spans="2:12" x14ac:dyDescent="0.25">
      <c r="B30" s="49" t="s">
        <v>67</v>
      </c>
      <c r="C30" s="49"/>
      <c r="D30" s="19">
        <f>D25+D28+D24</f>
        <v>67</v>
      </c>
      <c r="E30" s="18"/>
      <c r="F30" s="18"/>
      <c r="G30" s="18"/>
      <c r="H30" s="18"/>
      <c r="I30" s="38">
        <f>SUM(I26:I29)</f>
        <v>1390454.5454545454</v>
      </c>
      <c r="J30" s="18"/>
      <c r="K30" s="18"/>
      <c r="L30" s="18"/>
    </row>
    <row r="31" spans="2:12" x14ac:dyDescent="0.25">
      <c r="B31" s="49" t="s">
        <v>68</v>
      </c>
      <c r="C31" s="49"/>
      <c r="D31" s="19">
        <f>G26+G27</f>
        <v>35</v>
      </c>
      <c r="E31" s="25">
        <f>D30-D31</f>
        <v>32</v>
      </c>
      <c r="F31" s="18"/>
      <c r="G31" s="18"/>
      <c r="H31" s="18"/>
      <c r="I31" s="18"/>
      <c r="J31" s="18"/>
      <c r="K31" s="18"/>
      <c r="L31" s="18"/>
    </row>
    <row r="32" spans="2:12" x14ac:dyDescent="0.25">
      <c r="B32" s="16"/>
      <c r="C32" s="17"/>
      <c r="D32" s="18"/>
      <c r="E32" s="18"/>
      <c r="F32" s="18"/>
      <c r="G32" s="18"/>
      <c r="H32" s="18"/>
      <c r="I32" s="18"/>
      <c r="J32" s="18"/>
      <c r="K32" s="18"/>
      <c r="L32" s="18"/>
    </row>
    <row r="33" spans="2:12" x14ac:dyDescent="0.25">
      <c r="B33" s="13" t="s">
        <v>27</v>
      </c>
      <c r="C33" s="3" t="s">
        <v>46</v>
      </c>
      <c r="D33" s="15" t="s">
        <v>30</v>
      </c>
      <c r="E33" s="3"/>
      <c r="F33" s="12"/>
      <c r="K33" s="12"/>
    </row>
    <row r="34" spans="2:12" x14ac:dyDescent="0.25">
      <c r="B34" s="15" t="s">
        <v>29</v>
      </c>
      <c r="C34" s="3" t="s">
        <v>39</v>
      </c>
      <c r="D34" s="15" t="s">
        <v>28</v>
      </c>
      <c r="E34" s="3" t="s">
        <v>40</v>
      </c>
    </row>
    <row r="35" spans="2:12" x14ac:dyDescent="0.25">
      <c r="F35" s="12"/>
    </row>
    <row r="36" spans="2:12" x14ac:dyDescent="0.25">
      <c r="B36" s="19"/>
      <c r="C36" s="19"/>
      <c r="D36" s="50" t="s">
        <v>31</v>
      </c>
      <c r="E36" s="51"/>
      <c r="F36" s="51"/>
      <c r="G36" s="50" t="s">
        <v>32</v>
      </c>
      <c r="H36" s="51"/>
      <c r="I36" s="51"/>
      <c r="J36" s="50" t="s">
        <v>33</v>
      </c>
      <c r="K36" s="51"/>
      <c r="L36" s="51"/>
    </row>
    <row r="37" spans="2:12" x14ac:dyDescent="0.25">
      <c r="B37" s="19" t="s">
        <v>2</v>
      </c>
      <c r="C37" s="19" t="s">
        <v>34</v>
      </c>
      <c r="D37" s="19" t="s">
        <v>35</v>
      </c>
      <c r="E37" s="19" t="s">
        <v>36</v>
      </c>
      <c r="F37" s="19" t="s">
        <v>37</v>
      </c>
      <c r="G37" s="19" t="s">
        <v>35</v>
      </c>
      <c r="H37" s="19" t="s">
        <v>36</v>
      </c>
      <c r="I37" s="19" t="s">
        <v>37</v>
      </c>
      <c r="J37" s="19" t="s">
        <v>35</v>
      </c>
      <c r="K37" s="19" t="s">
        <v>36</v>
      </c>
      <c r="L37" s="19" t="s">
        <v>37</v>
      </c>
    </row>
    <row r="38" spans="2:12" x14ac:dyDescent="0.25">
      <c r="B38" s="19">
        <v>0</v>
      </c>
      <c r="C38" s="19" t="s">
        <v>69</v>
      </c>
      <c r="D38" s="19">
        <v>10</v>
      </c>
      <c r="E38" s="19">
        <v>27000</v>
      </c>
      <c r="F38" s="19">
        <f>E38*D38</f>
        <v>270000</v>
      </c>
      <c r="G38" s="19"/>
      <c r="H38" s="19"/>
      <c r="I38" s="19"/>
      <c r="J38" s="19">
        <f>D38</f>
        <v>10</v>
      </c>
      <c r="K38" s="19">
        <f>E38</f>
        <v>27000</v>
      </c>
      <c r="L38" s="19">
        <f>F38</f>
        <v>270000</v>
      </c>
    </row>
    <row r="39" spans="2:12" x14ac:dyDescent="0.25">
      <c r="B39" s="19">
        <v>2</v>
      </c>
      <c r="C39" s="20" t="s">
        <v>48</v>
      </c>
      <c r="D39" s="19">
        <v>60</v>
      </c>
      <c r="E39" s="21">
        <v>30000</v>
      </c>
      <c r="F39" s="21">
        <f>D39*E39</f>
        <v>1800000</v>
      </c>
      <c r="G39" s="19"/>
      <c r="H39" s="21"/>
      <c r="I39" s="21"/>
      <c r="J39" s="19">
        <f>D39+J38</f>
        <v>70</v>
      </c>
      <c r="K39" s="21">
        <f>L39/J39</f>
        <v>29571.428571428572</v>
      </c>
      <c r="L39" s="21">
        <f>L38+F39</f>
        <v>2070000</v>
      </c>
    </row>
    <row r="40" spans="2:12" x14ac:dyDescent="0.25">
      <c r="B40" s="19">
        <v>10</v>
      </c>
      <c r="C40" s="20" t="s">
        <v>49</v>
      </c>
      <c r="D40" s="19"/>
      <c r="E40" s="21"/>
      <c r="F40" s="21"/>
      <c r="G40" s="19">
        <v>20</v>
      </c>
      <c r="H40" s="21">
        <f>K39</f>
        <v>29571.428571428572</v>
      </c>
      <c r="I40" s="21">
        <f>G40*H40</f>
        <v>591428.57142857148</v>
      </c>
      <c r="J40" s="19">
        <f>J39-G40</f>
        <v>50</v>
      </c>
      <c r="K40" s="21">
        <f>L40/J40</f>
        <v>29571.428571428572</v>
      </c>
      <c r="L40" s="21">
        <f>L39-I40</f>
        <v>1478571.4285714286</v>
      </c>
    </row>
    <row r="41" spans="2:12" x14ac:dyDescent="0.25">
      <c r="B41" s="19">
        <v>12</v>
      </c>
      <c r="C41" s="20" t="s">
        <v>49</v>
      </c>
      <c r="D41" s="19"/>
      <c r="E41" s="21"/>
      <c r="F41" s="21"/>
      <c r="G41" s="19">
        <v>25</v>
      </c>
      <c r="H41" s="21">
        <f>K40</f>
        <v>29571.428571428572</v>
      </c>
      <c r="I41" s="21">
        <f>H41*G41</f>
        <v>739285.71428571432</v>
      </c>
      <c r="J41" s="19">
        <f>J40-G41</f>
        <v>25</v>
      </c>
      <c r="K41" s="21">
        <f>L41/J41</f>
        <v>29571.428571428572</v>
      </c>
      <c r="L41" s="21">
        <f>L40-I41</f>
        <v>739285.71428571432</v>
      </c>
    </row>
    <row r="42" spans="2:12" x14ac:dyDescent="0.25">
      <c r="B42" s="19">
        <v>13</v>
      </c>
      <c r="C42" s="20" t="s">
        <v>47</v>
      </c>
      <c r="D42" s="19">
        <v>15</v>
      </c>
      <c r="E42" s="21">
        <v>32000</v>
      </c>
      <c r="F42" s="21">
        <f>E42*D42</f>
        <v>480000</v>
      </c>
      <c r="G42" s="19"/>
      <c r="H42" s="21"/>
      <c r="I42" s="21"/>
      <c r="J42" s="19">
        <f>J41+D42</f>
        <v>40</v>
      </c>
      <c r="K42" s="21">
        <f>L42/J42</f>
        <v>30482.142857142859</v>
      </c>
      <c r="L42" s="21">
        <f>L41+F42</f>
        <v>1219285.7142857143</v>
      </c>
    </row>
    <row r="43" spans="2:12" x14ac:dyDescent="0.25">
      <c r="B43" s="19">
        <v>15</v>
      </c>
      <c r="C43" s="20" t="s">
        <v>49</v>
      </c>
      <c r="D43" s="19"/>
      <c r="E43" s="21"/>
      <c r="F43" s="21"/>
      <c r="G43" s="19">
        <v>8</v>
      </c>
      <c r="H43" s="21">
        <f>K42</f>
        <v>30482.142857142859</v>
      </c>
      <c r="I43" s="21">
        <f>H43*G43</f>
        <v>243857.14285714287</v>
      </c>
      <c r="J43" s="19">
        <f>J42-G43</f>
        <v>32</v>
      </c>
      <c r="K43" s="21">
        <f>L43/J43</f>
        <v>30482.142857142859</v>
      </c>
      <c r="L43" s="23">
        <f>L42-I43</f>
        <v>975428.57142857148</v>
      </c>
    </row>
    <row r="44" spans="2:12" x14ac:dyDescent="0.25">
      <c r="B44" s="16"/>
      <c r="C44" s="17"/>
      <c r="D44" s="18"/>
      <c r="E44" s="18"/>
      <c r="F44" s="18"/>
      <c r="G44" s="18"/>
      <c r="H44" s="18"/>
      <c r="I44" s="18"/>
      <c r="J44" s="18"/>
      <c r="K44" s="18"/>
      <c r="L44" s="18"/>
    </row>
    <row r="45" spans="2:12" x14ac:dyDescent="0.25">
      <c r="B45" s="49" t="s">
        <v>67</v>
      </c>
      <c r="C45" s="49"/>
      <c r="D45" s="19">
        <f>D39+D42+D38</f>
        <v>85</v>
      </c>
      <c r="E45" s="18"/>
      <c r="F45" s="18"/>
      <c r="G45" s="18"/>
      <c r="H45" s="18"/>
      <c r="I45" s="38">
        <f>SUM(I40:I44)</f>
        <v>1574571.4285714289</v>
      </c>
      <c r="J45" s="18"/>
      <c r="K45" s="18"/>
      <c r="L45" s="18"/>
    </row>
    <row r="46" spans="2:12" x14ac:dyDescent="0.25">
      <c r="B46" s="49" t="s">
        <v>68</v>
      </c>
      <c r="C46" s="49"/>
      <c r="D46" s="19">
        <f>G41+G40+G43</f>
        <v>53</v>
      </c>
      <c r="E46" s="25">
        <f>D45-D46</f>
        <v>32</v>
      </c>
      <c r="F46" s="18"/>
      <c r="G46" s="18"/>
      <c r="H46" s="18"/>
      <c r="I46" s="18"/>
      <c r="J46" s="18"/>
      <c r="K46" s="18"/>
      <c r="L46" s="18"/>
    </row>
  </sheetData>
  <mergeCells count="15">
    <mergeCell ref="G5:I5"/>
    <mergeCell ref="J5:L5"/>
    <mergeCell ref="J22:L22"/>
    <mergeCell ref="G22:I22"/>
    <mergeCell ref="D22:F22"/>
    <mergeCell ref="B15:C15"/>
    <mergeCell ref="B16:C16"/>
    <mergeCell ref="B30:C30"/>
    <mergeCell ref="B31:C31"/>
    <mergeCell ref="D5:F5"/>
    <mergeCell ref="B45:C45"/>
    <mergeCell ref="B46:C46"/>
    <mergeCell ref="D36:F36"/>
    <mergeCell ref="G36:I36"/>
    <mergeCell ref="J36:L3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3BCE-7508-426F-A0F5-84C51B123651}">
  <dimension ref="B1:N17"/>
  <sheetViews>
    <sheetView topLeftCell="B1" workbookViewId="0">
      <selection activeCell="I18" sqref="I18"/>
    </sheetView>
  </sheetViews>
  <sheetFormatPr baseColWidth="10" defaultRowHeight="15" x14ac:dyDescent="0.25"/>
  <cols>
    <col min="3" max="3" width="15.42578125" customWidth="1"/>
    <col min="4" max="4" width="22.140625" customWidth="1"/>
    <col min="5" max="5" width="17.85546875" customWidth="1"/>
    <col min="8" max="8" width="19.5703125" customWidth="1"/>
    <col min="9" max="9" width="14.5703125" bestFit="1" customWidth="1"/>
    <col min="11" max="11" width="21.7109375" customWidth="1"/>
    <col min="12" max="12" width="17.85546875" bestFit="1" customWidth="1"/>
  </cols>
  <sheetData>
    <row r="1" spans="2:14" x14ac:dyDescent="0.25">
      <c r="B1" s="13" t="s">
        <v>27</v>
      </c>
      <c r="C1" s="14" t="s">
        <v>38</v>
      </c>
      <c r="D1" s="15" t="s">
        <v>30</v>
      </c>
      <c r="E1" s="3"/>
    </row>
    <row r="2" spans="2:14" x14ac:dyDescent="0.25">
      <c r="B2" s="15" t="s">
        <v>29</v>
      </c>
      <c r="C2" s="3" t="s">
        <v>39</v>
      </c>
      <c r="D2" s="15" t="s">
        <v>28</v>
      </c>
      <c r="E2" s="3" t="s">
        <v>40</v>
      </c>
    </row>
    <row r="4" spans="2:14" x14ac:dyDescent="0.25">
      <c r="B4" s="19"/>
      <c r="C4" s="19"/>
      <c r="D4" s="50" t="s">
        <v>31</v>
      </c>
      <c r="E4" s="51"/>
      <c r="F4" s="51"/>
      <c r="G4" s="50" t="s">
        <v>32</v>
      </c>
      <c r="H4" s="51"/>
      <c r="I4" s="51"/>
      <c r="J4" s="50" t="s">
        <v>33</v>
      </c>
      <c r="K4" s="51"/>
      <c r="L4" s="51"/>
    </row>
    <row r="5" spans="2:14" x14ac:dyDescent="0.25">
      <c r="B5" s="31" t="s">
        <v>2</v>
      </c>
      <c r="C5" s="31" t="s">
        <v>34</v>
      </c>
      <c r="D5" s="31" t="s">
        <v>35</v>
      </c>
      <c r="E5" s="31" t="s">
        <v>36</v>
      </c>
      <c r="F5" s="31" t="s">
        <v>37</v>
      </c>
      <c r="G5" s="31" t="s">
        <v>35</v>
      </c>
      <c r="H5" s="31" t="s">
        <v>36</v>
      </c>
      <c r="I5" s="31" t="s">
        <v>37</v>
      </c>
      <c r="J5" s="31" t="s">
        <v>35</v>
      </c>
      <c r="K5" s="31" t="s">
        <v>36</v>
      </c>
      <c r="L5" s="31" t="s">
        <v>37</v>
      </c>
    </row>
    <row r="6" spans="2:14" x14ac:dyDescent="0.25">
      <c r="B6" s="19">
        <v>0</v>
      </c>
      <c r="C6" s="19" t="s">
        <v>69</v>
      </c>
      <c r="D6" s="19"/>
      <c r="E6" s="22"/>
      <c r="F6" s="22"/>
      <c r="G6" s="19"/>
      <c r="H6" s="19"/>
      <c r="I6" s="19"/>
      <c r="J6" s="19">
        <v>20</v>
      </c>
      <c r="K6" s="22">
        <v>45000</v>
      </c>
      <c r="L6" s="22">
        <f>K6*J6</f>
        <v>900000</v>
      </c>
    </row>
    <row r="7" spans="2:14" x14ac:dyDescent="0.25">
      <c r="B7" s="19">
        <v>1</v>
      </c>
      <c r="C7" s="20" t="s">
        <v>41</v>
      </c>
      <c r="D7" s="19">
        <v>80</v>
      </c>
      <c r="E7" s="21">
        <v>50000</v>
      </c>
      <c r="F7" s="21">
        <f>D7*E7</f>
        <v>4000000</v>
      </c>
      <c r="G7" s="34"/>
      <c r="H7" s="34"/>
      <c r="I7" s="34"/>
      <c r="J7" s="35">
        <f>D7</f>
        <v>80</v>
      </c>
      <c r="K7" s="34">
        <v>50000</v>
      </c>
      <c r="L7" s="34">
        <f>K7*J7</f>
        <v>4000000</v>
      </c>
    </row>
    <row r="8" spans="2:14" x14ac:dyDescent="0.25">
      <c r="B8" s="19"/>
      <c r="C8" s="20" t="s">
        <v>74</v>
      </c>
      <c r="D8" s="19"/>
      <c r="E8" s="21"/>
      <c r="F8" s="21"/>
      <c r="G8" s="35">
        <f>J6</f>
        <v>20</v>
      </c>
      <c r="H8" s="34">
        <f>K6</f>
        <v>45000</v>
      </c>
      <c r="I8" s="34">
        <f>G8*H8</f>
        <v>900000</v>
      </c>
      <c r="J8" s="35">
        <f>J6-G8</f>
        <v>0</v>
      </c>
      <c r="K8" s="34">
        <f>L8*J8</f>
        <v>0</v>
      </c>
      <c r="L8" s="34">
        <f>L6-I8</f>
        <v>0</v>
      </c>
    </row>
    <row r="9" spans="2:14" x14ac:dyDescent="0.25">
      <c r="B9" s="19"/>
      <c r="C9" s="20" t="s">
        <v>74</v>
      </c>
      <c r="D9" s="19"/>
      <c r="E9" s="21"/>
      <c r="F9" s="21"/>
      <c r="G9" s="35">
        <v>10</v>
      </c>
      <c r="H9" s="34">
        <f>K7</f>
        <v>50000</v>
      </c>
      <c r="I9" s="34">
        <f>H9*G9</f>
        <v>500000</v>
      </c>
      <c r="J9" s="35">
        <f>J7-G9</f>
        <v>70</v>
      </c>
      <c r="K9" s="34">
        <f>K7</f>
        <v>50000</v>
      </c>
      <c r="L9" s="34">
        <f>K9*J9</f>
        <v>3500000</v>
      </c>
    </row>
    <row r="10" spans="2:14" x14ac:dyDescent="0.25">
      <c r="B10" s="19">
        <v>5</v>
      </c>
      <c r="C10" s="20" t="s">
        <v>41</v>
      </c>
      <c r="D10" s="19">
        <v>20</v>
      </c>
      <c r="E10" s="21">
        <v>55000</v>
      </c>
      <c r="F10" s="21">
        <f>E10*D10</f>
        <v>1100000</v>
      </c>
      <c r="G10" s="35"/>
      <c r="H10" s="34"/>
      <c r="I10" s="34"/>
      <c r="J10" s="32">
        <f>D10</f>
        <v>20</v>
      </c>
      <c r="K10" s="33">
        <f>E10</f>
        <v>55000</v>
      </c>
      <c r="L10" s="33">
        <f>K10*J10</f>
        <v>1100000</v>
      </c>
    </row>
    <row r="11" spans="2:14" x14ac:dyDescent="0.25">
      <c r="B11" s="19">
        <v>6</v>
      </c>
      <c r="C11" s="20" t="s">
        <v>42</v>
      </c>
      <c r="D11" s="21"/>
      <c r="E11" s="21"/>
      <c r="F11" s="21"/>
      <c r="G11" s="35">
        <v>15</v>
      </c>
      <c r="H11" s="34">
        <f>K9</f>
        <v>50000</v>
      </c>
      <c r="I11" s="34">
        <f>H11*G11</f>
        <v>750000</v>
      </c>
      <c r="J11" s="35">
        <f>J9-G11</f>
        <v>55</v>
      </c>
      <c r="K11" s="34">
        <f>K9</f>
        <v>50000</v>
      </c>
      <c r="L11" s="34">
        <f>K11*J11</f>
        <v>2750000</v>
      </c>
    </row>
    <row r="12" spans="2:14" x14ac:dyDescent="0.25">
      <c r="B12" s="19"/>
      <c r="C12" s="20"/>
      <c r="D12" s="21"/>
      <c r="E12" s="21"/>
      <c r="F12" s="21"/>
      <c r="G12" s="35"/>
      <c r="H12" s="34"/>
      <c r="I12" s="34"/>
      <c r="J12" s="32">
        <f>J10</f>
        <v>20</v>
      </c>
      <c r="K12" s="33">
        <f>K10</f>
        <v>55000</v>
      </c>
      <c r="L12" s="33">
        <f>L10</f>
        <v>1100000</v>
      </c>
    </row>
    <row r="13" spans="2:14" x14ac:dyDescent="0.25">
      <c r="B13" s="19">
        <v>8</v>
      </c>
      <c r="C13" s="20" t="s">
        <v>42</v>
      </c>
      <c r="D13" s="21"/>
      <c r="E13" s="21"/>
      <c r="F13" s="21"/>
      <c r="G13" s="35">
        <v>18</v>
      </c>
      <c r="H13" s="34">
        <f>K11</f>
        <v>50000</v>
      </c>
      <c r="I13" s="34">
        <f>H13*G13</f>
        <v>900000</v>
      </c>
      <c r="J13" s="35">
        <f>J11-G13</f>
        <v>37</v>
      </c>
      <c r="K13" s="34">
        <f t="shared" ref="K13:K16" si="0">K11</f>
        <v>50000</v>
      </c>
      <c r="L13" s="34">
        <f>K13*J13</f>
        <v>1850000</v>
      </c>
    </row>
    <row r="14" spans="2:14" x14ac:dyDescent="0.25">
      <c r="B14" s="19"/>
      <c r="C14" s="20"/>
      <c r="D14" s="21"/>
      <c r="E14" s="21"/>
      <c r="F14" s="21"/>
      <c r="G14" s="35"/>
      <c r="H14" s="34"/>
      <c r="I14" s="34"/>
      <c r="J14" s="32">
        <f>J12</f>
        <v>20</v>
      </c>
      <c r="K14" s="33">
        <f t="shared" si="0"/>
        <v>55000</v>
      </c>
      <c r="L14" s="33">
        <f>L12</f>
        <v>1100000</v>
      </c>
    </row>
    <row r="15" spans="2:14" x14ac:dyDescent="0.25">
      <c r="B15" s="19">
        <v>9</v>
      </c>
      <c r="C15" s="20" t="s">
        <v>42</v>
      </c>
      <c r="D15" s="21"/>
      <c r="E15" s="21"/>
      <c r="F15" s="21"/>
      <c r="G15" s="19">
        <v>15</v>
      </c>
      <c r="H15" s="21">
        <f>K13</f>
        <v>50000</v>
      </c>
      <c r="I15" s="21">
        <f>H15*G15</f>
        <v>750000</v>
      </c>
      <c r="J15" s="25">
        <f>J13-G15</f>
        <v>22</v>
      </c>
      <c r="K15" s="23">
        <f>K13</f>
        <v>50000</v>
      </c>
      <c r="L15" s="23">
        <f>K15*J15</f>
        <v>1100000</v>
      </c>
      <c r="M15" s="52" t="s">
        <v>76</v>
      </c>
      <c r="N15" s="52"/>
    </row>
    <row r="16" spans="2:14" x14ac:dyDescent="0.25">
      <c r="J16" s="25">
        <f>J14</f>
        <v>20</v>
      </c>
      <c r="K16" s="23">
        <f t="shared" si="0"/>
        <v>55000</v>
      </c>
      <c r="L16" s="23">
        <f>L14</f>
        <v>1100000</v>
      </c>
      <c r="M16" s="52"/>
      <c r="N16" s="52"/>
    </row>
    <row r="17" spans="3:9" x14ac:dyDescent="0.25">
      <c r="C17" s="30" t="s">
        <v>75</v>
      </c>
      <c r="D17" s="3">
        <f>D7+D10</f>
        <v>100</v>
      </c>
      <c r="E17" s="36"/>
      <c r="F17" s="36">
        <f>F7+F10</f>
        <v>5100000</v>
      </c>
      <c r="G17" s="3">
        <f>G8+G9+G11+G13+G15</f>
        <v>78</v>
      </c>
      <c r="H17" s="36"/>
      <c r="I17" s="37">
        <f>SUM(I6:I15)</f>
        <v>3800000</v>
      </c>
    </row>
  </sheetData>
  <mergeCells count="4">
    <mergeCell ref="D4:F4"/>
    <mergeCell ref="G4:I4"/>
    <mergeCell ref="J4:L4"/>
    <mergeCell ref="M15:N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Registros Contables</vt:lpstr>
      <vt:lpstr>Kárdex PP</vt:lpstr>
      <vt:lpstr>Kárdex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2023-05-25T01:36:43Z</dcterms:modified>
</cp:coreProperties>
</file>