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F856538-0678-4797-BA92-86D4901FCA1E}" xr6:coauthVersionLast="47" xr6:coauthVersionMax="47" xr10:uidLastSave="{00000000-0000-0000-0000-000000000000}"/>
  <bookViews>
    <workbookView xWindow="-120" yWindow="-120" windowWidth="20730" windowHeight="11160" activeTab="3" xr2:uid="{9B301988-F32E-EA4B-A7CD-67C9E51D9EF6}"/>
  </bookViews>
  <sheets>
    <sheet name="EJERCICIO NO. 1. " sheetId="1" r:id="rId1"/>
    <sheet name="EJERCICIO NO. 2" sheetId="2" r:id="rId2"/>
    <sheet name="EJERCICO NO. 3." sheetId="3" r:id="rId3"/>
    <sheet name="EJERCICIO 4.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" l="1"/>
  <c r="K58" i="4"/>
  <c r="E97" i="2"/>
  <c r="F92" i="2"/>
  <c r="I19" i="3"/>
  <c r="G20" i="2"/>
  <c r="M22" i="1"/>
  <c r="H22" i="1"/>
  <c r="J57" i="4"/>
  <c r="J37" i="4"/>
  <c r="J34" i="4"/>
  <c r="K35" i="4" s="1"/>
  <c r="K56" i="4" s="1"/>
  <c r="K57" i="4" s="1"/>
  <c r="K60" i="4" s="1"/>
  <c r="K32" i="4"/>
  <c r="K47" i="4" s="1"/>
  <c r="J23" i="4"/>
  <c r="K24" i="4" s="1"/>
  <c r="K66" i="4" s="1"/>
  <c r="K67" i="4" s="1"/>
  <c r="K88" i="4" s="1"/>
  <c r="J28" i="4"/>
  <c r="J18" i="4"/>
  <c r="K21" i="4" s="1"/>
  <c r="K80" i="4" s="1"/>
  <c r="K82" i="4" s="1"/>
  <c r="I89" i="3"/>
  <c r="J88" i="3"/>
  <c r="J68" i="3"/>
  <c r="I59" i="3"/>
  <c r="I100" i="3"/>
  <c r="I49" i="3"/>
  <c r="I102" i="3" s="1"/>
  <c r="I48" i="3"/>
  <c r="I101" i="3" s="1"/>
  <c r="I103" i="3" s="1"/>
  <c r="I105" i="3" s="1"/>
  <c r="I47" i="3"/>
  <c r="I95" i="3" s="1"/>
  <c r="J50" i="3"/>
  <c r="I45" i="3"/>
  <c r="J43" i="3"/>
  <c r="J61" i="3" s="1"/>
  <c r="I42" i="3"/>
  <c r="I94" i="3" s="1"/>
  <c r="I37" i="3"/>
  <c r="I39" i="3" s="1"/>
  <c r="J35" i="3"/>
  <c r="I34" i="3"/>
  <c r="J32" i="3"/>
  <c r="J67" i="3" s="1"/>
  <c r="J69" i="3" s="1"/>
  <c r="J29" i="3"/>
  <c r="J91" i="3" s="1"/>
  <c r="I28" i="3"/>
  <c r="I66" i="3" s="1"/>
  <c r="J26" i="3"/>
  <c r="I25" i="3"/>
  <c r="I90" i="3" s="1"/>
  <c r="J23" i="3"/>
  <c r="J58" i="3" s="1"/>
  <c r="J62" i="3" s="1"/>
  <c r="I22" i="3"/>
  <c r="J20" i="3"/>
  <c r="I57" i="3"/>
  <c r="F123" i="2"/>
  <c r="F91" i="2"/>
  <c r="F89" i="2"/>
  <c r="E81" i="2"/>
  <c r="E82" i="2" s="1"/>
  <c r="E84" i="2" s="1"/>
  <c r="E71" i="2"/>
  <c r="E68" i="2"/>
  <c r="E67" i="2"/>
  <c r="E73" i="2" s="1"/>
  <c r="F61" i="2"/>
  <c r="F102" i="2" s="1"/>
  <c r="E60" i="2"/>
  <c r="E90" i="2" s="1"/>
  <c r="E91" i="2" s="1"/>
  <c r="E57" i="2"/>
  <c r="E72" i="2" s="1"/>
  <c r="F55" i="2"/>
  <c r="F101" i="2" s="1"/>
  <c r="E54" i="2"/>
  <c r="E52" i="2"/>
  <c r="E123" i="2" s="1"/>
  <c r="E124" i="2" s="1"/>
  <c r="F50" i="2"/>
  <c r="F70" i="2" s="1"/>
  <c r="E49" i="2"/>
  <c r="G27" i="2"/>
  <c r="E46" i="2"/>
  <c r="F47" i="2" s="1"/>
  <c r="F77" i="2" s="1"/>
  <c r="F78" i="2" s="1"/>
  <c r="E23" i="2"/>
  <c r="G23" i="2" s="1"/>
  <c r="G24" i="2" s="1"/>
  <c r="E42" i="2" s="1"/>
  <c r="E99" i="2" s="1"/>
  <c r="E37" i="2"/>
  <c r="F38" i="2" s="1"/>
  <c r="E39" i="2" s="1"/>
  <c r="F40" i="2" s="1"/>
  <c r="F98" i="2" s="1"/>
  <c r="F103" i="2" s="1"/>
  <c r="E34" i="2"/>
  <c r="F35" i="2" s="1"/>
  <c r="G19" i="2"/>
  <c r="G18" i="2"/>
  <c r="I129" i="1"/>
  <c r="H118" i="1"/>
  <c r="I119" i="1" s="1"/>
  <c r="I116" i="1"/>
  <c r="H113" i="1"/>
  <c r="I106" i="1"/>
  <c r="I96" i="1"/>
  <c r="I94" i="1"/>
  <c r="H89" i="1"/>
  <c r="H88" i="1"/>
  <c r="I81" i="1"/>
  <c r="H79" i="1"/>
  <c r="I70" i="1"/>
  <c r="H69" i="1"/>
  <c r="H82" i="1" s="1"/>
  <c r="I68" i="1"/>
  <c r="I107" i="1" s="1"/>
  <c r="H65" i="1"/>
  <c r="I61" i="1"/>
  <c r="H60" i="1"/>
  <c r="H95" i="1" s="1"/>
  <c r="H96" i="1" s="1"/>
  <c r="H97" i="1" s="1"/>
  <c r="I58" i="1"/>
  <c r="H57" i="1"/>
  <c r="H117" i="1" s="1"/>
  <c r="H51" i="1"/>
  <c r="I52" i="1" s="1"/>
  <c r="I87" i="1" s="1"/>
  <c r="I89" i="1" s="1"/>
  <c r="H38" i="1"/>
  <c r="H78" i="1" s="1"/>
  <c r="H29" i="1"/>
  <c r="U25" i="1"/>
  <c r="H45" i="1" s="1"/>
  <c r="H125" i="1" s="1"/>
  <c r="H126" i="1" s="1"/>
  <c r="Q25" i="1"/>
  <c r="H44" i="1" s="1"/>
  <c r="H114" i="1" s="1"/>
  <c r="M25" i="1"/>
  <c r="M24" i="1"/>
  <c r="I46" i="1" s="1"/>
  <c r="I80" i="1" s="1"/>
  <c r="I83" i="1" s="1"/>
  <c r="I62" i="3" l="1"/>
  <c r="J40" i="3"/>
  <c r="J93" i="3" s="1"/>
  <c r="J96" i="3" s="1"/>
  <c r="J97" i="3" s="1"/>
  <c r="J105" i="3" s="1"/>
  <c r="J106" i="3" s="1"/>
  <c r="I60" i="3"/>
  <c r="H120" i="1"/>
  <c r="H90" i="1"/>
  <c r="F114" i="2"/>
  <c r="I40" i="1"/>
  <c r="I124" i="1" s="1"/>
  <c r="I126" i="1" s="1"/>
  <c r="H127" i="1" s="1"/>
  <c r="I92" i="3"/>
  <c r="I96" i="3" s="1"/>
  <c r="F58" i="2"/>
  <c r="F108" i="2" s="1"/>
  <c r="F109" i="2" s="1"/>
  <c r="E100" i="2"/>
  <c r="J38" i="3"/>
  <c r="J83" i="3" s="1"/>
  <c r="J84" i="3" s="1"/>
  <c r="I41" i="1"/>
  <c r="I105" i="1" s="1"/>
  <c r="I108" i="1" s="1"/>
  <c r="I131" i="1" s="1"/>
  <c r="H115" i="1"/>
  <c r="E103" i="2"/>
  <c r="E104" i="2" s="1"/>
  <c r="E112" i="2" s="1"/>
  <c r="E114" i="2" s="1"/>
  <c r="E115" i="2" s="1"/>
  <c r="J82" i="3"/>
  <c r="I69" i="3"/>
  <c r="J70" i="3" s="1"/>
  <c r="J76" i="3" s="1"/>
  <c r="J73" i="3"/>
  <c r="J74" i="3" s="1"/>
  <c r="H83" i="1"/>
  <c r="H84" i="1" s="1"/>
  <c r="H99" i="1" s="1"/>
  <c r="I39" i="1"/>
  <c r="I112" i="1" s="1"/>
  <c r="I120" i="1" s="1"/>
  <c r="H121" i="1" s="1"/>
  <c r="H129" i="1" s="1"/>
  <c r="H131" i="1" s="1"/>
  <c r="J25" i="4"/>
  <c r="J46" i="4" s="1"/>
  <c r="K38" i="4"/>
  <c r="K49" i="4" s="1"/>
  <c r="K50" i="4" s="1"/>
  <c r="J31" i="4"/>
  <c r="J81" i="4" s="1"/>
  <c r="J82" i="4" s="1"/>
  <c r="K83" i="4" s="1"/>
  <c r="K85" i="4" s="1"/>
  <c r="J48" i="4"/>
  <c r="J45" i="4"/>
  <c r="J30" i="4"/>
  <c r="J76" i="4" s="1"/>
  <c r="K19" i="4"/>
  <c r="K72" i="4" s="1"/>
  <c r="K20" i="4"/>
  <c r="K73" i="4" s="1"/>
  <c r="I63" i="3"/>
  <c r="G21" i="2"/>
  <c r="E32" i="2" s="1"/>
  <c r="F44" i="2"/>
  <c r="F69" i="2" s="1"/>
  <c r="F73" i="2" s="1"/>
  <c r="F74" i="2" s="1"/>
  <c r="F84" i="2" s="1"/>
  <c r="F85" i="2" s="1"/>
  <c r="G25" i="2"/>
  <c r="E43" i="2" s="1"/>
  <c r="E107" i="2" s="1"/>
  <c r="E109" i="2" s="1"/>
  <c r="E110" i="2" s="1"/>
  <c r="J108" i="3" l="1"/>
  <c r="I76" i="3"/>
  <c r="I77" i="3" s="1"/>
  <c r="N77" i="3" s="1"/>
  <c r="I132" i="1"/>
  <c r="K77" i="4"/>
  <c r="J78" i="4" s="1"/>
  <c r="J50" i="4"/>
  <c r="J51" i="4" s="1"/>
  <c r="J60" i="4" s="1"/>
  <c r="J61" i="4" s="1"/>
  <c r="J85" i="4" l="1"/>
  <c r="J86" i="4" s="1"/>
  <c r="J88" i="4" s="1"/>
  <c r="J89" i="4" s="1"/>
</calcChain>
</file>

<file path=xl/sharedStrings.xml><?xml version="1.0" encoding="utf-8"?>
<sst xmlns="http://schemas.openxmlformats.org/spreadsheetml/2006/main" count="539" uniqueCount="286">
  <si>
    <t xml:space="preserve">DESARROLLO TALLER DE MACROECONOMÌA. </t>
  </si>
  <si>
    <t>EJERICICO NO. 1.</t>
  </si>
  <si>
    <t>TENER PRESENTE LA TRM =.  $3.200,56</t>
  </si>
  <si>
    <r>
      <t>1.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 xml:space="preserve"> TENIENDO EN CUENTA LA SIGUIENTE INFORMACIÒN REALIZAR LA ESTRUCTURA DE LA BALANZA DE PAGOS. </t>
    </r>
  </si>
  <si>
    <r>
      <t>1.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 xml:space="preserve"> COLOMBIA IMPORTA DE HOLANDA 20 TONELADAS DE QUESO, VALOR DEL KILO DE QUESO. $10.800.   LOS PAGA DE LA SIGUIENTE FORMA:   20% DE CONTADO, 30% A 4 MESES Y EL RESTO A 2 AÑOS. </t>
    </r>
  </si>
  <si>
    <r>
      <t>2.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 xml:space="preserve">COLOMBIA EXPORTA  300 CELULARES A VALOR CADA UNO DE US$300.  SE LOS PAGAN DE LA SIGUIENTE FORMA:   10% DE CONTADO,  20% A 62 DÌAS,  70%. A 8 MESES. </t>
    </r>
  </si>
  <si>
    <r>
      <t>3.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>POR PROBLEMAS DEL COVID COLOMBIA RECIBE UNA DONACIÒN DE 2000 VACUNAS CUYO VALOR ES DE $10.800.000.</t>
    </r>
  </si>
  <si>
    <r>
      <t>4.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 xml:space="preserve">COLOMBIA PRESTA SERVICIOS FINANCIEROS A BELGICA Y POR ELLO RECIBE LA USO DE US$350  DE CONTADO. </t>
    </r>
  </si>
  <si>
    <r>
      <t>5.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 xml:space="preserve">POR SERVICIOS GUBERNAMENTALES COLOMBIA SACA DE BANCOS LA SUMA DE $30.580.000 .CONTADO. </t>
    </r>
  </si>
  <si>
    <r>
      <t>6.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>COLOMBIA PRESTA AL FONDO MONETARIO INTERNACIONAL LA SUMA DE US$23.000 PARA PAGAR EN 3 AÑOS</t>
    </r>
  </si>
  <si>
    <r>
      <t>7.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>COLOMBIA DONA COBIJAS A ECUADOR POR UNA CATASTRE QUE ESTE SUFRIO. Us$3.890</t>
    </r>
  </si>
  <si>
    <r>
      <t>8.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>COLOMBIA TIENE EN DIVISAS LA SUMA DE $40.890.670.</t>
    </r>
  </si>
  <si>
    <r>
      <t>9.</t>
    </r>
    <r>
      <rPr>
        <sz val="24"/>
        <color theme="1"/>
        <rFont val="Times New Roman"/>
        <family val="1"/>
      </rPr>
      <t xml:space="preserve">     </t>
    </r>
    <r>
      <rPr>
        <sz val="24"/>
        <color theme="1"/>
        <rFont val="Calibri"/>
        <family val="2"/>
        <scheme val="minor"/>
      </rPr>
      <t>COLOMBIA TIENE EN DEG LA SUMA DE US$10.000</t>
    </r>
  </si>
  <si>
    <r>
      <t>10.</t>
    </r>
    <r>
      <rPr>
        <sz val="24"/>
        <color theme="1"/>
        <rFont val="Times New Roman"/>
        <family val="1"/>
      </rPr>
      <t xml:space="preserve">  </t>
    </r>
    <r>
      <rPr>
        <sz val="24"/>
        <color theme="1"/>
        <rFont val="Calibri"/>
        <family val="2"/>
        <scheme val="minor"/>
      </rPr>
      <t xml:space="preserve">COLOMBIA REALIZA UN PUENTE CUYO VALOR ES DE US$67.000.000.  ESTA PLATA LA OBTIENE DE UN PRESTAMO QUE HACE CON EL FMI.  A 4 AÑOS. </t>
    </r>
  </si>
  <si>
    <t>1.  una tonelada son 1000 kilos.      20 toneladas son. 20.000 kilos.   Valor del kilo. 10800</t>
  </si>
  <si>
    <t>cont.</t>
  </si>
  <si>
    <t>4 mese</t>
  </si>
  <si>
    <t>2 años</t>
  </si>
  <si>
    <t>2.    300 celulares a us$ 300.   us$90.000 * TRM</t>
  </si>
  <si>
    <t xml:space="preserve">10%. </t>
  </si>
  <si>
    <t>cont</t>
  </si>
  <si>
    <t>62 dìas</t>
  </si>
  <si>
    <t>8 mese</t>
  </si>
  <si>
    <t xml:space="preserve">3.  </t>
  </si>
  <si>
    <t xml:space="preserve">donaciòn  colombia recibe.  </t>
  </si>
  <si>
    <t xml:space="preserve">4. </t>
  </si>
  <si>
    <t>us$350.</t>
  </si>
  <si>
    <t>exp. Servicios fina.</t>
  </si>
  <si>
    <t>contado</t>
  </si>
  <si>
    <t xml:space="preserve">5. servicios gubernamentales. </t>
  </si>
  <si>
    <t xml:space="preserve">contado. </t>
  </si>
  <si>
    <t xml:space="preserve">1. </t>
  </si>
  <si>
    <t>importaciòn queso</t>
  </si>
  <si>
    <t>debito</t>
  </si>
  <si>
    <t>credito</t>
  </si>
  <si>
    <t>pesos</t>
  </si>
  <si>
    <t xml:space="preserve"> total valor transacciòn.  </t>
  </si>
  <si>
    <t>b.comercial</t>
  </si>
  <si>
    <t>banco</t>
  </si>
  <si>
    <t>b.  K.p.l.</t>
  </si>
  <si>
    <t>cxp</t>
  </si>
  <si>
    <t xml:space="preserve">b.k.p.no.l. </t>
  </si>
  <si>
    <t>cxp.  Inversiòn física</t>
  </si>
  <si>
    <t>b.l.p.</t>
  </si>
  <si>
    <t xml:space="preserve">2. </t>
  </si>
  <si>
    <t xml:space="preserve">bk.p.no. L </t>
  </si>
  <si>
    <t>exportación</t>
  </si>
  <si>
    <t>b. comercial</t>
  </si>
  <si>
    <t xml:space="preserve">3. </t>
  </si>
  <si>
    <t>importaciòn</t>
  </si>
  <si>
    <t>donaciòn. Vacunas</t>
  </si>
  <si>
    <t xml:space="preserve">b. transferencias. </t>
  </si>
  <si>
    <t>b.k.p.l.</t>
  </si>
  <si>
    <t>export. Serv. Financieros</t>
  </si>
  <si>
    <t>B. servicios</t>
  </si>
  <si>
    <t>5.</t>
  </si>
  <si>
    <t>servicios gubernamentales</t>
  </si>
  <si>
    <t>b. servicios</t>
  </si>
  <si>
    <t>bancos</t>
  </si>
  <si>
    <t>b.k.p.l</t>
  </si>
  <si>
    <t>6.</t>
  </si>
  <si>
    <t>cxp. Emprestitos</t>
  </si>
  <si>
    <t>b.l.p.  Emprestitos</t>
  </si>
  <si>
    <t>7.</t>
  </si>
  <si>
    <t>donación</t>
  </si>
  <si>
    <t>b. transferencias</t>
  </si>
  <si>
    <t>exportaciòn cobijas.</t>
  </si>
  <si>
    <t xml:space="preserve">8. </t>
  </si>
  <si>
    <t>divisas</t>
  </si>
  <si>
    <t>b. resevas</t>
  </si>
  <si>
    <t xml:space="preserve">9. </t>
  </si>
  <si>
    <t>deg</t>
  </si>
  <si>
    <t>10.</t>
  </si>
  <si>
    <t>cxp.  Emprestitos</t>
  </si>
  <si>
    <t>infraestructura</t>
  </si>
  <si>
    <t xml:space="preserve">b.k.p.l. </t>
  </si>
  <si>
    <t>estructura balanza de pagos.</t>
  </si>
  <si>
    <t>1. BALANZA CUENTA CORRIENTE</t>
  </si>
  <si>
    <t>1.1.  BALANZA COMERCIAL</t>
  </si>
  <si>
    <t>IMPORTACIONES</t>
  </si>
  <si>
    <t>QUESO</t>
  </si>
  <si>
    <t>VACUNAS</t>
  </si>
  <si>
    <t>EXPORTACIONES</t>
  </si>
  <si>
    <t>INFRAESTRUCTURA</t>
  </si>
  <si>
    <t>SUBTOTAL BALANZA COMERCIAL</t>
  </si>
  <si>
    <t>TOTAL BALANZA COMERCIAL</t>
  </si>
  <si>
    <t>SUPERAVIT</t>
  </si>
  <si>
    <t>1.2.    BALANZA DE SERVICIOS</t>
  </si>
  <si>
    <t>EXPOR.  SERVICIOS FINANCIEROS</t>
  </si>
  <si>
    <t xml:space="preserve">IMPORT. DE SERVIC. GUBERNAMEN. </t>
  </si>
  <si>
    <t>SUBTOTAL BALANZA DE SERVICIOS</t>
  </si>
  <si>
    <t>TOTAL BALANZA DE SERVICIOS</t>
  </si>
  <si>
    <t xml:space="preserve">1.3. </t>
  </si>
  <si>
    <t xml:space="preserve">BALANZA DE TRANSFERENCIAS. </t>
  </si>
  <si>
    <t>DONACIÒN VACUNAS</t>
  </si>
  <si>
    <t>DONACIÒN COBIJAS</t>
  </si>
  <si>
    <t>SUBTOTAL BALANZA TRANSFERENCIAS</t>
  </si>
  <si>
    <t>TOTAL BALANZA TRANSFERENCIAS</t>
  </si>
  <si>
    <t>TOTAL BALANZA CTA CORRIENTE</t>
  </si>
  <si>
    <t>2.</t>
  </si>
  <si>
    <t>BANZA CAPITAL</t>
  </si>
  <si>
    <t xml:space="preserve">2.1 </t>
  </si>
  <si>
    <t>BALANZA DE LARGO PLAZO.</t>
  </si>
  <si>
    <t>CXP. INVERSION FINANCIERA</t>
  </si>
  <si>
    <t xml:space="preserve">b.k.P.L </t>
  </si>
  <si>
    <t>CXP   EMPRESTITO</t>
  </si>
  <si>
    <t>CXP  EMPRESTITO</t>
  </si>
  <si>
    <t>TOTAL BALANZA LARGO PLAZO</t>
  </si>
  <si>
    <t xml:space="preserve">  DEFICIT</t>
  </si>
  <si>
    <t>2.2</t>
  </si>
  <si>
    <t>BALANZA DE CORTO PLAZO</t>
  </si>
  <si>
    <t>2.2.1</t>
  </si>
  <si>
    <t>BALANZA DE CAPITAL PRIVADO LIQUIDO</t>
  </si>
  <si>
    <t>BANCO</t>
  </si>
  <si>
    <t>CXC</t>
  </si>
  <si>
    <t>SUBTOTAL BALANZA CAP. PRIV. LIQUI.</t>
  </si>
  <si>
    <t>TOTAL BALANZA CAP PRIVADO LIQUI.</t>
  </si>
  <si>
    <t>DEFICIT</t>
  </si>
  <si>
    <t>2.2.2.</t>
  </si>
  <si>
    <t>BALANZA CAPITAL PRIVADO NO LIQU.</t>
  </si>
  <si>
    <t>CXP</t>
  </si>
  <si>
    <t>SUBTOTAL BALANZA CAP. PRV. NO LIQUI</t>
  </si>
  <si>
    <t>TOTAL BALANZA CAP PRIVA. NO  LIQUIDO</t>
  </si>
  <si>
    <t>TOTAL BALANZA DE CORTO PLAZO</t>
  </si>
  <si>
    <t>SUBTOTAL BALANZA DE CAPITAL</t>
  </si>
  <si>
    <t>TOTAL BALANZA DE CAPITAL</t>
  </si>
  <si>
    <t>TENER PRESENTE LA TRM =. $3867,45</t>
  </si>
  <si>
    <t>TASA DE CAMBIO YEN JAPONES =. O.O9879</t>
  </si>
  <si>
    <t>TASA DE CAMBIO LIBRAS ESTERLINA=.  1.56789</t>
  </si>
  <si>
    <t>TASA DE CAMBIO EURO=.  1,20987</t>
  </si>
  <si>
    <t xml:space="preserve">UN KILO= 2 LIBRAS. </t>
  </si>
  <si>
    <r>
      <t>1.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 COLOMBIA POSEE LAS SIGUIENTES DIVISAS.  3450 YENES,  689007 LIBRAS ESTERLINAS,   200.000 EUROS.</t>
    </r>
  </si>
  <si>
    <r>
      <t>2.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SACA DE LAS DIVISAS QUE TIENE EN RESERVAS US$1.200 PARA COMPRA EL PAPEL PARA REALIZAR LOS BILLETES COLOMBIANOS. </t>
    </r>
  </si>
  <si>
    <r>
      <t>3.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HACE UN PRESTAMO AL F.M.I. POR FAVOR DE US$56.000 PARA REESTRUCTURAR LOS COLEGIOS DE UN PUEBLO.  LOS PAGA A 10 AÑOS.</t>
    </r>
  </si>
  <si>
    <r>
      <t>4.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EXPORTA 200.000 LIBRAS DE CAFÈ.  VALOR DEL KILO. US$1.20, SE LOS PAGAN ASI:   40% DE CONTADO, 60% A 8 MESES. </t>
    </r>
  </si>
  <si>
    <r>
      <t>5.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PRESTA SERVICIOS DE BODEGAJE POR VALOR DE US$3.200 SE LOS PAGAN DE CONTADO.</t>
    </r>
  </si>
  <si>
    <r>
      <t>6.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DONA 3 TONELADAS DE ARROZ.  VALOR EL KILO DE ARROZ $3.500.</t>
    </r>
  </si>
  <si>
    <r>
      <t>7.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POR POSICIÒN NETA POSEE. US$56.000</t>
    </r>
  </si>
  <si>
    <r>
      <t>8.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IMPORTA MAQUINARÌA DE INGLATERRA POR VALOR DE US$38.000 LOS PAGARÀ A 2 MESES. </t>
    </r>
  </si>
  <si>
    <r>
      <t>9.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IMPORTA BISUTERIA POR VALOR DE US$3.000 PARA PAGAR A 5 MESES. </t>
    </r>
  </si>
  <si>
    <r>
      <t>10.</t>
    </r>
    <r>
      <rPr>
        <sz val="26"/>
        <color theme="1"/>
        <rFont val="Times New Roman"/>
        <family val="1"/>
      </rPr>
      <t xml:space="preserve">  </t>
    </r>
    <r>
      <rPr>
        <sz val="26"/>
        <color theme="1"/>
        <rFont val="Calibri"/>
        <family val="2"/>
        <scheme val="minor"/>
      </rPr>
      <t xml:space="preserve">COLOMBIA LOGRA AMORTIZAR A LAS DEUDAS QUE TIENE CON EL FONDO MONETARIO INTERNACIONAL LA SUMA DE US$5.000, LOS CUALES SACA DE BANCOS. </t>
    </r>
  </si>
  <si>
    <t>1.</t>
  </si>
  <si>
    <t>$</t>
  </si>
  <si>
    <t>TOTAL DIVISAS</t>
  </si>
  <si>
    <t>DIVISAS</t>
  </si>
  <si>
    <t>DEBITO</t>
  </si>
  <si>
    <t>CREDITO</t>
  </si>
  <si>
    <t>B. RESEVAS</t>
  </si>
  <si>
    <t>IMPORTACIÒN DE PAPEL</t>
  </si>
  <si>
    <t>B. COMERCIAL</t>
  </si>
  <si>
    <t>CXP EMPRESTITO</t>
  </si>
  <si>
    <t>B.K.P.L.</t>
  </si>
  <si>
    <t>B. L.P</t>
  </si>
  <si>
    <t xml:space="preserve">B. K.P.L </t>
  </si>
  <si>
    <t>4.</t>
  </si>
  <si>
    <t>200000/2</t>
  </si>
  <si>
    <t>40% conta</t>
  </si>
  <si>
    <t>60% a 8 meses</t>
  </si>
  <si>
    <t>EXPORTACIÓN</t>
  </si>
  <si>
    <t>B.K.P.L</t>
  </si>
  <si>
    <t>B.K.P.NO.L.</t>
  </si>
  <si>
    <t>B.K.L.P</t>
  </si>
  <si>
    <t>SERVICIOS DE BODEGAJE</t>
  </si>
  <si>
    <t>B. SERVICIOS</t>
  </si>
  <si>
    <t>DONACIÓN ARROZ</t>
  </si>
  <si>
    <t>EXPORTACIÒN ARROZ</t>
  </si>
  <si>
    <t>B. TRANSFERENCIA</t>
  </si>
  <si>
    <t>POSICIÓN NETA</t>
  </si>
  <si>
    <t>B. RESERVAS</t>
  </si>
  <si>
    <t>8.</t>
  </si>
  <si>
    <t>IMPORTACIÒN MAQUINARIA</t>
  </si>
  <si>
    <t>9.</t>
  </si>
  <si>
    <t>IMPORTACIÒN BISUTERIA</t>
  </si>
  <si>
    <t>B.K.P.NO. L.</t>
  </si>
  <si>
    <t>AMORTIZACION</t>
  </si>
  <si>
    <t>B.L.P.</t>
  </si>
  <si>
    <t>ESTRUCTURA BALANZA DE PAGOS</t>
  </si>
  <si>
    <t>1.  BALANA CUENTA CORRIENTE</t>
  </si>
  <si>
    <t>IMPORTACIÒN</t>
  </si>
  <si>
    <t>IMPORTACIÓN</t>
  </si>
  <si>
    <t>1.2. BALANZA DE SERVICIOS.</t>
  </si>
  <si>
    <t>SERVICIO DE BODEGAJE</t>
  </si>
  <si>
    <t xml:space="preserve">1.3 </t>
  </si>
  <si>
    <t>BALANZA DE TRANSFERENCIAS</t>
  </si>
  <si>
    <t>SUBTOTAL BAL. CTA CORRIENTE</t>
  </si>
  <si>
    <t>TOTAL BAL.CUENTA CORRIENTE</t>
  </si>
  <si>
    <t>BALANZA DE CAPITAL</t>
  </si>
  <si>
    <t>BALANZA DE LARGO PLAZO</t>
  </si>
  <si>
    <t>EMPRESTITO. CXP</t>
  </si>
  <si>
    <t>AMORTIZACIÓN</t>
  </si>
  <si>
    <t>SUBTOTAL BALANZA LARGO PLAZO</t>
  </si>
  <si>
    <t>2.2.</t>
  </si>
  <si>
    <t>2.2.1.</t>
  </si>
  <si>
    <t>SUBTOTAL BALANZA CAP PRIV. LIQUIDO</t>
  </si>
  <si>
    <t>TOTAL BALANZA CAPI. PRIV.  LIQUIDO</t>
  </si>
  <si>
    <t>2.2.2</t>
  </si>
  <si>
    <t>BALANZA DE CAP. PRIV. NO LIQUIDO</t>
  </si>
  <si>
    <t>SUBTOTAL BAL. CAP. PRIV. NO LIQUIDO</t>
  </si>
  <si>
    <t>TOTAL BAL. CAPI. PRIV. NO LIQUIDO</t>
  </si>
  <si>
    <t xml:space="preserve">BALANZA OFICIAL DE RESERVAS. </t>
  </si>
  <si>
    <t>SUBTOTAL BALANZA DE RESERVAS</t>
  </si>
  <si>
    <t>TOTAL BALANZA DE RESERVAS</t>
  </si>
  <si>
    <t>TENER EN CUENTA.  TRM=. $3.245,67</t>
  </si>
  <si>
    <r>
      <t>1.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 COLOMBIA IMPORTA 200 COMPUTADORES A VALOR CADA UNO DE US$1.000.  LOS PAGA DE CONTADO. </t>
    </r>
  </si>
  <si>
    <r>
      <t>2.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EXPORTA   600 CALDERAS POR VALOR CADA UNA DE US$45,67  SE LOS PAGARÀN DE CONTADO.</t>
    </r>
  </si>
  <si>
    <r>
      <t>3.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HACE UN PRESTAMO CON EL F.M.I POR VALOR DE US$45.600 PARA PAGARLO A 36 MESES. </t>
    </r>
  </si>
  <si>
    <r>
      <t>4.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A COLOMBIA LE PRESTAN SERVICIOS FINANCIEROS POR VALOR DE US$3.450 COLOMBIA LOS PAGA DE CONTADO.</t>
    </r>
  </si>
  <si>
    <r>
      <t>5.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PRESTA SERVICIOS DE ASESORÍA A ARGENTINA POR VALOR DE $19.678.450.  SE LOS PAGAN A 6 MESES. </t>
    </r>
  </si>
  <si>
    <r>
      <t>6.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A COLOMBIA LE DONAN 3500 MAQUINAS, VALOR DE CADA MAQUINA US$23.89</t>
    </r>
  </si>
  <si>
    <r>
      <t>7.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REALIZA INFRAESTRUCTURA POR VALOR DE US$57.800.  PARA ELLOS PRESTA LA PLATA AL FM.I LA CUAL PAGARÀ DENTRO DE 2 AÑOS. </t>
    </r>
  </si>
  <si>
    <r>
      <t>8.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REALIZA EXPORTACIÓN DE 20000 PARES DE CALCETINES.  VALOR PAR DE CALCETINES US$0,45.  SE LOS PAGAN DE CONTADO.</t>
    </r>
  </si>
  <si>
    <r>
      <t>9.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TIENE EN DIVISAS. S$780.000.</t>
    </r>
  </si>
  <si>
    <r>
      <t>10.</t>
    </r>
    <r>
      <rPr>
        <sz val="26"/>
        <color theme="1"/>
        <rFont val="Times New Roman"/>
        <family val="1"/>
      </rPr>
      <t xml:space="preserve">  </t>
    </r>
    <r>
      <rPr>
        <sz val="26"/>
        <color theme="1"/>
        <rFont val="Calibri"/>
        <family val="2"/>
        <scheme val="minor"/>
      </rPr>
      <t xml:space="preserve">COLOMBIA PRESTA SERVICIOS DE BODEGAJE POR VALOR DE US$5.698 SE LOSPAGARAN DE LA SIGUIENTE FORMA. 50% DE CONTADO, EL 20% A 6 MESES Y EL RESTO A 9 MESES. </t>
    </r>
  </si>
  <si>
    <t>TRM</t>
  </si>
  <si>
    <t>IMPORTACIÓN COMPUTADORES</t>
  </si>
  <si>
    <t>BANCOS</t>
  </si>
  <si>
    <t>3.</t>
  </si>
  <si>
    <t>CXP EMPRESTITOS</t>
  </si>
  <si>
    <t>IMPORTA. SERV. FINANCIEROS</t>
  </si>
  <si>
    <t>EXPOR. SERVICIOS ASESORIA</t>
  </si>
  <si>
    <t>IMPORTACION MAQUINAS</t>
  </si>
  <si>
    <t>DONACION MAQUINARIA</t>
  </si>
  <si>
    <t>B. TRANSFERENCIAS</t>
  </si>
  <si>
    <t>CXP. EMPRESTITO</t>
  </si>
  <si>
    <t>B.L.P</t>
  </si>
  <si>
    <t>B. K.P.L.</t>
  </si>
  <si>
    <t>EXPORTACIÓN CALCETINES</t>
  </si>
  <si>
    <t>B.K.P.NO. L</t>
  </si>
  <si>
    <t>EXP.  SERVICIOS BODEGAJE</t>
  </si>
  <si>
    <t>BALANZA CUENTA CORRIENTE</t>
  </si>
  <si>
    <t>1.1</t>
  </si>
  <si>
    <t>BALANZA COMERCIAL</t>
  </si>
  <si>
    <t>EXPORTACIÒN CALCETINES</t>
  </si>
  <si>
    <t xml:space="preserve">1.2 </t>
  </si>
  <si>
    <t>BALANZA DE SERVICIOS</t>
  </si>
  <si>
    <t>SERVICIOS. FINANCIEROS</t>
  </si>
  <si>
    <t>SERVICIOS ASESORIA</t>
  </si>
  <si>
    <t>SERVICIOS BODEGAJE</t>
  </si>
  <si>
    <t>SUBTOTAL BALANZA SERVICIOS</t>
  </si>
  <si>
    <t>TOTAL BALANZA SERVICIOS</t>
  </si>
  <si>
    <t>1.3</t>
  </si>
  <si>
    <t>SUBTOTAL BALANZA CUENTA CORRIENTE</t>
  </si>
  <si>
    <t>TOTAL BALANZA CUENTA CORRIENTE</t>
  </si>
  <si>
    <t>2.   BALANZA DE CAPITAL</t>
  </si>
  <si>
    <t>2.1.</t>
  </si>
  <si>
    <t>TOTAL BALANZA DE LARGO PLAZO</t>
  </si>
  <si>
    <t>BALANZA S CAPITAL PRIVADO LIQUIDO</t>
  </si>
  <si>
    <t>SUBTOTAL BALANZA DE CAPITAL PRIV. L.</t>
  </si>
  <si>
    <t>TOTAL BALANZA DE CAP. PRIVADO LIQUIDO</t>
  </si>
  <si>
    <t>BALANZA DE CAPITAL PRIVADO NO LIQUIDO</t>
  </si>
  <si>
    <t>TOTAL BALANZA DE CAP. PRIVADO NO LIQUIDO</t>
  </si>
  <si>
    <t>SUBTOTAL BALANZA DE CORTO PLAZO</t>
  </si>
  <si>
    <t xml:space="preserve">EJERCICIO NO. 4. </t>
  </si>
  <si>
    <t>TENER EN CUENTA.  TRM=. 3.125,89</t>
  </si>
  <si>
    <t xml:space="preserve">SE LAS PAGAN ASI: 30% DE CONTADO Y EL RESTO A 7 MESES. </t>
  </si>
  <si>
    <r>
      <t>1.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 COLOMBIA IMPORTA 560 MAQUINAS POR VALOR CADA UNA DE US$560.  LAS VA A PAGAR DE LA SIGUIENTE FORMA :  50% DE CONTADO , 15 % A 2 MESES Y EL RESTO A 9 MESES. </t>
    </r>
  </si>
  <si>
    <r>
      <t>2.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PRESTA LA FONDO MONETARIO INTERNACIONAL LA SUMA DE US$56.000 PARA ADECUAR UN HOSPITAL, LOS PAGARÀ EN 2 AÑOS. </t>
    </r>
  </si>
  <si>
    <r>
      <t>3.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POSEE EN POSICIÒN NETA LA SUMA DE US$89.000</t>
    </r>
  </si>
  <si>
    <r>
      <t>4.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COLOMBIA EXPORTA  2000 COBIJAS A BRASIL, VALOR DE CADA COBIJA. US$3.00 </t>
    </r>
  </si>
  <si>
    <r>
      <t>5.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VIENE CON UN SALDO   EN EL DEBITO EN BANCO POR VALOR DE US$763.000 EN LA ESTRUCTURA DE LA BALANZA DE PAGO .</t>
    </r>
  </si>
  <si>
    <r>
      <t>6.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 xml:space="preserve">A COLOMBIA LE DONAN 2 AVIONES PARA LA FUMIGACIÒN DE LA AMAPOLA POR VALOR DE US$35.000 CADA UNO. </t>
    </r>
  </si>
  <si>
    <r>
      <t>7.</t>
    </r>
    <r>
      <rPr>
        <sz val="26"/>
        <color theme="1"/>
        <rFont val="Times New Roman"/>
        <family val="1"/>
      </rPr>
      <t xml:space="preserve">     </t>
    </r>
    <r>
      <rPr>
        <sz val="26"/>
        <color theme="1"/>
        <rFont val="Calibri"/>
        <family val="2"/>
        <scheme val="minor"/>
      </rPr>
      <t>COLOMBIA DONA A FRANCIA 4000 LIBRAS DE AZUCAR, VALOR DEL KILO US$1,2</t>
    </r>
  </si>
  <si>
    <t xml:space="preserve">1.  </t>
  </si>
  <si>
    <t>IMPORTACIÓN. MÀQUINAS</t>
  </si>
  <si>
    <t>CRÉDITO</t>
  </si>
  <si>
    <t>B.COMERCIAL</t>
  </si>
  <si>
    <t>BK.P.L</t>
  </si>
  <si>
    <t>CXP. EMPRSTITO</t>
  </si>
  <si>
    <t>EXPORTACIÓN COBIJAS</t>
  </si>
  <si>
    <t>IMPORTACIÓN AVIONES</t>
  </si>
  <si>
    <t>DONACIÓN</t>
  </si>
  <si>
    <t>B. TTANSFERENCIA</t>
  </si>
  <si>
    <t>EXPORTACIÓN AZÚCAR</t>
  </si>
  <si>
    <t>BALANZA DE CUENTA CORRIENTE</t>
  </si>
  <si>
    <t>IMPORTACION</t>
  </si>
  <si>
    <t>1.2</t>
  </si>
  <si>
    <t>BALANZA DE TRASNFERENCIAS</t>
  </si>
  <si>
    <t>TOTAL BALANZA DE CUENTA CORRIENTE</t>
  </si>
  <si>
    <t>SUBTOTAL BALANZA TRANSFERENCIA</t>
  </si>
  <si>
    <t>TOTAL BALANZA TRANSFERENCIA</t>
  </si>
  <si>
    <t>SUBTOTAL BALANZA DE CUENTA CORRIENTE</t>
  </si>
  <si>
    <t>DÉFICIT</t>
  </si>
  <si>
    <t>SUBTOTAL BALANZA DE CAP. PRIV. LIQUIDO</t>
  </si>
  <si>
    <t>SUBTOTAL BALANZA DE CAP. PRIV. NO LIQUIDO</t>
  </si>
  <si>
    <t>TOTAL BALANZA DE CAPITAL PRIV. NO LIQUIDO</t>
  </si>
  <si>
    <t xml:space="preserve">NO DA EQUILIBRIO PORQUE LA IMPORTACIÓN DE PAPEL SE PAGO CON DIVISAS.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</si>
</sst>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Times New Roman"/>
      <family val="1"/>
    </font>
    <font>
      <sz val="26"/>
      <color theme="1"/>
      <name val="Calibri"/>
      <family val="2"/>
      <scheme val="minor"/>
    </font>
    <font>
      <sz val="26"/>
      <color theme="1"/>
      <name val="Times New Roman"/>
      <family val="1"/>
    </font>
    <font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/>
    <xf numFmtId="0" fontId="3" fillId="0" borderId="0" xfId="0" applyFont="1" applyAlignment="1">
      <alignment vertical="center"/>
    </xf>
    <xf numFmtId="9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9" fontId="5" fillId="0" borderId="0" xfId="0" applyNumberFormat="1" applyFont="1"/>
    <xf numFmtId="3" fontId="5" fillId="0" borderId="0" xfId="0" applyNumberFormat="1" applyFont="1"/>
    <xf numFmtId="9" fontId="3" fillId="0" borderId="0" xfId="0" applyNumberFormat="1" applyFont="1"/>
    <xf numFmtId="41" fontId="1" fillId="0" borderId="0" xfId="1" applyFont="1" applyAlignment="1">
      <alignment horizontal="left"/>
    </xf>
    <xf numFmtId="2" fontId="1" fillId="0" borderId="0" xfId="0" applyNumberFormat="1" applyFont="1"/>
    <xf numFmtId="0" fontId="1" fillId="2" borderId="0" xfId="0" applyFont="1" applyFill="1"/>
    <xf numFmtId="0" fontId="5" fillId="2" borderId="0" xfId="0" applyFont="1" applyFill="1"/>
    <xf numFmtId="0" fontId="5" fillId="3" borderId="0" xfId="0" applyFont="1" applyFill="1"/>
    <xf numFmtId="41" fontId="5" fillId="0" borderId="0" xfId="0" applyNumberFormat="1" applyFont="1"/>
    <xf numFmtId="41" fontId="5" fillId="3" borderId="0" xfId="0" applyNumberFormat="1" applyFont="1" applyFill="1"/>
    <xf numFmtId="1" fontId="5" fillId="4" borderId="0" xfId="0" applyNumberFormat="1" applyFont="1" applyFill="1"/>
    <xf numFmtId="1" fontId="5" fillId="0" borderId="0" xfId="0" applyNumberFormat="1" applyFont="1"/>
    <xf numFmtId="1" fontId="5" fillId="3" borderId="0" xfId="0" applyNumberFormat="1" applyFont="1" applyFill="1"/>
    <xf numFmtId="1" fontId="5" fillId="2" borderId="0" xfId="0" applyNumberFormat="1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5" fillId="5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6" borderId="0" xfId="0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6CA4-C455-7345-B027-0CCA8BA89112}">
  <dimension ref="A3:AC133"/>
  <sheetViews>
    <sheetView topLeftCell="A114" zoomScale="46" zoomScaleNormal="46" workbookViewId="0">
      <selection activeCell="I131" sqref="I131"/>
    </sheetView>
  </sheetViews>
  <sheetFormatPr baseColWidth="10" defaultRowHeight="15.75" x14ac:dyDescent="0.25"/>
  <cols>
    <col min="5" max="5" width="13.625" customWidth="1"/>
    <col min="6" max="6" width="29.875" customWidth="1"/>
    <col min="8" max="8" width="39.375" customWidth="1"/>
    <col min="9" max="9" width="36.5" customWidth="1"/>
    <col min="11" max="11" width="18.375" customWidth="1"/>
    <col min="12" max="12" width="26.625" customWidth="1"/>
    <col min="13" max="13" width="31.5" bestFit="1" customWidth="1"/>
    <col min="16" max="16" width="17.5" customWidth="1"/>
    <col min="17" max="17" width="23.125" bestFit="1" customWidth="1"/>
    <col min="20" max="20" width="12.875" customWidth="1"/>
    <col min="21" max="21" width="24" bestFit="1" customWidth="1"/>
  </cols>
  <sheetData>
    <row r="3" spans="1:17" ht="36" x14ac:dyDescent="0.55000000000000004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6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6" x14ac:dyDescent="0.55000000000000004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6" x14ac:dyDescent="0.55000000000000004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</row>
    <row r="7" spans="1:17" ht="36" x14ac:dyDescent="0.55000000000000004">
      <c r="A7" s="1"/>
      <c r="B7" s="5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"/>
      <c r="P7" s="1"/>
      <c r="Q7" s="1"/>
    </row>
    <row r="8" spans="1:17" ht="36" x14ac:dyDescent="0.55000000000000004">
      <c r="A8" s="1"/>
      <c r="B8" s="5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</row>
    <row r="9" spans="1:17" ht="36" x14ac:dyDescent="0.55000000000000004">
      <c r="A9" s="1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"/>
      <c r="P9" s="1"/>
      <c r="Q9" s="1"/>
    </row>
    <row r="10" spans="1:17" ht="36" x14ac:dyDescent="0.55000000000000004">
      <c r="A10" s="1"/>
      <c r="B10" s="3" t="s">
        <v>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</row>
    <row r="11" spans="1:17" ht="36" x14ac:dyDescent="0.55000000000000004">
      <c r="A11" s="1"/>
      <c r="B11" s="3" t="s">
        <v>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</row>
    <row r="12" spans="1:17" ht="36" x14ac:dyDescent="0.55000000000000004">
      <c r="A12" s="1"/>
      <c r="B12" s="3" t="s">
        <v>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  <c r="Q12" s="1"/>
    </row>
    <row r="13" spans="1:17" ht="36" x14ac:dyDescent="0.55000000000000004">
      <c r="A13" s="1"/>
      <c r="B13" s="3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  <c r="Q13" s="1"/>
    </row>
    <row r="14" spans="1:17" ht="36" x14ac:dyDescent="0.55000000000000004">
      <c r="A14" s="1"/>
      <c r="B14" s="3" t="s">
        <v>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  <c r="Q14" s="1"/>
    </row>
    <row r="15" spans="1:17" ht="36" x14ac:dyDescent="0.55000000000000004">
      <c r="A15" s="1"/>
      <c r="B15" s="3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"/>
      <c r="P15" s="1"/>
      <c r="Q15" s="1"/>
    </row>
    <row r="16" spans="1:17" ht="36" x14ac:dyDescent="0.55000000000000004">
      <c r="A16" s="1"/>
      <c r="B16" s="3" t="s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"/>
      <c r="P16" s="1"/>
      <c r="Q16" s="1"/>
    </row>
    <row r="17" spans="1:29" ht="36" x14ac:dyDescent="0.55000000000000004">
      <c r="A17" s="1"/>
      <c r="B17" s="3" t="s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"/>
      <c r="P17" s="1"/>
      <c r="Q17" s="1"/>
    </row>
    <row r="18" spans="1:29" ht="36" x14ac:dyDescent="0.55000000000000004">
      <c r="A18" s="1"/>
      <c r="B18" s="3" t="s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"/>
      <c r="P18" s="1"/>
      <c r="Q18" s="1"/>
    </row>
    <row r="19" spans="1:29" ht="36" x14ac:dyDescent="0.55000000000000004">
      <c r="A19" s="1"/>
      <c r="B19" s="3" t="s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"/>
      <c r="P19" s="1"/>
      <c r="Q19" s="1"/>
    </row>
    <row r="20" spans="1:29" ht="36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9" ht="36" x14ac:dyDescent="0.55000000000000004">
      <c r="A21" s="1"/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36" x14ac:dyDescent="0.55000000000000004">
      <c r="A22" s="1"/>
      <c r="B22" s="1" t="s">
        <v>36</v>
      </c>
      <c r="C22" s="1"/>
      <c r="D22" s="1"/>
      <c r="E22" s="1"/>
      <c r="F22" s="1"/>
      <c r="G22" s="1"/>
      <c r="H22" s="1">
        <f>20000*10800</f>
        <v>216000000</v>
      </c>
      <c r="I22" s="1" t="s">
        <v>35</v>
      </c>
      <c r="J22" s="1"/>
      <c r="K22" s="6">
        <v>0.2</v>
      </c>
      <c r="L22" s="1" t="s">
        <v>15</v>
      </c>
      <c r="M22" s="7">
        <f>H22*0.2</f>
        <v>43200000</v>
      </c>
      <c r="N22" s="1"/>
      <c r="O22" s="6">
        <v>0.3</v>
      </c>
      <c r="P22" s="1" t="s">
        <v>16</v>
      </c>
      <c r="Q22" s="8">
        <v>78000000</v>
      </c>
      <c r="S22" s="10">
        <v>0.5</v>
      </c>
      <c r="T22" s="9" t="s">
        <v>17</v>
      </c>
      <c r="U22" s="11">
        <v>130000000</v>
      </c>
      <c r="V22" s="9"/>
      <c r="W22" s="9"/>
      <c r="X22" s="9"/>
      <c r="Y22" s="9"/>
      <c r="Z22" s="9"/>
      <c r="AA22" s="9"/>
      <c r="AB22" s="9"/>
      <c r="AC22" s="9"/>
    </row>
    <row r="23" spans="1:29" ht="36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9" ht="36" x14ac:dyDescent="0.55000000000000004">
      <c r="A24" s="1"/>
      <c r="B24" s="1" t="s">
        <v>18</v>
      </c>
      <c r="C24" s="1"/>
      <c r="D24" s="1"/>
      <c r="E24" s="1"/>
      <c r="F24" s="1"/>
      <c r="G24" s="1"/>
      <c r="H24" s="1"/>
      <c r="I24" s="1"/>
      <c r="J24" s="1"/>
      <c r="K24" s="14">
        <v>3200.56</v>
      </c>
      <c r="L24" s="1"/>
      <c r="M24" s="1">
        <f>90000*K24</f>
        <v>288050400</v>
      </c>
      <c r="N24" s="1"/>
      <c r="O24" s="1"/>
      <c r="P24" s="1"/>
      <c r="Q24" s="1"/>
    </row>
    <row r="25" spans="1:29" ht="36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 t="s">
        <v>19</v>
      </c>
      <c r="L25" s="1" t="s">
        <v>20</v>
      </c>
      <c r="M25" s="1">
        <f>M24*0.1</f>
        <v>28805040</v>
      </c>
      <c r="N25" s="1"/>
      <c r="O25" s="6">
        <v>0.2</v>
      </c>
      <c r="P25" s="1" t="s">
        <v>21</v>
      </c>
      <c r="Q25" s="1">
        <f>M24*0.2</f>
        <v>57610080</v>
      </c>
      <c r="S25" s="12">
        <v>0.7</v>
      </c>
      <c r="T25" s="4" t="s">
        <v>22</v>
      </c>
      <c r="U25" s="4">
        <f>M24*0.7</f>
        <v>201635280</v>
      </c>
    </row>
    <row r="26" spans="1:29" ht="36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9" ht="36" x14ac:dyDescent="0.55000000000000004">
      <c r="A27" s="1"/>
      <c r="B27" s="1" t="s">
        <v>23</v>
      </c>
      <c r="C27" s="1" t="s">
        <v>24</v>
      </c>
      <c r="D27" s="1"/>
      <c r="E27" s="1"/>
      <c r="F27" s="1"/>
      <c r="G27" s="1"/>
      <c r="H27" s="8">
        <v>10800000</v>
      </c>
      <c r="I27" s="1" t="s">
        <v>28</v>
      </c>
      <c r="J27" s="1"/>
      <c r="K27" s="1"/>
      <c r="L27" s="1"/>
      <c r="M27" s="1"/>
      <c r="N27" s="1"/>
      <c r="O27" s="1"/>
      <c r="P27" s="1"/>
      <c r="Q27" s="1"/>
    </row>
    <row r="28" spans="1:29" ht="36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9" ht="36" x14ac:dyDescent="0.55000000000000004">
      <c r="A29" s="1"/>
      <c r="B29" s="1" t="s">
        <v>25</v>
      </c>
      <c r="C29" s="1" t="s">
        <v>26</v>
      </c>
      <c r="D29" s="1"/>
      <c r="E29" s="1" t="s">
        <v>27</v>
      </c>
      <c r="F29" s="1"/>
      <c r="G29" s="1"/>
      <c r="H29" s="1">
        <f>350*K24</f>
        <v>1120196</v>
      </c>
      <c r="I29" s="1"/>
      <c r="J29" s="1"/>
      <c r="K29" s="1"/>
      <c r="L29" s="1"/>
      <c r="M29" s="1"/>
      <c r="N29" s="1"/>
      <c r="O29" s="1"/>
      <c r="P29" s="1"/>
      <c r="Q29" s="1"/>
    </row>
    <row r="30" spans="1:29" ht="36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9" ht="36" x14ac:dyDescent="0.55000000000000004">
      <c r="A31" s="1"/>
      <c r="B31" s="1" t="s">
        <v>29</v>
      </c>
      <c r="C31" s="1"/>
      <c r="D31" s="1"/>
      <c r="E31" s="1"/>
      <c r="F31" s="1"/>
      <c r="G31" s="1"/>
      <c r="H31" s="8">
        <v>30580000</v>
      </c>
      <c r="I31" s="1" t="s">
        <v>30</v>
      </c>
      <c r="J31" s="1"/>
      <c r="K31" s="1"/>
      <c r="L31" s="1"/>
      <c r="M31" s="1"/>
      <c r="N31" s="1"/>
      <c r="O31" s="1"/>
      <c r="P31" s="1"/>
      <c r="Q31" s="1"/>
    </row>
    <row r="32" spans="1:29" ht="36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36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6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36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36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36" x14ac:dyDescent="0.55000000000000004">
      <c r="A37" s="1"/>
      <c r="B37" s="1"/>
      <c r="C37" s="1"/>
      <c r="D37" s="1"/>
      <c r="E37" s="1"/>
      <c r="F37" s="1"/>
      <c r="G37" s="1"/>
      <c r="H37" s="1" t="s">
        <v>33</v>
      </c>
      <c r="I37" s="1" t="s">
        <v>34</v>
      </c>
      <c r="J37" s="1"/>
      <c r="K37" s="1"/>
      <c r="L37" s="1"/>
      <c r="M37" s="1"/>
      <c r="N37" s="1"/>
      <c r="O37" s="1"/>
      <c r="P37" s="1"/>
      <c r="Q37" s="1"/>
    </row>
    <row r="38" spans="1:17" ht="36" x14ac:dyDescent="0.55000000000000004">
      <c r="A38" s="1"/>
      <c r="B38" s="1" t="s">
        <v>31</v>
      </c>
      <c r="C38" s="1" t="s">
        <v>32</v>
      </c>
      <c r="D38" s="1"/>
      <c r="E38" s="1"/>
      <c r="F38" s="1"/>
      <c r="G38" s="1"/>
      <c r="H38" s="1">
        <f>H22</f>
        <v>216000000</v>
      </c>
      <c r="I38" s="1"/>
      <c r="J38" s="15" t="s">
        <v>37</v>
      </c>
      <c r="K38" s="15"/>
      <c r="L38" s="1"/>
      <c r="M38" s="1"/>
      <c r="N38" s="1"/>
      <c r="O38" s="1"/>
      <c r="P38" s="1"/>
      <c r="Q38" s="1"/>
    </row>
    <row r="39" spans="1:17" ht="36" x14ac:dyDescent="0.55000000000000004">
      <c r="A39" s="1"/>
      <c r="B39" s="1"/>
      <c r="C39" s="1" t="s">
        <v>38</v>
      </c>
      <c r="D39" s="1"/>
      <c r="E39" s="1"/>
      <c r="F39" s="1"/>
      <c r="G39" s="1"/>
      <c r="H39" s="1"/>
      <c r="I39" s="13">
        <f>H38*0.2</f>
        <v>43200000</v>
      </c>
      <c r="J39" s="15" t="s">
        <v>39</v>
      </c>
      <c r="K39" s="15"/>
      <c r="L39" s="1"/>
      <c r="M39" s="1"/>
      <c r="N39" s="1"/>
      <c r="O39" s="1"/>
      <c r="P39" s="1"/>
      <c r="Q39" s="1"/>
    </row>
    <row r="40" spans="1:17" ht="36" x14ac:dyDescent="0.55000000000000004">
      <c r="A40" s="1"/>
      <c r="B40" s="1"/>
      <c r="C40" s="1" t="s">
        <v>40</v>
      </c>
      <c r="D40" s="1"/>
      <c r="E40" s="1"/>
      <c r="F40" s="1"/>
      <c r="G40" s="1"/>
      <c r="H40" s="1"/>
      <c r="I40" s="1">
        <f>H38*0.3</f>
        <v>64800000</v>
      </c>
      <c r="J40" s="15" t="s">
        <v>41</v>
      </c>
      <c r="K40" s="15"/>
      <c r="L40" s="1"/>
      <c r="M40" s="1"/>
      <c r="N40" s="1"/>
      <c r="O40" s="1"/>
      <c r="P40" s="1"/>
      <c r="Q40" s="1"/>
    </row>
    <row r="41" spans="1:17" ht="36" x14ac:dyDescent="0.55000000000000004">
      <c r="A41" s="1"/>
      <c r="B41" s="1"/>
      <c r="C41" s="1" t="s">
        <v>42</v>
      </c>
      <c r="D41" s="1"/>
      <c r="E41" s="1"/>
      <c r="F41" s="1"/>
      <c r="G41" s="1"/>
      <c r="H41" s="1"/>
      <c r="I41" s="1">
        <f>H38/2</f>
        <v>108000000</v>
      </c>
      <c r="J41" s="15" t="s">
        <v>43</v>
      </c>
      <c r="K41" s="1"/>
      <c r="L41" s="1"/>
      <c r="M41" s="1"/>
      <c r="N41" s="1"/>
      <c r="O41" s="1"/>
      <c r="P41" s="1"/>
      <c r="Q41" s="1"/>
    </row>
    <row r="42" spans="1:17" ht="36" x14ac:dyDescent="0.55000000000000004">
      <c r="A42" s="1"/>
      <c r="B42" s="1"/>
      <c r="C42" s="1"/>
      <c r="D42" s="1"/>
      <c r="E42" s="1"/>
      <c r="F42" s="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36" x14ac:dyDescent="0.55000000000000004">
      <c r="A43" s="1"/>
      <c r="B43" s="1" t="s">
        <v>44</v>
      </c>
      <c r="C43" s="1" t="s">
        <v>38</v>
      </c>
      <c r="D43" s="1"/>
      <c r="E43" s="1"/>
      <c r="F43" s="1"/>
      <c r="G43" s="1"/>
      <c r="H43" s="1">
        <v>28805040</v>
      </c>
      <c r="I43" s="1"/>
      <c r="J43" s="15" t="s">
        <v>104</v>
      </c>
      <c r="K43" s="15"/>
      <c r="L43" s="1"/>
      <c r="M43" s="1"/>
      <c r="N43" s="1"/>
      <c r="O43" s="1"/>
      <c r="P43" s="1"/>
      <c r="Q43" s="1"/>
    </row>
    <row r="44" spans="1:17" ht="36" x14ac:dyDescent="0.55000000000000004">
      <c r="A44" s="1"/>
      <c r="B44" s="1"/>
      <c r="C44" s="1" t="s">
        <v>114</v>
      </c>
      <c r="D44" s="1"/>
      <c r="E44" s="1"/>
      <c r="F44" s="1"/>
      <c r="G44" s="1"/>
      <c r="H44" s="1">
        <f>Q25</f>
        <v>57610080</v>
      </c>
      <c r="I44" s="1"/>
      <c r="J44" s="15" t="s">
        <v>104</v>
      </c>
      <c r="K44" s="15"/>
      <c r="L44" s="1"/>
      <c r="M44" s="1"/>
      <c r="N44" s="1"/>
      <c r="O44" s="1"/>
      <c r="P44" s="1"/>
      <c r="Q44" s="1"/>
    </row>
    <row r="45" spans="1:17" ht="36" x14ac:dyDescent="0.55000000000000004">
      <c r="A45" s="1"/>
      <c r="B45" s="1"/>
      <c r="C45" s="1" t="s">
        <v>114</v>
      </c>
      <c r="D45" s="1"/>
      <c r="E45" s="1"/>
      <c r="F45" s="1"/>
      <c r="G45" s="1"/>
      <c r="H45" s="1">
        <f>U25</f>
        <v>201635280</v>
      </c>
      <c r="I45" s="1"/>
      <c r="J45" s="15" t="s">
        <v>45</v>
      </c>
      <c r="K45" s="15"/>
      <c r="L45" s="1"/>
      <c r="M45" s="1"/>
      <c r="N45" s="1"/>
      <c r="O45" s="1"/>
      <c r="P45" s="1"/>
      <c r="Q45" s="1"/>
    </row>
    <row r="46" spans="1:17" ht="36" x14ac:dyDescent="0.55000000000000004">
      <c r="A46" s="1"/>
      <c r="B46" s="1"/>
      <c r="C46" s="1" t="s">
        <v>46</v>
      </c>
      <c r="D46" s="1"/>
      <c r="E46" s="1"/>
      <c r="F46" s="1"/>
      <c r="G46" s="1"/>
      <c r="H46" s="1"/>
      <c r="I46" s="1">
        <f>M24</f>
        <v>288050400</v>
      </c>
      <c r="J46" s="15" t="s">
        <v>47</v>
      </c>
      <c r="K46" s="15"/>
      <c r="L46" s="1"/>
      <c r="M46" s="1"/>
      <c r="N46" s="1"/>
      <c r="O46" s="1"/>
      <c r="P46" s="1"/>
      <c r="Q46" s="1"/>
    </row>
    <row r="47" spans="1:17" ht="36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36" x14ac:dyDescent="0.55000000000000004">
      <c r="A48" s="1"/>
      <c r="B48" s="1" t="s">
        <v>48</v>
      </c>
      <c r="C48" s="1" t="s">
        <v>49</v>
      </c>
      <c r="D48" s="1"/>
      <c r="E48" s="1"/>
      <c r="F48" s="1"/>
      <c r="G48" s="1"/>
      <c r="H48" s="1">
        <v>10800000</v>
      </c>
      <c r="I48" s="1"/>
      <c r="J48" s="15" t="s">
        <v>37</v>
      </c>
      <c r="K48" s="15"/>
      <c r="L48" s="1"/>
      <c r="M48" s="1"/>
      <c r="N48" s="1"/>
      <c r="O48" s="1"/>
      <c r="P48" s="1"/>
      <c r="Q48" s="1"/>
    </row>
    <row r="49" spans="1:17" ht="36" x14ac:dyDescent="0.55000000000000004">
      <c r="A49" s="1"/>
      <c r="B49" s="1"/>
      <c r="C49" s="1" t="s">
        <v>50</v>
      </c>
      <c r="D49" s="1"/>
      <c r="E49" s="1"/>
      <c r="F49" s="1"/>
      <c r="G49" s="1"/>
      <c r="H49" s="1"/>
      <c r="I49" s="1">
        <v>10800000</v>
      </c>
      <c r="J49" s="15" t="s">
        <v>51</v>
      </c>
      <c r="K49" s="15"/>
      <c r="L49" s="15"/>
      <c r="M49" s="1"/>
      <c r="N49" s="1"/>
      <c r="O49" s="1"/>
      <c r="P49" s="1"/>
      <c r="Q49" s="1"/>
    </row>
    <row r="50" spans="1:17" ht="33.75" x14ac:dyDescent="0.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7" ht="33.75" x14ac:dyDescent="0.5">
      <c r="B51" s="9" t="s">
        <v>25</v>
      </c>
      <c r="C51" s="9" t="s">
        <v>38</v>
      </c>
      <c r="D51" s="9"/>
      <c r="E51" s="9"/>
      <c r="F51" s="9"/>
      <c r="G51" s="9"/>
      <c r="H51" s="9">
        <f>H29</f>
        <v>1120196</v>
      </c>
      <c r="I51" s="9"/>
      <c r="J51" s="16" t="s">
        <v>52</v>
      </c>
      <c r="K51" s="16"/>
      <c r="L51" s="9"/>
      <c r="M51" s="9"/>
    </row>
    <row r="52" spans="1:17" ht="33.75" x14ac:dyDescent="0.5">
      <c r="B52" s="9"/>
      <c r="C52" s="9" t="s">
        <v>53</v>
      </c>
      <c r="D52" s="9"/>
      <c r="E52" s="9"/>
      <c r="F52" s="9"/>
      <c r="G52" s="9"/>
      <c r="H52" s="9"/>
      <c r="I52" s="9">
        <f>H51</f>
        <v>1120196</v>
      </c>
      <c r="J52" s="16" t="s">
        <v>54</v>
      </c>
      <c r="K52" s="16"/>
      <c r="L52" s="9"/>
      <c r="M52" s="9"/>
    </row>
    <row r="53" spans="1:17" ht="33.75" x14ac:dyDescent="0.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7" ht="33.75" x14ac:dyDescent="0.5">
      <c r="B54" s="9" t="s">
        <v>55</v>
      </c>
      <c r="C54" s="9" t="s">
        <v>56</v>
      </c>
      <c r="D54" s="9"/>
      <c r="E54" s="9"/>
      <c r="F54" s="9"/>
      <c r="G54" s="9"/>
      <c r="H54" s="9">
        <v>30580000</v>
      </c>
      <c r="I54" s="9"/>
      <c r="J54" s="16" t="s">
        <v>57</v>
      </c>
      <c r="K54" s="16"/>
      <c r="L54" s="9"/>
      <c r="M54" s="9"/>
    </row>
    <row r="55" spans="1:17" ht="33.75" x14ac:dyDescent="0.5">
      <c r="B55" s="9"/>
      <c r="C55" s="9" t="s">
        <v>58</v>
      </c>
      <c r="D55" s="9"/>
      <c r="E55" s="9"/>
      <c r="F55" s="9"/>
      <c r="G55" s="9"/>
      <c r="H55" s="9"/>
      <c r="I55" s="9">
        <v>30580000</v>
      </c>
      <c r="J55" s="16" t="s">
        <v>59</v>
      </c>
      <c r="K55" s="16"/>
      <c r="L55" s="9"/>
      <c r="M55" s="9"/>
    </row>
    <row r="56" spans="1:17" ht="33.75" x14ac:dyDescent="0.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7" ht="33.75" x14ac:dyDescent="0.5">
      <c r="B57" s="9" t="s">
        <v>60</v>
      </c>
      <c r="C57" s="9" t="s">
        <v>58</v>
      </c>
      <c r="D57" s="9"/>
      <c r="E57" s="9"/>
      <c r="F57" s="9"/>
      <c r="G57" s="9"/>
      <c r="H57" s="9">
        <f>23000*3200.56</f>
        <v>73612880</v>
      </c>
      <c r="I57" s="9"/>
      <c r="J57" s="16" t="s">
        <v>52</v>
      </c>
      <c r="K57" s="16"/>
      <c r="L57" s="9"/>
      <c r="M57" s="9"/>
    </row>
    <row r="58" spans="1:17" ht="33.75" x14ac:dyDescent="0.5">
      <c r="B58" s="9"/>
      <c r="C58" s="9" t="s">
        <v>61</v>
      </c>
      <c r="D58" s="9"/>
      <c r="E58" s="9"/>
      <c r="F58" s="9"/>
      <c r="G58" s="9"/>
      <c r="H58" s="9"/>
      <c r="I58" s="9">
        <f>23000*3200.56</f>
        <v>73612880</v>
      </c>
      <c r="J58" s="16" t="s">
        <v>62</v>
      </c>
      <c r="K58" s="16"/>
      <c r="L58" s="16"/>
      <c r="M58" s="9"/>
    </row>
    <row r="59" spans="1:17" ht="33.75" x14ac:dyDescent="0.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7" ht="33.75" x14ac:dyDescent="0.5">
      <c r="B60" s="9" t="s">
        <v>63</v>
      </c>
      <c r="C60" s="9" t="s">
        <v>64</v>
      </c>
      <c r="D60" s="9"/>
      <c r="E60" s="9"/>
      <c r="F60" s="9"/>
      <c r="G60" s="9"/>
      <c r="H60" s="9">
        <f>3890*3200.56</f>
        <v>12450178.4</v>
      </c>
      <c r="I60" s="9"/>
      <c r="J60" s="16" t="s">
        <v>65</v>
      </c>
      <c r="K60" s="16"/>
      <c r="L60" s="16"/>
      <c r="M60" s="9"/>
    </row>
    <row r="61" spans="1:17" ht="33.75" x14ac:dyDescent="0.5">
      <c r="B61" s="9"/>
      <c r="C61" s="9" t="s">
        <v>66</v>
      </c>
      <c r="D61" s="9"/>
      <c r="E61" s="9"/>
      <c r="F61" s="9"/>
      <c r="G61" s="9"/>
      <c r="H61" s="9"/>
      <c r="I61" s="9">
        <f>3890*3200.56</f>
        <v>12450178.4</v>
      </c>
      <c r="J61" s="16" t="s">
        <v>47</v>
      </c>
      <c r="K61" s="16"/>
      <c r="L61" s="9"/>
      <c r="M61" s="9"/>
    </row>
    <row r="62" spans="1:17" ht="33.75" x14ac:dyDescent="0.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7" ht="33.75" x14ac:dyDescent="0.5">
      <c r="B63" s="9" t="s">
        <v>67</v>
      </c>
      <c r="C63" s="9" t="s">
        <v>68</v>
      </c>
      <c r="D63" s="9"/>
      <c r="E63" s="9"/>
      <c r="F63" s="9"/>
      <c r="G63" s="9"/>
      <c r="H63" s="9">
        <v>40890670</v>
      </c>
      <c r="I63" s="9"/>
      <c r="J63" s="9" t="s">
        <v>69</v>
      </c>
      <c r="K63" s="9"/>
      <c r="L63" s="9"/>
      <c r="M63" s="9"/>
    </row>
    <row r="64" spans="1:17" ht="33.75" x14ac:dyDescent="0.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2:13" ht="33.75" x14ac:dyDescent="0.5">
      <c r="B65" s="9" t="s">
        <v>70</v>
      </c>
      <c r="C65" s="9" t="s">
        <v>71</v>
      </c>
      <c r="D65" s="9"/>
      <c r="E65" s="9"/>
      <c r="F65" s="9"/>
      <c r="G65" s="9"/>
      <c r="H65" s="9">
        <f>10000*3200.56</f>
        <v>32005600</v>
      </c>
      <c r="I65" s="9"/>
      <c r="J65" s="9" t="s">
        <v>69</v>
      </c>
      <c r="K65" s="9"/>
      <c r="L65" s="9"/>
      <c r="M65" s="9"/>
    </row>
    <row r="66" spans="2:13" ht="33.75" x14ac:dyDescent="0.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 ht="33.75" x14ac:dyDescent="0.5">
      <c r="B67" s="9" t="s">
        <v>72</v>
      </c>
      <c r="C67" s="9" t="s">
        <v>38</v>
      </c>
      <c r="D67" s="9"/>
      <c r="E67" s="9"/>
      <c r="F67" s="9"/>
      <c r="G67" s="9"/>
      <c r="H67" s="9">
        <v>214437520000</v>
      </c>
      <c r="I67" s="9"/>
      <c r="J67" s="16" t="s">
        <v>52</v>
      </c>
      <c r="K67" s="16"/>
      <c r="L67" s="9"/>
      <c r="M67" s="9"/>
    </row>
    <row r="68" spans="2:13" ht="33.75" x14ac:dyDescent="0.5">
      <c r="B68" s="9"/>
      <c r="C68" s="9" t="s">
        <v>73</v>
      </c>
      <c r="D68" s="9"/>
      <c r="E68" s="9"/>
      <c r="F68" s="9"/>
      <c r="G68" s="9"/>
      <c r="H68" s="9"/>
      <c r="I68" s="9">
        <f>H67</f>
        <v>214437520000</v>
      </c>
      <c r="J68" s="16" t="s">
        <v>62</v>
      </c>
      <c r="K68" s="16"/>
      <c r="L68" s="16"/>
      <c r="M68" s="9"/>
    </row>
    <row r="69" spans="2:13" ht="33.75" x14ac:dyDescent="0.5">
      <c r="B69" s="9"/>
      <c r="C69" s="9" t="s">
        <v>74</v>
      </c>
      <c r="D69" s="9"/>
      <c r="E69" s="9"/>
      <c r="F69" s="9"/>
      <c r="G69" s="9"/>
      <c r="H69" s="9">
        <f>I68</f>
        <v>214437520000</v>
      </c>
      <c r="I69" s="9"/>
      <c r="J69" s="16" t="s">
        <v>47</v>
      </c>
      <c r="K69" s="16"/>
      <c r="L69" s="9"/>
      <c r="M69" s="9"/>
    </row>
    <row r="70" spans="2:13" ht="33.75" x14ac:dyDescent="0.5">
      <c r="B70" s="9"/>
      <c r="C70" s="9" t="s">
        <v>38</v>
      </c>
      <c r="D70" s="9"/>
      <c r="E70" s="9"/>
      <c r="F70" s="9"/>
      <c r="G70" s="9"/>
      <c r="H70" s="9"/>
      <c r="I70" s="9">
        <f>I68</f>
        <v>214437520000</v>
      </c>
      <c r="J70" s="16" t="s">
        <v>75</v>
      </c>
      <c r="K70" s="16"/>
      <c r="L70" s="9"/>
      <c r="M70" s="9"/>
    </row>
    <row r="71" spans="2:13" ht="33.75" x14ac:dyDescent="0.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2:13" ht="33.75" x14ac:dyDescent="0.5">
      <c r="B72" s="9"/>
      <c r="C72" s="9" t="s">
        <v>76</v>
      </c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33.75" x14ac:dyDescent="0.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2:13" ht="33.75" x14ac:dyDescent="0.5">
      <c r="B74" s="9" t="s">
        <v>77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2:13" ht="33.75" x14ac:dyDescent="0.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2:13" ht="33.75" x14ac:dyDescent="0.5">
      <c r="B76" s="9" t="s">
        <v>78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ht="33.75" x14ac:dyDescent="0.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2:13" ht="33.75" x14ac:dyDescent="0.5">
      <c r="B78" s="9"/>
      <c r="C78" s="9" t="s">
        <v>79</v>
      </c>
      <c r="D78" s="9"/>
      <c r="E78" s="9"/>
      <c r="F78" s="9" t="s">
        <v>80</v>
      </c>
      <c r="G78" s="9"/>
      <c r="H78" s="9">
        <f>H38</f>
        <v>216000000</v>
      </c>
      <c r="I78" s="9"/>
      <c r="J78" s="9"/>
      <c r="K78" s="9"/>
      <c r="L78" s="9"/>
      <c r="M78" s="9"/>
    </row>
    <row r="79" spans="2:13" ht="33.75" x14ac:dyDescent="0.5">
      <c r="B79" s="9"/>
      <c r="C79" s="9" t="s">
        <v>79</v>
      </c>
      <c r="D79" s="9"/>
      <c r="E79" s="9"/>
      <c r="F79" s="9" t="s">
        <v>81</v>
      </c>
      <c r="G79" s="9"/>
      <c r="H79" s="9">
        <f>H48</f>
        <v>10800000</v>
      </c>
      <c r="I79" s="9"/>
      <c r="J79" s="9"/>
      <c r="K79" s="9"/>
      <c r="L79" s="9"/>
      <c r="M79" s="9"/>
    </row>
    <row r="80" spans="2:13" ht="33.75" x14ac:dyDescent="0.5">
      <c r="B80" s="9"/>
      <c r="C80" s="9" t="s">
        <v>82</v>
      </c>
      <c r="D80" s="9"/>
      <c r="E80" s="9"/>
      <c r="F80" s="9"/>
      <c r="G80" s="9"/>
      <c r="H80" s="9"/>
      <c r="I80" s="9">
        <f>I46</f>
        <v>288050400</v>
      </c>
      <c r="J80" s="9"/>
      <c r="K80" s="9"/>
      <c r="L80" s="9"/>
      <c r="M80" s="9"/>
    </row>
    <row r="81" spans="2:13" ht="33.75" x14ac:dyDescent="0.5">
      <c r="B81" s="9"/>
      <c r="C81" s="9" t="s">
        <v>82</v>
      </c>
      <c r="D81" s="9"/>
      <c r="E81" s="9"/>
      <c r="F81" s="9"/>
      <c r="G81" s="9"/>
      <c r="H81" s="9"/>
      <c r="I81" s="9">
        <f>I61</f>
        <v>12450178.4</v>
      </c>
      <c r="J81" s="9"/>
      <c r="K81" s="9"/>
      <c r="L81" s="9"/>
      <c r="M81" s="9"/>
    </row>
    <row r="82" spans="2:13" ht="33.75" x14ac:dyDescent="0.5">
      <c r="B82" s="9"/>
      <c r="C82" s="9" t="s">
        <v>83</v>
      </c>
      <c r="D82" s="9"/>
      <c r="E82" s="9"/>
      <c r="F82" s="9"/>
      <c r="G82" s="9"/>
      <c r="H82" s="21">
        <f>H69</f>
        <v>214437520000</v>
      </c>
      <c r="I82" s="9"/>
      <c r="J82" s="9"/>
      <c r="K82" s="9"/>
      <c r="L82" s="9"/>
      <c r="M82" s="9"/>
    </row>
    <row r="83" spans="2:13" ht="33.75" x14ac:dyDescent="0.5">
      <c r="B83" s="9"/>
      <c r="C83" s="9" t="s">
        <v>84</v>
      </c>
      <c r="D83" s="9"/>
      <c r="E83" s="9"/>
      <c r="F83" s="9"/>
      <c r="G83" s="9"/>
      <c r="H83" s="21">
        <f>H78+H79+H82</f>
        <v>214664320000</v>
      </c>
      <c r="I83" s="9">
        <f>I80+I81</f>
        <v>300500578.39999998</v>
      </c>
      <c r="J83" s="9"/>
      <c r="K83" s="9"/>
      <c r="L83" s="9"/>
      <c r="M83" s="9"/>
    </row>
    <row r="84" spans="2:13" ht="33.75" x14ac:dyDescent="0.5">
      <c r="B84" s="9"/>
      <c r="C84" s="9" t="s">
        <v>85</v>
      </c>
      <c r="D84" s="9"/>
      <c r="E84" s="9"/>
      <c r="F84" s="9"/>
      <c r="G84" s="9"/>
      <c r="H84" s="22">
        <f>H83-I83</f>
        <v>214363819421.60001</v>
      </c>
      <c r="I84" s="9" t="s">
        <v>86</v>
      </c>
      <c r="J84" s="9"/>
      <c r="K84" s="9"/>
      <c r="L84" s="9"/>
      <c r="M84" s="9"/>
    </row>
    <row r="85" spans="2:13" ht="33.75" x14ac:dyDescent="0.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2:13" ht="33.75" x14ac:dyDescent="0.5">
      <c r="B86" s="9" t="s">
        <v>87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 ht="33.75" x14ac:dyDescent="0.5">
      <c r="B87" s="9"/>
      <c r="C87" s="9" t="s">
        <v>88</v>
      </c>
      <c r="D87" s="9"/>
      <c r="E87" s="9"/>
      <c r="F87" s="9"/>
      <c r="G87" s="9"/>
      <c r="H87" s="9"/>
      <c r="I87" s="9">
        <f>I52</f>
        <v>1120196</v>
      </c>
      <c r="J87" s="9"/>
      <c r="K87" s="9"/>
      <c r="L87" s="9"/>
      <c r="M87" s="9"/>
    </row>
    <row r="88" spans="2:13" ht="33.75" x14ac:dyDescent="0.5">
      <c r="B88" s="9"/>
      <c r="C88" s="9" t="s">
        <v>89</v>
      </c>
      <c r="D88" s="9"/>
      <c r="E88" s="9"/>
      <c r="F88" s="9"/>
      <c r="G88" s="9"/>
      <c r="H88" s="9">
        <f>H54</f>
        <v>30580000</v>
      </c>
      <c r="I88" s="9"/>
      <c r="J88" s="9"/>
      <c r="K88" s="9"/>
      <c r="L88" s="9"/>
      <c r="M88" s="9"/>
    </row>
    <row r="89" spans="2:13" ht="33.75" x14ac:dyDescent="0.5">
      <c r="B89" s="9"/>
      <c r="C89" s="9" t="s">
        <v>90</v>
      </c>
      <c r="D89" s="9"/>
      <c r="E89" s="9"/>
      <c r="F89" s="9"/>
      <c r="G89" s="9"/>
      <c r="H89" s="9">
        <f>H88</f>
        <v>30580000</v>
      </c>
      <c r="I89" s="9">
        <f>I87</f>
        <v>1120196</v>
      </c>
      <c r="J89" s="9"/>
      <c r="K89" s="9"/>
      <c r="L89" s="9"/>
      <c r="M89" s="9"/>
    </row>
    <row r="90" spans="2:13" ht="33.75" x14ac:dyDescent="0.5">
      <c r="B90" s="9"/>
      <c r="C90" s="9" t="s">
        <v>91</v>
      </c>
      <c r="D90" s="9"/>
      <c r="E90" s="9"/>
      <c r="F90" s="9"/>
      <c r="G90" s="9"/>
      <c r="H90" s="17">
        <f>H89-I89</f>
        <v>29459804</v>
      </c>
      <c r="I90" s="9" t="s">
        <v>86</v>
      </c>
      <c r="J90" s="9"/>
      <c r="K90" s="9"/>
      <c r="L90" s="9"/>
      <c r="M90" s="9"/>
    </row>
    <row r="91" spans="2:13" ht="33.75" x14ac:dyDescent="0.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ht="33.75" x14ac:dyDescent="0.5">
      <c r="B92" s="9" t="s">
        <v>92</v>
      </c>
      <c r="C92" s="9" t="s">
        <v>93</v>
      </c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ht="33.75" x14ac:dyDescent="0.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ht="33.75" x14ac:dyDescent="0.5">
      <c r="B94" s="9"/>
      <c r="C94" s="9" t="s">
        <v>94</v>
      </c>
      <c r="D94" s="9"/>
      <c r="E94" s="9"/>
      <c r="F94" s="9"/>
      <c r="G94" s="9"/>
      <c r="H94" s="9"/>
      <c r="I94" s="9">
        <f>I49</f>
        <v>10800000</v>
      </c>
      <c r="J94" s="9"/>
      <c r="K94" s="9"/>
      <c r="L94" s="9"/>
      <c r="M94" s="9"/>
    </row>
    <row r="95" spans="2:13" ht="33.75" x14ac:dyDescent="0.5">
      <c r="B95" s="9"/>
      <c r="C95" s="9" t="s">
        <v>95</v>
      </c>
      <c r="D95" s="9"/>
      <c r="E95" s="9"/>
      <c r="F95" s="9"/>
      <c r="G95" s="9"/>
      <c r="H95" s="9">
        <f>H60</f>
        <v>12450178.4</v>
      </c>
      <c r="I95" s="9"/>
      <c r="J95" s="9"/>
      <c r="K95" s="9"/>
      <c r="L95" s="9"/>
      <c r="M95" s="9"/>
    </row>
    <row r="96" spans="2:13" ht="33.75" x14ac:dyDescent="0.5">
      <c r="B96" s="9"/>
      <c r="C96" s="9" t="s">
        <v>96</v>
      </c>
      <c r="D96" s="9"/>
      <c r="E96" s="9"/>
      <c r="F96" s="9"/>
      <c r="G96" s="9"/>
      <c r="H96" s="9">
        <f>H95</f>
        <v>12450178.4</v>
      </c>
      <c r="I96" s="9">
        <f>I94</f>
        <v>10800000</v>
      </c>
      <c r="J96" s="9"/>
      <c r="K96" s="9"/>
      <c r="L96" s="9"/>
      <c r="M96" s="9"/>
    </row>
    <row r="97" spans="2:13" ht="33.75" x14ac:dyDescent="0.5">
      <c r="B97" s="9"/>
      <c r="C97" s="9" t="s">
        <v>97</v>
      </c>
      <c r="D97" s="9"/>
      <c r="E97" s="9"/>
      <c r="F97" s="9"/>
      <c r="G97" s="9"/>
      <c r="H97" s="17">
        <f>H96-I96</f>
        <v>1650178.4000000004</v>
      </c>
      <c r="I97" s="9" t="s">
        <v>86</v>
      </c>
      <c r="J97" s="9"/>
      <c r="K97" s="9"/>
      <c r="L97" s="9"/>
      <c r="M97" s="9"/>
    </row>
    <row r="98" spans="2:13" ht="33.75" x14ac:dyDescent="0.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ht="33.75" x14ac:dyDescent="0.5">
      <c r="B99" s="9"/>
      <c r="C99" s="9" t="s">
        <v>98</v>
      </c>
      <c r="D99" s="9"/>
      <c r="E99" s="9"/>
      <c r="F99" s="9"/>
      <c r="G99" s="9"/>
      <c r="H99" s="20">
        <f>H84+H90+H97</f>
        <v>214394929404</v>
      </c>
      <c r="I99" s="9" t="s">
        <v>86</v>
      </c>
      <c r="J99" s="9"/>
      <c r="K99" s="9"/>
      <c r="L99" s="9"/>
      <c r="M99" s="9"/>
    </row>
    <row r="100" spans="2:13" ht="33.75" x14ac:dyDescent="0.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ht="33.75" x14ac:dyDescent="0.5">
      <c r="B101" s="9" t="s">
        <v>99</v>
      </c>
      <c r="C101" s="9" t="s">
        <v>100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ht="33.75" x14ac:dyDescent="0.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ht="33.75" x14ac:dyDescent="0.5">
      <c r="B103" s="9" t="s">
        <v>101</v>
      </c>
      <c r="C103" s="9" t="s">
        <v>102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ht="33.75" x14ac:dyDescent="0.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ht="33.75" x14ac:dyDescent="0.5">
      <c r="B105" s="9"/>
      <c r="C105" s="9" t="s">
        <v>103</v>
      </c>
      <c r="D105" s="9"/>
      <c r="E105" s="9"/>
      <c r="F105" s="9"/>
      <c r="G105" s="9"/>
      <c r="H105" s="9"/>
      <c r="I105" s="9">
        <f>I41</f>
        <v>108000000</v>
      </c>
      <c r="J105" s="9"/>
      <c r="K105" s="9"/>
      <c r="L105" s="9"/>
      <c r="M105" s="9"/>
    </row>
    <row r="106" spans="2:13" ht="33.75" x14ac:dyDescent="0.5">
      <c r="B106" s="9"/>
      <c r="C106" s="9" t="s">
        <v>105</v>
      </c>
      <c r="D106" s="9"/>
      <c r="E106" s="9"/>
      <c r="F106" s="9"/>
      <c r="G106" s="9"/>
      <c r="H106" s="9"/>
      <c r="I106" s="9">
        <f>I58</f>
        <v>73612880</v>
      </c>
      <c r="J106" s="9"/>
      <c r="K106" s="9"/>
      <c r="L106" s="9"/>
      <c r="M106" s="9"/>
    </row>
    <row r="107" spans="2:13" ht="33.75" x14ac:dyDescent="0.5">
      <c r="B107" s="9"/>
      <c r="C107" s="9" t="s">
        <v>106</v>
      </c>
      <c r="D107" s="9"/>
      <c r="E107" s="9"/>
      <c r="F107" s="9"/>
      <c r="G107" s="9"/>
      <c r="H107" s="9"/>
      <c r="I107" s="21">
        <f>I68</f>
        <v>214437520000</v>
      </c>
      <c r="J107" s="9"/>
      <c r="K107" s="9"/>
      <c r="L107" s="9"/>
      <c r="M107" s="9"/>
    </row>
    <row r="108" spans="2:13" ht="33.75" x14ac:dyDescent="0.5">
      <c r="B108" s="9"/>
      <c r="C108" s="9" t="s">
        <v>107</v>
      </c>
      <c r="D108" s="9"/>
      <c r="E108" s="9"/>
      <c r="F108" s="9"/>
      <c r="G108" s="9"/>
      <c r="H108" s="9"/>
      <c r="I108" s="22">
        <f>I105+I106+I107</f>
        <v>214619132880</v>
      </c>
      <c r="J108" s="9" t="s">
        <v>108</v>
      </c>
      <c r="K108" s="9"/>
      <c r="L108" s="9"/>
      <c r="M108" s="9"/>
    </row>
    <row r="109" spans="2:13" ht="33.75" x14ac:dyDescent="0.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ht="33.75" x14ac:dyDescent="0.5">
      <c r="B110" s="9" t="s">
        <v>109</v>
      </c>
      <c r="C110" s="9" t="s">
        <v>110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ht="33.75" x14ac:dyDescent="0.5">
      <c r="B111" s="9" t="s">
        <v>111</v>
      </c>
      <c r="C111" s="9" t="s">
        <v>112</v>
      </c>
      <c r="D111" s="9"/>
      <c r="E111" s="9"/>
      <c r="F111" s="9"/>
      <c r="G111" s="9"/>
      <c r="H111" s="9"/>
      <c r="I111" s="18"/>
      <c r="J111" s="9"/>
      <c r="K111" s="9"/>
      <c r="L111" s="9"/>
      <c r="M111" s="9"/>
    </row>
    <row r="112" spans="2:13" ht="33.75" x14ac:dyDescent="0.5">
      <c r="B112" s="9"/>
      <c r="C112" s="9" t="s">
        <v>113</v>
      </c>
      <c r="D112" s="9"/>
      <c r="E112" s="9"/>
      <c r="F112" s="9"/>
      <c r="G112" s="9"/>
      <c r="H112" s="9"/>
      <c r="I112" s="18">
        <f>I39</f>
        <v>43200000</v>
      </c>
      <c r="J112" s="9"/>
      <c r="K112" s="9"/>
      <c r="L112" s="9"/>
      <c r="M112" s="9"/>
    </row>
    <row r="113" spans="2:13" ht="33.75" x14ac:dyDescent="0.5">
      <c r="B113" s="9"/>
      <c r="C113" s="9" t="s">
        <v>113</v>
      </c>
      <c r="D113" s="9"/>
      <c r="E113" s="9"/>
      <c r="F113" s="9"/>
      <c r="G113" s="9"/>
      <c r="H113" s="9">
        <f>H43</f>
        <v>28805040</v>
      </c>
      <c r="I113" s="9"/>
      <c r="J113" s="9"/>
      <c r="K113" s="9"/>
      <c r="L113" s="9"/>
      <c r="M113" s="9"/>
    </row>
    <row r="114" spans="2:13" ht="33.75" x14ac:dyDescent="0.5">
      <c r="B114" s="9"/>
      <c r="C114" s="9" t="s">
        <v>114</v>
      </c>
      <c r="D114" s="9"/>
      <c r="E114" s="9"/>
      <c r="F114" s="9"/>
      <c r="G114" s="9"/>
      <c r="H114" s="9">
        <f>H44</f>
        <v>57610080</v>
      </c>
      <c r="I114" s="9"/>
      <c r="J114" s="9"/>
      <c r="K114" s="9"/>
      <c r="L114" s="9"/>
      <c r="M114" s="9"/>
    </row>
    <row r="115" spans="2:13" ht="33.75" x14ac:dyDescent="0.5">
      <c r="B115" s="9"/>
      <c r="C115" s="9" t="s">
        <v>113</v>
      </c>
      <c r="D115" s="9"/>
      <c r="E115" s="9"/>
      <c r="F115" s="9"/>
      <c r="G115" s="9"/>
      <c r="H115" s="9">
        <f>H51</f>
        <v>1120196</v>
      </c>
      <c r="I115" s="9"/>
      <c r="J115" s="9"/>
      <c r="K115" s="9"/>
      <c r="L115" s="9"/>
      <c r="M115" s="9"/>
    </row>
    <row r="116" spans="2:13" ht="33.75" x14ac:dyDescent="0.5">
      <c r="B116" s="9"/>
      <c r="C116" s="9" t="s">
        <v>113</v>
      </c>
      <c r="D116" s="9"/>
      <c r="E116" s="9"/>
      <c r="F116" s="9"/>
      <c r="G116" s="9"/>
      <c r="H116" s="9"/>
      <c r="I116" s="9">
        <f>I55</f>
        <v>30580000</v>
      </c>
      <c r="J116" s="9"/>
      <c r="K116" s="9"/>
      <c r="L116" s="9"/>
      <c r="M116" s="9"/>
    </row>
    <row r="117" spans="2:13" ht="33.75" x14ac:dyDescent="0.5">
      <c r="B117" s="9"/>
      <c r="C117" s="9" t="s">
        <v>113</v>
      </c>
      <c r="D117" s="9"/>
      <c r="E117" s="9"/>
      <c r="F117" s="9"/>
      <c r="G117" s="9"/>
      <c r="H117" s="9">
        <f>H57</f>
        <v>73612880</v>
      </c>
      <c r="I117" s="9"/>
      <c r="J117" s="9"/>
      <c r="K117" s="9"/>
      <c r="L117" s="9"/>
      <c r="M117" s="9"/>
    </row>
    <row r="118" spans="2:13" ht="33.75" x14ac:dyDescent="0.5">
      <c r="B118" s="9"/>
      <c r="C118" s="9" t="s">
        <v>113</v>
      </c>
      <c r="D118" s="9"/>
      <c r="E118" s="9"/>
      <c r="F118" s="9"/>
      <c r="G118" s="9"/>
      <c r="H118" s="21">
        <f>H67</f>
        <v>214437520000</v>
      </c>
      <c r="I118" s="9"/>
      <c r="J118" s="9"/>
      <c r="K118" s="9"/>
      <c r="L118" s="9"/>
      <c r="M118" s="9"/>
    </row>
    <row r="119" spans="2:13" ht="33.75" x14ac:dyDescent="0.5">
      <c r="B119" s="9"/>
      <c r="C119" s="9" t="s">
        <v>113</v>
      </c>
      <c r="D119" s="9"/>
      <c r="E119" s="9"/>
      <c r="F119" s="9"/>
      <c r="G119" s="9"/>
      <c r="H119" s="9"/>
      <c r="I119" s="21">
        <f>H118</f>
        <v>214437520000</v>
      </c>
      <c r="J119" s="9"/>
      <c r="K119" s="9"/>
      <c r="L119" s="9"/>
      <c r="M119" s="9"/>
    </row>
    <row r="120" spans="2:13" ht="33.75" x14ac:dyDescent="0.5">
      <c r="B120" s="9"/>
      <c r="C120" s="9" t="s">
        <v>115</v>
      </c>
      <c r="D120" s="9"/>
      <c r="E120" s="9"/>
      <c r="F120" s="9"/>
      <c r="G120" s="9"/>
      <c r="H120" s="21">
        <f>H113+H114+H115+H117+H118</f>
        <v>214598668196</v>
      </c>
      <c r="I120" s="18">
        <f>I112+I116+I119</f>
        <v>214511300000</v>
      </c>
      <c r="J120" s="9"/>
      <c r="K120" s="9"/>
      <c r="L120" s="9"/>
      <c r="M120" s="9"/>
    </row>
    <row r="121" spans="2:13" ht="33.75" x14ac:dyDescent="0.5">
      <c r="B121" s="9"/>
      <c r="C121" s="9" t="s">
        <v>116</v>
      </c>
      <c r="D121" s="9"/>
      <c r="E121" s="9"/>
      <c r="F121" s="9"/>
      <c r="G121" s="9"/>
      <c r="H121" s="19">
        <f>H120-I120</f>
        <v>87368196</v>
      </c>
      <c r="I121" s="19" t="s">
        <v>86</v>
      </c>
      <c r="J121" s="9"/>
      <c r="K121" s="9"/>
      <c r="L121" s="9"/>
      <c r="M121" s="9"/>
    </row>
    <row r="122" spans="2:13" ht="33.75" x14ac:dyDescent="0.5">
      <c r="B122" s="9"/>
      <c r="C122" s="9"/>
      <c r="D122" s="9"/>
      <c r="E122" s="9"/>
      <c r="F122" s="9"/>
      <c r="G122" s="9"/>
      <c r="H122" s="18"/>
      <c r="I122" s="18"/>
      <c r="J122" s="9"/>
      <c r="K122" s="9"/>
      <c r="L122" s="9"/>
      <c r="M122" s="9"/>
    </row>
    <row r="123" spans="2:13" ht="33.75" x14ac:dyDescent="0.5">
      <c r="B123" s="9" t="s">
        <v>118</v>
      </c>
      <c r="C123" s="9" t="s">
        <v>119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ht="33.75" x14ac:dyDescent="0.5">
      <c r="B124" s="9"/>
      <c r="C124" s="9" t="s">
        <v>120</v>
      </c>
      <c r="D124" s="9"/>
      <c r="E124" s="9"/>
      <c r="F124" s="9"/>
      <c r="G124" s="9"/>
      <c r="H124" s="9"/>
      <c r="I124" s="9">
        <f>I40</f>
        <v>64800000</v>
      </c>
      <c r="J124" s="9"/>
      <c r="K124" s="9"/>
      <c r="L124" s="9"/>
      <c r="M124" s="9"/>
    </row>
    <row r="125" spans="2:13" ht="33.75" x14ac:dyDescent="0.5">
      <c r="B125" s="9"/>
      <c r="C125" s="9" t="s">
        <v>114</v>
      </c>
      <c r="D125" s="9"/>
      <c r="E125" s="9"/>
      <c r="F125" s="9"/>
      <c r="G125" s="9"/>
      <c r="H125" s="9">
        <f>H45</f>
        <v>201635280</v>
      </c>
      <c r="I125" s="9"/>
      <c r="J125" s="9"/>
      <c r="K125" s="9"/>
      <c r="L125" s="9"/>
      <c r="M125" s="9"/>
    </row>
    <row r="126" spans="2:13" ht="33.75" x14ac:dyDescent="0.5">
      <c r="B126" s="9"/>
      <c r="C126" s="9" t="s">
        <v>121</v>
      </c>
      <c r="D126" s="9"/>
      <c r="E126" s="9"/>
      <c r="F126" s="9"/>
      <c r="G126" s="9"/>
      <c r="H126" s="9">
        <f>H125</f>
        <v>201635280</v>
      </c>
      <c r="I126" s="9">
        <f>I124</f>
        <v>64800000</v>
      </c>
      <c r="J126" s="9"/>
      <c r="K126" s="9"/>
      <c r="L126" s="9"/>
      <c r="M126" s="9"/>
    </row>
    <row r="127" spans="2:13" ht="33.75" x14ac:dyDescent="0.5">
      <c r="B127" s="9"/>
      <c r="C127" s="9" t="s">
        <v>122</v>
      </c>
      <c r="D127" s="9"/>
      <c r="E127" s="9"/>
      <c r="F127" s="9"/>
      <c r="G127" s="9"/>
      <c r="H127" s="17">
        <f>H126-I126</f>
        <v>136835280</v>
      </c>
      <c r="I127" s="17" t="s">
        <v>86</v>
      </c>
      <c r="J127" s="9"/>
      <c r="K127" s="9"/>
      <c r="L127" s="9"/>
      <c r="M127" s="9"/>
    </row>
    <row r="128" spans="2:13" ht="33.75" x14ac:dyDescent="0.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ht="33.75" x14ac:dyDescent="0.5">
      <c r="B129" s="9"/>
      <c r="C129" s="9" t="s">
        <v>123</v>
      </c>
      <c r="D129" s="9"/>
      <c r="E129" s="9"/>
      <c r="F129" s="9"/>
      <c r="G129" s="9"/>
      <c r="H129" s="18">
        <f>H121+H127</f>
        <v>224203476</v>
      </c>
      <c r="I129" s="18" t="str">
        <f>I121</f>
        <v>SUPERAVIT</v>
      </c>
      <c r="J129" s="9"/>
      <c r="K129" s="9"/>
      <c r="L129" s="9"/>
      <c r="M129" s="9"/>
    </row>
    <row r="130" spans="2:13" ht="33.75" x14ac:dyDescent="0.5">
      <c r="B130" s="9"/>
      <c r="C130" s="9"/>
      <c r="D130" s="9"/>
      <c r="E130" s="9"/>
      <c r="F130" s="9"/>
      <c r="G130" s="9"/>
      <c r="H130" s="18"/>
      <c r="I130" s="9"/>
      <c r="J130" s="9"/>
      <c r="K130" s="9"/>
      <c r="L130" s="9"/>
      <c r="M130" s="9"/>
    </row>
    <row r="131" spans="2:13" ht="33.75" x14ac:dyDescent="0.5">
      <c r="B131" s="9"/>
      <c r="C131" s="9" t="s">
        <v>124</v>
      </c>
      <c r="D131" s="9"/>
      <c r="E131" s="9"/>
      <c r="F131" s="9"/>
      <c r="G131" s="9"/>
      <c r="H131" s="18">
        <f>H129</f>
        <v>224203476</v>
      </c>
      <c r="I131" s="21">
        <f>I108</f>
        <v>214619132880</v>
      </c>
      <c r="J131" s="9"/>
      <c r="K131" s="9"/>
      <c r="L131" s="9"/>
      <c r="M131" s="9"/>
    </row>
    <row r="132" spans="2:13" ht="33.75" x14ac:dyDescent="0.5">
      <c r="B132" s="9"/>
      <c r="C132" s="9" t="s">
        <v>125</v>
      </c>
      <c r="D132" s="9"/>
      <c r="E132" s="9"/>
      <c r="F132" s="9"/>
      <c r="G132" s="9"/>
      <c r="H132" s="9"/>
      <c r="I132" s="23">
        <f>I131-H131</f>
        <v>214394929404</v>
      </c>
      <c r="J132" s="9" t="s">
        <v>117</v>
      </c>
      <c r="K132" s="9"/>
      <c r="L132" s="9"/>
      <c r="M132" s="9"/>
    </row>
    <row r="133" spans="2:13" ht="33.75" x14ac:dyDescent="0.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21"/>
      <c r="M1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E597-8567-1447-A7A5-8435576854FB}">
  <dimension ref="A1:N136"/>
  <sheetViews>
    <sheetView topLeftCell="A116" zoomScale="57" zoomScaleNormal="57" workbookViewId="0">
      <selection activeCell="E98" sqref="E98"/>
    </sheetView>
  </sheetViews>
  <sheetFormatPr baseColWidth="10" defaultRowHeight="15.75" x14ac:dyDescent="0.25"/>
  <cols>
    <col min="2" max="3" width="19.375" customWidth="1"/>
    <col min="4" max="4" width="34.375" customWidth="1"/>
    <col min="5" max="5" width="28.125" customWidth="1"/>
    <col min="6" max="6" width="23" customWidth="1"/>
    <col min="7" max="7" width="31" customWidth="1"/>
    <col min="11" max="11" width="19.375" bestFit="1" customWidth="1"/>
  </cols>
  <sheetData>
    <row r="1" spans="1:14" ht="33.75" x14ac:dyDescent="0.5">
      <c r="A1" s="24" t="s">
        <v>126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3.75" x14ac:dyDescent="0.5">
      <c r="A2" s="24" t="s">
        <v>127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33.75" x14ac:dyDescent="0.5">
      <c r="A3" s="24" t="s">
        <v>128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33.75" x14ac:dyDescent="0.5">
      <c r="A4" s="24" t="s">
        <v>129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33.75" x14ac:dyDescent="0.5">
      <c r="A5" s="24" t="s">
        <v>130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33.75" x14ac:dyDescent="0.5">
      <c r="A6" s="24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33.75" x14ac:dyDescent="0.5">
      <c r="A7" s="25" t="s">
        <v>131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33.75" x14ac:dyDescent="0.5">
      <c r="A8" s="25" t="s">
        <v>132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33.75" x14ac:dyDescent="0.5">
      <c r="A9" s="25" t="s">
        <v>133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3.75" x14ac:dyDescent="0.5">
      <c r="A10" s="25" t="s">
        <v>134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33.75" x14ac:dyDescent="0.5">
      <c r="A11" s="25" t="s">
        <v>135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ht="33.75" x14ac:dyDescent="0.5">
      <c r="A12" s="25" t="s">
        <v>136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ht="33.75" x14ac:dyDescent="0.5">
      <c r="A13" s="25" t="s">
        <v>137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ht="33.75" x14ac:dyDescent="0.5">
      <c r="A14" s="25" t="s">
        <v>138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ht="33.75" x14ac:dyDescent="0.5">
      <c r="A15" s="25" t="s">
        <v>139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33.75" x14ac:dyDescent="0.5">
      <c r="A16" s="25" t="s">
        <v>140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33.75" x14ac:dyDescent="0.5">
      <c r="A17" s="2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33.75" x14ac:dyDescent="0.5">
      <c r="A18" s="9" t="s">
        <v>141</v>
      </c>
      <c r="B18" s="9">
        <v>3450</v>
      </c>
      <c r="C18" s="9">
        <v>9.8790000000000003E-2</v>
      </c>
      <c r="D18" s="9">
        <v>3867.45</v>
      </c>
      <c r="E18" s="9"/>
      <c r="F18" s="9" t="s">
        <v>142</v>
      </c>
      <c r="G18" s="9">
        <f>B18*C18*D18</f>
        <v>1318125.5799750001</v>
      </c>
      <c r="H18" s="9"/>
      <c r="I18" s="9"/>
      <c r="J18" s="9"/>
      <c r="K18" s="9"/>
      <c r="L18" s="9"/>
      <c r="M18" s="9"/>
      <c r="N18" s="9"/>
    </row>
    <row r="19" spans="1:14" ht="33.75" x14ac:dyDescent="0.5">
      <c r="A19" s="9"/>
      <c r="B19" s="9">
        <v>689007</v>
      </c>
      <c r="C19" s="9">
        <v>1.56789</v>
      </c>
      <c r="D19" s="9">
        <v>3867.45</v>
      </c>
      <c r="E19" s="9"/>
      <c r="F19" s="9"/>
      <c r="G19" s="9">
        <f>B19*C19*D19</f>
        <v>4177956674.5177631</v>
      </c>
      <c r="H19" s="9"/>
      <c r="I19" s="9"/>
      <c r="J19" s="9"/>
      <c r="K19" s="9"/>
      <c r="L19" s="9"/>
      <c r="M19" s="9"/>
      <c r="N19" s="9"/>
    </row>
    <row r="20" spans="1:14" ht="33.75" x14ac:dyDescent="0.5">
      <c r="A20" s="9"/>
      <c r="B20" s="9">
        <v>200000</v>
      </c>
      <c r="C20" s="9">
        <v>1.20987</v>
      </c>
      <c r="D20" s="9">
        <v>3867.45</v>
      </c>
      <c r="E20" s="9"/>
      <c r="F20" s="9"/>
      <c r="G20" s="9">
        <f>B20*C20*D20</f>
        <v>935822346.29999995</v>
      </c>
      <c r="H20" s="9"/>
      <c r="I20" s="9"/>
      <c r="J20" s="9"/>
      <c r="K20" s="9"/>
      <c r="L20" s="9"/>
      <c r="M20" s="9"/>
      <c r="N20" s="9"/>
    </row>
    <row r="21" spans="1:14" ht="33.75" x14ac:dyDescent="0.5">
      <c r="A21" s="9"/>
      <c r="B21" s="9" t="s">
        <v>143</v>
      </c>
      <c r="C21" s="9"/>
      <c r="D21" s="9"/>
      <c r="E21" s="9"/>
      <c r="F21" s="9"/>
      <c r="G21" s="9">
        <f>G18+G19+G20</f>
        <v>5115097146.3977385</v>
      </c>
      <c r="H21" s="9"/>
      <c r="I21" s="9"/>
      <c r="J21" s="9"/>
      <c r="K21" s="9"/>
      <c r="L21" s="9"/>
      <c r="M21" s="9"/>
      <c r="N21" s="9"/>
    </row>
    <row r="22" spans="1:14" ht="33.75" x14ac:dyDescent="0.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33.75" x14ac:dyDescent="0.5">
      <c r="A23" s="9"/>
      <c r="B23" s="9" t="s">
        <v>155</v>
      </c>
      <c r="C23" s="9">
        <v>100000</v>
      </c>
      <c r="D23" s="9">
        <v>1.2</v>
      </c>
      <c r="E23" s="9">
        <f>C23*D23</f>
        <v>120000</v>
      </c>
      <c r="F23" s="9"/>
      <c r="G23" s="9">
        <f>E23*D18</f>
        <v>464094000</v>
      </c>
      <c r="H23" s="9"/>
      <c r="I23" s="9"/>
      <c r="J23" s="9"/>
      <c r="K23" s="9"/>
      <c r="L23" s="9"/>
      <c r="M23" s="9"/>
      <c r="N23" s="9"/>
    </row>
    <row r="24" spans="1:14" ht="33.75" x14ac:dyDescent="0.5">
      <c r="A24" s="9"/>
      <c r="B24" s="9"/>
      <c r="C24" s="9"/>
      <c r="D24" s="9"/>
      <c r="E24" s="9" t="s">
        <v>156</v>
      </c>
      <c r="F24" s="9"/>
      <c r="G24" s="9">
        <f>G23*0.4</f>
        <v>185637600</v>
      </c>
      <c r="H24" s="9"/>
      <c r="I24" s="9"/>
      <c r="J24" s="9"/>
      <c r="K24" s="9"/>
      <c r="L24" s="9"/>
      <c r="M24" s="9"/>
      <c r="N24" s="9"/>
    </row>
    <row r="25" spans="1:14" ht="33.75" x14ac:dyDescent="0.5">
      <c r="A25" s="9"/>
      <c r="B25" s="9"/>
      <c r="C25" s="9"/>
      <c r="D25" s="9"/>
      <c r="E25" s="10" t="s">
        <v>157</v>
      </c>
      <c r="F25" s="9"/>
      <c r="G25" s="9">
        <f>G23*0.6</f>
        <v>278456400</v>
      </c>
      <c r="H25" s="9"/>
      <c r="I25" s="9"/>
      <c r="J25" s="9"/>
      <c r="K25" s="9"/>
      <c r="L25" s="9"/>
      <c r="M25" s="9"/>
      <c r="N25" s="9"/>
    </row>
    <row r="26" spans="1:14" ht="33.75" x14ac:dyDescent="0.5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</row>
    <row r="27" spans="1:14" ht="33.75" x14ac:dyDescent="0.5">
      <c r="A27" s="9"/>
      <c r="B27" s="9">
        <v>3000</v>
      </c>
      <c r="C27" s="9">
        <v>3500</v>
      </c>
      <c r="D27" s="9"/>
      <c r="E27" s="10"/>
      <c r="F27" s="9"/>
      <c r="G27" s="9">
        <f>B27*C27</f>
        <v>10500000</v>
      </c>
      <c r="H27" s="9"/>
      <c r="I27" s="9"/>
      <c r="J27" s="9"/>
      <c r="K27" s="9"/>
      <c r="L27" s="9"/>
      <c r="M27" s="9"/>
      <c r="N27" s="9"/>
    </row>
    <row r="28" spans="1:14" ht="33.75" x14ac:dyDescent="0.5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</row>
    <row r="29" spans="1:14" ht="33.75" x14ac:dyDescent="0.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33.75" x14ac:dyDescent="0.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33.75" x14ac:dyDescent="0.5">
      <c r="A31" s="9"/>
      <c r="B31" s="9"/>
      <c r="C31" s="9"/>
      <c r="D31" s="9"/>
      <c r="E31" s="9" t="s">
        <v>145</v>
      </c>
      <c r="F31" s="9" t="s">
        <v>146</v>
      </c>
      <c r="G31" s="9"/>
      <c r="H31" s="9"/>
      <c r="I31" s="9"/>
      <c r="J31" s="9"/>
      <c r="K31" s="9"/>
      <c r="L31" s="9"/>
      <c r="M31" s="9"/>
      <c r="N31" s="9"/>
    </row>
    <row r="32" spans="1:14" ht="33.75" x14ac:dyDescent="0.5">
      <c r="A32" s="9" t="s">
        <v>31</v>
      </c>
      <c r="B32" s="9" t="s">
        <v>144</v>
      </c>
      <c r="C32" s="9"/>
      <c r="D32" s="9"/>
      <c r="E32" s="21">
        <f>G21</f>
        <v>5115097146.3977385</v>
      </c>
      <c r="F32" s="9"/>
      <c r="G32" s="16" t="s">
        <v>147</v>
      </c>
      <c r="H32" s="9"/>
      <c r="I32" s="9"/>
      <c r="J32" s="9"/>
      <c r="K32" s="9"/>
      <c r="L32" s="9"/>
      <c r="M32" s="9"/>
      <c r="N32" s="9"/>
    </row>
    <row r="33" spans="1:14" ht="33.75" x14ac:dyDescent="0.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33.75" x14ac:dyDescent="0.5">
      <c r="A34" s="9" t="s">
        <v>99</v>
      </c>
      <c r="B34" s="9" t="s">
        <v>148</v>
      </c>
      <c r="C34" s="9"/>
      <c r="D34" s="9"/>
      <c r="E34" s="9">
        <f>1200*D18</f>
        <v>4640940</v>
      </c>
      <c r="F34" s="9"/>
      <c r="G34" s="16" t="s">
        <v>149</v>
      </c>
      <c r="H34" s="16"/>
      <c r="I34" s="9"/>
      <c r="J34" s="9"/>
      <c r="K34" s="9"/>
      <c r="L34" s="9"/>
      <c r="M34" s="9"/>
      <c r="N34" s="9"/>
    </row>
    <row r="35" spans="1:14" ht="33.75" x14ac:dyDescent="0.5">
      <c r="A35" s="9"/>
      <c r="B35" s="9" t="s">
        <v>144</v>
      </c>
      <c r="C35" s="9"/>
      <c r="D35" s="9"/>
      <c r="E35" s="9"/>
      <c r="F35" s="9">
        <f>E34</f>
        <v>4640940</v>
      </c>
      <c r="G35" s="16" t="s">
        <v>147</v>
      </c>
      <c r="H35" s="9"/>
      <c r="I35" s="9"/>
      <c r="J35" s="9"/>
      <c r="K35" s="9"/>
      <c r="L35" s="9"/>
      <c r="M35" s="9"/>
      <c r="N35" s="9"/>
    </row>
    <row r="36" spans="1:14" ht="33.75" x14ac:dyDescent="0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33.75" x14ac:dyDescent="0.5">
      <c r="A37" s="9" t="s">
        <v>48</v>
      </c>
      <c r="B37" s="9" t="s">
        <v>113</v>
      </c>
      <c r="C37" s="9"/>
      <c r="D37" s="9"/>
      <c r="E37" s="9">
        <f>56000*D18</f>
        <v>216577200</v>
      </c>
      <c r="F37" s="9"/>
      <c r="G37" s="16" t="s">
        <v>151</v>
      </c>
      <c r="H37" s="9"/>
      <c r="I37" s="9"/>
      <c r="J37" s="9"/>
      <c r="K37" s="9"/>
      <c r="L37" s="9"/>
      <c r="M37" s="9"/>
      <c r="N37" s="9"/>
    </row>
    <row r="38" spans="1:14" ht="33.75" x14ac:dyDescent="0.5">
      <c r="A38" s="9"/>
      <c r="B38" s="9" t="s">
        <v>150</v>
      </c>
      <c r="C38" s="9"/>
      <c r="D38" s="9"/>
      <c r="E38" s="9"/>
      <c r="F38" s="16">
        <f>E37</f>
        <v>216577200</v>
      </c>
      <c r="G38" s="16" t="s">
        <v>152</v>
      </c>
      <c r="H38" s="9"/>
      <c r="I38" s="9"/>
      <c r="J38" s="9"/>
      <c r="K38" s="9"/>
      <c r="L38" s="9"/>
      <c r="M38" s="9"/>
      <c r="N38" s="9"/>
    </row>
    <row r="39" spans="1:14" ht="33.75" x14ac:dyDescent="0.5">
      <c r="A39" s="9"/>
      <c r="B39" s="9" t="s">
        <v>83</v>
      </c>
      <c r="C39" s="9"/>
      <c r="D39" s="9"/>
      <c r="E39" s="9">
        <f>F38</f>
        <v>216577200</v>
      </c>
      <c r="F39" s="9"/>
      <c r="G39" s="16" t="s">
        <v>149</v>
      </c>
      <c r="H39" s="16"/>
      <c r="I39" s="9"/>
      <c r="J39" s="9"/>
      <c r="K39" s="9"/>
      <c r="L39" s="9"/>
      <c r="M39" s="9"/>
      <c r="N39" s="9"/>
    </row>
    <row r="40" spans="1:14" ht="33.75" x14ac:dyDescent="0.5">
      <c r="A40" s="9"/>
      <c r="B40" s="9" t="s">
        <v>113</v>
      </c>
      <c r="C40" s="9"/>
      <c r="D40" s="9"/>
      <c r="E40" s="9"/>
      <c r="F40" s="9">
        <f>E39</f>
        <v>216577200</v>
      </c>
      <c r="G40" s="16" t="s">
        <v>153</v>
      </c>
      <c r="H40" s="9"/>
      <c r="I40" s="9"/>
      <c r="J40" s="9"/>
      <c r="K40" s="9"/>
      <c r="L40" s="9"/>
      <c r="M40" s="9"/>
      <c r="N40" s="9"/>
    </row>
    <row r="41" spans="1:14" ht="33.75" x14ac:dyDescent="0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ht="33.75" x14ac:dyDescent="0.5">
      <c r="A42" s="9" t="s">
        <v>154</v>
      </c>
      <c r="B42" s="9" t="s">
        <v>113</v>
      </c>
      <c r="C42" s="9"/>
      <c r="D42" s="9"/>
      <c r="E42" s="9">
        <f>G24</f>
        <v>185637600</v>
      </c>
      <c r="F42" s="9"/>
      <c r="G42" s="16" t="s">
        <v>159</v>
      </c>
      <c r="H42" s="9"/>
      <c r="I42" s="9"/>
      <c r="J42" s="9"/>
      <c r="K42" s="9"/>
      <c r="L42" s="9"/>
      <c r="M42" s="9"/>
      <c r="N42" s="9"/>
    </row>
    <row r="43" spans="1:14" ht="33.75" x14ac:dyDescent="0.5">
      <c r="A43" s="9"/>
      <c r="B43" s="9" t="s">
        <v>114</v>
      </c>
      <c r="C43" s="9"/>
      <c r="D43" s="9"/>
      <c r="E43" s="9">
        <f>G25</f>
        <v>278456400</v>
      </c>
      <c r="F43" s="9"/>
      <c r="G43" s="16" t="s">
        <v>160</v>
      </c>
      <c r="H43" s="9"/>
      <c r="I43" s="9"/>
      <c r="J43" s="9"/>
      <c r="K43" s="9"/>
      <c r="L43" s="9"/>
      <c r="M43" s="9"/>
      <c r="N43" s="9"/>
    </row>
    <row r="44" spans="1:14" ht="33.75" x14ac:dyDescent="0.5">
      <c r="A44" s="9"/>
      <c r="B44" s="9" t="s">
        <v>158</v>
      </c>
      <c r="C44" s="9"/>
      <c r="D44" s="9"/>
      <c r="E44" s="9"/>
      <c r="F44" s="9">
        <f>G23</f>
        <v>464094000</v>
      </c>
      <c r="G44" s="16" t="s">
        <v>149</v>
      </c>
      <c r="H44" s="9"/>
      <c r="I44" s="9"/>
      <c r="J44" s="9"/>
      <c r="K44" s="9"/>
      <c r="L44" s="9"/>
      <c r="M44" s="9"/>
      <c r="N44" s="9"/>
    </row>
    <row r="45" spans="1:14" ht="33.75" x14ac:dyDescent="0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ht="33.75" x14ac:dyDescent="0.5">
      <c r="A46" s="9" t="s">
        <v>55</v>
      </c>
      <c r="B46" s="9" t="s">
        <v>113</v>
      </c>
      <c r="C46" s="9"/>
      <c r="D46" s="9"/>
      <c r="E46" s="9">
        <f>3200*D19</f>
        <v>12375840</v>
      </c>
      <c r="F46" s="9"/>
      <c r="G46" s="16" t="s">
        <v>161</v>
      </c>
      <c r="H46" s="9"/>
      <c r="I46" s="9"/>
      <c r="J46" s="9"/>
      <c r="K46" s="9"/>
      <c r="L46" s="9"/>
      <c r="M46" s="9"/>
      <c r="N46" s="9"/>
    </row>
    <row r="47" spans="1:14" ht="33.75" x14ac:dyDescent="0.5">
      <c r="A47" s="9"/>
      <c r="B47" s="9" t="s">
        <v>162</v>
      </c>
      <c r="C47" s="9"/>
      <c r="D47" s="9"/>
      <c r="E47" s="9"/>
      <c r="F47" s="9">
        <f>E46</f>
        <v>12375840</v>
      </c>
      <c r="G47" s="16" t="s">
        <v>163</v>
      </c>
      <c r="H47" s="9"/>
      <c r="I47" s="9"/>
      <c r="J47" s="9"/>
      <c r="K47" s="9"/>
      <c r="L47" s="9"/>
      <c r="M47" s="9"/>
      <c r="N47" s="9"/>
    </row>
    <row r="48" spans="1:14" ht="33.75" x14ac:dyDescent="0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ht="33.75" x14ac:dyDescent="0.5">
      <c r="A49" s="9" t="s">
        <v>60</v>
      </c>
      <c r="B49" s="9" t="s">
        <v>164</v>
      </c>
      <c r="C49" s="9"/>
      <c r="D49" s="9"/>
      <c r="E49" s="9">
        <f>G27</f>
        <v>10500000</v>
      </c>
      <c r="F49" s="9"/>
      <c r="G49" s="16" t="s">
        <v>166</v>
      </c>
      <c r="H49" s="16"/>
      <c r="I49" s="9"/>
      <c r="J49" s="9"/>
      <c r="K49" s="9"/>
      <c r="L49" s="9"/>
      <c r="M49" s="9"/>
      <c r="N49" s="9"/>
    </row>
    <row r="50" spans="1:14" ht="33.75" x14ac:dyDescent="0.5">
      <c r="A50" s="9"/>
      <c r="B50" s="9" t="s">
        <v>165</v>
      </c>
      <c r="C50" s="9"/>
      <c r="D50" s="9"/>
      <c r="E50" s="9"/>
      <c r="F50" s="9">
        <f>E49</f>
        <v>10500000</v>
      </c>
      <c r="G50" s="16" t="s">
        <v>149</v>
      </c>
      <c r="H50" s="9"/>
      <c r="I50" s="9"/>
      <c r="J50" s="9"/>
      <c r="K50" s="9"/>
      <c r="L50" s="9"/>
      <c r="M50" s="9"/>
      <c r="N50" s="9"/>
    </row>
    <row r="51" spans="1:14" ht="33.75" x14ac:dyDescent="0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ht="33.75" x14ac:dyDescent="0.5">
      <c r="A52" s="9" t="s">
        <v>63</v>
      </c>
      <c r="B52" s="9" t="s">
        <v>167</v>
      </c>
      <c r="C52" s="9"/>
      <c r="D52" s="9"/>
      <c r="E52" s="9">
        <f>56000*D19</f>
        <v>216577200</v>
      </c>
      <c r="F52" s="9"/>
      <c r="G52" s="9" t="s">
        <v>168</v>
      </c>
      <c r="H52" s="9"/>
      <c r="I52" s="9"/>
      <c r="J52" s="9"/>
      <c r="K52" s="9"/>
      <c r="L52" s="9"/>
      <c r="M52" s="9"/>
      <c r="N52" s="9"/>
    </row>
    <row r="53" spans="1:14" ht="33.75" x14ac:dyDescent="0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ht="33.75" x14ac:dyDescent="0.5">
      <c r="A54" s="9" t="s">
        <v>169</v>
      </c>
      <c r="B54" s="9" t="s">
        <v>170</v>
      </c>
      <c r="C54" s="9"/>
      <c r="D54" s="9"/>
      <c r="E54" s="9">
        <f>38000*D19</f>
        <v>146963100</v>
      </c>
      <c r="F54" s="9"/>
      <c r="G54" s="16" t="s">
        <v>149</v>
      </c>
      <c r="H54" s="9"/>
      <c r="I54" s="9"/>
      <c r="J54" s="9"/>
      <c r="K54" s="9"/>
      <c r="L54" s="9"/>
      <c r="M54" s="9"/>
      <c r="N54" s="9"/>
    </row>
    <row r="55" spans="1:14" ht="33.75" x14ac:dyDescent="0.5">
      <c r="A55" s="9"/>
      <c r="B55" s="9" t="s">
        <v>120</v>
      </c>
      <c r="C55" s="9"/>
      <c r="D55" s="9"/>
      <c r="E55" s="9"/>
      <c r="F55" s="9">
        <f>E54</f>
        <v>146963100</v>
      </c>
      <c r="G55" s="16" t="s">
        <v>159</v>
      </c>
      <c r="H55" s="9"/>
      <c r="I55" s="9"/>
      <c r="J55" s="9"/>
      <c r="K55" s="9"/>
      <c r="L55" s="9"/>
      <c r="M55" s="9"/>
      <c r="N55" s="9"/>
    </row>
    <row r="56" spans="1:14" ht="33.75" x14ac:dyDescent="0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ht="33.75" x14ac:dyDescent="0.5">
      <c r="A57" s="9" t="s">
        <v>171</v>
      </c>
      <c r="B57" s="9" t="s">
        <v>172</v>
      </c>
      <c r="C57" s="9"/>
      <c r="D57" s="9"/>
      <c r="E57" s="9">
        <f>3000*D19</f>
        <v>11602350</v>
      </c>
      <c r="F57" s="9"/>
      <c r="G57" s="16" t="s">
        <v>149</v>
      </c>
      <c r="H57" s="9"/>
      <c r="I57" s="9"/>
      <c r="J57" s="9"/>
      <c r="K57" s="9"/>
      <c r="L57" s="9"/>
      <c r="M57" s="9"/>
      <c r="N57" s="9"/>
    </row>
    <row r="58" spans="1:14" ht="33.75" x14ac:dyDescent="0.5">
      <c r="A58" s="9"/>
      <c r="B58" s="9" t="s">
        <v>120</v>
      </c>
      <c r="C58" s="9"/>
      <c r="D58" s="9"/>
      <c r="E58" s="9"/>
      <c r="F58" s="9">
        <f>E57</f>
        <v>11602350</v>
      </c>
      <c r="G58" s="16" t="s">
        <v>173</v>
      </c>
      <c r="H58" s="9"/>
      <c r="I58" s="9"/>
      <c r="J58" s="9"/>
      <c r="K58" s="9"/>
      <c r="L58" s="9"/>
      <c r="M58" s="9"/>
      <c r="N58" s="9"/>
    </row>
    <row r="59" spans="1:14" ht="33.75" x14ac:dyDescent="0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ht="33.75" x14ac:dyDescent="0.5">
      <c r="A60" s="9" t="s">
        <v>72</v>
      </c>
      <c r="B60" s="9" t="s">
        <v>174</v>
      </c>
      <c r="C60" s="9"/>
      <c r="D60" s="9"/>
      <c r="E60" s="9">
        <f>5000*D19</f>
        <v>19337250</v>
      </c>
      <c r="F60" s="9"/>
      <c r="G60" s="16" t="s">
        <v>175</v>
      </c>
      <c r="H60" s="9"/>
      <c r="I60" s="9"/>
      <c r="J60" s="9"/>
      <c r="K60" s="9"/>
      <c r="L60" s="9"/>
      <c r="M60" s="9"/>
      <c r="N60" s="9"/>
    </row>
    <row r="61" spans="1:14" ht="33.75" x14ac:dyDescent="0.5">
      <c r="A61" s="9"/>
      <c r="B61" s="9" t="s">
        <v>113</v>
      </c>
      <c r="C61" s="9"/>
      <c r="D61" s="9"/>
      <c r="E61" s="9"/>
      <c r="F61" s="9">
        <f>E60</f>
        <v>19337250</v>
      </c>
      <c r="G61" s="16" t="s">
        <v>151</v>
      </c>
      <c r="H61" s="9"/>
      <c r="I61" s="9"/>
      <c r="J61" s="9"/>
      <c r="K61" s="9"/>
      <c r="L61" s="9"/>
      <c r="M61" s="9"/>
      <c r="N61" s="9"/>
    </row>
    <row r="62" spans="1:14" ht="33.75" x14ac:dyDescent="0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ht="33.75" x14ac:dyDescent="0.5">
      <c r="A63" s="9"/>
      <c r="B63" s="9" t="s">
        <v>176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ht="33.75" x14ac:dyDescent="0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ht="33.75" x14ac:dyDescent="0.5">
      <c r="A65" s="9" t="s">
        <v>177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ht="33.75" x14ac:dyDescent="0.5">
      <c r="A66" s="9" t="s">
        <v>78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ht="33.75" x14ac:dyDescent="0.5">
      <c r="A67" s="9"/>
      <c r="B67" s="9" t="s">
        <v>178</v>
      </c>
      <c r="C67" s="9"/>
      <c r="D67" s="9"/>
      <c r="E67" s="9">
        <f>E34</f>
        <v>4640940</v>
      </c>
      <c r="F67" s="9"/>
      <c r="G67" s="9"/>
      <c r="H67" s="9"/>
      <c r="I67" s="9"/>
      <c r="J67" s="9"/>
      <c r="K67" s="9"/>
      <c r="L67" s="9"/>
      <c r="M67" s="9"/>
      <c r="N67" s="9"/>
    </row>
    <row r="68" spans="1:14" ht="33.75" x14ac:dyDescent="0.5">
      <c r="A68" s="9"/>
      <c r="B68" s="9" t="s">
        <v>83</v>
      </c>
      <c r="C68" s="9"/>
      <c r="D68" s="9"/>
      <c r="E68" s="9">
        <f>E39</f>
        <v>216577200</v>
      </c>
      <c r="F68" s="9"/>
      <c r="G68" s="9"/>
      <c r="H68" s="9"/>
      <c r="I68" s="9"/>
      <c r="J68" s="9"/>
      <c r="K68" s="9"/>
      <c r="L68" s="9"/>
      <c r="M68" s="9"/>
      <c r="N68" s="9"/>
    </row>
    <row r="69" spans="1:14" ht="33.75" x14ac:dyDescent="0.5">
      <c r="A69" s="9"/>
      <c r="B69" s="9" t="s">
        <v>158</v>
      </c>
      <c r="C69" s="9"/>
      <c r="D69" s="9"/>
      <c r="E69" s="9"/>
      <c r="F69" s="9">
        <f>F44</f>
        <v>464094000</v>
      </c>
      <c r="G69" s="9"/>
      <c r="H69" s="9"/>
      <c r="I69" s="9"/>
      <c r="J69" s="9"/>
      <c r="K69" s="9"/>
      <c r="L69" s="9"/>
      <c r="M69" s="9"/>
      <c r="N69" s="9"/>
    </row>
    <row r="70" spans="1:14" ht="33.75" x14ac:dyDescent="0.5">
      <c r="A70" s="9"/>
      <c r="B70" s="9" t="s">
        <v>158</v>
      </c>
      <c r="C70" s="9"/>
      <c r="D70" s="9"/>
      <c r="E70" s="9"/>
      <c r="F70" s="9">
        <f>F50</f>
        <v>10500000</v>
      </c>
      <c r="G70" s="9"/>
      <c r="H70" s="9"/>
      <c r="I70" s="9"/>
      <c r="J70" s="9"/>
      <c r="K70" s="9"/>
      <c r="L70" s="9"/>
      <c r="M70" s="9"/>
      <c r="N70" s="9"/>
    </row>
    <row r="71" spans="1:14" ht="33.75" x14ac:dyDescent="0.5">
      <c r="A71" s="9"/>
      <c r="B71" s="9" t="s">
        <v>178</v>
      </c>
      <c r="C71" s="9"/>
      <c r="D71" s="9"/>
      <c r="E71" s="9">
        <f>E54</f>
        <v>146963100</v>
      </c>
      <c r="F71" s="9"/>
      <c r="G71" s="9"/>
      <c r="H71" s="9"/>
      <c r="I71" s="9"/>
      <c r="J71" s="9"/>
      <c r="K71" s="9"/>
      <c r="L71" s="9"/>
      <c r="M71" s="9"/>
      <c r="N71" s="9"/>
    </row>
    <row r="72" spans="1:14" ht="33.75" x14ac:dyDescent="0.5">
      <c r="A72" s="9"/>
      <c r="B72" s="9" t="s">
        <v>179</v>
      </c>
      <c r="C72" s="9"/>
      <c r="D72" s="9"/>
      <c r="E72" s="9">
        <f>E57</f>
        <v>11602350</v>
      </c>
      <c r="F72" s="9"/>
      <c r="G72" s="9"/>
      <c r="H72" s="9"/>
      <c r="I72" s="9"/>
      <c r="J72" s="9"/>
      <c r="K72" s="9"/>
      <c r="L72" s="9"/>
      <c r="M72" s="9"/>
      <c r="N72" s="9"/>
    </row>
    <row r="73" spans="1:14" ht="33.75" x14ac:dyDescent="0.5">
      <c r="A73" s="9"/>
      <c r="B73" s="9" t="s">
        <v>84</v>
      </c>
      <c r="C73" s="9"/>
      <c r="D73" s="9"/>
      <c r="E73" s="9">
        <f>E67+E68+E71+E72</f>
        <v>379783590</v>
      </c>
      <c r="F73" s="9">
        <f>F69+F70</f>
        <v>474594000</v>
      </c>
      <c r="G73" s="9"/>
      <c r="H73" s="9"/>
      <c r="I73" s="9"/>
      <c r="J73" s="9"/>
      <c r="K73" s="9"/>
      <c r="L73" s="9"/>
      <c r="M73" s="9"/>
      <c r="N73" s="9"/>
    </row>
    <row r="74" spans="1:14" ht="33.75" x14ac:dyDescent="0.5">
      <c r="A74" s="9"/>
      <c r="B74" s="9" t="s">
        <v>85</v>
      </c>
      <c r="C74" s="9"/>
      <c r="D74" s="9"/>
      <c r="E74" s="9"/>
      <c r="F74" s="16">
        <f>F73-E73</f>
        <v>94810410</v>
      </c>
      <c r="G74" s="16" t="s">
        <v>86</v>
      </c>
      <c r="H74" s="9"/>
      <c r="I74" s="9"/>
      <c r="J74" s="9"/>
      <c r="K74" s="9"/>
      <c r="L74" s="9"/>
      <c r="M74" s="9"/>
      <c r="N74" s="9"/>
    </row>
    <row r="75" spans="1:14" ht="33.75" x14ac:dyDescent="0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ht="33.75" x14ac:dyDescent="0.5">
      <c r="A76" s="9" t="s">
        <v>180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ht="33.75" x14ac:dyDescent="0.5">
      <c r="A77" s="9"/>
      <c r="B77" s="9" t="s">
        <v>181</v>
      </c>
      <c r="C77" s="9"/>
      <c r="D77" s="9"/>
      <c r="E77" s="9"/>
      <c r="F77" s="9">
        <f>F47</f>
        <v>12375840</v>
      </c>
      <c r="G77" s="9"/>
      <c r="H77" s="9"/>
      <c r="I77" s="9"/>
      <c r="J77" s="9"/>
      <c r="K77" s="9"/>
      <c r="L77" s="9"/>
      <c r="M77" s="9"/>
      <c r="N77" s="9"/>
    </row>
    <row r="78" spans="1:14" ht="33.75" x14ac:dyDescent="0.5">
      <c r="A78" s="9"/>
      <c r="B78" s="9" t="s">
        <v>91</v>
      </c>
      <c r="C78" s="9"/>
      <c r="D78" s="9"/>
      <c r="E78" s="9"/>
      <c r="F78" s="16">
        <f>F77</f>
        <v>12375840</v>
      </c>
      <c r="G78" s="9" t="s">
        <v>86</v>
      </c>
      <c r="H78" s="9"/>
      <c r="I78" s="9"/>
      <c r="J78" s="9"/>
      <c r="K78" s="9"/>
      <c r="L78" s="9"/>
      <c r="M78" s="9"/>
      <c r="N78" s="9"/>
    </row>
    <row r="79" spans="1:14" ht="33.75" x14ac:dyDescent="0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ht="33.75" x14ac:dyDescent="0.5">
      <c r="A80" s="9" t="s">
        <v>182</v>
      </c>
      <c r="B80" s="9" t="s">
        <v>183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ht="33.75" x14ac:dyDescent="0.5">
      <c r="A81" s="9"/>
      <c r="B81" s="9" t="s">
        <v>164</v>
      </c>
      <c r="C81" s="9"/>
      <c r="D81" s="9"/>
      <c r="E81" s="9">
        <f>E49</f>
        <v>10500000</v>
      </c>
      <c r="F81" s="9"/>
      <c r="G81" s="9"/>
      <c r="H81" s="9"/>
      <c r="I81" s="9"/>
      <c r="J81" s="9"/>
      <c r="K81" s="9"/>
      <c r="L81" s="9"/>
      <c r="M81" s="9"/>
      <c r="N81" s="9"/>
    </row>
    <row r="82" spans="1:14" ht="33.75" x14ac:dyDescent="0.5">
      <c r="A82" s="9"/>
      <c r="B82" s="9" t="s">
        <v>97</v>
      </c>
      <c r="C82" s="9"/>
      <c r="D82" s="9"/>
      <c r="E82" s="16">
        <f>E81</f>
        <v>10500000</v>
      </c>
      <c r="F82" s="9" t="s">
        <v>117</v>
      </c>
      <c r="G82" s="9"/>
      <c r="H82" s="9"/>
      <c r="I82" s="9"/>
      <c r="J82" s="9"/>
      <c r="K82" s="9"/>
      <c r="L82" s="9"/>
      <c r="M82" s="9"/>
      <c r="N82" s="9"/>
    </row>
    <row r="83" spans="1:14" ht="33.75" x14ac:dyDescent="0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ht="33.75" x14ac:dyDescent="0.5">
      <c r="A84" s="9"/>
      <c r="B84" s="9" t="s">
        <v>184</v>
      </c>
      <c r="C84" s="9"/>
      <c r="D84" s="9"/>
      <c r="E84" s="9">
        <f>E82</f>
        <v>10500000</v>
      </c>
      <c r="F84" s="9">
        <f>F74+F78</f>
        <v>107186250</v>
      </c>
      <c r="G84" s="9"/>
      <c r="H84" s="9"/>
      <c r="I84" s="9"/>
      <c r="J84" s="9"/>
      <c r="K84" s="9"/>
      <c r="L84" s="9"/>
      <c r="M84" s="9"/>
      <c r="N84" s="9"/>
    </row>
    <row r="85" spans="1:14" ht="33.75" x14ac:dyDescent="0.5">
      <c r="A85" s="9"/>
      <c r="B85" s="9" t="s">
        <v>185</v>
      </c>
      <c r="C85" s="9"/>
      <c r="D85" s="9"/>
      <c r="E85" s="9"/>
      <c r="F85" s="26">
        <f>F84-E84</f>
        <v>96686250</v>
      </c>
      <c r="G85" s="9" t="s">
        <v>86</v>
      </c>
      <c r="H85" s="9"/>
      <c r="I85" s="9"/>
      <c r="J85" s="9"/>
      <c r="K85" s="9"/>
      <c r="L85" s="9"/>
      <c r="M85" s="9"/>
      <c r="N85" s="9"/>
    </row>
    <row r="86" spans="1:14" ht="33.75" x14ac:dyDescent="0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ht="33.75" x14ac:dyDescent="0.5">
      <c r="A87" s="9" t="s">
        <v>99</v>
      </c>
      <c r="B87" s="9" t="s">
        <v>186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ht="33.75" x14ac:dyDescent="0.5">
      <c r="A88" s="9" t="s">
        <v>101</v>
      </c>
      <c r="B88" s="9" t="s">
        <v>187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ht="33.75" x14ac:dyDescent="0.5">
      <c r="A89" s="9"/>
      <c r="B89" s="9" t="s">
        <v>188</v>
      </c>
      <c r="C89" s="9"/>
      <c r="D89" s="9"/>
      <c r="E89" s="9"/>
      <c r="F89" s="9">
        <f>F38</f>
        <v>216577200</v>
      </c>
      <c r="G89" s="9"/>
      <c r="H89" s="9"/>
      <c r="I89" s="9"/>
      <c r="J89" s="9"/>
      <c r="K89" s="9"/>
    </row>
    <row r="90" spans="1:14" ht="33.75" x14ac:dyDescent="0.5">
      <c r="A90" s="9"/>
      <c r="B90" s="9" t="s">
        <v>189</v>
      </c>
      <c r="C90" s="9"/>
      <c r="D90" s="9"/>
      <c r="E90" s="9">
        <f>E60</f>
        <v>19337250</v>
      </c>
      <c r="F90" s="9"/>
      <c r="G90" s="9"/>
      <c r="H90" s="9"/>
      <c r="I90" s="9"/>
      <c r="J90" s="9"/>
      <c r="K90" s="9"/>
    </row>
    <row r="91" spans="1:14" ht="33.75" x14ac:dyDescent="0.5">
      <c r="A91" s="9"/>
      <c r="B91" s="9" t="s">
        <v>190</v>
      </c>
      <c r="C91" s="9"/>
      <c r="D91" s="9"/>
      <c r="E91" s="9">
        <f>E90</f>
        <v>19337250</v>
      </c>
      <c r="F91" s="9">
        <f>F89</f>
        <v>216577200</v>
      </c>
      <c r="G91" s="9"/>
      <c r="H91" s="9"/>
      <c r="I91" s="9"/>
      <c r="J91" s="9"/>
      <c r="K91" s="9"/>
    </row>
    <row r="92" spans="1:14" ht="33.75" x14ac:dyDescent="0.5">
      <c r="A92" s="9"/>
      <c r="B92" s="9" t="s">
        <v>107</v>
      </c>
      <c r="C92" s="9"/>
      <c r="D92" s="9"/>
      <c r="E92" s="9"/>
      <c r="F92" s="23">
        <f>F91-E91</f>
        <v>197239950</v>
      </c>
      <c r="G92" s="9" t="s">
        <v>117</v>
      </c>
      <c r="H92" s="9"/>
      <c r="I92" s="9"/>
      <c r="J92" s="9"/>
      <c r="K92" s="9"/>
    </row>
    <row r="93" spans="1:14" ht="33.75" x14ac:dyDescent="0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4" ht="33.75" x14ac:dyDescent="0.5">
      <c r="A94" s="9" t="s">
        <v>191</v>
      </c>
      <c r="B94" s="9" t="s">
        <v>110</v>
      </c>
      <c r="C94" s="9"/>
      <c r="D94" s="9"/>
      <c r="E94" s="9"/>
      <c r="F94" s="9"/>
      <c r="G94" s="9"/>
      <c r="H94" s="9"/>
      <c r="I94" s="9"/>
      <c r="J94" s="9"/>
      <c r="K94" s="9"/>
    </row>
    <row r="95" spans="1:14" ht="33.75" x14ac:dyDescent="0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4" ht="33.75" x14ac:dyDescent="0.5">
      <c r="A96" s="9" t="s">
        <v>192</v>
      </c>
      <c r="B96" s="9" t="s">
        <v>112</v>
      </c>
      <c r="C96" s="9"/>
      <c r="D96" s="9"/>
      <c r="E96" s="9"/>
      <c r="F96" s="9"/>
      <c r="G96" s="9"/>
      <c r="H96" s="9"/>
      <c r="I96" s="9"/>
      <c r="J96" s="9"/>
      <c r="K96" s="9"/>
    </row>
    <row r="97" spans="1:11" ht="33.75" x14ac:dyDescent="0.5">
      <c r="A97" s="9"/>
      <c r="B97" s="9" t="s">
        <v>113</v>
      </c>
      <c r="C97" s="9"/>
      <c r="D97" s="9"/>
      <c r="E97" s="9">
        <f>E37</f>
        <v>216577200</v>
      </c>
      <c r="F97" s="9"/>
      <c r="G97" s="9"/>
      <c r="H97" s="9"/>
      <c r="I97" s="9"/>
      <c r="J97" s="9"/>
      <c r="K97" s="9"/>
    </row>
    <row r="98" spans="1:11" ht="33.75" x14ac:dyDescent="0.5">
      <c r="A98" s="9"/>
      <c r="B98" s="9" t="s">
        <v>113</v>
      </c>
      <c r="C98" s="9"/>
      <c r="D98" s="9"/>
      <c r="E98" s="9"/>
      <c r="F98" s="9">
        <f>F40</f>
        <v>216577200</v>
      </c>
      <c r="G98" s="9"/>
      <c r="H98" s="9"/>
      <c r="I98" s="9"/>
      <c r="J98" s="9"/>
      <c r="K98" s="9"/>
    </row>
    <row r="99" spans="1:11" ht="33.75" x14ac:dyDescent="0.5">
      <c r="A99" s="9"/>
      <c r="B99" s="9" t="s">
        <v>113</v>
      </c>
      <c r="C99" s="9"/>
      <c r="D99" s="9"/>
      <c r="E99" s="9">
        <f>E42</f>
        <v>185637600</v>
      </c>
      <c r="F99" s="9"/>
      <c r="G99" s="9"/>
      <c r="H99" s="9"/>
      <c r="I99" s="9"/>
      <c r="J99" s="9"/>
      <c r="K99" s="9"/>
    </row>
    <row r="100" spans="1:11" ht="33.75" x14ac:dyDescent="0.5">
      <c r="A100" s="9"/>
      <c r="B100" s="9" t="s">
        <v>113</v>
      </c>
      <c r="C100" s="9"/>
      <c r="D100" s="9"/>
      <c r="E100" s="9">
        <f>E46</f>
        <v>12375840</v>
      </c>
      <c r="F100" s="9"/>
      <c r="G100" s="9"/>
      <c r="H100" s="9"/>
      <c r="I100" s="9"/>
      <c r="J100" s="9"/>
      <c r="K100" s="9"/>
    </row>
    <row r="101" spans="1:11" ht="33.75" x14ac:dyDescent="0.5">
      <c r="A101" s="9"/>
      <c r="B101" s="9" t="s">
        <v>120</v>
      </c>
      <c r="C101" s="9"/>
      <c r="D101" s="9"/>
      <c r="E101" s="9"/>
      <c r="F101" s="9">
        <f>F55</f>
        <v>146963100</v>
      </c>
      <c r="G101" s="9"/>
      <c r="H101" s="9"/>
      <c r="I101" s="9"/>
      <c r="J101" s="9"/>
      <c r="K101" s="9"/>
    </row>
    <row r="102" spans="1:11" ht="33.75" x14ac:dyDescent="0.5">
      <c r="A102" s="9"/>
      <c r="B102" s="9" t="s">
        <v>113</v>
      </c>
      <c r="C102" s="9"/>
      <c r="D102" s="9"/>
      <c r="E102" s="9"/>
      <c r="F102" s="9">
        <f>F61</f>
        <v>19337250</v>
      </c>
      <c r="G102" s="9"/>
      <c r="H102" s="9"/>
      <c r="I102" s="9"/>
      <c r="J102" s="9"/>
      <c r="K102" s="9"/>
    </row>
    <row r="103" spans="1:11" ht="33.75" x14ac:dyDescent="0.5">
      <c r="A103" s="9"/>
      <c r="B103" s="9" t="s">
        <v>193</v>
      </c>
      <c r="C103" s="9"/>
      <c r="D103" s="9"/>
      <c r="E103" s="9">
        <f>E97+E99+E100</f>
        <v>414590640</v>
      </c>
      <c r="F103" s="9">
        <f>F98+F101+F102</f>
        <v>382877550</v>
      </c>
      <c r="G103" s="9"/>
      <c r="H103" s="9"/>
      <c r="I103" s="9"/>
      <c r="J103" s="9"/>
      <c r="K103" s="9"/>
    </row>
    <row r="104" spans="1:11" ht="33.75" x14ac:dyDescent="0.5">
      <c r="A104" s="9"/>
      <c r="B104" s="9" t="s">
        <v>194</v>
      </c>
      <c r="C104" s="9"/>
      <c r="D104" s="9"/>
      <c r="E104" s="16">
        <f>E103-F103</f>
        <v>31713090</v>
      </c>
      <c r="F104" s="9" t="s">
        <v>86</v>
      </c>
      <c r="G104" s="9"/>
      <c r="H104" s="9"/>
      <c r="I104" s="9"/>
      <c r="J104" s="9"/>
      <c r="K104" s="9"/>
    </row>
    <row r="105" spans="1:11" ht="33.75" x14ac:dyDescent="0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33.75" x14ac:dyDescent="0.5">
      <c r="A106" s="9" t="s">
        <v>195</v>
      </c>
      <c r="B106" s="9" t="s">
        <v>196</v>
      </c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33.75" x14ac:dyDescent="0.5">
      <c r="A107" s="9"/>
      <c r="B107" s="9" t="s">
        <v>114</v>
      </c>
      <c r="C107" s="9"/>
      <c r="D107" s="9"/>
      <c r="E107" s="9">
        <f>E43</f>
        <v>278456400</v>
      </c>
      <c r="F107" s="9"/>
      <c r="G107" s="9"/>
      <c r="H107" s="9"/>
      <c r="I107" s="9"/>
      <c r="J107" s="9"/>
      <c r="K107" s="9"/>
    </row>
    <row r="108" spans="1:11" ht="33.75" x14ac:dyDescent="0.5">
      <c r="A108" s="9"/>
      <c r="B108" s="9" t="s">
        <v>120</v>
      </c>
      <c r="C108" s="9"/>
      <c r="D108" s="9"/>
      <c r="E108" s="9"/>
      <c r="F108" s="9">
        <f>F58</f>
        <v>11602350</v>
      </c>
      <c r="G108" s="9"/>
      <c r="H108" s="9"/>
      <c r="I108" s="9"/>
      <c r="J108" s="9"/>
      <c r="K108" s="9"/>
    </row>
    <row r="109" spans="1:11" ht="33.75" x14ac:dyDescent="0.5">
      <c r="A109" s="9"/>
      <c r="B109" s="9" t="s">
        <v>197</v>
      </c>
      <c r="C109" s="9"/>
      <c r="D109" s="9"/>
      <c r="E109" s="9">
        <f>E107</f>
        <v>278456400</v>
      </c>
      <c r="F109" s="9">
        <f>F108</f>
        <v>11602350</v>
      </c>
      <c r="G109" s="9"/>
      <c r="H109" s="9"/>
      <c r="I109" s="9"/>
      <c r="J109" s="9"/>
      <c r="K109" s="9"/>
    </row>
    <row r="110" spans="1:11" ht="33.75" x14ac:dyDescent="0.5">
      <c r="A110" s="9"/>
      <c r="B110" s="9" t="s">
        <v>198</v>
      </c>
      <c r="C110" s="9"/>
      <c r="D110" s="9"/>
      <c r="E110" s="16">
        <f>E109-F109</f>
        <v>266854050</v>
      </c>
      <c r="F110" s="9" t="s">
        <v>86</v>
      </c>
      <c r="G110" s="9"/>
      <c r="H110" s="9"/>
      <c r="I110" s="9"/>
      <c r="J110" s="9"/>
      <c r="K110" s="9"/>
    </row>
    <row r="111" spans="1:11" ht="33.75" x14ac:dyDescent="0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33.75" x14ac:dyDescent="0.5">
      <c r="A112" s="9"/>
      <c r="B112" s="9" t="s">
        <v>123</v>
      </c>
      <c r="C112" s="9"/>
      <c r="D112" s="9"/>
      <c r="E112" s="16">
        <f>E104+E110</f>
        <v>298567140</v>
      </c>
      <c r="F112" s="9" t="s">
        <v>86</v>
      </c>
      <c r="G112" s="9"/>
      <c r="H112" s="9"/>
      <c r="I112" s="9"/>
      <c r="J112" s="9"/>
      <c r="K112" s="9"/>
    </row>
    <row r="113" spans="1:11" ht="33.75" x14ac:dyDescent="0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33.75" x14ac:dyDescent="0.5">
      <c r="A114" s="9"/>
      <c r="B114" s="9" t="s">
        <v>124</v>
      </c>
      <c r="C114" s="9"/>
      <c r="D114" s="9"/>
      <c r="E114" s="9">
        <f>E112</f>
        <v>298567140</v>
      </c>
      <c r="F114" s="9">
        <f>F92</f>
        <v>197239950</v>
      </c>
      <c r="G114" s="9"/>
      <c r="H114" s="9"/>
      <c r="I114" s="9"/>
      <c r="J114" s="9"/>
      <c r="K114" s="9"/>
    </row>
    <row r="115" spans="1:11" ht="33.75" x14ac:dyDescent="0.5">
      <c r="A115" s="9"/>
      <c r="B115" s="9" t="s">
        <v>125</v>
      </c>
      <c r="C115" s="9"/>
      <c r="D115" s="9"/>
      <c r="E115" s="27">
        <f>E114-F114</f>
        <v>101327190</v>
      </c>
      <c r="F115" s="9" t="s">
        <v>86</v>
      </c>
      <c r="G115" s="9"/>
      <c r="H115" s="9"/>
      <c r="I115" s="9"/>
      <c r="J115" s="9"/>
      <c r="K115" s="9"/>
    </row>
    <row r="116" spans="1:11" ht="33.75" x14ac:dyDescent="0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33.75" x14ac:dyDescent="0.5">
      <c r="A117" s="9"/>
      <c r="B117" s="9" t="s">
        <v>285</v>
      </c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33.75" x14ac:dyDescent="0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33.75" x14ac:dyDescent="0.5">
      <c r="A119" s="9" t="s">
        <v>23</v>
      </c>
      <c r="B119" s="9" t="s">
        <v>199</v>
      </c>
      <c r="C119" s="9"/>
      <c r="D119" s="9"/>
      <c r="E119" s="21"/>
      <c r="F119" s="9"/>
      <c r="G119" s="9"/>
      <c r="H119" s="9"/>
      <c r="I119" s="9"/>
      <c r="J119" s="9"/>
      <c r="K119" s="9"/>
    </row>
    <row r="120" spans="1:11" ht="33.75" x14ac:dyDescent="0.5">
      <c r="A120" s="9"/>
      <c r="B120" s="9" t="s">
        <v>144</v>
      </c>
      <c r="C120" s="9"/>
      <c r="D120" s="9"/>
      <c r="E120" s="9">
        <v>4179478669</v>
      </c>
      <c r="F120" s="9"/>
      <c r="G120" s="9"/>
      <c r="H120" s="9"/>
      <c r="I120" s="9"/>
      <c r="J120" s="9"/>
      <c r="K120" s="9"/>
    </row>
    <row r="121" spans="1:11" ht="33.75" x14ac:dyDescent="0.5">
      <c r="A121" s="9"/>
      <c r="B121" s="9" t="s">
        <v>144</v>
      </c>
      <c r="C121" s="9"/>
      <c r="D121" s="9"/>
      <c r="E121" s="9"/>
      <c r="F121" s="9">
        <v>4640940</v>
      </c>
      <c r="G121" s="9"/>
      <c r="H121" s="9"/>
      <c r="I121" s="9"/>
      <c r="J121" s="9"/>
      <c r="K121" s="9"/>
    </row>
    <row r="122" spans="1:11" ht="33.75" x14ac:dyDescent="0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33.75" x14ac:dyDescent="0.5">
      <c r="A123" s="9"/>
      <c r="B123" s="9" t="s">
        <v>200</v>
      </c>
      <c r="C123" s="9"/>
      <c r="D123" s="9"/>
      <c r="E123" s="9">
        <f>E120+E122</f>
        <v>4179478669</v>
      </c>
      <c r="F123" s="9">
        <f>F121</f>
        <v>4640940</v>
      </c>
      <c r="G123" s="9"/>
      <c r="H123" s="9"/>
      <c r="I123" s="9"/>
      <c r="J123" s="9"/>
      <c r="K123" s="9"/>
    </row>
    <row r="124" spans="1:11" ht="33.75" x14ac:dyDescent="0.5">
      <c r="A124" s="9"/>
      <c r="B124" s="9" t="s">
        <v>201</v>
      </c>
      <c r="C124" s="9"/>
      <c r="D124" s="9"/>
      <c r="E124" s="27">
        <f>E123-F123</f>
        <v>4174837729</v>
      </c>
      <c r="F124" s="9" t="s">
        <v>86</v>
      </c>
      <c r="G124" s="9"/>
      <c r="H124" s="9"/>
      <c r="I124" s="9"/>
      <c r="J124" s="9"/>
      <c r="K124" s="9"/>
    </row>
    <row r="125" spans="1:11" ht="33.75" x14ac:dyDescent="0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33.75" x14ac:dyDescent="0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33.75" x14ac:dyDescent="0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33.75" x14ac:dyDescent="0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33.75" x14ac:dyDescent="0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33.75" x14ac:dyDescent="0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33.75" x14ac:dyDescent="0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33.75" x14ac:dyDescent="0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33.75" x14ac:dyDescent="0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33.75" x14ac:dyDescent="0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33.75" x14ac:dyDescent="0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33.75" x14ac:dyDescent="0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91AA-AA9C-9943-AFE7-E6E5FD088AFE}">
  <dimension ref="A1:S231"/>
  <sheetViews>
    <sheetView topLeftCell="A84" zoomScale="37" zoomScaleNormal="37" workbookViewId="0">
      <selection activeCell="I108" sqref="I108"/>
    </sheetView>
  </sheetViews>
  <sheetFormatPr baseColWidth="10" defaultRowHeight="15.75" x14ac:dyDescent="0.25"/>
  <cols>
    <col min="5" max="5" width="19.875" customWidth="1"/>
    <col min="9" max="9" width="34.375" customWidth="1"/>
    <col min="10" max="10" width="28" customWidth="1"/>
    <col min="14" max="14" width="26" bestFit="1" customWidth="1"/>
  </cols>
  <sheetData>
    <row r="1" spans="2:19" ht="33.75" x14ac:dyDescent="0.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2:19" ht="33.75" x14ac:dyDescent="0.5">
      <c r="B2" s="24" t="s">
        <v>202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19" ht="33.75" x14ac:dyDescent="0.5">
      <c r="B3" s="2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2:19" ht="33.75" x14ac:dyDescent="0.5">
      <c r="B4" s="25" t="s">
        <v>203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ht="33.75" x14ac:dyDescent="0.5">
      <c r="B5" s="25" t="s">
        <v>204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2:19" ht="33.75" x14ac:dyDescent="0.5">
      <c r="B6" s="25" t="s">
        <v>205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19" ht="33.75" x14ac:dyDescent="0.5">
      <c r="B7" s="25" t="s">
        <v>206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 ht="33.75" x14ac:dyDescent="0.5">
      <c r="B8" s="25" t="s">
        <v>207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 ht="33.75" x14ac:dyDescent="0.5">
      <c r="B9" s="25" t="s">
        <v>208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 ht="33.75" x14ac:dyDescent="0.5">
      <c r="B10" s="25" t="s">
        <v>209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 ht="33.75" x14ac:dyDescent="0.5">
      <c r="B11" s="25" t="s">
        <v>210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33.75" x14ac:dyDescent="0.5">
      <c r="B12" s="25" t="s">
        <v>211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33.75" x14ac:dyDescent="0.5">
      <c r="B13" s="25" t="s">
        <v>212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33.75" x14ac:dyDescent="0.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33.75" x14ac:dyDescent="0.5">
      <c r="B15" s="9"/>
      <c r="C15" s="9"/>
      <c r="D15" s="9" t="s">
        <v>213</v>
      </c>
      <c r="E15" s="9">
        <v>3245.67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33.75" x14ac:dyDescent="0.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33.75" x14ac:dyDescent="0.5">
      <c r="B17" s="9"/>
      <c r="C17" s="9"/>
      <c r="D17" s="9"/>
      <c r="E17" s="9"/>
      <c r="F17" s="9"/>
      <c r="G17" s="9"/>
      <c r="H17" s="9"/>
      <c r="I17" s="9" t="s">
        <v>145</v>
      </c>
      <c r="J17" s="9" t="s">
        <v>146</v>
      </c>
      <c r="K17" s="9"/>
      <c r="L17" s="9"/>
      <c r="M17" s="9"/>
      <c r="N17" s="9"/>
      <c r="O17" s="9"/>
      <c r="P17" s="9"/>
      <c r="Q17" s="9"/>
      <c r="R17" s="9"/>
      <c r="S17" s="9"/>
    </row>
    <row r="18" spans="2:19" ht="33.75" x14ac:dyDescent="0.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ht="33.75" x14ac:dyDescent="0.5">
      <c r="B19" s="9" t="s">
        <v>141</v>
      </c>
      <c r="C19" s="9" t="s">
        <v>214</v>
      </c>
      <c r="D19" s="9"/>
      <c r="E19" s="9"/>
      <c r="F19" s="9"/>
      <c r="G19" s="9"/>
      <c r="H19" s="9"/>
      <c r="I19" s="9">
        <f>200*1000*E15</f>
        <v>649134000</v>
      </c>
      <c r="J19" s="9"/>
      <c r="K19" s="29" t="s">
        <v>149</v>
      </c>
      <c r="L19" s="16"/>
      <c r="M19" s="16"/>
      <c r="N19" s="9"/>
      <c r="O19" s="9"/>
      <c r="P19" s="9"/>
      <c r="Q19" s="9"/>
      <c r="R19" s="9"/>
      <c r="S19" s="9"/>
    </row>
    <row r="20" spans="2:19" ht="33.75" x14ac:dyDescent="0.5">
      <c r="B20" s="9"/>
      <c r="C20" s="9" t="s">
        <v>215</v>
      </c>
      <c r="D20" s="9"/>
      <c r="E20" s="9"/>
      <c r="F20" s="9"/>
      <c r="G20" s="9"/>
      <c r="H20" s="9"/>
      <c r="I20" s="9"/>
      <c r="J20" s="9">
        <f>200*1000*E15</f>
        <v>649134000</v>
      </c>
      <c r="K20" s="29" t="s">
        <v>151</v>
      </c>
      <c r="L20" s="16"/>
      <c r="M20" s="9"/>
      <c r="N20" s="9"/>
      <c r="O20" s="9"/>
      <c r="P20" s="9"/>
      <c r="Q20" s="9"/>
      <c r="R20" s="9"/>
      <c r="S20" s="9"/>
    </row>
    <row r="21" spans="2:19" ht="33.75" x14ac:dyDescent="0.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2:19" ht="33.75" x14ac:dyDescent="0.5">
      <c r="B22" s="9" t="s">
        <v>99</v>
      </c>
      <c r="C22" s="9" t="s">
        <v>215</v>
      </c>
      <c r="D22" s="9"/>
      <c r="E22" s="9"/>
      <c r="F22" s="9"/>
      <c r="G22" s="9"/>
      <c r="H22" s="9"/>
      <c r="I22" s="9">
        <f>600*45.67*E15</f>
        <v>88937849.340000004</v>
      </c>
      <c r="J22" s="9"/>
      <c r="K22" s="29" t="s">
        <v>159</v>
      </c>
      <c r="L22" s="16"/>
      <c r="M22" s="9"/>
      <c r="N22" s="9"/>
      <c r="O22" s="9"/>
      <c r="P22" s="9"/>
      <c r="Q22" s="9"/>
      <c r="R22" s="9"/>
      <c r="S22" s="9"/>
    </row>
    <row r="23" spans="2:19" ht="33.75" x14ac:dyDescent="0.5">
      <c r="B23" s="9"/>
      <c r="C23" s="9" t="s">
        <v>158</v>
      </c>
      <c r="D23" s="9"/>
      <c r="E23" s="9"/>
      <c r="F23" s="9"/>
      <c r="G23" s="9"/>
      <c r="H23" s="9"/>
      <c r="I23" s="9"/>
      <c r="J23" s="9">
        <f>I22</f>
        <v>88937849.340000004</v>
      </c>
      <c r="K23" s="29" t="s">
        <v>149</v>
      </c>
      <c r="L23" s="16"/>
      <c r="M23" s="16"/>
      <c r="N23" s="9"/>
      <c r="O23" s="9"/>
      <c r="P23" s="9"/>
      <c r="Q23" s="9"/>
      <c r="R23" s="9"/>
      <c r="S23" s="9"/>
    </row>
    <row r="24" spans="2:19" ht="33.75" x14ac:dyDescent="0.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2:19" ht="33.75" x14ac:dyDescent="0.5">
      <c r="B25" s="9" t="s">
        <v>216</v>
      </c>
      <c r="C25" s="9" t="s">
        <v>215</v>
      </c>
      <c r="D25" s="9"/>
      <c r="E25" s="9"/>
      <c r="F25" s="9"/>
      <c r="G25" s="9"/>
      <c r="H25" s="9"/>
      <c r="I25" s="9">
        <f>45600*E15</f>
        <v>148002552</v>
      </c>
      <c r="J25" s="9"/>
      <c r="K25" s="29" t="s">
        <v>159</v>
      </c>
      <c r="L25" s="16"/>
      <c r="M25" s="9"/>
      <c r="N25" s="9"/>
      <c r="O25" s="9"/>
      <c r="P25" s="9"/>
      <c r="Q25" s="9"/>
      <c r="R25" s="9"/>
      <c r="S25" s="9"/>
    </row>
    <row r="26" spans="2:19" ht="33.75" x14ac:dyDescent="0.5">
      <c r="B26" s="9"/>
      <c r="C26" s="9" t="s">
        <v>217</v>
      </c>
      <c r="D26" s="9"/>
      <c r="E26" s="9"/>
      <c r="F26" s="9"/>
      <c r="G26" s="9"/>
      <c r="H26" s="9"/>
      <c r="I26" s="9"/>
      <c r="J26" s="9">
        <f>45600*E15</f>
        <v>148002552</v>
      </c>
      <c r="K26" s="29" t="s">
        <v>175</v>
      </c>
      <c r="L26" s="9"/>
      <c r="M26" s="9"/>
      <c r="N26" s="9"/>
      <c r="O26" s="9"/>
      <c r="P26" s="9"/>
      <c r="Q26" s="9"/>
      <c r="R26" s="9"/>
      <c r="S26" s="9"/>
    </row>
    <row r="27" spans="2:19" ht="33.75" x14ac:dyDescent="0.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2:19" ht="33.75" x14ac:dyDescent="0.5">
      <c r="B28" s="9" t="s">
        <v>154</v>
      </c>
      <c r="C28" s="9" t="s">
        <v>218</v>
      </c>
      <c r="D28" s="9"/>
      <c r="E28" s="9"/>
      <c r="F28" s="9"/>
      <c r="G28" s="9"/>
      <c r="H28" s="9"/>
      <c r="I28" s="9">
        <f>3450*E15</f>
        <v>11197561.5</v>
      </c>
      <c r="J28" s="9"/>
      <c r="K28" s="29" t="s">
        <v>163</v>
      </c>
      <c r="L28" s="16"/>
      <c r="M28" s="16"/>
      <c r="N28" s="9"/>
      <c r="O28" s="9"/>
      <c r="P28" s="9"/>
      <c r="Q28" s="9"/>
      <c r="R28" s="9"/>
      <c r="S28" s="9"/>
    </row>
    <row r="29" spans="2:19" ht="33.75" x14ac:dyDescent="0.5">
      <c r="B29" s="9"/>
      <c r="C29" s="9" t="s">
        <v>113</v>
      </c>
      <c r="D29" s="9"/>
      <c r="E29" s="9"/>
      <c r="F29" s="9"/>
      <c r="G29" s="9"/>
      <c r="H29" s="9"/>
      <c r="I29" s="9"/>
      <c r="J29" s="9">
        <f>I28</f>
        <v>11197561.5</v>
      </c>
      <c r="K29" s="29" t="s">
        <v>151</v>
      </c>
      <c r="L29" s="16"/>
      <c r="M29" s="9"/>
      <c r="N29" s="9"/>
      <c r="O29" s="9"/>
      <c r="P29" s="9"/>
      <c r="Q29" s="9"/>
      <c r="R29" s="9"/>
      <c r="S29" s="9"/>
    </row>
    <row r="30" spans="2:19" ht="33.75" x14ac:dyDescent="0.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2:19" ht="33.75" x14ac:dyDescent="0.5">
      <c r="B31" s="9" t="s">
        <v>55</v>
      </c>
      <c r="C31" s="9" t="s">
        <v>114</v>
      </c>
      <c r="D31" s="9"/>
      <c r="E31" s="9"/>
      <c r="F31" s="9"/>
      <c r="G31" s="9"/>
      <c r="H31" s="9"/>
      <c r="I31" s="9">
        <v>19678450</v>
      </c>
      <c r="J31" s="9"/>
      <c r="K31" s="29" t="s">
        <v>160</v>
      </c>
      <c r="L31" s="16"/>
      <c r="M31" s="9"/>
      <c r="N31" s="9"/>
      <c r="O31" s="9"/>
      <c r="P31" s="9"/>
      <c r="Q31" s="9"/>
      <c r="R31" s="9"/>
      <c r="S31" s="9"/>
    </row>
    <row r="32" spans="2:19" ht="33.75" x14ac:dyDescent="0.5">
      <c r="B32" s="9"/>
      <c r="C32" s="9" t="s">
        <v>219</v>
      </c>
      <c r="D32" s="9"/>
      <c r="E32" s="9"/>
      <c r="F32" s="9"/>
      <c r="G32" s="9"/>
      <c r="H32" s="9"/>
      <c r="I32" s="9"/>
      <c r="J32" s="9">
        <f>I31</f>
        <v>19678450</v>
      </c>
      <c r="K32" s="29" t="s">
        <v>163</v>
      </c>
      <c r="L32" s="16"/>
      <c r="M32" s="16"/>
      <c r="N32" s="9"/>
      <c r="O32" s="9"/>
      <c r="P32" s="9"/>
      <c r="Q32" s="9"/>
      <c r="R32" s="9"/>
      <c r="S32" s="9"/>
    </row>
    <row r="33" spans="2:19" ht="33.75" x14ac:dyDescent="0.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2:19" ht="33.75" x14ac:dyDescent="0.5">
      <c r="B34" s="9" t="s">
        <v>60</v>
      </c>
      <c r="C34" s="9" t="s">
        <v>220</v>
      </c>
      <c r="D34" s="9"/>
      <c r="E34" s="9"/>
      <c r="F34" s="9"/>
      <c r="G34" s="9"/>
      <c r="H34" s="9"/>
      <c r="I34" s="9">
        <f>3500*23.89*3245.67</f>
        <v>271386697.05000001</v>
      </c>
      <c r="J34" s="9"/>
      <c r="K34" s="29" t="s">
        <v>149</v>
      </c>
      <c r="L34" s="16"/>
      <c r="M34" s="16"/>
      <c r="N34" s="9"/>
      <c r="O34" s="9"/>
      <c r="P34" s="9"/>
      <c r="Q34" s="9"/>
      <c r="R34" s="9"/>
      <c r="S34" s="9"/>
    </row>
    <row r="35" spans="2:19" ht="33.75" x14ac:dyDescent="0.5">
      <c r="B35" s="9"/>
      <c r="C35" s="9" t="s">
        <v>221</v>
      </c>
      <c r="D35" s="9"/>
      <c r="E35" s="9"/>
      <c r="F35" s="9"/>
      <c r="G35" s="9"/>
      <c r="H35" s="9"/>
      <c r="I35" s="9"/>
      <c r="J35" s="9">
        <f>3500*23.89*3245.67</f>
        <v>271386697.05000001</v>
      </c>
      <c r="K35" s="29" t="s">
        <v>222</v>
      </c>
      <c r="L35" s="16"/>
      <c r="M35" s="16"/>
      <c r="N35" s="16"/>
      <c r="O35" s="9"/>
      <c r="P35" s="9"/>
      <c r="Q35" s="9"/>
      <c r="R35" s="9"/>
      <c r="S35" s="9"/>
    </row>
    <row r="36" spans="2:19" ht="33.75" x14ac:dyDescent="0.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2:19" ht="33.75" x14ac:dyDescent="0.5">
      <c r="B37" s="9" t="s">
        <v>63</v>
      </c>
      <c r="C37" s="9" t="s">
        <v>113</v>
      </c>
      <c r="D37" s="9"/>
      <c r="E37" s="9"/>
      <c r="F37" s="9"/>
      <c r="G37" s="9"/>
      <c r="H37" s="9"/>
      <c r="I37" s="9">
        <f>57800*3245.67</f>
        <v>187599726</v>
      </c>
      <c r="J37" s="9"/>
      <c r="K37" s="29" t="s">
        <v>159</v>
      </c>
      <c r="L37" s="16"/>
      <c r="M37" s="9"/>
      <c r="N37" s="9"/>
      <c r="O37" s="9"/>
      <c r="P37" s="9"/>
      <c r="Q37" s="9"/>
      <c r="R37" s="9"/>
      <c r="S37" s="9"/>
    </row>
    <row r="38" spans="2:19" ht="33.75" x14ac:dyDescent="0.5">
      <c r="B38" s="9"/>
      <c r="C38" s="9" t="s">
        <v>223</v>
      </c>
      <c r="D38" s="9"/>
      <c r="E38" s="9"/>
      <c r="F38" s="9"/>
      <c r="G38" s="9"/>
      <c r="H38" s="9"/>
      <c r="I38" s="9"/>
      <c r="J38" s="9">
        <f>I37</f>
        <v>187599726</v>
      </c>
      <c r="K38" s="29" t="s">
        <v>224</v>
      </c>
      <c r="L38" s="9"/>
      <c r="M38" s="9"/>
      <c r="N38" s="9"/>
      <c r="O38" s="9"/>
      <c r="P38" s="9"/>
      <c r="Q38" s="9"/>
      <c r="R38" s="9"/>
      <c r="S38" s="9"/>
    </row>
    <row r="39" spans="2:19" ht="33.75" x14ac:dyDescent="0.5">
      <c r="B39" s="9"/>
      <c r="C39" s="9" t="s">
        <v>83</v>
      </c>
      <c r="D39" s="9"/>
      <c r="E39" s="9"/>
      <c r="F39" s="9"/>
      <c r="G39" s="9"/>
      <c r="H39" s="9"/>
      <c r="I39" s="9">
        <f>I37</f>
        <v>187599726</v>
      </c>
      <c r="J39" s="9"/>
      <c r="K39" s="29" t="s">
        <v>149</v>
      </c>
      <c r="L39" s="16"/>
      <c r="M39" s="16"/>
      <c r="N39" s="9"/>
      <c r="O39" s="9"/>
      <c r="P39" s="9"/>
      <c r="Q39" s="9"/>
      <c r="R39" s="9"/>
      <c r="S39" s="9"/>
    </row>
    <row r="40" spans="2:19" ht="33.75" x14ac:dyDescent="0.5">
      <c r="B40" s="9"/>
      <c r="C40" s="9" t="s">
        <v>113</v>
      </c>
      <c r="D40" s="9"/>
      <c r="E40" s="9"/>
      <c r="F40" s="9"/>
      <c r="G40" s="9"/>
      <c r="H40" s="9"/>
      <c r="I40" s="9"/>
      <c r="J40" s="9">
        <f>I39</f>
        <v>187599726</v>
      </c>
      <c r="K40" s="29" t="s">
        <v>225</v>
      </c>
      <c r="L40" s="16"/>
      <c r="M40" s="9"/>
      <c r="N40" s="9"/>
      <c r="O40" s="9"/>
      <c r="P40" s="9"/>
      <c r="Q40" s="9"/>
      <c r="R40" s="9"/>
      <c r="S40" s="9"/>
    </row>
    <row r="41" spans="2:19" ht="33.75" x14ac:dyDescent="0.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2:19" ht="33.75" x14ac:dyDescent="0.5">
      <c r="B42" s="9" t="s">
        <v>169</v>
      </c>
      <c r="C42" s="9" t="s">
        <v>113</v>
      </c>
      <c r="D42" s="9"/>
      <c r="E42" s="9"/>
      <c r="F42" s="9"/>
      <c r="G42" s="9"/>
      <c r="H42" s="9"/>
      <c r="I42" s="9">
        <f>20000*0.45*3245.67</f>
        <v>29211030</v>
      </c>
      <c r="J42" s="9"/>
      <c r="K42" s="29" t="s">
        <v>159</v>
      </c>
      <c r="L42" s="16"/>
      <c r="M42" s="9"/>
      <c r="N42" s="9"/>
      <c r="O42" s="9"/>
      <c r="P42" s="9"/>
      <c r="Q42" s="9"/>
      <c r="R42" s="9"/>
      <c r="S42" s="9"/>
    </row>
    <row r="43" spans="2:19" ht="33.75" x14ac:dyDescent="0.5">
      <c r="B43" s="9"/>
      <c r="C43" s="9" t="s">
        <v>226</v>
      </c>
      <c r="D43" s="9"/>
      <c r="E43" s="9"/>
      <c r="F43" s="9"/>
      <c r="G43" s="9"/>
      <c r="H43" s="9"/>
      <c r="I43" s="9"/>
      <c r="J43" s="9">
        <f>20000*0.45*3245.67</f>
        <v>29211030</v>
      </c>
      <c r="K43" s="29" t="s">
        <v>149</v>
      </c>
      <c r="L43" s="16"/>
      <c r="M43" s="16"/>
      <c r="N43" s="9"/>
      <c r="O43" s="9"/>
      <c r="P43" s="9"/>
      <c r="Q43" s="9"/>
      <c r="R43" s="9"/>
      <c r="S43" s="9"/>
    </row>
    <row r="44" spans="2:19" ht="33.75" x14ac:dyDescent="0.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2:19" ht="33.75" x14ac:dyDescent="0.5">
      <c r="B45" s="9" t="s">
        <v>171</v>
      </c>
      <c r="C45" s="9" t="s">
        <v>144</v>
      </c>
      <c r="D45" s="9"/>
      <c r="E45" s="9"/>
      <c r="F45" s="9"/>
      <c r="G45" s="9"/>
      <c r="H45" s="9"/>
      <c r="I45" s="9">
        <f>780000*3245.67</f>
        <v>2531622600</v>
      </c>
      <c r="J45" s="9"/>
      <c r="K45" s="9" t="s">
        <v>168</v>
      </c>
      <c r="L45" s="9"/>
      <c r="M45" s="9"/>
      <c r="N45" s="9"/>
      <c r="O45" s="9"/>
      <c r="P45" s="9"/>
      <c r="Q45" s="9"/>
      <c r="R45" s="9"/>
      <c r="S45" s="9"/>
    </row>
    <row r="46" spans="2:19" ht="33.75" x14ac:dyDescent="0.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2:19" ht="33.75" x14ac:dyDescent="0.5">
      <c r="B47" s="9" t="s">
        <v>72</v>
      </c>
      <c r="C47" s="9" t="s">
        <v>113</v>
      </c>
      <c r="D47" s="9"/>
      <c r="E47" s="9"/>
      <c r="F47" s="9"/>
      <c r="G47" s="9"/>
      <c r="H47" s="9"/>
      <c r="I47" s="9">
        <f>(5698*3245.67)/2</f>
        <v>9246913.8300000001</v>
      </c>
      <c r="J47" s="9"/>
      <c r="K47" s="29" t="s">
        <v>159</v>
      </c>
      <c r="L47" s="16"/>
      <c r="M47" s="9"/>
      <c r="N47" s="9"/>
      <c r="O47" s="9"/>
      <c r="P47" s="9"/>
      <c r="Q47" s="9"/>
      <c r="R47" s="9"/>
      <c r="S47" s="9"/>
    </row>
    <row r="48" spans="2:19" ht="33.75" x14ac:dyDescent="0.5">
      <c r="B48" s="9"/>
      <c r="C48" s="9" t="s">
        <v>114</v>
      </c>
      <c r="D48" s="9"/>
      <c r="E48" s="9"/>
      <c r="F48" s="9"/>
      <c r="G48" s="9"/>
      <c r="H48" s="9"/>
      <c r="I48" s="9">
        <f>J50*0.2</f>
        <v>3698765.5320000001</v>
      </c>
      <c r="J48" s="9"/>
      <c r="K48" s="29" t="s">
        <v>227</v>
      </c>
      <c r="L48" s="16"/>
      <c r="M48" s="9"/>
      <c r="N48" s="9"/>
      <c r="O48" s="9"/>
      <c r="P48" s="9"/>
      <c r="Q48" s="9"/>
      <c r="R48" s="9"/>
      <c r="S48" s="9"/>
    </row>
    <row r="49" spans="1:19" ht="33.75" x14ac:dyDescent="0.5">
      <c r="B49" s="9"/>
      <c r="C49" s="9" t="s">
        <v>114</v>
      </c>
      <c r="D49" s="9"/>
      <c r="E49" s="9"/>
      <c r="F49" s="9"/>
      <c r="G49" s="9"/>
      <c r="H49" s="9"/>
      <c r="I49" s="9">
        <f>J50*0.3</f>
        <v>5548148.2979999995</v>
      </c>
      <c r="J49" s="9"/>
      <c r="K49" s="29" t="s">
        <v>160</v>
      </c>
      <c r="L49" s="16"/>
      <c r="M49" s="9"/>
      <c r="N49" s="9"/>
      <c r="O49" s="9"/>
      <c r="P49" s="9"/>
      <c r="Q49" s="9"/>
      <c r="R49" s="9"/>
      <c r="S49" s="9"/>
    </row>
    <row r="50" spans="1:19" ht="33.75" x14ac:dyDescent="0.5">
      <c r="B50" s="9"/>
      <c r="C50" s="9" t="s">
        <v>228</v>
      </c>
      <c r="D50" s="9"/>
      <c r="E50" s="9"/>
      <c r="F50" s="9"/>
      <c r="G50" s="9"/>
      <c r="H50" s="9"/>
      <c r="I50" s="9"/>
      <c r="J50" s="9">
        <f>5698*3245.67</f>
        <v>18493827.66</v>
      </c>
      <c r="K50" s="29" t="s">
        <v>163</v>
      </c>
      <c r="L50" s="16"/>
      <c r="M50" s="16"/>
      <c r="N50" s="9"/>
      <c r="O50" s="9"/>
      <c r="P50" s="9"/>
      <c r="Q50" s="9"/>
      <c r="R50" s="9"/>
      <c r="S50" s="9"/>
    </row>
    <row r="51" spans="1:19" ht="33.75" x14ac:dyDescent="0.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ht="33.75" x14ac:dyDescent="0.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33.75" x14ac:dyDescent="0.5">
      <c r="B53" s="9" t="s">
        <v>176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ht="33.75" x14ac:dyDescent="0.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33.75" x14ac:dyDescent="0.5">
      <c r="A55" s="9" t="s">
        <v>141</v>
      </c>
      <c r="B55" s="9" t="s">
        <v>229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33.75" x14ac:dyDescent="0.5">
      <c r="A56" s="9" t="s">
        <v>230</v>
      </c>
      <c r="B56" s="9" t="s">
        <v>231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33.75" x14ac:dyDescent="0.5">
      <c r="A57" s="9"/>
      <c r="B57" s="9" t="s">
        <v>178</v>
      </c>
      <c r="C57" s="9"/>
      <c r="D57" s="9"/>
      <c r="E57" s="9"/>
      <c r="F57" s="9"/>
      <c r="G57" s="9"/>
      <c r="H57" s="9"/>
      <c r="I57" s="9">
        <f>I19</f>
        <v>649134000</v>
      </c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33.75" x14ac:dyDescent="0.5">
      <c r="A58" s="9"/>
      <c r="B58" s="9" t="s">
        <v>158</v>
      </c>
      <c r="C58" s="9"/>
      <c r="D58" s="9"/>
      <c r="E58" s="9"/>
      <c r="F58" s="9"/>
      <c r="G58" s="9"/>
      <c r="H58" s="9"/>
      <c r="I58" s="9"/>
      <c r="J58" s="9">
        <f>J23</f>
        <v>88937849.340000004</v>
      </c>
      <c r="K58" s="9"/>
      <c r="L58" s="9"/>
      <c r="M58" s="9"/>
      <c r="N58" s="9"/>
      <c r="O58" s="9"/>
      <c r="P58" s="9"/>
      <c r="Q58" s="9"/>
      <c r="R58" s="9"/>
      <c r="S58" s="9"/>
    </row>
    <row r="59" spans="1:19" ht="33.75" x14ac:dyDescent="0.5">
      <c r="A59" s="9"/>
      <c r="B59" s="9" t="s">
        <v>178</v>
      </c>
      <c r="C59" s="9"/>
      <c r="D59" s="9"/>
      <c r="E59" s="9"/>
      <c r="F59" s="9"/>
      <c r="G59" s="9"/>
      <c r="H59" s="9"/>
      <c r="I59" s="9">
        <f>I34</f>
        <v>271386697.05000001</v>
      </c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ht="33.75" x14ac:dyDescent="0.5">
      <c r="A60" s="9"/>
      <c r="B60" s="9" t="s">
        <v>83</v>
      </c>
      <c r="C60" s="9"/>
      <c r="D60" s="9"/>
      <c r="E60" s="9"/>
      <c r="F60" s="9"/>
      <c r="G60" s="9"/>
      <c r="H60" s="9"/>
      <c r="I60" s="9">
        <f>I39</f>
        <v>187599726</v>
      </c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ht="33.75" x14ac:dyDescent="0.5">
      <c r="A61" s="9"/>
      <c r="B61" s="9" t="s">
        <v>232</v>
      </c>
      <c r="C61" s="9"/>
      <c r="D61" s="9"/>
      <c r="E61" s="9"/>
      <c r="F61" s="9"/>
      <c r="G61" s="9"/>
      <c r="H61" s="9"/>
      <c r="I61" s="9"/>
      <c r="J61" s="9">
        <f>J43</f>
        <v>29211030</v>
      </c>
      <c r="K61" s="9"/>
      <c r="L61" s="9"/>
      <c r="M61" s="9"/>
      <c r="N61" s="9"/>
      <c r="O61" s="9"/>
      <c r="P61" s="9"/>
      <c r="Q61" s="9"/>
    </row>
    <row r="62" spans="1:19" ht="33.75" x14ac:dyDescent="0.5">
      <c r="A62" s="9"/>
      <c r="B62" s="9" t="s">
        <v>84</v>
      </c>
      <c r="C62" s="9"/>
      <c r="D62" s="9"/>
      <c r="E62" s="9"/>
      <c r="F62" s="9"/>
      <c r="G62" s="9"/>
      <c r="H62" s="9"/>
      <c r="I62" s="9">
        <f>I57+I59+I60</f>
        <v>1108120423.05</v>
      </c>
      <c r="J62" s="9">
        <f>J58+J61</f>
        <v>118148879.34</v>
      </c>
      <c r="K62" s="9"/>
      <c r="L62" s="9"/>
      <c r="M62" s="9"/>
      <c r="N62" s="9"/>
      <c r="O62" s="9"/>
      <c r="P62" s="9"/>
      <c r="Q62" s="9"/>
    </row>
    <row r="63" spans="1:19" ht="33.75" x14ac:dyDescent="0.5">
      <c r="A63" s="9"/>
      <c r="B63" s="9" t="s">
        <v>85</v>
      </c>
      <c r="C63" s="9"/>
      <c r="D63" s="9"/>
      <c r="E63" s="9"/>
      <c r="F63" s="9"/>
      <c r="G63" s="9"/>
      <c r="H63" s="9"/>
      <c r="I63" s="16">
        <f>I62-J62</f>
        <v>989971543.70999992</v>
      </c>
      <c r="J63" s="9" t="s">
        <v>117</v>
      </c>
      <c r="K63" s="9"/>
      <c r="L63" s="9"/>
      <c r="M63" s="9"/>
      <c r="N63" s="9"/>
      <c r="O63" s="9"/>
      <c r="P63" s="9"/>
      <c r="Q63" s="9"/>
    </row>
    <row r="64" spans="1:19" ht="33.75" x14ac:dyDescent="0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33.75" x14ac:dyDescent="0.5">
      <c r="A65" s="9" t="s">
        <v>233</v>
      </c>
      <c r="B65" s="9" t="s">
        <v>234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33.75" x14ac:dyDescent="0.5">
      <c r="A66" s="9"/>
      <c r="B66" s="9" t="s">
        <v>235</v>
      </c>
      <c r="C66" s="9"/>
      <c r="D66" s="9"/>
      <c r="E66" s="9"/>
      <c r="F66" s="9"/>
      <c r="G66" s="9"/>
      <c r="H66" s="9"/>
      <c r="I66" s="9">
        <f>I28</f>
        <v>11197561.5</v>
      </c>
      <c r="J66" s="9"/>
      <c r="K66" s="9"/>
      <c r="L66" s="9"/>
      <c r="M66" s="9"/>
      <c r="N66" s="9"/>
      <c r="O66" s="9"/>
      <c r="P66" s="9"/>
      <c r="Q66" s="9"/>
    </row>
    <row r="67" spans="1:17" ht="33.75" x14ac:dyDescent="0.5">
      <c r="A67" s="9"/>
      <c r="B67" s="9" t="s">
        <v>236</v>
      </c>
      <c r="C67" s="9"/>
      <c r="D67" s="9"/>
      <c r="E67" s="9"/>
      <c r="F67" s="9"/>
      <c r="G67" s="9"/>
      <c r="H67" s="9"/>
      <c r="I67" s="9"/>
      <c r="J67" s="9">
        <f>J32</f>
        <v>19678450</v>
      </c>
      <c r="K67" s="9"/>
      <c r="L67" s="9"/>
      <c r="M67" s="9"/>
      <c r="N67" s="9"/>
      <c r="O67" s="9"/>
      <c r="P67" s="9"/>
      <c r="Q67" s="9"/>
    </row>
    <row r="68" spans="1:17" ht="33.75" x14ac:dyDescent="0.5">
      <c r="A68" s="9"/>
      <c r="B68" s="9" t="s">
        <v>237</v>
      </c>
      <c r="C68" s="9"/>
      <c r="D68" s="9"/>
      <c r="E68" s="9"/>
      <c r="F68" s="9"/>
      <c r="G68" s="9"/>
      <c r="H68" s="9"/>
      <c r="I68" s="9"/>
      <c r="J68" s="9">
        <f>J50</f>
        <v>18493827.66</v>
      </c>
      <c r="K68" s="9"/>
      <c r="L68" s="9"/>
      <c r="M68" s="9"/>
      <c r="N68" s="9"/>
      <c r="O68" s="9"/>
      <c r="P68" s="9"/>
      <c r="Q68" s="9"/>
    </row>
    <row r="69" spans="1:17" ht="33.75" x14ac:dyDescent="0.5">
      <c r="A69" s="9"/>
      <c r="B69" s="9" t="s">
        <v>238</v>
      </c>
      <c r="C69" s="9"/>
      <c r="D69" s="9"/>
      <c r="E69" s="9"/>
      <c r="F69" s="9"/>
      <c r="G69" s="9"/>
      <c r="H69" s="9"/>
      <c r="I69" s="9">
        <f>I66</f>
        <v>11197561.5</v>
      </c>
      <c r="J69" s="9">
        <f>J67+J68</f>
        <v>38172277.659999996</v>
      </c>
      <c r="K69" s="9"/>
      <c r="L69" s="9"/>
      <c r="M69" s="9"/>
      <c r="N69" s="9"/>
      <c r="O69" s="9"/>
      <c r="P69" s="9"/>
      <c r="Q69" s="9"/>
    </row>
    <row r="70" spans="1:17" ht="33.75" x14ac:dyDescent="0.5">
      <c r="A70" s="9"/>
      <c r="B70" s="9" t="s">
        <v>239</v>
      </c>
      <c r="C70" s="9"/>
      <c r="D70" s="9"/>
      <c r="E70" s="9"/>
      <c r="F70" s="9"/>
      <c r="G70" s="9"/>
      <c r="H70" s="9"/>
      <c r="I70" s="9"/>
      <c r="J70" s="16">
        <f>J69-I69</f>
        <v>26974716.159999996</v>
      </c>
      <c r="K70" s="9" t="s">
        <v>86</v>
      </c>
      <c r="L70" s="9"/>
      <c r="M70" s="9"/>
      <c r="N70" s="9"/>
      <c r="O70" s="9"/>
      <c r="P70" s="9"/>
      <c r="Q70" s="9"/>
    </row>
    <row r="71" spans="1:17" ht="33.75" x14ac:dyDescent="0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ht="33.75" x14ac:dyDescent="0.5">
      <c r="A72" s="9" t="s">
        <v>240</v>
      </c>
      <c r="B72" s="9" t="s">
        <v>183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ht="33.75" x14ac:dyDescent="0.5">
      <c r="A73" s="9"/>
      <c r="B73" s="9"/>
      <c r="C73" s="9"/>
      <c r="D73" s="9"/>
      <c r="E73" s="9"/>
      <c r="F73" s="9"/>
      <c r="G73" s="9"/>
      <c r="H73" s="9"/>
      <c r="I73" s="9"/>
      <c r="J73" s="9">
        <f>J35</f>
        <v>271386697.05000001</v>
      </c>
      <c r="K73" s="9"/>
      <c r="L73" s="9"/>
      <c r="M73" s="9"/>
      <c r="N73" s="9"/>
      <c r="O73" s="9"/>
      <c r="P73" s="9"/>
      <c r="Q73" s="9"/>
    </row>
    <row r="74" spans="1:17" ht="33.75" x14ac:dyDescent="0.5">
      <c r="A74" s="9"/>
      <c r="B74" s="9" t="s">
        <v>97</v>
      </c>
      <c r="C74" s="9"/>
      <c r="D74" s="9"/>
      <c r="E74" s="9"/>
      <c r="F74" s="9"/>
      <c r="G74" s="9"/>
      <c r="H74" s="9"/>
      <c r="I74" s="9"/>
      <c r="J74" s="16">
        <f>J73</f>
        <v>271386697.05000001</v>
      </c>
      <c r="K74" s="9" t="s">
        <v>86</v>
      </c>
      <c r="L74" s="9"/>
      <c r="M74" s="9"/>
      <c r="N74" s="9"/>
      <c r="O74" s="9"/>
      <c r="P74" s="9"/>
      <c r="Q74" s="9"/>
    </row>
    <row r="75" spans="1:17" ht="33.75" x14ac:dyDescent="0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33.75" x14ac:dyDescent="0.5">
      <c r="A76" s="9"/>
      <c r="B76" s="9" t="s">
        <v>241</v>
      </c>
      <c r="C76" s="9"/>
      <c r="D76" s="9"/>
      <c r="E76" s="9"/>
      <c r="F76" s="9"/>
      <c r="G76" s="9"/>
      <c r="H76" s="9"/>
      <c r="I76" s="9">
        <f>I63</f>
        <v>989971543.70999992</v>
      </c>
      <c r="J76" s="9">
        <f>J70+J74</f>
        <v>298361413.21000004</v>
      </c>
      <c r="K76" s="9"/>
      <c r="L76" s="9"/>
      <c r="M76" s="9"/>
      <c r="N76" s="9"/>
      <c r="O76" s="9"/>
      <c r="P76" s="9"/>
      <c r="Q76" s="9"/>
    </row>
    <row r="77" spans="1:17" ht="33.75" x14ac:dyDescent="0.5">
      <c r="A77" s="9"/>
      <c r="B77" s="9" t="s">
        <v>242</v>
      </c>
      <c r="C77" s="9"/>
      <c r="D77" s="9"/>
      <c r="E77" s="9"/>
      <c r="F77" s="9"/>
      <c r="G77" s="9"/>
      <c r="H77" s="9"/>
      <c r="I77" s="27">
        <f>I76-J76</f>
        <v>691610130.49999988</v>
      </c>
      <c r="J77" s="9" t="s">
        <v>117</v>
      </c>
      <c r="K77" s="9"/>
      <c r="L77" s="9"/>
      <c r="M77" s="9"/>
      <c r="N77" s="9">
        <f>I77-I109</f>
        <v>691610130.49999988</v>
      </c>
      <c r="O77" s="9"/>
      <c r="P77" s="9"/>
      <c r="Q77" s="9"/>
    </row>
    <row r="78" spans="1:17" ht="33.75" x14ac:dyDescent="0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17" ht="33.75" x14ac:dyDescent="0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ht="33.75" x14ac:dyDescent="0.5">
      <c r="A80" s="9" t="s">
        <v>243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33.75" x14ac:dyDescent="0.5">
      <c r="A81" s="9" t="s">
        <v>244</v>
      </c>
      <c r="B81" s="9" t="s">
        <v>187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ht="33.75" x14ac:dyDescent="0.5">
      <c r="A82" s="9"/>
      <c r="B82" s="9"/>
      <c r="C82" s="9" t="s">
        <v>223</v>
      </c>
      <c r="D82" s="9"/>
      <c r="E82" s="9"/>
      <c r="F82" s="9"/>
      <c r="G82" s="9"/>
      <c r="H82" s="9"/>
      <c r="I82" s="9"/>
      <c r="J82" s="9">
        <f>J26</f>
        <v>148002552</v>
      </c>
      <c r="K82" s="9"/>
      <c r="L82" s="9"/>
      <c r="M82" s="9"/>
      <c r="N82" s="9"/>
      <c r="O82" s="9"/>
      <c r="P82" s="9"/>
      <c r="Q82" s="9"/>
    </row>
    <row r="83" spans="1:17" ht="33.75" x14ac:dyDescent="0.5">
      <c r="A83" s="9"/>
      <c r="B83" s="9"/>
      <c r="C83" s="9" t="s">
        <v>106</v>
      </c>
      <c r="D83" s="9"/>
      <c r="E83" s="9"/>
      <c r="F83" s="9"/>
      <c r="G83" s="9"/>
      <c r="H83" s="9"/>
      <c r="I83" s="9"/>
      <c r="J83" s="9">
        <f>J38</f>
        <v>187599726</v>
      </c>
      <c r="K83" s="9"/>
      <c r="L83" s="9"/>
      <c r="M83" s="9"/>
      <c r="N83" s="9"/>
      <c r="O83" s="9"/>
      <c r="P83" s="9"/>
      <c r="Q83" s="9"/>
    </row>
    <row r="84" spans="1:17" ht="33.75" x14ac:dyDescent="0.5">
      <c r="A84" s="9"/>
      <c r="B84" s="9" t="s">
        <v>245</v>
      </c>
      <c r="C84" s="9"/>
      <c r="D84" s="9"/>
      <c r="E84" s="9"/>
      <c r="F84" s="9"/>
      <c r="G84" s="9"/>
      <c r="H84" s="9"/>
      <c r="I84" s="9"/>
      <c r="J84" s="16">
        <f>J82+J83</f>
        <v>335602278</v>
      </c>
      <c r="K84" s="9" t="s">
        <v>117</v>
      </c>
      <c r="L84" s="9"/>
      <c r="M84" s="9"/>
      <c r="N84" s="9"/>
      <c r="O84" s="9"/>
      <c r="P84" s="9"/>
      <c r="Q84" s="9"/>
    </row>
    <row r="85" spans="1:17" ht="33.75" x14ac:dyDescent="0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33.75" x14ac:dyDescent="0.5">
      <c r="A86" s="9" t="s">
        <v>191</v>
      </c>
      <c r="B86" s="9" t="s">
        <v>110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33.75" x14ac:dyDescent="0.5">
      <c r="A87" s="9" t="s">
        <v>111</v>
      </c>
      <c r="B87" s="9" t="s">
        <v>246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33.75" x14ac:dyDescent="0.5">
      <c r="A88" s="9"/>
      <c r="B88" s="9" t="s">
        <v>113</v>
      </c>
      <c r="C88" s="9"/>
      <c r="D88" s="9"/>
      <c r="E88" s="9"/>
      <c r="F88" s="9"/>
      <c r="G88" s="9"/>
      <c r="H88" s="9"/>
      <c r="I88" s="9"/>
      <c r="J88" s="9">
        <f>J20</f>
        <v>649134000</v>
      </c>
      <c r="K88" s="9"/>
      <c r="L88" s="9"/>
      <c r="M88" s="9"/>
      <c r="N88" s="9"/>
      <c r="O88" s="9"/>
      <c r="P88" s="9"/>
      <c r="Q88" s="9"/>
    </row>
    <row r="89" spans="1:17" ht="33.75" x14ac:dyDescent="0.5">
      <c r="A89" s="9"/>
      <c r="B89" s="9" t="s">
        <v>113</v>
      </c>
      <c r="C89" s="9"/>
      <c r="D89" s="9"/>
      <c r="E89" s="9"/>
      <c r="F89" s="9"/>
      <c r="G89" s="9"/>
      <c r="H89" s="9"/>
      <c r="I89" s="9">
        <f>I22</f>
        <v>88937849.340000004</v>
      </c>
      <c r="J89" s="9"/>
      <c r="K89" s="9"/>
      <c r="L89" s="9"/>
      <c r="M89" s="9"/>
      <c r="N89" s="9"/>
      <c r="O89" s="9"/>
      <c r="P89" s="9"/>
      <c r="Q89" s="9"/>
    </row>
    <row r="90" spans="1:17" ht="33.75" x14ac:dyDescent="0.5">
      <c r="A90" s="9"/>
      <c r="B90" s="9" t="s">
        <v>113</v>
      </c>
      <c r="C90" s="9"/>
      <c r="D90" s="9"/>
      <c r="E90" s="9"/>
      <c r="F90" s="9"/>
      <c r="G90" s="9"/>
      <c r="H90" s="9"/>
      <c r="I90" s="9">
        <f>I25</f>
        <v>148002552</v>
      </c>
      <c r="J90" s="9"/>
      <c r="K90" s="9"/>
      <c r="L90" s="9"/>
      <c r="M90" s="9"/>
      <c r="N90" s="9"/>
      <c r="O90" s="9"/>
      <c r="P90" s="9"/>
      <c r="Q90" s="9"/>
    </row>
    <row r="91" spans="1:17" ht="33.75" x14ac:dyDescent="0.5">
      <c r="A91" s="9"/>
      <c r="B91" s="9" t="s">
        <v>113</v>
      </c>
      <c r="C91" s="9"/>
      <c r="D91" s="9"/>
      <c r="E91" s="9"/>
      <c r="F91" s="9"/>
      <c r="G91" s="9"/>
      <c r="H91" s="9"/>
      <c r="I91" s="9"/>
      <c r="J91" s="9">
        <f>J29</f>
        <v>11197561.5</v>
      </c>
      <c r="K91" s="9"/>
      <c r="L91" s="9"/>
      <c r="M91" s="9"/>
      <c r="N91" s="9"/>
      <c r="O91" s="9"/>
      <c r="P91" s="9"/>
      <c r="Q91" s="9"/>
    </row>
    <row r="92" spans="1:17" ht="33.75" x14ac:dyDescent="0.5">
      <c r="A92" s="9"/>
      <c r="B92" s="9" t="s">
        <v>113</v>
      </c>
      <c r="C92" s="9"/>
      <c r="D92" s="9"/>
      <c r="E92" s="9"/>
      <c r="F92" s="9"/>
      <c r="G92" s="9"/>
      <c r="H92" s="9"/>
      <c r="I92" s="9">
        <f>I37</f>
        <v>187599726</v>
      </c>
      <c r="J92" s="9"/>
      <c r="K92" s="9"/>
      <c r="L92" s="9"/>
      <c r="M92" s="9"/>
      <c r="N92" s="9"/>
      <c r="O92" s="9"/>
      <c r="P92" s="9"/>
      <c r="Q92" s="9"/>
    </row>
    <row r="93" spans="1:17" ht="33.75" x14ac:dyDescent="0.5">
      <c r="A93" s="9"/>
      <c r="B93" s="9" t="s">
        <v>113</v>
      </c>
      <c r="C93" s="9"/>
      <c r="D93" s="9"/>
      <c r="E93" s="9"/>
      <c r="F93" s="9"/>
      <c r="G93" s="9"/>
      <c r="H93" s="9"/>
      <c r="I93" s="9"/>
      <c r="J93" s="9">
        <f>J40</f>
        <v>187599726</v>
      </c>
      <c r="K93" s="9"/>
      <c r="L93" s="9"/>
      <c r="M93" s="9"/>
      <c r="N93" s="9"/>
      <c r="O93" s="9"/>
      <c r="P93" s="9"/>
      <c r="Q93" s="9"/>
    </row>
    <row r="94" spans="1:17" ht="33.75" x14ac:dyDescent="0.5">
      <c r="A94" s="9"/>
      <c r="B94" s="9" t="s">
        <v>113</v>
      </c>
      <c r="C94" s="9"/>
      <c r="D94" s="9"/>
      <c r="E94" s="9"/>
      <c r="F94" s="9"/>
      <c r="G94" s="9"/>
      <c r="H94" s="9"/>
      <c r="I94" s="9">
        <f>I42</f>
        <v>29211030</v>
      </c>
      <c r="J94" s="9"/>
      <c r="K94" s="9"/>
      <c r="L94" s="9"/>
      <c r="M94" s="9"/>
      <c r="N94" s="9"/>
      <c r="O94" s="9"/>
      <c r="P94" s="9"/>
      <c r="Q94" s="9"/>
    </row>
    <row r="95" spans="1:17" ht="33.75" x14ac:dyDescent="0.5">
      <c r="A95" s="9"/>
      <c r="B95" s="9" t="s">
        <v>113</v>
      </c>
      <c r="C95" s="9"/>
      <c r="D95" s="9"/>
      <c r="E95" s="9"/>
      <c r="F95" s="9"/>
      <c r="G95" s="9"/>
      <c r="H95" s="9"/>
      <c r="I95" s="9">
        <f>I47</f>
        <v>9246913.8300000001</v>
      </c>
      <c r="J95" s="9"/>
      <c r="K95" s="9"/>
      <c r="L95" s="9"/>
      <c r="M95" s="9"/>
      <c r="N95" s="9"/>
      <c r="O95" s="9"/>
      <c r="P95" s="9"/>
      <c r="Q95" s="9"/>
    </row>
    <row r="96" spans="1:17" ht="33.75" x14ac:dyDescent="0.5">
      <c r="A96" s="9"/>
      <c r="B96" s="9" t="s">
        <v>247</v>
      </c>
      <c r="C96" s="9"/>
      <c r="D96" s="9"/>
      <c r="E96" s="9"/>
      <c r="F96" s="9"/>
      <c r="G96" s="9"/>
      <c r="H96" s="9"/>
      <c r="I96" s="9">
        <f>I89+I90+I92+I94+I95</f>
        <v>462998071.17000002</v>
      </c>
      <c r="J96" s="9">
        <f>J88+J91+J93</f>
        <v>847931287.5</v>
      </c>
      <c r="K96" s="9"/>
      <c r="L96" s="9"/>
      <c r="M96" s="9"/>
      <c r="N96" s="9"/>
      <c r="O96" s="9"/>
      <c r="P96" s="9"/>
      <c r="Q96" s="9"/>
    </row>
    <row r="97" spans="1:17" ht="33.75" x14ac:dyDescent="0.5">
      <c r="A97" s="9"/>
      <c r="B97" s="9" t="s">
        <v>248</v>
      </c>
      <c r="C97" s="9"/>
      <c r="D97" s="9"/>
      <c r="E97" s="9"/>
      <c r="F97" s="9"/>
      <c r="G97" s="9"/>
      <c r="H97" s="9"/>
      <c r="I97" s="28"/>
      <c r="J97" s="16">
        <f>J96-I96</f>
        <v>384933216.32999998</v>
      </c>
      <c r="K97" s="9"/>
      <c r="L97" s="9" t="s">
        <v>117</v>
      </c>
      <c r="M97" s="9"/>
      <c r="N97" s="9"/>
      <c r="O97" s="9"/>
      <c r="P97" s="9"/>
      <c r="Q97" s="9"/>
    </row>
    <row r="98" spans="1:17" ht="33.75" x14ac:dyDescent="0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ht="33.75" x14ac:dyDescent="0.5">
      <c r="A99" s="9" t="s">
        <v>118</v>
      </c>
      <c r="B99" s="9" t="s">
        <v>249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ht="33.75" x14ac:dyDescent="0.5">
      <c r="A100" s="9"/>
      <c r="B100" s="9" t="s">
        <v>114</v>
      </c>
      <c r="C100" s="9"/>
      <c r="D100" s="9"/>
      <c r="E100" s="9"/>
      <c r="F100" s="9"/>
      <c r="G100" s="9"/>
      <c r="H100" s="9"/>
      <c r="I100" s="9">
        <f>I31</f>
        <v>19678450</v>
      </c>
      <c r="J100" s="9"/>
      <c r="K100" s="9"/>
      <c r="L100" s="9"/>
      <c r="M100" s="9"/>
      <c r="N100" s="9"/>
      <c r="O100" s="9"/>
      <c r="P100" s="9"/>
      <c r="Q100" s="9"/>
    </row>
    <row r="101" spans="1:17" ht="33.75" x14ac:dyDescent="0.5">
      <c r="A101" s="9"/>
      <c r="B101" s="9" t="s">
        <v>114</v>
      </c>
      <c r="C101" s="9"/>
      <c r="D101" s="9"/>
      <c r="E101" s="9"/>
      <c r="F101" s="9"/>
      <c r="G101" s="9"/>
      <c r="H101" s="9"/>
      <c r="I101" s="9">
        <f>I48</f>
        <v>3698765.5320000001</v>
      </c>
      <c r="J101" s="9"/>
      <c r="K101" s="9"/>
      <c r="L101" s="9"/>
      <c r="M101" s="9"/>
      <c r="N101" s="9"/>
      <c r="O101" s="9"/>
      <c r="P101" s="9"/>
      <c r="Q101" s="9"/>
    </row>
    <row r="102" spans="1:17" ht="33.75" x14ac:dyDescent="0.5">
      <c r="A102" s="9"/>
      <c r="B102" s="9" t="s">
        <v>114</v>
      </c>
      <c r="C102" s="9"/>
      <c r="D102" s="9"/>
      <c r="E102" s="9"/>
      <c r="F102" s="9"/>
      <c r="G102" s="9"/>
      <c r="H102" s="9"/>
      <c r="I102" s="9">
        <f>I49</f>
        <v>5548148.2979999995</v>
      </c>
      <c r="J102" s="9"/>
      <c r="K102" s="9"/>
      <c r="L102" s="9"/>
      <c r="M102" s="9"/>
      <c r="N102" s="9"/>
      <c r="O102" s="9"/>
      <c r="P102" s="9"/>
      <c r="Q102" s="9"/>
    </row>
    <row r="103" spans="1:17" ht="33.75" x14ac:dyDescent="0.5">
      <c r="A103" s="9"/>
      <c r="B103" s="9" t="s">
        <v>250</v>
      </c>
      <c r="C103" s="9"/>
      <c r="D103" s="9"/>
      <c r="E103" s="9"/>
      <c r="F103" s="9"/>
      <c r="G103" s="9"/>
      <c r="H103" s="9"/>
      <c r="I103" s="16">
        <f>I100+I101+I102</f>
        <v>28925363.830000002</v>
      </c>
      <c r="J103" s="9" t="s">
        <v>86</v>
      </c>
      <c r="K103" s="9"/>
      <c r="L103" s="9"/>
      <c r="M103" s="9"/>
      <c r="N103" s="9"/>
      <c r="O103" s="9"/>
      <c r="P103" s="9"/>
      <c r="Q103" s="9"/>
    </row>
    <row r="104" spans="1:17" ht="33.75" x14ac:dyDescent="0.5">
      <c r="A104" s="9"/>
      <c r="B104" s="9"/>
      <c r="C104" s="9"/>
      <c r="D104" s="9"/>
      <c r="E104" s="9"/>
      <c r="F104" s="9"/>
      <c r="G104" s="9"/>
      <c r="H104" s="9"/>
      <c r="I104" s="16"/>
      <c r="J104" s="9"/>
      <c r="K104" s="9"/>
      <c r="L104" s="9"/>
      <c r="M104" s="9"/>
      <c r="N104" s="9"/>
      <c r="O104" s="9"/>
      <c r="P104" s="9"/>
      <c r="Q104" s="9"/>
    </row>
    <row r="105" spans="1:17" ht="33.75" x14ac:dyDescent="0.5">
      <c r="A105" s="9"/>
      <c r="B105" s="9" t="s">
        <v>251</v>
      </c>
      <c r="C105" s="9"/>
      <c r="D105" s="9"/>
      <c r="E105" s="9"/>
      <c r="F105" s="9"/>
      <c r="G105" s="9"/>
      <c r="H105" s="9"/>
      <c r="I105" s="9">
        <f>I103</f>
        <v>28925363.830000002</v>
      </c>
      <c r="J105" s="9">
        <f>J97</f>
        <v>384933216.32999998</v>
      </c>
      <c r="K105" s="9"/>
      <c r="L105" s="9"/>
      <c r="M105" s="9"/>
      <c r="N105" s="9"/>
      <c r="O105" s="9"/>
      <c r="P105" s="9"/>
      <c r="Q105" s="9"/>
    </row>
    <row r="106" spans="1:17" ht="33.75" x14ac:dyDescent="0.5">
      <c r="A106" s="9"/>
      <c r="B106" s="9" t="s">
        <v>123</v>
      </c>
      <c r="C106" s="9"/>
      <c r="D106" s="9"/>
      <c r="E106" s="9"/>
      <c r="F106" s="9"/>
      <c r="G106" s="9"/>
      <c r="H106" s="9"/>
      <c r="I106" s="30"/>
      <c r="J106" s="16">
        <f>J105-I105</f>
        <v>356007852.5</v>
      </c>
      <c r="K106" s="9" t="s">
        <v>117</v>
      </c>
      <c r="L106" s="9"/>
      <c r="M106" s="9"/>
      <c r="N106" s="9"/>
      <c r="O106" s="9"/>
      <c r="P106" s="9"/>
      <c r="Q106" s="9"/>
    </row>
    <row r="107" spans="1:17" ht="33.75" x14ac:dyDescent="0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33.75" x14ac:dyDescent="0.5">
      <c r="A108" s="9"/>
      <c r="B108" s="9" t="s">
        <v>124</v>
      </c>
      <c r="C108" s="9"/>
      <c r="D108" s="9"/>
      <c r="E108" s="9"/>
      <c r="F108" s="9"/>
      <c r="G108" s="9"/>
      <c r="H108" s="9"/>
      <c r="I108" s="9"/>
      <c r="J108" s="27">
        <f>J84+J106</f>
        <v>691610130.5</v>
      </c>
      <c r="K108" s="9" t="s">
        <v>117</v>
      </c>
      <c r="L108" s="9"/>
      <c r="M108" s="9"/>
      <c r="N108" s="9"/>
      <c r="O108" s="9"/>
      <c r="P108" s="9"/>
      <c r="Q108" s="9"/>
    </row>
    <row r="109" spans="1:17" ht="33.75" x14ac:dyDescent="0.5">
      <c r="A109" s="9"/>
      <c r="B109" s="9" t="s">
        <v>125</v>
      </c>
      <c r="C109" s="9"/>
      <c r="D109" s="9"/>
      <c r="E109" s="9"/>
      <c r="F109" s="9"/>
      <c r="G109" s="9"/>
      <c r="H109" s="9"/>
      <c r="I109" s="28"/>
      <c r="J109" s="9"/>
      <c r="K109" s="9"/>
      <c r="L109" s="9"/>
      <c r="M109" s="9"/>
      <c r="N109" s="9"/>
      <c r="O109" s="9"/>
      <c r="P109" s="9"/>
      <c r="Q109" s="9"/>
    </row>
    <row r="110" spans="1:17" ht="33.75" x14ac:dyDescent="0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33.75" x14ac:dyDescent="0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33.75" x14ac:dyDescent="0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33.75" x14ac:dyDescent="0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33.75" x14ac:dyDescent="0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33.75" x14ac:dyDescent="0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33.75" x14ac:dyDescent="0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33.75" x14ac:dyDescent="0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33.75" x14ac:dyDescent="0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33.75" x14ac:dyDescent="0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33.75" x14ac:dyDescent="0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33.75" x14ac:dyDescent="0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33.75" x14ac:dyDescent="0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33.75" x14ac:dyDescent="0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33.75" x14ac:dyDescent="0.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33.75" x14ac:dyDescent="0.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33.75" x14ac:dyDescent="0.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33.75" x14ac:dyDescent="0.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33.75" x14ac:dyDescent="0.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2:17" ht="33.75" x14ac:dyDescent="0.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2:17" ht="33.75" x14ac:dyDescent="0.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2:17" ht="33.75" x14ac:dyDescent="0.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2:17" ht="33.75" x14ac:dyDescent="0.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2:17" ht="33.75" x14ac:dyDescent="0.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2:17" ht="33.75" x14ac:dyDescent="0.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2:17" ht="33.75" x14ac:dyDescent="0.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2:17" ht="33.75" x14ac:dyDescent="0.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2:17" ht="33.75" x14ac:dyDescent="0.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2:17" ht="33.75" x14ac:dyDescent="0.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2:17" ht="33.75" x14ac:dyDescent="0.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2:17" ht="33.75" x14ac:dyDescent="0.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2:17" ht="33.75" x14ac:dyDescent="0.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2:17" ht="33.75" x14ac:dyDescent="0.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2:17" ht="33.75" x14ac:dyDescent="0.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2:17" ht="33.75" x14ac:dyDescent="0.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2:17" ht="33.75" x14ac:dyDescent="0.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2:17" ht="33.75" x14ac:dyDescent="0.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2:17" ht="33.75" x14ac:dyDescent="0.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2:17" ht="33.75" x14ac:dyDescent="0.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2:17" ht="33.75" x14ac:dyDescent="0.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2:17" ht="33.75" x14ac:dyDescent="0.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2:17" ht="33.75" x14ac:dyDescent="0.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2:17" ht="33.75" x14ac:dyDescent="0.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2:17" ht="33.75" x14ac:dyDescent="0.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2:17" ht="33.75" x14ac:dyDescent="0.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2:17" ht="33.75" x14ac:dyDescent="0.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2:17" ht="33.75" x14ac:dyDescent="0.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2:17" ht="33.75" x14ac:dyDescent="0.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2:17" ht="33.75" x14ac:dyDescent="0.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2:17" ht="33.75" x14ac:dyDescent="0.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2:17" ht="33.75" x14ac:dyDescent="0.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2:17" ht="33.75" x14ac:dyDescent="0.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2:17" ht="33.75" x14ac:dyDescent="0.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2:17" ht="33.75" x14ac:dyDescent="0.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2:17" ht="33.75" x14ac:dyDescent="0.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2:17" ht="33.75" x14ac:dyDescent="0.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2:17" ht="33.75" x14ac:dyDescent="0.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2:17" ht="33.75" x14ac:dyDescent="0.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2:17" ht="33.75" x14ac:dyDescent="0.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2:17" ht="33.75" x14ac:dyDescent="0.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2:17" ht="33.75" x14ac:dyDescent="0.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2:17" ht="33.75" x14ac:dyDescent="0.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ht="33.75" x14ac:dyDescent="0.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ht="33.75" x14ac:dyDescent="0.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ht="33.75" x14ac:dyDescent="0.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ht="33.75" x14ac:dyDescent="0.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ht="33.75" x14ac:dyDescent="0.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2:17" ht="33.75" x14ac:dyDescent="0.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2:17" ht="33.75" x14ac:dyDescent="0.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2:17" ht="33.75" x14ac:dyDescent="0.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2:17" ht="33.75" x14ac:dyDescent="0.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2:17" ht="33.75" x14ac:dyDescent="0.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2:17" ht="33.75" x14ac:dyDescent="0.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2:17" ht="33.75" x14ac:dyDescent="0.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2:17" ht="33.75" x14ac:dyDescent="0.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2:17" ht="33.75" x14ac:dyDescent="0.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2:17" ht="33.75" x14ac:dyDescent="0.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2:17" ht="33.75" x14ac:dyDescent="0.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2:17" ht="33.75" x14ac:dyDescent="0.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2:17" ht="33.75" x14ac:dyDescent="0.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2:17" ht="33.75" x14ac:dyDescent="0.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2:17" ht="33.75" x14ac:dyDescent="0.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2:17" ht="33.75" x14ac:dyDescent="0.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2:17" ht="33.75" x14ac:dyDescent="0.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2:17" ht="33.75" x14ac:dyDescent="0.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2:17" ht="33.75" x14ac:dyDescent="0.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2:17" ht="33.75" x14ac:dyDescent="0.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2:17" ht="33.75" x14ac:dyDescent="0.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2:17" ht="33.75" x14ac:dyDescent="0.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2:17" ht="33.75" x14ac:dyDescent="0.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2:17" ht="33.75" x14ac:dyDescent="0.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2:17" ht="33.75" x14ac:dyDescent="0.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2:17" ht="33.75" x14ac:dyDescent="0.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2:17" ht="33.75" x14ac:dyDescent="0.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2:17" ht="33.75" x14ac:dyDescent="0.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2:17" ht="33.75" x14ac:dyDescent="0.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2:17" ht="33.75" x14ac:dyDescent="0.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2:17" ht="33.75" x14ac:dyDescent="0.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2:17" ht="33.75" x14ac:dyDescent="0.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2:17" ht="33.75" x14ac:dyDescent="0.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2:17" ht="33.75" x14ac:dyDescent="0.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2:17" ht="33.75" x14ac:dyDescent="0.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2:17" ht="33.75" x14ac:dyDescent="0.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2:17" ht="33.75" x14ac:dyDescent="0.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2:17" ht="33.75" x14ac:dyDescent="0.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2:17" ht="33.75" x14ac:dyDescent="0.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2:17" ht="33.75" x14ac:dyDescent="0.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2:17" ht="33.75" x14ac:dyDescent="0.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2:17" ht="33.75" x14ac:dyDescent="0.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2:17" ht="33.75" x14ac:dyDescent="0.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2:17" ht="33.75" x14ac:dyDescent="0.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2:17" ht="33.75" x14ac:dyDescent="0.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2:17" ht="33.75" x14ac:dyDescent="0.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2:17" ht="33.75" x14ac:dyDescent="0.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2:17" ht="33.75" x14ac:dyDescent="0.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2:17" ht="33.75" x14ac:dyDescent="0.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2:17" ht="33.75" x14ac:dyDescent="0.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2:17" ht="33.75" x14ac:dyDescent="0.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2:17" ht="33.75" x14ac:dyDescent="0.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2:17" ht="33.75" x14ac:dyDescent="0.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2:17" ht="33.75" x14ac:dyDescent="0.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2:17" ht="33.75" x14ac:dyDescent="0.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286-9135-964F-B845-89FEA4179068}">
  <dimension ref="B2:U117"/>
  <sheetViews>
    <sheetView tabSelected="1" topLeftCell="A67" zoomScale="50" zoomScaleNormal="50" workbookViewId="0">
      <selection activeCell="M75" sqref="M75"/>
    </sheetView>
  </sheetViews>
  <sheetFormatPr baseColWidth="10" defaultRowHeight="15.75" x14ac:dyDescent="0.25"/>
  <cols>
    <col min="9" max="9" width="22.875" customWidth="1"/>
    <col min="10" max="10" width="34" customWidth="1"/>
    <col min="11" max="11" width="25" customWidth="1"/>
    <col min="12" max="12" width="30.125" customWidth="1"/>
  </cols>
  <sheetData>
    <row r="2" spans="2:21" ht="33.75" x14ac:dyDescent="0.5">
      <c r="B2" s="24" t="s">
        <v>252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ht="33.75" x14ac:dyDescent="0.5">
      <c r="B3" s="2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2:21" ht="33.75" x14ac:dyDescent="0.5">
      <c r="B4" s="24" t="s">
        <v>253</v>
      </c>
      <c r="C4" s="9"/>
      <c r="D4" s="9"/>
      <c r="E4" s="9"/>
      <c r="F4" s="9"/>
      <c r="G4" s="9"/>
      <c r="H4" s="9"/>
      <c r="I4" s="9"/>
      <c r="J4" s="9">
        <v>3125.89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2:21" ht="33.75" x14ac:dyDescent="0.5">
      <c r="B5" s="24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ht="33.75" x14ac:dyDescent="0.5">
      <c r="B6" s="25" t="s">
        <v>255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ht="33.75" x14ac:dyDescent="0.5">
      <c r="B7" s="25" t="s">
        <v>256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ht="33.75" x14ac:dyDescent="0.5">
      <c r="B8" s="25" t="s">
        <v>257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ht="33.75" x14ac:dyDescent="0.5">
      <c r="B9" s="25" t="s">
        <v>258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ht="33.75" x14ac:dyDescent="0.5">
      <c r="B10" s="25" t="s">
        <v>254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2:21" ht="33.75" x14ac:dyDescent="0.5">
      <c r="B11" s="25" t="s">
        <v>259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33.75" x14ac:dyDescent="0.5">
      <c r="B12" s="25" t="s">
        <v>260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33.75" x14ac:dyDescent="0.5">
      <c r="B13" s="25" t="s">
        <v>261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33.75" x14ac:dyDescent="0.5">
      <c r="B14" s="2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33.75" x14ac:dyDescent="0.5">
      <c r="B15" s="2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33.75" x14ac:dyDescent="0.5">
      <c r="B16" s="2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33.75" x14ac:dyDescent="0.5">
      <c r="B17" s="25"/>
      <c r="C17" s="9"/>
      <c r="D17" s="9"/>
      <c r="E17" s="9"/>
      <c r="F17" s="9"/>
      <c r="G17" s="9"/>
      <c r="H17" s="9"/>
      <c r="I17" s="9"/>
      <c r="J17" s="9" t="s">
        <v>145</v>
      </c>
      <c r="K17" s="9" t="s">
        <v>264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33.75" x14ac:dyDescent="0.5">
      <c r="B18" s="25" t="s">
        <v>262</v>
      </c>
      <c r="C18" s="9" t="s">
        <v>263</v>
      </c>
      <c r="D18" s="9"/>
      <c r="E18" s="9"/>
      <c r="F18" s="9"/>
      <c r="G18" s="9"/>
      <c r="H18" s="9"/>
      <c r="I18" s="9"/>
      <c r="J18" s="9">
        <f>560*560*3125.89</f>
        <v>980279104</v>
      </c>
      <c r="K18" s="9"/>
      <c r="L18" s="16" t="s">
        <v>265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33.75" x14ac:dyDescent="0.5">
      <c r="B19" s="9"/>
      <c r="C19" s="9" t="s">
        <v>113</v>
      </c>
      <c r="D19" s="9"/>
      <c r="E19" s="9"/>
      <c r="F19" s="9"/>
      <c r="G19" s="9"/>
      <c r="H19" s="9"/>
      <c r="I19" s="9"/>
      <c r="J19" s="9"/>
      <c r="K19" s="9">
        <f>J18/2</f>
        <v>490139552</v>
      </c>
      <c r="L19" s="16" t="s">
        <v>151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33.75" x14ac:dyDescent="0.5">
      <c r="B20" s="9"/>
      <c r="C20" s="9" t="s">
        <v>120</v>
      </c>
      <c r="D20" s="9"/>
      <c r="E20" s="9"/>
      <c r="F20" s="9"/>
      <c r="G20" s="9"/>
      <c r="H20" s="9"/>
      <c r="I20" s="9"/>
      <c r="J20" s="9"/>
      <c r="K20" s="16">
        <f>J18*0.15</f>
        <v>147041865.59999999</v>
      </c>
      <c r="L20" s="16" t="s">
        <v>266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33.75" x14ac:dyDescent="0.5">
      <c r="B21" s="9"/>
      <c r="C21" s="9" t="s">
        <v>120</v>
      </c>
      <c r="D21" s="9"/>
      <c r="E21" s="9"/>
      <c r="F21" s="9"/>
      <c r="G21" s="9"/>
      <c r="H21" s="9"/>
      <c r="I21" s="9"/>
      <c r="J21" s="9"/>
      <c r="K21" s="9">
        <f>J18*0.35</f>
        <v>343097686.39999998</v>
      </c>
      <c r="L21" s="16" t="s">
        <v>160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33.75" x14ac:dyDescent="0.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ht="33.75" x14ac:dyDescent="0.5">
      <c r="B23" s="9" t="s">
        <v>99</v>
      </c>
      <c r="C23" s="9" t="s">
        <v>113</v>
      </c>
      <c r="D23" s="9"/>
      <c r="E23" s="9"/>
      <c r="F23" s="9"/>
      <c r="G23" s="9"/>
      <c r="H23" s="9"/>
      <c r="I23" s="9"/>
      <c r="J23" s="9">
        <f>56000*J4</f>
        <v>175049840</v>
      </c>
      <c r="K23" s="9"/>
      <c r="L23" s="16" t="s">
        <v>151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33.75" x14ac:dyDescent="0.5">
      <c r="B24" s="9"/>
      <c r="C24" s="9" t="s">
        <v>267</v>
      </c>
      <c r="D24" s="9"/>
      <c r="E24" s="9"/>
      <c r="F24" s="9"/>
      <c r="G24" s="9"/>
      <c r="H24" s="9"/>
      <c r="I24" s="9"/>
      <c r="J24" s="9"/>
      <c r="K24" s="9">
        <f>J23</f>
        <v>175049840</v>
      </c>
      <c r="L24" s="16" t="s">
        <v>224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33.75" x14ac:dyDescent="0.5">
      <c r="B25" s="9"/>
      <c r="C25" s="9" t="s">
        <v>83</v>
      </c>
      <c r="D25" s="9"/>
      <c r="E25" s="9"/>
      <c r="F25" s="9"/>
      <c r="G25" s="9"/>
      <c r="H25" s="9"/>
      <c r="I25" s="9"/>
      <c r="J25" s="9">
        <f>K24</f>
        <v>175049840</v>
      </c>
      <c r="K25" s="9"/>
      <c r="L25" s="16" t="s">
        <v>265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33.75" x14ac:dyDescent="0.5">
      <c r="B26" s="9"/>
      <c r="C26" s="9" t="s">
        <v>113</v>
      </c>
      <c r="D26" s="9"/>
      <c r="E26" s="9"/>
      <c r="F26" s="9"/>
      <c r="G26" s="9"/>
      <c r="H26" s="9"/>
      <c r="I26" s="9"/>
      <c r="J26" s="9"/>
      <c r="K26" s="9">
        <f>J25</f>
        <v>175049840</v>
      </c>
      <c r="L26" s="16" t="s">
        <v>151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33.75" x14ac:dyDescent="0.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2:21" ht="33.75" x14ac:dyDescent="0.5">
      <c r="B28" s="9" t="s">
        <v>216</v>
      </c>
      <c r="C28" s="9" t="s">
        <v>167</v>
      </c>
      <c r="D28" s="9"/>
      <c r="E28" s="9"/>
      <c r="F28" s="9"/>
      <c r="G28" s="9"/>
      <c r="H28" s="9"/>
      <c r="I28" s="9"/>
      <c r="J28" s="9">
        <f>89000*J4</f>
        <v>278204210</v>
      </c>
      <c r="K28" s="9"/>
      <c r="L28" s="9" t="s">
        <v>168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33.75" x14ac:dyDescent="0.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1" ht="33.75" x14ac:dyDescent="0.5">
      <c r="B30" s="9" t="s">
        <v>154</v>
      </c>
      <c r="C30" s="9" t="s">
        <v>113</v>
      </c>
      <c r="D30" s="9"/>
      <c r="E30" s="9"/>
      <c r="F30" s="9"/>
      <c r="G30" s="9"/>
      <c r="H30" s="9"/>
      <c r="I30" s="9"/>
      <c r="J30" s="9">
        <f>K32*0.3</f>
        <v>5626602</v>
      </c>
      <c r="K30" s="9"/>
      <c r="L30" s="16" t="s">
        <v>159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33.75" x14ac:dyDescent="0.5">
      <c r="B31" s="9"/>
      <c r="C31" s="9" t="s">
        <v>114</v>
      </c>
      <c r="D31" s="9"/>
      <c r="E31" s="9"/>
      <c r="F31" s="9"/>
      <c r="G31" s="9"/>
      <c r="H31" s="9"/>
      <c r="I31" s="9"/>
      <c r="J31" s="9">
        <f>K32*0.7</f>
        <v>13128738</v>
      </c>
      <c r="K31" s="9"/>
      <c r="L31" s="16" t="s">
        <v>160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33.75" x14ac:dyDescent="0.5">
      <c r="B32" s="9"/>
      <c r="C32" s="9" t="s">
        <v>268</v>
      </c>
      <c r="D32" s="9"/>
      <c r="E32" s="9"/>
      <c r="F32" s="9"/>
      <c r="G32" s="9"/>
      <c r="H32" s="9"/>
      <c r="I32" s="9"/>
      <c r="J32" s="9"/>
      <c r="K32" s="9">
        <f>2000*3*J4</f>
        <v>18755340</v>
      </c>
      <c r="L32" s="16" t="s">
        <v>149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33.75" x14ac:dyDescent="0.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ht="33.75" x14ac:dyDescent="0.5">
      <c r="B34" s="9" t="s">
        <v>55</v>
      </c>
      <c r="C34" s="9" t="s">
        <v>269</v>
      </c>
      <c r="D34" s="9"/>
      <c r="E34" s="9"/>
      <c r="F34" s="9"/>
      <c r="G34" s="9"/>
      <c r="H34" s="9"/>
      <c r="I34" s="9"/>
      <c r="J34" s="9">
        <f>2*35000*J4</f>
        <v>218812300</v>
      </c>
      <c r="K34" s="9"/>
      <c r="L34" s="16" t="s">
        <v>265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33.75" x14ac:dyDescent="0.5">
      <c r="B35" s="9"/>
      <c r="C35" s="9" t="s">
        <v>270</v>
      </c>
      <c r="D35" s="9"/>
      <c r="E35" s="9"/>
      <c r="F35" s="9"/>
      <c r="G35" s="9"/>
      <c r="H35" s="9"/>
      <c r="I35" s="9"/>
      <c r="J35" s="9"/>
      <c r="K35" s="9">
        <f>J34</f>
        <v>218812300</v>
      </c>
      <c r="L35" s="16" t="s">
        <v>222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33.75" x14ac:dyDescent="0.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ht="33.75" x14ac:dyDescent="0.5">
      <c r="B37" s="9" t="s">
        <v>60</v>
      </c>
      <c r="C37" s="9" t="s">
        <v>270</v>
      </c>
      <c r="D37" s="9"/>
      <c r="E37" s="9"/>
      <c r="F37" s="9"/>
      <c r="G37" s="9"/>
      <c r="H37" s="9"/>
      <c r="I37" s="9"/>
      <c r="J37" s="9">
        <f>2000*1.2*J4</f>
        <v>7502136</v>
      </c>
      <c r="K37" s="9"/>
      <c r="L37" s="16" t="s">
        <v>271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33.75" x14ac:dyDescent="0.5">
      <c r="B38" s="9"/>
      <c r="C38" s="9" t="s">
        <v>272</v>
      </c>
      <c r="D38" s="9"/>
      <c r="E38" s="9"/>
      <c r="F38" s="9"/>
      <c r="G38" s="9"/>
      <c r="H38" s="9"/>
      <c r="I38" s="9"/>
      <c r="J38" s="9"/>
      <c r="K38" s="9">
        <f>J37</f>
        <v>7502136</v>
      </c>
      <c r="L38" s="16" t="s">
        <v>265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33.75" x14ac:dyDescent="0.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ht="33.75" x14ac:dyDescent="0.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ht="33.75" x14ac:dyDescent="0.5">
      <c r="B41" s="9"/>
      <c r="C41" s="9" t="s">
        <v>176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ht="33.75" x14ac:dyDescent="0.5">
      <c r="B42" s="9"/>
      <c r="C42" s="9"/>
      <c r="D42" s="9"/>
      <c r="E42" s="9"/>
      <c r="F42" s="9"/>
      <c r="G42" s="9"/>
      <c r="H42" s="9"/>
      <c r="I42" s="9"/>
      <c r="J42" s="9" t="s">
        <v>145</v>
      </c>
      <c r="K42" s="9" t="s">
        <v>146</v>
      </c>
      <c r="L42" s="9"/>
      <c r="M42" s="9"/>
      <c r="N42" s="9"/>
      <c r="O42" s="9"/>
      <c r="P42" s="9"/>
      <c r="Q42" s="9"/>
      <c r="R42" s="9"/>
    </row>
    <row r="43" spans="2:21" ht="33.75" x14ac:dyDescent="0.5">
      <c r="B43" s="9" t="s">
        <v>141</v>
      </c>
      <c r="C43" s="9" t="s">
        <v>273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2:21" ht="33.75" x14ac:dyDescent="0.5">
      <c r="B44" s="9" t="s">
        <v>230</v>
      </c>
      <c r="C44" s="9" t="s">
        <v>231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21" ht="33.75" x14ac:dyDescent="0.5">
      <c r="B45" s="9"/>
      <c r="C45" s="9" t="s">
        <v>274</v>
      </c>
      <c r="D45" s="9"/>
      <c r="E45" s="9"/>
      <c r="F45" s="9"/>
      <c r="G45" s="9"/>
      <c r="H45" s="9"/>
      <c r="I45" s="9"/>
      <c r="J45" s="9">
        <f>J18</f>
        <v>980279104</v>
      </c>
      <c r="K45" s="9"/>
      <c r="L45" s="9"/>
      <c r="M45" s="9"/>
      <c r="N45" s="9"/>
      <c r="O45" s="9"/>
      <c r="P45" s="9"/>
      <c r="Q45" s="9"/>
      <c r="R45" s="9"/>
    </row>
    <row r="46" spans="2:21" ht="33.75" x14ac:dyDescent="0.5">
      <c r="B46" s="9"/>
      <c r="C46" s="9" t="s">
        <v>83</v>
      </c>
      <c r="D46" s="9"/>
      <c r="E46" s="9"/>
      <c r="F46" s="9"/>
      <c r="G46" s="9"/>
      <c r="H46" s="9"/>
      <c r="I46" s="9"/>
      <c r="J46" s="9">
        <f>J25</f>
        <v>175049840</v>
      </c>
      <c r="K46" s="9"/>
      <c r="L46" s="9"/>
      <c r="M46" s="9"/>
      <c r="N46" s="9"/>
      <c r="O46" s="9"/>
      <c r="P46" s="9"/>
      <c r="Q46" s="9"/>
      <c r="R46" s="9"/>
    </row>
    <row r="47" spans="2:21" ht="33.75" x14ac:dyDescent="0.5">
      <c r="B47" s="9"/>
      <c r="C47" s="9" t="s">
        <v>158</v>
      </c>
      <c r="D47" s="9"/>
      <c r="E47" s="9"/>
      <c r="F47" s="9"/>
      <c r="G47" s="9"/>
      <c r="H47" s="9"/>
      <c r="I47" s="9"/>
      <c r="J47" s="9"/>
      <c r="K47" s="9">
        <f>K32</f>
        <v>18755340</v>
      </c>
      <c r="L47" s="9"/>
      <c r="M47" s="9"/>
      <c r="N47" s="9"/>
      <c r="O47" s="9"/>
      <c r="P47" s="9"/>
      <c r="Q47" s="9"/>
      <c r="R47" s="9"/>
    </row>
    <row r="48" spans="2:21" ht="33.75" x14ac:dyDescent="0.5">
      <c r="B48" s="9"/>
      <c r="C48" s="9" t="s">
        <v>179</v>
      </c>
      <c r="D48" s="9"/>
      <c r="E48" s="9"/>
      <c r="F48" s="9"/>
      <c r="G48" s="9"/>
      <c r="H48" s="9"/>
      <c r="I48" s="9"/>
      <c r="J48" s="9">
        <f>J34</f>
        <v>218812300</v>
      </c>
      <c r="K48" s="9"/>
      <c r="L48" s="9"/>
      <c r="M48" s="9"/>
      <c r="N48" s="9"/>
      <c r="O48" s="9"/>
      <c r="P48" s="9"/>
      <c r="Q48" s="9"/>
      <c r="R48" s="9"/>
    </row>
    <row r="49" spans="2:18" ht="33.75" x14ac:dyDescent="0.5">
      <c r="B49" s="9"/>
      <c r="C49" s="9" t="s">
        <v>158</v>
      </c>
      <c r="D49" s="9"/>
      <c r="E49" s="9"/>
      <c r="F49" s="9"/>
      <c r="G49" s="9"/>
      <c r="H49" s="9"/>
      <c r="I49" s="9"/>
      <c r="J49" s="9"/>
      <c r="K49" s="9">
        <f>K38</f>
        <v>7502136</v>
      </c>
      <c r="L49" s="9"/>
      <c r="M49" s="9"/>
      <c r="N49" s="9"/>
      <c r="O49" s="9"/>
      <c r="P49" s="9"/>
      <c r="Q49" s="9"/>
      <c r="R49" s="9"/>
    </row>
    <row r="50" spans="2:18" ht="33.75" x14ac:dyDescent="0.5">
      <c r="B50" s="9"/>
      <c r="C50" s="9" t="s">
        <v>84</v>
      </c>
      <c r="D50" s="9"/>
      <c r="E50" s="9"/>
      <c r="F50" s="9"/>
      <c r="G50" s="9"/>
      <c r="H50" s="9"/>
      <c r="I50" s="9"/>
      <c r="J50" s="9">
        <f>J45+J46+J48</f>
        <v>1374141244</v>
      </c>
      <c r="K50" s="9">
        <f>K47+K49</f>
        <v>26257476</v>
      </c>
      <c r="L50" s="9"/>
      <c r="M50" s="9"/>
      <c r="N50" s="9"/>
      <c r="O50" s="9"/>
      <c r="P50" s="9"/>
      <c r="Q50" s="9"/>
      <c r="R50" s="9"/>
    </row>
    <row r="51" spans="2:18" ht="33.75" x14ac:dyDescent="0.5">
      <c r="B51" s="9"/>
      <c r="C51" s="9" t="s">
        <v>85</v>
      </c>
      <c r="D51" s="9"/>
      <c r="E51" s="9"/>
      <c r="F51" s="9"/>
      <c r="G51" s="9"/>
      <c r="H51" s="9"/>
      <c r="I51" s="9"/>
      <c r="J51" s="16">
        <f>J50-K50</f>
        <v>1347883768</v>
      </c>
      <c r="K51" s="9" t="s">
        <v>117</v>
      </c>
      <c r="L51" s="9"/>
      <c r="M51" s="9"/>
      <c r="N51" s="9"/>
      <c r="O51" s="9"/>
      <c r="P51" s="9"/>
      <c r="Q51" s="9"/>
      <c r="R51" s="9"/>
    </row>
    <row r="52" spans="2:18" ht="33.75" x14ac:dyDescent="0.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ht="33.75" x14ac:dyDescent="0.5">
      <c r="B53" s="9" t="s">
        <v>275</v>
      </c>
      <c r="C53" s="9" t="s">
        <v>234</v>
      </c>
      <c r="D53" s="9"/>
      <c r="E53" s="9"/>
      <c r="F53" s="9"/>
      <c r="G53" s="9"/>
      <c r="H53" s="9"/>
      <c r="I53" s="9"/>
      <c r="J53" s="9">
        <v>0</v>
      </c>
      <c r="K53" s="9">
        <v>0</v>
      </c>
      <c r="L53" s="9"/>
      <c r="M53" s="9"/>
      <c r="N53" s="9"/>
      <c r="O53" s="9"/>
      <c r="P53" s="9"/>
      <c r="Q53" s="9"/>
      <c r="R53" s="9"/>
    </row>
    <row r="54" spans="2:18" ht="33.75" x14ac:dyDescent="0.5">
      <c r="B54" s="9" t="s">
        <v>182</v>
      </c>
      <c r="C54" s="9" t="s">
        <v>276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ht="33.75" x14ac:dyDescent="0.5">
      <c r="B55" s="9"/>
      <c r="C55" s="9" t="s">
        <v>270</v>
      </c>
      <c r="D55" s="9"/>
      <c r="E55" s="9"/>
      <c r="F55" s="9"/>
      <c r="G55" s="9"/>
      <c r="H55" s="9"/>
      <c r="I55" s="9"/>
      <c r="J55" s="9">
        <v>7502136</v>
      </c>
      <c r="K55" s="9"/>
      <c r="L55" s="9"/>
      <c r="M55" s="9"/>
      <c r="N55" s="9"/>
      <c r="O55" s="9"/>
      <c r="P55" s="9"/>
      <c r="Q55" s="9"/>
      <c r="R55" s="9"/>
    </row>
    <row r="56" spans="2:18" ht="33.75" x14ac:dyDescent="0.5">
      <c r="B56" s="9"/>
      <c r="C56" s="9" t="s">
        <v>270</v>
      </c>
      <c r="D56" s="9"/>
      <c r="E56" s="9"/>
      <c r="F56" s="9"/>
      <c r="G56" s="9"/>
      <c r="H56" s="9"/>
      <c r="I56" s="9"/>
      <c r="J56" s="28"/>
      <c r="K56" s="9">
        <f>K35</f>
        <v>218812300</v>
      </c>
      <c r="L56" s="9"/>
      <c r="M56" s="9"/>
      <c r="N56" s="9"/>
      <c r="O56" s="9"/>
      <c r="P56" s="9"/>
      <c r="Q56" s="9"/>
      <c r="R56" s="9"/>
    </row>
    <row r="57" spans="2:18" ht="33.75" x14ac:dyDescent="0.5">
      <c r="B57" s="9"/>
      <c r="C57" s="9" t="s">
        <v>278</v>
      </c>
      <c r="D57" s="9"/>
      <c r="E57" s="9"/>
      <c r="F57" s="9"/>
      <c r="G57" s="9"/>
      <c r="H57" s="9"/>
      <c r="I57" s="9"/>
      <c r="J57" s="28">
        <f>J55</f>
        <v>7502136</v>
      </c>
      <c r="K57" s="9">
        <f>K56</f>
        <v>218812300</v>
      </c>
      <c r="L57" s="9"/>
      <c r="M57" s="9"/>
      <c r="N57" s="9"/>
      <c r="O57" s="9"/>
      <c r="P57" s="9"/>
      <c r="Q57" s="9"/>
      <c r="R57" s="9"/>
    </row>
    <row r="58" spans="2:18" ht="33.75" x14ac:dyDescent="0.5">
      <c r="B58" s="9"/>
      <c r="C58" s="9" t="s">
        <v>279</v>
      </c>
      <c r="D58" s="9"/>
      <c r="E58" s="9"/>
      <c r="F58" s="9"/>
      <c r="G58" s="9"/>
      <c r="H58" s="9"/>
      <c r="I58" s="9"/>
      <c r="J58" s="28"/>
      <c r="K58" s="16">
        <f>K57-J57</f>
        <v>211310164</v>
      </c>
      <c r="L58" s="9" t="s">
        <v>86</v>
      </c>
      <c r="M58" s="9"/>
      <c r="N58" s="9"/>
      <c r="O58" s="9"/>
      <c r="P58" s="9"/>
      <c r="Q58" s="9"/>
      <c r="R58" s="9"/>
    </row>
    <row r="59" spans="2:18" ht="33.75" x14ac:dyDescent="0.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 ht="33.75" x14ac:dyDescent="0.5">
      <c r="B60" s="9"/>
      <c r="C60" s="9" t="s">
        <v>280</v>
      </c>
      <c r="D60" s="9"/>
      <c r="E60" s="9"/>
      <c r="F60" s="9"/>
      <c r="G60" s="9"/>
      <c r="H60" s="9"/>
      <c r="I60" s="9"/>
      <c r="J60" s="28">
        <f>J51</f>
        <v>1347883768</v>
      </c>
      <c r="K60" s="9">
        <f>K58</f>
        <v>211310164</v>
      </c>
      <c r="L60" s="9"/>
      <c r="M60" s="9"/>
      <c r="N60" s="9"/>
      <c r="O60" s="9"/>
      <c r="P60" s="9"/>
      <c r="Q60" s="9"/>
      <c r="R60" s="9"/>
    </row>
    <row r="61" spans="2:18" ht="33.75" x14ac:dyDescent="0.5">
      <c r="B61" s="9"/>
      <c r="C61" s="9" t="s">
        <v>277</v>
      </c>
      <c r="D61" s="9"/>
      <c r="E61" s="9"/>
      <c r="F61" s="9"/>
      <c r="G61" s="9"/>
      <c r="H61" s="9"/>
      <c r="I61" s="9"/>
      <c r="J61" s="16">
        <f>J60-K60</f>
        <v>1136573604</v>
      </c>
      <c r="K61" s="9" t="s">
        <v>117</v>
      </c>
      <c r="L61" s="9"/>
      <c r="M61" s="9"/>
      <c r="N61" s="9"/>
      <c r="O61" s="9"/>
      <c r="P61" s="9"/>
      <c r="Q61" s="9"/>
      <c r="R61" s="9"/>
    </row>
    <row r="62" spans="2:18" ht="33.75" x14ac:dyDescent="0.5">
      <c r="B62" s="9"/>
      <c r="C62" s="9"/>
      <c r="D62" s="9"/>
      <c r="E62" s="9"/>
      <c r="F62" s="9"/>
      <c r="G62" s="9"/>
      <c r="H62" s="9"/>
      <c r="I62" s="9"/>
      <c r="J62" s="28"/>
      <c r="K62" s="9"/>
      <c r="L62" s="9"/>
      <c r="M62" s="9"/>
      <c r="N62" s="9"/>
      <c r="O62" s="9"/>
      <c r="P62" s="9"/>
      <c r="Q62" s="9"/>
      <c r="R62" s="9"/>
    </row>
    <row r="63" spans="2:18" ht="33.75" x14ac:dyDescent="0.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 ht="33.75" x14ac:dyDescent="0.5">
      <c r="B64" s="9" t="s">
        <v>99</v>
      </c>
      <c r="C64" s="9" t="s">
        <v>186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ht="33.75" x14ac:dyDescent="0.5">
      <c r="B65" s="9" t="s">
        <v>244</v>
      </c>
      <c r="C65" s="9" t="s">
        <v>187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 ht="33.75" x14ac:dyDescent="0.5">
      <c r="B66" s="9"/>
      <c r="C66" s="9" t="s">
        <v>223</v>
      </c>
      <c r="D66" s="9"/>
      <c r="E66" s="9"/>
      <c r="F66" s="9"/>
      <c r="G66" s="9"/>
      <c r="H66" s="9"/>
      <c r="I66" s="9"/>
      <c r="J66" s="9"/>
      <c r="K66" s="9">
        <f>K24</f>
        <v>175049840</v>
      </c>
      <c r="L66" s="9"/>
      <c r="M66" s="9"/>
      <c r="N66" s="9"/>
      <c r="O66" s="9"/>
      <c r="P66" s="9"/>
      <c r="Q66" s="9"/>
      <c r="R66" s="9"/>
    </row>
    <row r="67" spans="2:18" ht="33.75" x14ac:dyDescent="0.5">
      <c r="B67" s="9"/>
      <c r="C67" s="9" t="s">
        <v>245</v>
      </c>
      <c r="D67" s="9"/>
      <c r="E67" s="9"/>
      <c r="F67" s="9"/>
      <c r="G67" s="9"/>
      <c r="H67" s="9"/>
      <c r="I67" s="9"/>
      <c r="J67" s="9"/>
      <c r="K67" s="16">
        <f>K66</f>
        <v>175049840</v>
      </c>
      <c r="L67" s="9" t="s">
        <v>281</v>
      </c>
      <c r="M67" s="9"/>
      <c r="N67" s="9"/>
      <c r="O67" s="9"/>
      <c r="P67" s="9"/>
      <c r="Q67" s="9"/>
      <c r="R67" s="9"/>
    </row>
    <row r="68" spans="2:18" ht="33.75" x14ac:dyDescent="0.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ht="33.75" x14ac:dyDescent="0.5">
      <c r="B69" s="9" t="s">
        <v>191</v>
      </c>
      <c r="C69" s="9" t="s">
        <v>110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ht="33.75" x14ac:dyDescent="0.5">
      <c r="B70" s="9" t="s">
        <v>192</v>
      </c>
      <c r="C70" s="9" t="s">
        <v>112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 ht="33.75" x14ac:dyDescent="0.5">
      <c r="B71" s="9"/>
      <c r="C71" s="9" t="s">
        <v>113</v>
      </c>
      <c r="D71" s="9"/>
      <c r="E71" s="9"/>
      <c r="F71" s="9"/>
      <c r="G71" s="9"/>
      <c r="H71" s="9"/>
      <c r="I71" s="9"/>
      <c r="J71" s="9">
        <v>2385054070</v>
      </c>
      <c r="K71" s="9"/>
      <c r="L71" s="9"/>
      <c r="M71" s="9"/>
      <c r="N71" s="9"/>
      <c r="O71" s="9"/>
      <c r="P71" s="9"/>
      <c r="Q71" s="9"/>
      <c r="R71" s="9"/>
    </row>
    <row r="72" spans="2:18" ht="33.75" x14ac:dyDescent="0.5">
      <c r="B72" s="9"/>
      <c r="C72" s="9" t="s">
        <v>113</v>
      </c>
      <c r="D72" s="9"/>
      <c r="E72" s="9"/>
      <c r="F72" s="9"/>
      <c r="G72" s="9"/>
      <c r="H72" s="9"/>
      <c r="I72" s="9"/>
      <c r="J72" s="9"/>
      <c r="K72" s="9">
        <f>K19</f>
        <v>490139552</v>
      </c>
      <c r="L72" s="9"/>
      <c r="M72" s="9"/>
      <c r="N72" s="9"/>
      <c r="O72" s="9"/>
      <c r="P72" s="9"/>
      <c r="Q72" s="9"/>
      <c r="R72" s="9"/>
    </row>
    <row r="73" spans="2:18" ht="33.75" x14ac:dyDescent="0.5">
      <c r="B73" s="9"/>
      <c r="C73" s="9" t="s">
        <v>120</v>
      </c>
      <c r="D73" s="9"/>
      <c r="E73" s="9"/>
      <c r="F73" s="9"/>
      <c r="G73" s="9"/>
      <c r="H73" s="9"/>
      <c r="I73" s="9"/>
      <c r="J73" s="9"/>
      <c r="K73" s="9">
        <f>K20</f>
        <v>147041865.59999999</v>
      </c>
      <c r="L73" s="9"/>
      <c r="M73" s="9"/>
      <c r="N73" s="9"/>
      <c r="O73" s="9"/>
      <c r="P73" s="9"/>
      <c r="Q73" s="9"/>
      <c r="R73" s="9"/>
    </row>
    <row r="74" spans="2:18" ht="33.75" x14ac:dyDescent="0.5">
      <c r="B74" s="9"/>
      <c r="C74" s="9" t="s">
        <v>113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ht="33.75" x14ac:dyDescent="0.5">
      <c r="B75" s="9"/>
      <c r="C75" s="9" t="s">
        <v>113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ht="33.75" x14ac:dyDescent="0.5">
      <c r="B76" s="9"/>
      <c r="C76" s="9" t="s">
        <v>113</v>
      </c>
      <c r="D76" s="9"/>
      <c r="E76" s="9"/>
      <c r="F76" s="9"/>
      <c r="G76" s="9"/>
      <c r="H76" s="9"/>
      <c r="I76" s="9"/>
      <c r="J76" s="9">
        <f>J30</f>
        <v>5626602</v>
      </c>
      <c r="K76" s="9"/>
      <c r="L76" s="9"/>
      <c r="M76" s="9"/>
      <c r="N76" s="9"/>
      <c r="O76" s="9"/>
      <c r="P76" s="9"/>
      <c r="Q76" s="9"/>
      <c r="R76" s="9"/>
    </row>
    <row r="77" spans="2:18" ht="33.75" x14ac:dyDescent="0.5">
      <c r="B77" s="9"/>
      <c r="C77" s="9" t="s">
        <v>282</v>
      </c>
      <c r="D77" s="9"/>
      <c r="E77" s="9"/>
      <c r="F77" s="9"/>
      <c r="G77" s="9"/>
      <c r="H77" s="9"/>
      <c r="I77" s="9"/>
      <c r="J77" s="9"/>
      <c r="K77" s="9">
        <f>K72+K73+K75</f>
        <v>637181417.60000002</v>
      </c>
      <c r="L77" s="9"/>
      <c r="M77" s="9"/>
      <c r="N77" s="9"/>
      <c r="O77" s="9"/>
      <c r="P77" s="9"/>
      <c r="Q77" s="9"/>
      <c r="R77" s="9"/>
    </row>
    <row r="78" spans="2:18" ht="33.75" x14ac:dyDescent="0.5">
      <c r="B78" s="9"/>
      <c r="C78" s="9"/>
      <c r="D78" s="9"/>
      <c r="E78" s="9"/>
      <c r="F78" s="9"/>
      <c r="G78" s="9"/>
      <c r="H78" s="9"/>
      <c r="I78" s="9"/>
      <c r="J78" s="16">
        <f>J77-K77</f>
        <v>-637181417.60000002</v>
      </c>
      <c r="K78" s="28" t="s">
        <v>86</v>
      </c>
      <c r="L78" s="9"/>
      <c r="M78" s="9"/>
      <c r="N78" s="9"/>
      <c r="O78" s="9"/>
      <c r="P78" s="9"/>
      <c r="Q78" s="9"/>
      <c r="R78" s="9"/>
    </row>
    <row r="79" spans="2:18" ht="33.75" x14ac:dyDescent="0.5">
      <c r="B79" s="9" t="s">
        <v>118</v>
      </c>
      <c r="C79" s="9" t="s">
        <v>249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ht="33.75" x14ac:dyDescent="0.5">
      <c r="B80" s="9"/>
      <c r="C80" s="9" t="s">
        <v>120</v>
      </c>
      <c r="D80" s="9"/>
      <c r="E80" s="9"/>
      <c r="F80" s="9"/>
      <c r="G80" s="9"/>
      <c r="H80" s="9"/>
      <c r="I80" s="9"/>
      <c r="J80" s="9"/>
      <c r="K80" s="9">
        <f>K21</f>
        <v>343097686.39999998</v>
      </c>
      <c r="L80" s="9"/>
      <c r="M80" s="9"/>
      <c r="N80" s="9"/>
      <c r="O80" s="9"/>
      <c r="P80" s="9"/>
      <c r="Q80" s="9"/>
      <c r="R80" s="9"/>
    </row>
    <row r="81" spans="2:18" ht="33.75" x14ac:dyDescent="0.5">
      <c r="B81" s="9"/>
      <c r="C81" s="9" t="s">
        <v>114</v>
      </c>
      <c r="D81" s="9"/>
      <c r="E81" s="9"/>
      <c r="F81" s="9"/>
      <c r="G81" s="9"/>
      <c r="H81" s="9"/>
      <c r="I81" s="9"/>
      <c r="J81" s="9">
        <f>J31</f>
        <v>13128738</v>
      </c>
      <c r="K81" s="9"/>
      <c r="L81" s="9"/>
      <c r="M81" s="9"/>
      <c r="N81" s="9"/>
      <c r="O81" s="9"/>
      <c r="P81" s="9"/>
      <c r="Q81" s="9"/>
      <c r="R81" s="9"/>
    </row>
    <row r="82" spans="2:18" ht="33.75" x14ac:dyDescent="0.5">
      <c r="B82" s="9"/>
      <c r="C82" s="9" t="s">
        <v>283</v>
      </c>
      <c r="D82" s="9"/>
      <c r="E82" s="9"/>
      <c r="F82" s="9"/>
      <c r="G82" s="9"/>
      <c r="H82" s="9"/>
      <c r="I82" s="9"/>
      <c r="J82" s="9">
        <f>J81</f>
        <v>13128738</v>
      </c>
      <c r="K82" s="9">
        <f>K80</f>
        <v>343097686.39999998</v>
      </c>
      <c r="L82" s="9"/>
      <c r="M82" s="9"/>
      <c r="N82" s="9"/>
      <c r="O82" s="9"/>
      <c r="P82" s="9"/>
      <c r="Q82" s="9"/>
      <c r="R82" s="9"/>
    </row>
    <row r="83" spans="2:18" ht="33.75" x14ac:dyDescent="0.5">
      <c r="B83" s="9"/>
      <c r="C83" s="9" t="s">
        <v>284</v>
      </c>
      <c r="D83" s="9"/>
      <c r="E83" s="9"/>
      <c r="F83" s="9"/>
      <c r="G83" s="9"/>
      <c r="H83" s="9"/>
      <c r="I83" s="9"/>
      <c r="J83" s="9"/>
      <c r="K83" s="16">
        <f>K82-J82</f>
        <v>329968948.39999998</v>
      </c>
      <c r="L83" s="9" t="s">
        <v>117</v>
      </c>
      <c r="M83" s="9"/>
      <c r="N83" s="9"/>
      <c r="O83" s="9"/>
      <c r="P83" s="9"/>
      <c r="Q83" s="9"/>
      <c r="R83" s="9"/>
    </row>
    <row r="84" spans="2:18" ht="33.75" x14ac:dyDescent="0.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 ht="33.75" x14ac:dyDescent="0.5">
      <c r="B85" s="9"/>
      <c r="C85" s="9" t="s">
        <v>251</v>
      </c>
      <c r="D85" s="9"/>
      <c r="E85" s="9"/>
      <c r="F85" s="9"/>
      <c r="G85" s="9"/>
      <c r="H85" s="9"/>
      <c r="I85" s="9"/>
      <c r="J85" s="9">
        <f>J78</f>
        <v>-637181417.60000002</v>
      </c>
      <c r="K85" s="9">
        <f>K83</f>
        <v>329968948.39999998</v>
      </c>
      <c r="L85" s="9"/>
      <c r="M85" s="9"/>
      <c r="N85" s="9"/>
      <c r="O85" s="9"/>
      <c r="P85" s="9"/>
      <c r="Q85" s="9"/>
      <c r="R85" s="9"/>
    </row>
    <row r="86" spans="2:18" ht="33.75" x14ac:dyDescent="0.5">
      <c r="B86" s="9"/>
      <c r="C86" s="9" t="s">
        <v>123</v>
      </c>
      <c r="D86" s="9"/>
      <c r="E86" s="9"/>
      <c r="F86" s="9"/>
      <c r="G86" s="9"/>
      <c r="H86" s="9"/>
      <c r="I86" s="9"/>
      <c r="J86" s="16">
        <f>J85-K85</f>
        <v>-967150366</v>
      </c>
      <c r="K86" s="9" t="s">
        <v>86</v>
      </c>
      <c r="L86" s="9"/>
      <c r="M86" s="9"/>
      <c r="N86" s="9"/>
      <c r="O86" s="9"/>
      <c r="P86" s="9"/>
      <c r="Q86" s="9"/>
      <c r="R86" s="9"/>
    </row>
    <row r="87" spans="2:18" ht="33.75" x14ac:dyDescent="0.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ht="33.75" x14ac:dyDescent="0.5">
      <c r="B88" s="9"/>
      <c r="C88" s="9" t="s">
        <v>124</v>
      </c>
      <c r="D88" s="9"/>
      <c r="E88" s="9"/>
      <c r="F88" s="9"/>
      <c r="G88" s="9"/>
      <c r="H88" s="9"/>
      <c r="I88" s="9"/>
      <c r="J88" s="9">
        <f>J86</f>
        <v>-967150366</v>
      </c>
      <c r="K88" s="9">
        <f>K67</f>
        <v>175049840</v>
      </c>
      <c r="L88" s="9"/>
      <c r="M88" s="9"/>
      <c r="N88" s="9"/>
      <c r="O88" s="9"/>
      <c r="P88" s="9"/>
      <c r="Q88" s="9"/>
      <c r="R88" s="9"/>
    </row>
    <row r="89" spans="2:18" ht="33.75" x14ac:dyDescent="0.5">
      <c r="B89" s="9"/>
      <c r="C89" s="9" t="s">
        <v>125</v>
      </c>
      <c r="D89" s="9"/>
      <c r="E89" s="9"/>
      <c r="F89" s="9"/>
      <c r="G89" s="9"/>
      <c r="H89" s="9"/>
      <c r="I89" s="9"/>
      <c r="J89" s="16">
        <f>J88-K88</f>
        <v>-1142200206</v>
      </c>
      <c r="K89" s="9" t="s">
        <v>86</v>
      </c>
      <c r="L89" s="9"/>
      <c r="M89" s="9"/>
      <c r="N89" s="9"/>
      <c r="O89" s="9"/>
      <c r="P89" s="9"/>
      <c r="Q89" s="9"/>
      <c r="R89" s="9"/>
    </row>
    <row r="90" spans="2:18" ht="33.75" x14ac:dyDescent="0.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33.75" x14ac:dyDescent="0.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 ht="33.75" x14ac:dyDescent="0.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 ht="33.75" x14ac:dyDescent="0.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 ht="33.75" x14ac:dyDescent="0.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ht="33.75" x14ac:dyDescent="0.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18" ht="33.75" x14ac:dyDescent="0.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33.75" x14ac:dyDescent="0.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33.75" x14ac:dyDescent="0.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33.75" x14ac:dyDescent="0.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33.75" x14ac:dyDescent="0.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33.75" x14ac:dyDescent="0.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33.75" x14ac:dyDescent="0.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33.75" x14ac:dyDescent="0.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33.75" x14ac:dyDescent="0.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33.75" x14ac:dyDescent="0.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33.75" x14ac:dyDescent="0.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33.75" x14ac:dyDescent="0.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33.75" x14ac:dyDescent="0.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33.75" x14ac:dyDescent="0.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33.75" x14ac:dyDescent="0.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33.75" x14ac:dyDescent="0.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33.75" x14ac:dyDescent="0.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33.75" x14ac:dyDescent="0.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2:18" ht="33.75" x14ac:dyDescent="0.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 ht="33.75" x14ac:dyDescent="0.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2:18" ht="33.75" x14ac:dyDescent="0.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2:18" ht="33.75" x14ac:dyDescent="0.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NO. 1. </vt:lpstr>
      <vt:lpstr>EJERCICIO NO. 2</vt:lpstr>
      <vt:lpstr>EJERCICO NO. 3.</vt:lpstr>
      <vt:lpstr>EJERCICIO 4.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2021-05-10T20:21:58Z</dcterms:created>
  <dcterms:modified xsi:type="dcterms:W3CDTF">2023-09-08T13:18:25Z</dcterms:modified>
</cp:coreProperties>
</file>