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IV SEMESTRE- CONTADURÍA PÚBLICA\PROCESOS CONTABLES II\"/>
    </mc:Choice>
  </mc:AlternateContent>
  <xr:revisionPtr revIDLastSave="0" documentId="13_ncr:1_{42272568-7D70-4052-B0BE-E29E25BE5426}" xr6:coauthVersionLast="3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ómina" sheetId="4" r:id="rId1"/>
    <sheet name="Amortización" sheetId="5" r:id="rId2"/>
    <sheet name="Cambios en el patrimonio" sheetId="2" r:id="rId3"/>
    <sheet name="ESF" sheetId="1" r:id="rId4"/>
    <sheet name="Transacciones" sheetId="3" r:id="rId5"/>
    <sheet name="BP" sheetId="6" r:id="rId6"/>
  </sheets>
  <definedNames>
    <definedName name="_xlnm._FilterDatabase" localSheetId="3" hidden="1">ESF!$B$7:$I$57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G11" i="2"/>
  <c r="F10" i="2"/>
  <c r="F9" i="2"/>
  <c r="F49" i="1" l="1"/>
  <c r="C7" i="2"/>
  <c r="F11" i="1"/>
  <c r="B49" i="6"/>
  <c r="C49" i="6" s="1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11" i="6"/>
  <c r="E35" i="6"/>
  <c r="E21" i="6"/>
  <c r="E37" i="6"/>
  <c r="E17" i="6"/>
  <c r="E45" i="6"/>
  <c r="E30" i="6"/>
  <c r="E29" i="6"/>
  <c r="E32" i="6"/>
  <c r="E31" i="6"/>
  <c r="E28" i="6"/>
  <c r="E24" i="6"/>
  <c r="E23" i="6"/>
  <c r="E43" i="6"/>
  <c r="E40" i="6"/>
  <c r="E48" i="6"/>
  <c r="E12" i="6"/>
  <c r="E19" i="6"/>
  <c r="E22" i="6"/>
  <c r="E26" i="6"/>
  <c r="E14" i="6"/>
  <c r="E9" i="6"/>
  <c r="E73" i="3"/>
  <c r="D73" i="3"/>
  <c r="E72" i="3"/>
  <c r="D71" i="3"/>
  <c r="E70" i="3"/>
  <c r="D69" i="3"/>
  <c r="E68" i="3"/>
  <c r="D67" i="3"/>
  <c r="E66" i="3"/>
  <c r="D65" i="3"/>
  <c r="E60" i="3"/>
  <c r="D61" i="3" s="1"/>
  <c r="E62" i="3" s="1"/>
  <c r="E53" i="3"/>
  <c r="D52" i="3"/>
  <c r="E54" i="3" s="1"/>
  <c r="D49" i="3"/>
  <c r="E50" i="3" s="1"/>
  <c r="G12" i="5"/>
  <c r="D47" i="3"/>
  <c r="E48" i="3" s="1"/>
  <c r="E11" i="5"/>
  <c r="F13" i="5"/>
  <c r="E14" i="5" s="1"/>
  <c r="D14" i="5" s="1"/>
  <c r="F11" i="5"/>
  <c r="E12" i="5" s="1"/>
  <c r="D12" i="5" s="1"/>
  <c r="F12" i="5" s="1"/>
  <c r="E13" i="5"/>
  <c r="D13" i="5" s="1"/>
  <c r="D1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F10" i="5"/>
  <c r="C6" i="5"/>
  <c r="C2" i="5"/>
  <c r="C4" i="5"/>
  <c r="D45" i="3"/>
  <c r="E46" i="3" s="1"/>
  <c r="D43" i="3"/>
  <c r="E44" i="3" s="1"/>
  <c r="D41" i="3"/>
  <c r="E42" i="3" s="1"/>
  <c r="D39" i="3"/>
  <c r="E40" i="3" s="1"/>
  <c r="D37" i="3"/>
  <c r="E38" i="3" s="1"/>
  <c r="E35" i="3"/>
  <c r="E34" i="3"/>
  <c r="D33" i="3"/>
  <c r="D32" i="3"/>
  <c r="D7" i="4"/>
  <c r="D8" i="4"/>
  <c r="C8" i="4"/>
  <c r="C12" i="4"/>
  <c r="C10" i="4"/>
  <c r="C11" i="4"/>
  <c r="C9" i="4"/>
  <c r="C5" i="4"/>
  <c r="E25" i="3"/>
  <c r="D26" i="3" s="1"/>
  <c r="E27" i="3" s="1"/>
  <c r="E18" i="3"/>
  <c r="D17" i="3"/>
  <c r="E19" i="3" s="1"/>
  <c r="D30" i="3" s="1"/>
  <c r="E31" i="3" s="1"/>
  <c r="E14" i="3"/>
  <c r="D15" i="3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0" i="1"/>
  <c r="F9" i="1"/>
  <c r="F8" i="1"/>
  <c r="F57" i="1"/>
  <c r="F56" i="1"/>
  <c r="F55" i="1"/>
  <c r="F54" i="1"/>
  <c r="F53" i="1"/>
  <c r="F52" i="1"/>
  <c r="F51" i="1"/>
  <c r="F50" i="1"/>
  <c r="F48" i="1"/>
  <c r="F47" i="1"/>
  <c r="E17" i="2"/>
  <c r="D17" i="2"/>
  <c r="H9" i="2"/>
  <c r="H10" i="2"/>
  <c r="D57" i="3" l="1"/>
  <c r="E56" i="3"/>
  <c r="D58" i="3"/>
  <c r="D22" i="3"/>
  <c r="E21" i="3"/>
  <c r="D23" i="3"/>
  <c r="E36" i="3"/>
  <c r="F14" i="5"/>
  <c r="D59" i="3" l="1"/>
  <c r="D55" i="3" s="1"/>
  <c r="E63" i="3" s="1"/>
  <c r="D64" i="3" s="1"/>
  <c r="D24" i="3"/>
  <c r="D20" i="3" s="1"/>
  <c r="E28" i="3" s="1"/>
  <c r="D29" i="3" s="1"/>
  <c r="E15" i="5"/>
  <c r="D15" i="5" s="1"/>
  <c r="F15" i="5" s="1"/>
  <c r="E16" i="5" l="1"/>
  <c r="D16" i="5" s="1"/>
  <c r="F16" i="5" s="1"/>
  <c r="F17" i="5" l="1"/>
  <c r="E17" i="5"/>
  <c r="D17" i="5" s="1"/>
  <c r="F18" i="5" l="1"/>
  <c r="E18" i="5"/>
  <c r="D18" i="5" s="1"/>
  <c r="F19" i="5" l="1"/>
  <c r="E19" i="5"/>
  <c r="D19" i="5" s="1"/>
  <c r="G9" i="2"/>
  <c r="E16" i="2"/>
  <c r="D12" i="2"/>
  <c r="E12" i="2"/>
  <c r="E20" i="5" l="1"/>
  <c r="D20" i="5" s="1"/>
  <c r="F20" i="5" s="1"/>
  <c r="D16" i="2"/>
  <c r="F15" i="2"/>
  <c r="H15" i="2" s="1"/>
  <c r="B15" i="2"/>
  <c r="B14" i="2"/>
  <c r="C12" i="2"/>
  <c r="C16" i="2" s="1"/>
  <c r="C17" i="2" s="1"/>
  <c r="C58" i="1"/>
  <c r="H7" i="2"/>
  <c r="E21" i="5" l="1"/>
  <c r="D21" i="5" s="1"/>
  <c r="F21" i="5" s="1"/>
  <c r="H11" i="2"/>
  <c r="F12" i="2"/>
  <c r="E22" i="5" l="1"/>
  <c r="D22" i="5" s="1"/>
  <c r="F22" i="5" s="1"/>
  <c r="H12" i="2"/>
  <c r="F14" i="2"/>
  <c r="G14" i="2"/>
  <c r="E23" i="5" l="1"/>
  <c r="D23" i="5" s="1"/>
  <c r="F23" i="5" s="1"/>
  <c r="G16" i="2"/>
  <c r="G17" i="2" s="1"/>
  <c r="H14" i="2"/>
  <c r="F16" i="2"/>
  <c r="E24" i="5" l="1"/>
  <c r="D24" i="5" s="1"/>
  <c r="F24" i="5"/>
  <c r="H16" i="2"/>
  <c r="H17" i="2" s="1"/>
  <c r="F17" i="2"/>
  <c r="E25" i="5" l="1"/>
  <c r="D25" i="5" s="1"/>
  <c r="F25" i="5" s="1"/>
  <c r="E26" i="5" l="1"/>
  <c r="D26" i="5" s="1"/>
  <c r="F26" i="5" s="1"/>
  <c r="E27" i="5" l="1"/>
  <c r="D27" i="5" s="1"/>
  <c r="F27" i="5" s="1"/>
  <c r="E28" i="5" l="1"/>
  <c r="D28" i="5" s="1"/>
  <c r="F28" i="5" s="1"/>
  <c r="E29" i="5" l="1"/>
  <c r="D29" i="5" s="1"/>
  <c r="F29" i="5"/>
  <c r="E30" i="5" l="1"/>
  <c r="D30" i="5" s="1"/>
  <c r="F30" i="5"/>
  <c r="E31" i="5" l="1"/>
  <c r="D31" i="5" s="1"/>
  <c r="F31" i="5"/>
  <c r="E32" i="5" l="1"/>
  <c r="D32" i="5" s="1"/>
  <c r="F32" i="5"/>
  <c r="E33" i="5" l="1"/>
  <c r="D33" i="5" s="1"/>
  <c r="F33" i="5" s="1"/>
  <c r="E34" i="5" l="1"/>
  <c r="D34" i="5" s="1"/>
  <c r="F34" i="5" s="1"/>
  <c r="E35" i="5" l="1"/>
  <c r="D35" i="5" s="1"/>
  <c r="F35" i="5" s="1"/>
  <c r="E36" i="5" l="1"/>
  <c r="D36" i="5" s="1"/>
  <c r="F36" i="5" s="1"/>
  <c r="E37" i="5" l="1"/>
  <c r="D37" i="5" s="1"/>
  <c r="F37" i="5" s="1"/>
  <c r="E38" i="5" l="1"/>
  <c r="D38" i="5" s="1"/>
  <c r="F38" i="5"/>
  <c r="E39" i="5" l="1"/>
  <c r="D39" i="5" s="1"/>
  <c r="F39" i="5"/>
  <c r="E40" i="5" l="1"/>
  <c r="D40" i="5" s="1"/>
  <c r="F40" i="5"/>
  <c r="E41" i="5" l="1"/>
  <c r="D41" i="5" s="1"/>
  <c r="F41" i="5" s="1"/>
  <c r="E42" i="5" l="1"/>
  <c r="D42" i="5" s="1"/>
  <c r="F42" i="5" s="1"/>
  <c r="E43" i="5" l="1"/>
  <c r="D43" i="5" s="1"/>
  <c r="F43" i="5" s="1"/>
  <c r="E44" i="5" l="1"/>
  <c r="D44" i="5" s="1"/>
  <c r="F44" i="5" s="1"/>
  <c r="E45" i="5" l="1"/>
  <c r="D45" i="5" s="1"/>
  <c r="F45" i="5"/>
  <c r="E46" i="5" l="1"/>
  <c r="D46" i="5" s="1"/>
  <c r="F46" i="5"/>
  <c r="E47" i="5" l="1"/>
  <c r="D47" i="5" s="1"/>
  <c r="F47" i="5"/>
  <c r="E48" i="5" l="1"/>
  <c r="D48" i="5" s="1"/>
  <c r="F48" i="5" s="1"/>
  <c r="E49" i="5" l="1"/>
  <c r="D49" i="5" s="1"/>
  <c r="F49" i="5" s="1"/>
  <c r="E50" i="5" l="1"/>
  <c r="D50" i="5" s="1"/>
  <c r="F50" i="5" s="1"/>
  <c r="E51" i="5" l="1"/>
  <c r="D51" i="5" s="1"/>
  <c r="F51" i="5" s="1"/>
  <c r="E52" i="5" l="1"/>
  <c r="D52" i="5" s="1"/>
  <c r="F52" i="5" s="1"/>
  <c r="E53" i="5" l="1"/>
  <c r="D53" i="5" s="1"/>
  <c r="F53" i="5" s="1"/>
  <c r="E54" i="5" l="1"/>
  <c r="D54" i="5" s="1"/>
  <c r="F54" i="5"/>
  <c r="E55" i="5" l="1"/>
  <c r="D55" i="5" s="1"/>
  <c r="F55" i="5"/>
  <c r="E56" i="5" l="1"/>
  <c r="D56" i="5" s="1"/>
  <c r="F56" i="5"/>
  <c r="E57" i="5" l="1"/>
  <c r="D57" i="5" s="1"/>
  <c r="F57" i="5" s="1"/>
  <c r="E58" i="5" l="1"/>
  <c r="D58" i="5" s="1"/>
  <c r="F58" i="5" s="1"/>
  <c r="E59" i="5" l="1"/>
  <c r="D59" i="5" s="1"/>
  <c r="F59" i="5" s="1"/>
  <c r="E60" i="5" l="1"/>
  <c r="D60" i="5" s="1"/>
  <c r="F60" i="5" s="1"/>
  <c r="E61" i="5" l="1"/>
  <c r="D61" i="5" s="1"/>
  <c r="F61" i="5" s="1"/>
  <c r="E62" i="5" l="1"/>
  <c r="D62" i="5" s="1"/>
  <c r="F62" i="5"/>
  <c r="E63" i="5" l="1"/>
  <c r="D63" i="5" s="1"/>
  <c r="F63" i="5"/>
  <c r="E64" i="5" l="1"/>
  <c r="D64" i="5" s="1"/>
  <c r="F64" i="5"/>
  <c r="E65" i="5" l="1"/>
  <c r="D65" i="5" s="1"/>
  <c r="F65" i="5" s="1"/>
  <c r="E66" i="5" l="1"/>
  <c r="D66" i="5" s="1"/>
  <c r="F66" i="5" s="1"/>
  <c r="E67" i="5" l="1"/>
  <c r="D67" i="5" s="1"/>
  <c r="F67" i="5" s="1"/>
  <c r="E68" i="5" l="1"/>
  <c r="D68" i="5" s="1"/>
  <c r="F68" i="5" s="1"/>
  <c r="E69" i="5" l="1"/>
  <c r="D69" i="5" s="1"/>
  <c r="F69" i="5"/>
  <c r="E70" i="5" l="1"/>
  <c r="D70" i="5" s="1"/>
  <c r="F70" i="5"/>
  <c r="E71" i="5" l="1"/>
  <c r="D71" i="5" s="1"/>
  <c r="F71" i="5"/>
  <c r="E72" i="5" l="1"/>
  <c r="D72" i="5" s="1"/>
  <c r="F72" i="5"/>
  <c r="E73" i="5" l="1"/>
  <c r="D73" i="5" s="1"/>
  <c r="F73" i="5" s="1"/>
  <c r="E74" i="5" l="1"/>
  <c r="D74" i="5" s="1"/>
  <c r="F74" i="5" s="1"/>
  <c r="E75" i="5" l="1"/>
  <c r="D75" i="5" s="1"/>
  <c r="F75" i="5" s="1"/>
  <c r="E76" i="5" l="1"/>
  <c r="D76" i="5" s="1"/>
  <c r="F76" i="5" s="1"/>
  <c r="E77" i="5" l="1"/>
  <c r="D77" i="5" s="1"/>
  <c r="F77" i="5"/>
  <c r="E78" i="5" l="1"/>
  <c r="D78" i="5" s="1"/>
  <c r="F78" i="5"/>
  <c r="E79" i="5" l="1"/>
  <c r="D79" i="5" s="1"/>
  <c r="F79" i="5"/>
  <c r="E80" i="5" l="1"/>
  <c r="D80" i="5" s="1"/>
  <c r="F80" i="5"/>
  <c r="E81" i="5" l="1"/>
  <c r="D81" i="5" s="1"/>
  <c r="F81" i="5" s="1"/>
  <c r="E82" i="5" l="1"/>
  <c r="D82" i="5" s="1"/>
  <c r="F82" i="5" s="1"/>
  <c r="E83" i="5" l="1"/>
  <c r="D83" i="5" s="1"/>
  <c r="F83" i="5" s="1"/>
  <c r="E84" i="5" l="1"/>
  <c r="D84" i="5" s="1"/>
  <c r="F84" i="5" s="1"/>
  <c r="E85" i="5" l="1"/>
  <c r="D85" i="5" s="1"/>
  <c r="F85" i="5" s="1"/>
  <c r="E86" i="5" l="1"/>
  <c r="D86" i="5" s="1"/>
  <c r="F86" i="5"/>
  <c r="E87" i="5" l="1"/>
  <c r="D87" i="5" s="1"/>
  <c r="F87" i="5"/>
  <c r="E88" i="5" l="1"/>
  <c r="D88" i="5" s="1"/>
  <c r="F88" i="5"/>
  <c r="E89" i="5" l="1"/>
  <c r="D89" i="5" s="1"/>
  <c r="F89" i="5" s="1"/>
  <c r="E90" i="5" l="1"/>
  <c r="D90" i="5" s="1"/>
  <c r="F90" i="5" s="1"/>
  <c r="E91" i="5" l="1"/>
  <c r="D91" i="5" s="1"/>
  <c r="F91" i="5" s="1"/>
  <c r="E92" i="5" l="1"/>
  <c r="D92" i="5" s="1"/>
  <c r="F92" i="5" s="1"/>
  <c r="E93" i="5" l="1"/>
  <c r="D93" i="5" s="1"/>
  <c r="F93" i="5"/>
  <c r="E94" i="5" l="1"/>
  <c r="D94" i="5" s="1"/>
  <c r="F94" i="5"/>
  <c r="E95" i="5" l="1"/>
  <c r="D95" i="5" s="1"/>
  <c r="F95" i="5"/>
  <c r="E96" i="5" l="1"/>
  <c r="D96" i="5" s="1"/>
  <c r="F96" i="5"/>
  <c r="E97" i="5" l="1"/>
  <c r="D97" i="5" s="1"/>
  <c r="F97" i="5" s="1"/>
  <c r="E98" i="5" l="1"/>
  <c r="D98" i="5" s="1"/>
  <c r="F98" i="5" s="1"/>
  <c r="E99" i="5" l="1"/>
  <c r="D99" i="5" s="1"/>
  <c r="F99" i="5" s="1"/>
  <c r="E100" i="5" l="1"/>
  <c r="D100" i="5" s="1"/>
  <c r="F100" i="5" s="1"/>
  <c r="E101" i="5" l="1"/>
  <c r="D101" i="5" s="1"/>
  <c r="F101" i="5"/>
  <c r="E102" i="5" l="1"/>
  <c r="D102" i="5" s="1"/>
  <c r="F102" i="5"/>
  <c r="E103" i="5" l="1"/>
  <c r="D103" i="5" s="1"/>
  <c r="F103" i="5"/>
  <c r="E104" i="5" l="1"/>
  <c r="D104" i="5" s="1"/>
  <c r="F104" i="5"/>
  <c r="E105" i="5" l="1"/>
  <c r="D105" i="5" s="1"/>
  <c r="F105" i="5" s="1"/>
  <c r="E106" i="5" l="1"/>
  <c r="D106" i="5" s="1"/>
  <c r="F106" i="5" s="1"/>
  <c r="E107" i="5" l="1"/>
  <c r="D107" i="5" s="1"/>
  <c r="F107" i="5" s="1"/>
  <c r="E108" i="5" l="1"/>
  <c r="D108" i="5" s="1"/>
  <c r="F108" i="5" s="1"/>
  <c r="E109" i="5" l="1"/>
  <c r="D109" i="5" s="1"/>
  <c r="F109" i="5"/>
  <c r="E110" i="5" l="1"/>
  <c r="D110" i="5" s="1"/>
  <c r="F110" i="5"/>
  <c r="E111" i="5" l="1"/>
  <c r="D111" i="5" s="1"/>
  <c r="F111" i="5"/>
  <c r="E112" i="5" l="1"/>
  <c r="D112" i="5" s="1"/>
  <c r="F112" i="5"/>
  <c r="E113" i="5" l="1"/>
  <c r="D113" i="5" s="1"/>
  <c r="F113" i="5" s="1"/>
  <c r="E114" i="5" l="1"/>
  <c r="D114" i="5" s="1"/>
  <c r="F114" i="5" s="1"/>
  <c r="E115" i="5" l="1"/>
  <c r="D115" i="5" s="1"/>
  <c r="F115" i="5" s="1"/>
  <c r="E116" i="5" l="1"/>
  <c r="D116" i="5" s="1"/>
  <c r="F116" i="5" s="1"/>
  <c r="E117" i="5" l="1"/>
  <c r="D117" i="5" s="1"/>
  <c r="F117" i="5" s="1"/>
  <c r="E118" i="5" l="1"/>
  <c r="D118" i="5" s="1"/>
  <c r="F118" i="5"/>
  <c r="E119" i="5" l="1"/>
  <c r="D119" i="5" s="1"/>
  <c r="F119" i="5"/>
  <c r="E120" i="5" l="1"/>
  <c r="D120" i="5" s="1"/>
  <c r="F120" i="5"/>
  <c r="E121" i="5" l="1"/>
  <c r="D121" i="5" s="1"/>
  <c r="F121" i="5" s="1"/>
  <c r="E122" i="5" l="1"/>
  <c r="D122" i="5" s="1"/>
  <c r="F122" i="5" s="1"/>
  <c r="E123" i="5" l="1"/>
  <c r="D123" i="5" s="1"/>
  <c r="F123" i="5" s="1"/>
  <c r="E124" i="5" l="1"/>
  <c r="D124" i="5" s="1"/>
  <c r="F124" i="5" s="1"/>
  <c r="E125" i="5" l="1"/>
  <c r="D125" i="5" s="1"/>
  <c r="F125" i="5" s="1"/>
  <c r="E126" i="5" l="1"/>
  <c r="D126" i="5" s="1"/>
  <c r="F126" i="5"/>
  <c r="E127" i="5" l="1"/>
  <c r="D127" i="5" s="1"/>
  <c r="F127" i="5"/>
  <c r="E128" i="5" l="1"/>
  <c r="D128" i="5" s="1"/>
  <c r="F128" i="5"/>
  <c r="E129" i="5" l="1"/>
  <c r="D129" i="5" s="1"/>
  <c r="F129" i="5" s="1"/>
  <c r="E130" i="5" l="1"/>
  <c r="D130" i="5" s="1"/>
  <c r="F130" i="5" s="1"/>
  <c r="E131" i="5" l="1"/>
  <c r="D131" i="5" s="1"/>
  <c r="F131" i="5" s="1"/>
  <c r="E132" i="5" l="1"/>
  <c r="D132" i="5" s="1"/>
  <c r="F132" i="5" s="1"/>
  <c r="E133" i="5" l="1"/>
  <c r="D133" i="5" s="1"/>
  <c r="F133" i="5" s="1"/>
  <c r="E134" i="5" l="1"/>
  <c r="D134" i="5" s="1"/>
  <c r="F134" i="5"/>
  <c r="E135" i="5" l="1"/>
  <c r="D135" i="5" s="1"/>
  <c r="F135" i="5"/>
  <c r="E136" i="5" l="1"/>
  <c r="D136" i="5" s="1"/>
  <c r="F136" i="5"/>
  <c r="E137" i="5" l="1"/>
  <c r="D137" i="5" s="1"/>
  <c r="F137" i="5" s="1"/>
  <c r="E138" i="5" l="1"/>
  <c r="D138" i="5" s="1"/>
  <c r="F138" i="5" s="1"/>
  <c r="E139" i="5" l="1"/>
  <c r="D139" i="5" s="1"/>
  <c r="F139" i="5" s="1"/>
  <c r="E140" i="5" l="1"/>
  <c r="D140" i="5" s="1"/>
  <c r="F140" i="5" s="1"/>
  <c r="E141" i="5" l="1"/>
  <c r="D141" i="5" s="1"/>
  <c r="F141" i="5"/>
  <c r="E142" i="5" l="1"/>
  <c r="D142" i="5" s="1"/>
  <c r="F142" i="5"/>
  <c r="E143" i="5" l="1"/>
  <c r="D143" i="5" s="1"/>
  <c r="F143" i="5"/>
  <c r="E144" i="5" l="1"/>
  <c r="D144" i="5" s="1"/>
  <c r="F144" i="5"/>
  <c r="E145" i="5" l="1"/>
  <c r="D145" i="5" s="1"/>
  <c r="F145" i="5" s="1"/>
  <c r="E146" i="5" l="1"/>
  <c r="D146" i="5" s="1"/>
  <c r="F146" i="5" s="1"/>
  <c r="E147" i="5" l="1"/>
  <c r="D147" i="5" s="1"/>
  <c r="F147" i="5" s="1"/>
  <c r="E148" i="5" l="1"/>
  <c r="D148" i="5" s="1"/>
  <c r="F148" i="5" s="1"/>
  <c r="E149" i="5" l="1"/>
  <c r="D149" i="5" s="1"/>
  <c r="F149" i="5" s="1"/>
  <c r="E150" i="5" l="1"/>
  <c r="D150" i="5" s="1"/>
  <c r="F150" i="5"/>
  <c r="E151" i="5" l="1"/>
  <c r="D151" i="5" s="1"/>
  <c r="F151" i="5"/>
  <c r="E152" i="5" l="1"/>
  <c r="D152" i="5" s="1"/>
  <c r="F152" i="5"/>
  <c r="E153" i="5" l="1"/>
  <c r="D153" i="5" s="1"/>
  <c r="F153" i="5" s="1"/>
  <c r="E154" i="5" l="1"/>
  <c r="D154" i="5" s="1"/>
  <c r="F154" i="5" s="1"/>
  <c r="E155" i="5" l="1"/>
  <c r="D155" i="5" s="1"/>
  <c r="F155" i="5" s="1"/>
  <c r="E156" i="5" l="1"/>
  <c r="D156" i="5" s="1"/>
  <c r="F156" i="5" s="1"/>
  <c r="E157" i="5" l="1"/>
  <c r="D157" i="5" s="1"/>
  <c r="F157" i="5"/>
  <c r="E158" i="5" l="1"/>
  <c r="D158" i="5" s="1"/>
  <c r="F158" i="5"/>
  <c r="E159" i="5" l="1"/>
  <c r="D159" i="5" s="1"/>
  <c r="F159" i="5"/>
  <c r="E160" i="5" l="1"/>
  <c r="D160" i="5" s="1"/>
  <c r="F160" i="5"/>
  <c r="E161" i="5" l="1"/>
  <c r="D161" i="5" s="1"/>
  <c r="F161" i="5" s="1"/>
  <c r="E162" i="5" l="1"/>
  <c r="D162" i="5" s="1"/>
  <c r="F162" i="5" s="1"/>
  <c r="E163" i="5" l="1"/>
  <c r="D163" i="5" s="1"/>
  <c r="F163" i="5" s="1"/>
  <c r="E164" i="5" l="1"/>
  <c r="D164" i="5" s="1"/>
  <c r="F164" i="5" s="1"/>
  <c r="E165" i="5" l="1"/>
  <c r="D165" i="5" s="1"/>
  <c r="F165" i="5"/>
  <c r="E166" i="5" l="1"/>
  <c r="D166" i="5" s="1"/>
  <c r="F166" i="5"/>
  <c r="E167" i="5" l="1"/>
  <c r="D167" i="5" s="1"/>
  <c r="F167" i="5"/>
  <c r="E168" i="5" l="1"/>
  <c r="D168" i="5" s="1"/>
  <c r="F168" i="5"/>
  <c r="E169" i="5" l="1"/>
  <c r="D169" i="5" s="1"/>
  <c r="F169" i="5" s="1"/>
  <c r="E170" i="5" l="1"/>
  <c r="D170" i="5" s="1"/>
  <c r="F170" i="5" s="1"/>
  <c r="E171" i="5" l="1"/>
  <c r="D171" i="5" s="1"/>
  <c r="F171" i="5" s="1"/>
  <c r="E172" i="5" l="1"/>
  <c r="D172" i="5" s="1"/>
  <c r="F172" i="5" s="1"/>
  <c r="E173" i="5" l="1"/>
  <c r="D173" i="5" s="1"/>
  <c r="F173" i="5"/>
  <c r="E174" i="5" l="1"/>
  <c r="D174" i="5" s="1"/>
  <c r="F174" i="5"/>
  <c r="E175" i="5" l="1"/>
  <c r="D175" i="5" s="1"/>
  <c r="F175" i="5"/>
  <c r="E176" i="5" l="1"/>
  <c r="D176" i="5" s="1"/>
  <c r="F176" i="5"/>
  <c r="E177" i="5" l="1"/>
  <c r="D177" i="5" s="1"/>
  <c r="F177" i="5" s="1"/>
  <c r="E178" i="5" l="1"/>
  <c r="D178" i="5" s="1"/>
  <c r="F178" i="5" s="1"/>
  <c r="E179" i="5" l="1"/>
  <c r="D179" i="5" s="1"/>
  <c r="F179" i="5" s="1"/>
  <c r="E180" i="5" l="1"/>
  <c r="D180" i="5" s="1"/>
  <c r="F180" i="5" s="1"/>
  <c r="E181" i="5" l="1"/>
  <c r="D181" i="5" s="1"/>
  <c r="F181" i="5"/>
  <c r="E182" i="5" l="1"/>
  <c r="D182" i="5" s="1"/>
  <c r="F182" i="5"/>
  <c r="E183" i="5" l="1"/>
  <c r="D183" i="5" s="1"/>
  <c r="F183" i="5"/>
  <c r="E184" i="5" l="1"/>
  <c r="D184" i="5" s="1"/>
  <c r="F184" i="5"/>
  <c r="E185" i="5" l="1"/>
  <c r="D185" i="5" s="1"/>
  <c r="F185" i="5" s="1"/>
  <c r="E186" i="5" l="1"/>
  <c r="D186" i="5" s="1"/>
  <c r="F186" i="5" s="1"/>
  <c r="E187" i="5" l="1"/>
  <c r="D187" i="5" s="1"/>
  <c r="F187" i="5" s="1"/>
  <c r="E188" i="5" l="1"/>
  <c r="D188" i="5" s="1"/>
  <c r="F188" i="5" s="1"/>
  <c r="E189" i="5" l="1"/>
  <c r="D189" i="5" s="1"/>
  <c r="F189" i="5" s="1"/>
  <c r="E190" i="5" l="1"/>
  <c r="D190" i="5" s="1"/>
  <c r="F190" i="5" s="1"/>
</calcChain>
</file>

<file path=xl/sharedStrings.xml><?xml version="1.0" encoding="utf-8"?>
<sst xmlns="http://schemas.openxmlformats.org/spreadsheetml/2006/main" count="289" uniqueCount="180">
  <si>
    <t>CIFRAS EXPRESADAS EN MILES DE PESOS</t>
  </si>
  <si>
    <t>CUENTA</t>
  </si>
  <si>
    <t>1105 CAJA</t>
  </si>
  <si>
    <t>1110 BANCOS</t>
  </si>
  <si>
    <t>1120 CUENTAS DE AHORRO</t>
  </si>
  <si>
    <t>11 SUBTOTAL DISPONIBLE</t>
  </si>
  <si>
    <t xml:space="preserve">12 INVERSIONES </t>
  </si>
  <si>
    <t xml:space="preserve">1305 CLIENTES </t>
  </si>
  <si>
    <t>1330 ANTICIPOS Y AVANCES (CP)</t>
  </si>
  <si>
    <t>1340 PROMESAS DE COMPRAVENTA (CP)</t>
  </si>
  <si>
    <t>1350 RETENCIÃ“N SOBRE CONTRATOS (CP)</t>
  </si>
  <si>
    <t>1355 ANTICIPO DE IMPTOS. Y CONTRIB.O SALDOS A FAVOR (CP)</t>
  </si>
  <si>
    <t>1365 CUENTAS POR COBRAR A TRABAJADORES (CP)</t>
  </si>
  <si>
    <t>1380 DEUDORES VARIOS (CP)</t>
  </si>
  <si>
    <t>1399 PROVISIONES (CP)</t>
  </si>
  <si>
    <t>13 SUBTOTAL DEUDORES (CP)</t>
  </si>
  <si>
    <t xml:space="preserve">1405 MATERIAS PRIMAS </t>
  </si>
  <si>
    <t>1420 CONTRATOS EN EJECUCIÃ“N (CP)</t>
  </si>
  <si>
    <t>1455 MATERIALES, REPUESTOS Y ACCESORIOS (CP)</t>
  </si>
  <si>
    <t>14 SUBTOTAL INVENTARIOS (CP)</t>
  </si>
  <si>
    <t>1710 CARGOS DIFERIDOS (CP)</t>
  </si>
  <si>
    <t>17 SUBTOTAL DIFERIDO (CP)</t>
  </si>
  <si>
    <t>TOTAL ACTIVO CORRIENTE</t>
  </si>
  <si>
    <t>15 PROPIEDADES PLANTA Y EQUIPO</t>
  </si>
  <si>
    <t>TOTAL ACTIVO NO CORRIENTE</t>
  </si>
  <si>
    <t>TOTAL ACTIVO</t>
  </si>
  <si>
    <t>21 OBLIGACIONES FINANCIERAS (CP)</t>
  </si>
  <si>
    <t>22 PROVEEDORES (CP)</t>
  </si>
  <si>
    <t>2335 COSTOS Y GASTOS POR PAGAR (CP)</t>
  </si>
  <si>
    <t>2360 DIVIDENDOS O PARTICIPACIONES POR PAGAR (CP)</t>
  </si>
  <si>
    <t>2365 RETENCIÃ“N EN LA FUENTE (CP)</t>
  </si>
  <si>
    <t>2370 RETENCIONES Y APORTES DE NÃ“MINA (CP)</t>
  </si>
  <si>
    <t>2380 ACREEDORES (CP)</t>
  </si>
  <si>
    <t>23 SUBTOTAL CUENTAS POR PAGAR (CP)</t>
  </si>
  <si>
    <t>24 IMPUESTOS GRAVÃMENES Y TASAS (CP)</t>
  </si>
  <si>
    <t>25 OBLIGACIONES LABORALES (CP)</t>
  </si>
  <si>
    <t>2805 ANTICIPOS Y AVANCES RECIBIDOS (CP)</t>
  </si>
  <si>
    <t>2810 DEPÃ“SITOS RECIBIDOS (CP)</t>
  </si>
  <si>
    <t>28 SUBTOTAL OTROS PASIVOS (CP)</t>
  </si>
  <si>
    <t>TOTAL PASIVO CORRIENTE</t>
  </si>
  <si>
    <t xml:space="preserve">21 OBLIGACIONES FINANCIERAS </t>
  </si>
  <si>
    <t>TOTAL PASIVO NO CORRIENTE</t>
  </si>
  <si>
    <t>TOTAL PASIVO</t>
  </si>
  <si>
    <t xml:space="preserve">3105 CAPITAL SUSCRITO Y PAGADO </t>
  </si>
  <si>
    <t>31 SUBTOTAL CAPITAL SOCIAL</t>
  </si>
  <si>
    <t xml:space="preserve">33 RESERVAS </t>
  </si>
  <si>
    <t>34 REVALORIZACIÃ“N DEL PATRIMONIO</t>
  </si>
  <si>
    <t>36 RESULTADOS DEL EJERCICIO</t>
  </si>
  <si>
    <t>3705 UTILIDADES ACUMULADAS</t>
  </si>
  <si>
    <t>37 RESULTADOS DE EJERCICIOS ANTERIORES</t>
  </si>
  <si>
    <t>TOTAL PATRIMONIO</t>
  </si>
  <si>
    <t>TOTAL PASIVO Y PATRIMONIO</t>
  </si>
  <si>
    <t>Estado de Situación Financiera</t>
  </si>
  <si>
    <t>Año3</t>
  </si>
  <si>
    <t>Año2</t>
  </si>
  <si>
    <t>Año 1</t>
  </si>
  <si>
    <t>Empresa XYZ</t>
  </si>
  <si>
    <t>Saldo a 31 de dic del año  1</t>
  </si>
  <si>
    <t>A CORTE 31 DICIEMBRE DEL AÑO 3</t>
  </si>
  <si>
    <t>Total</t>
  </si>
  <si>
    <t>Resultado del periodo</t>
  </si>
  <si>
    <t>Traslado a utilidad acumulada</t>
  </si>
  <si>
    <t xml:space="preserve">Capital Suscrito Y Pagado </t>
  </si>
  <si>
    <t xml:space="preserve">Reservas </t>
  </si>
  <si>
    <t>Revalorización Del Patrimonio</t>
  </si>
  <si>
    <t>Resultados Del Ejercicio</t>
  </si>
  <si>
    <t>Utilidades Acumuladas</t>
  </si>
  <si>
    <t>Reparto de dividendos</t>
  </si>
  <si>
    <t>Sando a 31 de dic del año 2</t>
  </si>
  <si>
    <t>Movimientos del periodo 2</t>
  </si>
  <si>
    <t>Movimientos del periodo 3</t>
  </si>
  <si>
    <t>Sando a 31 de dic del año 3</t>
  </si>
  <si>
    <t>Estado de Cambios en el Patrimonio</t>
  </si>
  <si>
    <t>Nota: la empresa reparte dividendos en el año 2 por valor de</t>
  </si>
  <si>
    <t>Código</t>
  </si>
  <si>
    <t>La empresa recibe el 60% del saldo de los clientes a 31 de diciembre del año anterior en bancos</t>
  </si>
  <si>
    <t>Detalle</t>
  </si>
  <si>
    <t>Débito</t>
  </si>
  <si>
    <t>Crédito</t>
  </si>
  <si>
    <t>Clientes</t>
  </si>
  <si>
    <t>Bancos</t>
  </si>
  <si>
    <t>Mercancía</t>
  </si>
  <si>
    <t>IVA Descontable</t>
  </si>
  <si>
    <t>Retefuente</t>
  </si>
  <si>
    <t>Proveedores</t>
  </si>
  <si>
    <t>Vende el 55% del inventario que compró en el punto anterior, más utilidad del 35%, a GC a crédito</t>
  </si>
  <si>
    <t>Compra inventario para la venta por valor 100 millones más iva a Responsable a crédito</t>
  </si>
  <si>
    <t>IVA Generado</t>
  </si>
  <si>
    <t>Reteica</t>
  </si>
  <si>
    <t>Reteiva</t>
  </si>
  <si>
    <t>CMV</t>
  </si>
  <si>
    <t>Ingresos</t>
  </si>
  <si>
    <t>Recibe el 70% del dinero de la venta anterior y paga el 65% de la deuda a proveedores a la fecha</t>
  </si>
  <si>
    <t>Paga nómina por el salario mínimo y causa prestaciones</t>
  </si>
  <si>
    <t>Salario</t>
  </si>
  <si>
    <t>AT</t>
  </si>
  <si>
    <t>Prima</t>
  </si>
  <si>
    <t>Vacaciones</t>
  </si>
  <si>
    <t>Cesantías</t>
  </si>
  <si>
    <t>Intereses a las cesantías</t>
  </si>
  <si>
    <t>Salud</t>
  </si>
  <si>
    <t>Pensión</t>
  </si>
  <si>
    <t>Aux Tpte</t>
  </si>
  <si>
    <t>Beneficios a los empleados</t>
  </si>
  <si>
    <t>Gto por pensión</t>
  </si>
  <si>
    <t>Prima de servicios</t>
  </si>
  <si>
    <t>Int. Cesantías</t>
  </si>
  <si>
    <t>VP</t>
  </si>
  <si>
    <t>n</t>
  </si>
  <si>
    <t>años</t>
  </si>
  <si>
    <t>i</t>
  </si>
  <si>
    <t>EA</t>
  </si>
  <si>
    <t>Meses</t>
  </si>
  <si>
    <t>ip</t>
  </si>
  <si>
    <t>Mensual</t>
  </si>
  <si>
    <t>Periodo</t>
  </si>
  <si>
    <t>Cuota</t>
  </si>
  <si>
    <t>Capital</t>
  </si>
  <si>
    <t>Interés</t>
  </si>
  <si>
    <t>Saldo</t>
  </si>
  <si>
    <t>Obl. Fras</t>
  </si>
  <si>
    <t>Paga cuotas de las ob fras</t>
  </si>
  <si>
    <t>Recibe el 90% de la venta por banco, y paga el 85% de la deuda por la compra anterior</t>
  </si>
  <si>
    <t>Reparte el 2% de las utilidades acumuladas en dividendos</t>
  </si>
  <si>
    <t>Traslada los resultados del periodo a resultados acumulados</t>
  </si>
  <si>
    <t>Compra a crédito 900 millones de inventario y vende el 95% del saldo de la mercancía con un 35% de utilidad</t>
  </si>
  <si>
    <t>Dividendos O Participaciones Por Pagar (Cp)</t>
  </si>
  <si>
    <t>Utilidades del periodo</t>
  </si>
  <si>
    <t>Balance de prueba</t>
  </si>
  <si>
    <t>A CORTE 31 DICIEMBRE DEL AÑO 4</t>
  </si>
  <si>
    <t>Saldo inicial</t>
  </si>
  <si>
    <t>Saldo Final</t>
  </si>
  <si>
    <t>Código alterno</t>
  </si>
  <si>
    <t>Largo</t>
  </si>
  <si>
    <t>1305</t>
  </si>
  <si>
    <t>1120</t>
  </si>
  <si>
    <t>1435</t>
  </si>
  <si>
    <t>2408</t>
  </si>
  <si>
    <t>2365</t>
  </si>
  <si>
    <t>2201</t>
  </si>
  <si>
    <t>1355</t>
  </si>
  <si>
    <t>6135</t>
  </si>
  <si>
    <t>4135</t>
  </si>
  <si>
    <t>5105</t>
  </si>
  <si>
    <t>2370</t>
  </si>
  <si>
    <t>2380</t>
  </si>
  <si>
    <t>2505</t>
  </si>
  <si>
    <t>2520</t>
  </si>
  <si>
    <t>2525</t>
  </si>
  <si>
    <t>2510</t>
  </si>
  <si>
    <t>2515</t>
  </si>
  <si>
    <t>5305</t>
  </si>
  <si>
    <t>2105</t>
  </si>
  <si>
    <t>3705</t>
  </si>
  <si>
    <t>2360</t>
  </si>
  <si>
    <t>3605</t>
  </si>
  <si>
    <t>1</t>
  </si>
  <si>
    <t>13</t>
  </si>
  <si>
    <t>11</t>
  </si>
  <si>
    <t>14</t>
  </si>
  <si>
    <t>2</t>
  </si>
  <si>
    <t>24</t>
  </si>
  <si>
    <t>23</t>
  </si>
  <si>
    <t>22</t>
  </si>
  <si>
    <t>6</t>
  </si>
  <si>
    <t>61</t>
  </si>
  <si>
    <t>4</t>
  </si>
  <si>
    <t>41</t>
  </si>
  <si>
    <t>5</t>
  </si>
  <si>
    <t>51</t>
  </si>
  <si>
    <t>25</t>
  </si>
  <si>
    <t>53</t>
  </si>
  <si>
    <t>21</t>
  </si>
  <si>
    <t>3</t>
  </si>
  <si>
    <t>37</t>
  </si>
  <si>
    <t>36</t>
  </si>
  <si>
    <t>1. Deben colocar los detaller de todas las cuentas</t>
  </si>
  <si>
    <t>2. Deben agregar las cuentas que estasn en el ESF y no relacionadas aquí</t>
  </si>
  <si>
    <t>Tarea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</si>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</sst>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0"/>
      <name val="Arial Unicode MS"/>
      <family val="2"/>
    </font>
    <font>
      <sz val="10"/>
      <name val="Arial Unicode MS"/>
      <family val="2"/>
    </font>
    <font>
      <b/>
      <sz val="11"/>
      <color theme="1"/>
      <name val="Calibri"/>
      <family val="2"/>
      <scheme val="minor"/>
    </font>
    <font>
      <b/>
      <sz val="10"/>
      <name val="Arial Unicode MS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0" fontId="3" fillId="0" borderId="0" xfId="0" applyFont="1"/>
    <xf numFmtId="0" fontId="3" fillId="0" borderId="5" xfId="0" applyFont="1" applyBorder="1"/>
    <xf numFmtId="3" fontId="3" fillId="0" borderId="6" xfId="0" applyNumberFormat="1" applyFont="1" applyBorder="1"/>
    <xf numFmtId="0" fontId="3" fillId="0" borderId="6" xfId="0" applyFont="1" applyBorder="1"/>
    <xf numFmtId="0" fontId="0" fillId="0" borderId="5" xfId="0" applyBorder="1"/>
    <xf numFmtId="3" fontId="0" fillId="0" borderId="0" xfId="0" applyNumberFormat="1"/>
    <xf numFmtId="0" fontId="3" fillId="3" borderId="7" xfId="0" applyFont="1" applyFill="1" applyBorder="1"/>
    <xf numFmtId="3" fontId="3" fillId="3" borderId="8" xfId="0" applyNumberFormat="1" applyFont="1" applyFill="1" applyBorder="1"/>
    <xf numFmtId="3" fontId="3" fillId="3" borderId="9" xfId="0" applyNumberFormat="1" applyFont="1" applyFill="1" applyBorder="1"/>
    <xf numFmtId="0" fontId="3" fillId="3" borderId="12" xfId="0" applyFont="1" applyFill="1" applyBorder="1"/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1" fillId="3" borderId="16" xfId="0" applyNumberFormat="1" applyFont="1" applyFill="1" applyBorder="1" applyAlignment="1">
      <alignment horizontal="right"/>
    </xf>
    <xf numFmtId="0" fontId="0" fillId="4" borderId="3" xfId="0" applyFill="1" applyBorder="1"/>
    <xf numFmtId="0" fontId="4" fillId="4" borderId="15" xfId="0" applyFont="1" applyFill="1" applyBorder="1" applyAlignment="1">
      <alignment horizontal="left" wrapText="1"/>
    </xf>
    <xf numFmtId="0" fontId="1" fillId="4" borderId="15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3" fontId="3" fillId="5" borderId="0" xfId="0" applyNumberFormat="1" applyFont="1" applyFill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43" fontId="3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3" fillId="0" borderId="17" xfId="0" applyFont="1" applyBorder="1"/>
    <xf numFmtId="0" fontId="0" fillId="0" borderId="17" xfId="0" applyBorder="1"/>
    <xf numFmtId="3" fontId="0" fillId="0" borderId="17" xfId="0" applyNumberFormat="1" applyBorder="1"/>
    <xf numFmtId="8" fontId="0" fillId="0" borderId="17" xfId="0" applyNumberFormat="1" applyBorder="1"/>
    <xf numFmtId="43" fontId="0" fillId="0" borderId="17" xfId="1" applyFont="1" applyBorder="1"/>
    <xf numFmtId="8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0" fontId="3" fillId="5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46CC-B533-4E8B-A0FC-61EF15C69103}">
  <dimension ref="B3:D12"/>
  <sheetViews>
    <sheetView zoomScale="130" zoomScaleNormal="130" workbookViewId="0">
      <selection activeCell="G28" sqref="G28"/>
    </sheetView>
  </sheetViews>
  <sheetFormatPr baseColWidth="10" defaultRowHeight="15"/>
  <cols>
    <col min="2" max="2" width="20.85546875" bestFit="1" customWidth="1"/>
    <col min="3" max="3" width="13.85546875" bestFit="1" customWidth="1"/>
  </cols>
  <sheetData>
    <row r="3" spans="2:4">
      <c r="B3" t="s">
        <v>94</v>
      </c>
      <c r="C3" s="30">
        <v>1160000</v>
      </c>
    </row>
    <row r="4" spans="2:4">
      <c r="B4" t="s">
        <v>95</v>
      </c>
      <c r="C4" s="30">
        <v>140606</v>
      </c>
    </row>
    <row r="5" spans="2:4">
      <c r="B5" s="10" t="s">
        <v>59</v>
      </c>
      <c r="C5" s="34">
        <f>SUM(C3:C4)</f>
        <v>1300606</v>
      </c>
    </row>
    <row r="7" spans="2:4">
      <c r="B7" s="10" t="s">
        <v>100</v>
      </c>
      <c r="C7">
        <v>0</v>
      </c>
      <c r="D7" s="32">
        <f>C3*4%</f>
        <v>46400</v>
      </c>
    </row>
    <row r="8" spans="2:4">
      <c r="B8" s="10" t="s">
        <v>101</v>
      </c>
      <c r="C8" s="32">
        <f>C3*8%</f>
        <v>92800</v>
      </c>
      <c r="D8" s="32">
        <f>C3*4%</f>
        <v>46400</v>
      </c>
    </row>
    <row r="9" spans="2:4">
      <c r="B9" t="s">
        <v>96</v>
      </c>
      <c r="C9" s="32">
        <f>C5*30/360</f>
        <v>108383.83333333333</v>
      </c>
    </row>
    <row r="10" spans="2:4">
      <c r="B10" t="s">
        <v>97</v>
      </c>
      <c r="C10" s="32">
        <f>C3*30/720</f>
        <v>48333.333333333336</v>
      </c>
    </row>
    <row r="11" spans="2:4">
      <c r="B11" t="s">
        <v>98</v>
      </c>
      <c r="C11" s="32">
        <f>C9</f>
        <v>108383.83333333333</v>
      </c>
    </row>
    <row r="12" spans="2:4">
      <c r="B12" t="s">
        <v>99</v>
      </c>
      <c r="C12" s="32">
        <f>C11*30/360*12%</f>
        <v>1083.8383333333334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98D4-1575-4FDE-BA7F-3ED9BB96D749}">
  <dimension ref="B2:G190"/>
  <sheetViews>
    <sheetView tabSelected="1" zoomScale="130" zoomScaleNormal="130" workbookViewId="0">
      <selection activeCell="G12" sqref="G12"/>
    </sheetView>
  </sheetViews>
  <sheetFormatPr baseColWidth="10" defaultRowHeight="15"/>
  <cols>
    <col min="3" max="4" width="14.28515625" bestFit="1" customWidth="1"/>
    <col min="5" max="5" width="14" bestFit="1" customWidth="1"/>
    <col min="6" max="6" width="16.85546875" bestFit="1" customWidth="1"/>
    <col min="7" max="7" width="15.140625" bestFit="1" customWidth="1"/>
  </cols>
  <sheetData>
    <row r="2" spans="2:7">
      <c r="B2" t="s">
        <v>107</v>
      </c>
      <c r="C2" s="15">
        <f>ESF!F32</f>
        <v>1903233000</v>
      </c>
    </row>
    <row r="3" spans="2:7">
      <c r="B3" t="s">
        <v>108</v>
      </c>
      <c r="C3">
        <v>15</v>
      </c>
      <c r="D3" t="s">
        <v>109</v>
      </c>
    </row>
    <row r="4" spans="2:7">
      <c r="B4" t="s">
        <v>108</v>
      </c>
      <c r="C4">
        <f>C3*12</f>
        <v>180</v>
      </c>
      <c r="D4" t="s">
        <v>112</v>
      </c>
    </row>
    <row r="5" spans="2:7">
      <c r="B5" t="s">
        <v>110</v>
      </c>
      <c r="C5" s="35">
        <v>0.12</v>
      </c>
      <c r="D5" t="s">
        <v>111</v>
      </c>
    </row>
    <row r="6" spans="2:7">
      <c r="B6" t="s">
        <v>113</v>
      </c>
      <c r="C6" s="36">
        <f>NOMINAL(C5,12)/12</f>
        <v>9.4887929345830457E-3</v>
      </c>
      <c r="D6" t="s">
        <v>114</v>
      </c>
    </row>
    <row r="9" spans="2:7">
      <c r="B9" s="37" t="s">
        <v>115</v>
      </c>
      <c r="C9" s="37" t="s">
        <v>116</v>
      </c>
      <c r="D9" s="37" t="s">
        <v>117</v>
      </c>
      <c r="E9" s="37" t="s">
        <v>118</v>
      </c>
      <c r="F9" s="37" t="s">
        <v>119</v>
      </c>
    </row>
    <row r="10" spans="2:7">
      <c r="B10" s="38">
        <v>0</v>
      </c>
      <c r="C10" s="38">
        <v>0</v>
      </c>
      <c r="D10" s="38">
        <v>0</v>
      </c>
      <c r="E10" s="38">
        <v>0</v>
      </c>
      <c r="F10" s="39">
        <f>C2</f>
        <v>1903233000</v>
      </c>
    </row>
    <row r="11" spans="2:7">
      <c r="B11" s="38">
        <v>1</v>
      </c>
      <c r="C11" s="40">
        <f>PMT($C$6,$C$4,-$C$2)</f>
        <v>22096294.177241091</v>
      </c>
      <c r="D11" s="40">
        <f>C11-E11</f>
        <v>4036910.3339757957</v>
      </c>
      <c r="E11" s="41">
        <f>F10*$C$6</f>
        <v>18059383.843265295</v>
      </c>
      <c r="F11" s="40">
        <f>F10-D11</f>
        <v>1899196089.6660242</v>
      </c>
    </row>
    <row r="12" spans="2:7">
      <c r="B12" s="38">
        <v>2</v>
      </c>
      <c r="C12" s="40">
        <f t="shared" ref="C12:C75" si="0">PMT($C$6,$C$4,-$C$2)</f>
        <v>22096294.177241091</v>
      </c>
      <c r="D12" s="40">
        <f t="shared" ref="D12:D75" si="1">C12-E12</f>
        <v>4075215.7402303703</v>
      </c>
      <c r="E12" s="41">
        <f t="shared" ref="E12:E75" si="2">F11*$C$6</f>
        <v>18021078.43701072</v>
      </c>
      <c r="F12" s="40">
        <f t="shared" ref="F12:F75" si="3">F11-D12</f>
        <v>1895120873.9257939</v>
      </c>
      <c r="G12" s="32">
        <f>SUM(E11:E22)</f>
        <v>214102752.03205878</v>
      </c>
    </row>
    <row r="13" spans="2:7">
      <c r="B13" s="38">
        <v>3</v>
      </c>
      <c r="C13" s="40">
        <f t="shared" si="0"/>
        <v>22096294.177241091</v>
      </c>
      <c r="D13" s="40">
        <f t="shared" si="1"/>
        <v>4113884.6185531691</v>
      </c>
      <c r="E13" s="41">
        <f t="shared" si="2"/>
        <v>17982409.558687922</v>
      </c>
      <c r="F13" s="40">
        <f t="shared" si="3"/>
        <v>1891006989.3072407</v>
      </c>
    </row>
    <row r="14" spans="2:7">
      <c r="B14" s="38">
        <v>4</v>
      </c>
      <c r="C14" s="40">
        <f t="shared" si="0"/>
        <v>22096294.177241091</v>
      </c>
      <c r="D14" s="40">
        <f t="shared" si="1"/>
        <v>4152920.4178553894</v>
      </c>
      <c r="E14" s="41">
        <f t="shared" si="2"/>
        <v>17943373.759385701</v>
      </c>
      <c r="F14" s="40">
        <f t="shared" si="3"/>
        <v>1886854068.8893852</v>
      </c>
    </row>
    <row r="15" spans="2:7">
      <c r="B15" s="38">
        <v>5</v>
      </c>
      <c r="C15" s="40">
        <f t="shared" si="0"/>
        <v>22096294.177241091</v>
      </c>
      <c r="D15" s="40">
        <f t="shared" si="1"/>
        <v>4192326.6197742224</v>
      </c>
      <c r="E15" s="41">
        <f t="shared" si="2"/>
        <v>17903967.557466868</v>
      </c>
      <c r="F15" s="40">
        <f t="shared" si="3"/>
        <v>1882661742.2696109</v>
      </c>
    </row>
    <row r="16" spans="2:7">
      <c r="B16" s="38">
        <v>6</v>
      </c>
      <c r="C16" s="40">
        <f t="shared" si="0"/>
        <v>22096294.177241091</v>
      </c>
      <c r="D16" s="40">
        <f t="shared" si="1"/>
        <v>4232106.7389834002</v>
      </c>
      <c r="E16" s="41">
        <f t="shared" si="2"/>
        <v>17864187.438257691</v>
      </c>
      <c r="F16" s="40">
        <f t="shared" si="3"/>
        <v>1878429635.5306275</v>
      </c>
    </row>
    <row r="17" spans="2:6">
      <c r="B17" s="38">
        <v>7</v>
      </c>
      <c r="C17" s="40">
        <f t="shared" si="0"/>
        <v>22096294.177241091</v>
      </c>
      <c r="D17" s="40">
        <f t="shared" si="1"/>
        <v>4272264.3235066682</v>
      </c>
      <c r="E17" s="41">
        <f t="shared" si="2"/>
        <v>17824029.853734422</v>
      </c>
      <c r="F17" s="40">
        <f t="shared" si="3"/>
        <v>1874157371.2071209</v>
      </c>
    </row>
    <row r="18" spans="2:6">
      <c r="B18" s="38">
        <v>8</v>
      </c>
      <c r="C18" s="40">
        <f t="shared" si="0"/>
        <v>22096294.177241091</v>
      </c>
      <c r="D18" s="40">
        <f t="shared" si="1"/>
        <v>4312802.9550342262</v>
      </c>
      <c r="E18" s="41">
        <f t="shared" si="2"/>
        <v>17783491.222206865</v>
      </c>
      <c r="F18" s="40">
        <f t="shared" si="3"/>
        <v>1869844568.2520866</v>
      </c>
    </row>
    <row r="19" spans="2:6">
      <c r="B19" s="38">
        <v>9</v>
      </c>
      <c r="C19" s="40">
        <f t="shared" si="0"/>
        <v>22096294.177241091</v>
      </c>
      <c r="D19" s="40">
        <f t="shared" si="1"/>
        <v>4353726.2492422052</v>
      </c>
      <c r="E19" s="41">
        <f t="shared" si="2"/>
        <v>17742567.927998886</v>
      </c>
      <c r="F19" s="40">
        <f t="shared" si="3"/>
        <v>1865490842.0028443</v>
      </c>
    </row>
    <row r="20" spans="2:6">
      <c r="B20" s="38">
        <v>10</v>
      </c>
      <c r="C20" s="40">
        <f t="shared" si="0"/>
        <v>22096294.177241091</v>
      </c>
      <c r="D20" s="40">
        <f t="shared" si="1"/>
        <v>4395037.8561151251</v>
      </c>
      <c r="E20" s="41">
        <f t="shared" si="2"/>
        <v>17701256.321125966</v>
      </c>
      <c r="F20" s="40">
        <f t="shared" si="3"/>
        <v>1861095804.1467292</v>
      </c>
    </row>
    <row r="21" spans="2:6">
      <c r="B21" s="38">
        <v>11</v>
      </c>
      <c r="C21" s="40">
        <f t="shared" si="0"/>
        <v>22096294.177241091</v>
      </c>
      <c r="D21" s="40">
        <f t="shared" si="1"/>
        <v>4436741.4602714553</v>
      </c>
      <c r="E21" s="41">
        <f t="shared" si="2"/>
        <v>17659552.716969635</v>
      </c>
      <c r="F21" s="40">
        <f t="shared" si="3"/>
        <v>1856659062.6864579</v>
      </c>
    </row>
    <row r="22" spans="2:6">
      <c r="B22" s="38">
        <v>12</v>
      </c>
      <c r="C22" s="40">
        <f t="shared" si="0"/>
        <v>22096294.177241091</v>
      </c>
      <c r="D22" s="40">
        <f t="shared" si="1"/>
        <v>4478840.7812922485</v>
      </c>
      <c r="E22" s="41">
        <f t="shared" si="2"/>
        <v>17617453.395948842</v>
      </c>
      <c r="F22" s="40">
        <f t="shared" si="3"/>
        <v>1852180221.9051657</v>
      </c>
    </row>
    <row r="23" spans="2:6">
      <c r="B23" s="38">
        <v>13</v>
      </c>
      <c r="C23" s="40">
        <f t="shared" si="0"/>
        <v>22096294.177241091</v>
      </c>
      <c r="D23" s="40">
        <f t="shared" si="1"/>
        <v>4521339.5740528964</v>
      </c>
      <c r="E23" s="41">
        <f t="shared" si="2"/>
        <v>17574954.603188194</v>
      </c>
      <c r="F23" s="40">
        <f t="shared" si="3"/>
        <v>1847658882.3311129</v>
      </c>
    </row>
    <row r="24" spans="2:6">
      <c r="B24" s="38">
        <v>14</v>
      </c>
      <c r="C24" s="40">
        <f t="shared" si="0"/>
        <v>22096294.177241091</v>
      </c>
      <c r="D24" s="40">
        <f t="shared" si="1"/>
        <v>4564241.6290580183</v>
      </c>
      <c r="E24" s="41">
        <f t="shared" si="2"/>
        <v>17532052.548183072</v>
      </c>
      <c r="F24" s="40">
        <f t="shared" si="3"/>
        <v>1843094640.7020547</v>
      </c>
    </row>
    <row r="25" spans="2:6">
      <c r="B25" s="38">
        <v>15</v>
      </c>
      <c r="C25" s="40">
        <f t="shared" si="0"/>
        <v>22096294.177241091</v>
      </c>
      <c r="D25" s="40">
        <f t="shared" si="1"/>
        <v>4607550.7727795579</v>
      </c>
      <c r="E25" s="41">
        <f t="shared" si="2"/>
        <v>17488743.404461533</v>
      </c>
      <c r="F25" s="40">
        <f t="shared" si="3"/>
        <v>1838487089.9292753</v>
      </c>
    </row>
    <row r="26" spans="2:6">
      <c r="B26" s="38">
        <v>16</v>
      </c>
      <c r="C26" s="40">
        <f t="shared" si="0"/>
        <v>22096294.177241091</v>
      </c>
      <c r="D26" s="40">
        <f t="shared" si="1"/>
        <v>4651270.8679980375</v>
      </c>
      <c r="E26" s="41">
        <f t="shared" si="2"/>
        <v>17445023.309243053</v>
      </c>
      <c r="F26" s="40">
        <f t="shared" si="3"/>
        <v>1833835819.0612772</v>
      </c>
    </row>
    <row r="27" spans="2:6">
      <c r="B27" s="38">
        <v>17</v>
      </c>
      <c r="C27" s="40">
        <f t="shared" si="0"/>
        <v>22096294.177241091</v>
      </c>
      <c r="D27" s="40">
        <f t="shared" si="1"/>
        <v>4695405.8141471297</v>
      </c>
      <c r="E27" s="41">
        <f t="shared" si="2"/>
        <v>17400888.363093961</v>
      </c>
      <c r="F27" s="40">
        <f t="shared" si="3"/>
        <v>1829140413.2471299</v>
      </c>
    </row>
    <row r="28" spans="2:6">
      <c r="B28" s="38">
        <v>18</v>
      </c>
      <c r="C28" s="40">
        <f t="shared" si="0"/>
        <v>22096294.177241091</v>
      </c>
      <c r="D28" s="40">
        <f t="shared" si="1"/>
        <v>4739959.5476614125</v>
      </c>
      <c r="E28" s="41">
        <f t="shared" si="2"/>
        <v>17356334.629579678</v>
      </c>
      <c r="F28" s="40">
        <f t="shared" si="3"/>
        <v>1824400453.6994686</v>
      </c>
    </row>
    <row r="29" spans="2:6">
      <c r="B29" s="38">
        <v>19</v>
      </c>
      <c r="C29" s="40">
        <f t="shared" si="0"/>
        <v>22096294.177241091</v>
      </c>
      <c r="D29" s="40">
        <f t="shared" si="1"/>
        <v>4784936.0423274711</v>
      </c>
      <c r="E29" s="41">
        <f t="shared" si="2"/>
        <v>17311358.13491362</v>
      </c>
      <c r="F29" s="40">
        <f t="shared" si="3"/>
        <v>1819615517.6571412</v>
      </c>
    </row>
    <row r="30" spans="2:6">
      <c r="B30" s="38">
        <v>20</v>
      </c>
      <c r="C30" s="40">
        <f t="shared" si="0"/>
        <v>22096294.177241091</v>
      </c>
      <c r="D30" s="40">
        <f t="shared" si="1"/>
        <v>4830339.3096383363</v>
      </c>
      <c r="E30" s="41">
        <f t="shared" si="2"/>
        <v>17265954.867602754</v>
      </c>
      <c r="F30" s="40">
        <f t="shared" si="3"/>
        <v>1814785178.3475029</v>
      </c>
    </row>
    <row r="31" spans="2:6">
      <c r="B31" s="38">
        <v>21</v>
      </c>
      <c r="C31" s="40">
        <f t="shared" si="0"/>
        <v>22096294.177241091</v>
      </c>
      <c r="D31" s="40">
        <f t="shared" si="1"/>
        <v>4876173.3991512731</v>
      </c>
      <c r="E31" s="41">
        <f t="shared" si="2"/>
        <v>17220120.778089818</v>
      </c>
      <c r="F31" s="40">
        <f t="shared" si="3"/>
        <v>1809909004.9483516</v>
      </c>
    </row>
    <row r="32" spans="2:6">
      <c r="B32" s="38">
        <v>22</v>
      </c>
      <c r="C32" s="40">
        <f t="shared" si="0"/>
        <v>22096294.177241091</v>
      </c>
      <c r="D32" s="40">
        <f t="shared" si="1"/>
        <v>4922442.3988489397</v>
      </c>
      <c r="E32" s="41">
        <f t="shared" si="2"/>
        <v>17173851.778392151</v>
      </c>
      <c r="F32" s="40">
        <f t="shared" si="3"/>
        <v>1804986562.5495026</v>
      </c>
    </row>
    <row r="33" spans="2:6">
      <c r="B33" s="38">
        <v>23</v>
      </c>
      <c r="C33" s="40">
        <f t="shared" si="0"/>
        <v>22096294.177241091</v>
      </c>
      <c r="D33" s="40">
        <f t="shared" si="1"/>
        <v>4969150.4355040304</v>
      </c>
      <c r="E33" s="41">
        <f t="shared" si="2"/>
        <v>17127143.74173706</v>
      </c>
      <c r="F33" s="40">
        <f t="shared" si="3"/>
        <v>1800017412.1139987</v>
      </c>
    </row>
    <row r="34" spans="2:6">
      <c r="B34" s="38">
        <v>24</v>
      </c>
      <c r="C34" s="40">
        <f t="shared" si="0"/>
        <v>22096294.177241091</v>
      </c>
      <c r="D34" s="40">
        <f t="shared" si="1"/>
        <v>5016301.6750473231</v>
      </c>
      <c r="E34" s="41">
        <f t="shared" si="2"/>
        <v>17079992.502193768</v>
      </c>
      <c r="F34" s="40">
        <f t="shared" si="3"/>
        <v>1795001110.4389513</v>
      </c>
    </row>
    <row r="35" spans="2:6">
      <c r="B35" s="38">
        <v>25</v>
      </c>
      <c r="C35" s="40">
        <f t="shared" si="0"/>
        <v>22096294.177241091</v>
      </c>
      <c r="D35" s="40">
        <f t="shared" si="1"/>
        <v>5063900.3229392469</v>
      </c>
      <c r="E35" s="41">
        <f t="shared" si="2"/>
        <v>17032393.854301844</v>
      </c>
      <c r="F35" s="40">
        <f t="shared" si="3"/>
        <v>1789937210.1160121</v>
      </c>
    </row>
    <row r="36" spans="2:6">
      <c r="B36" s="38">
        <v>26</v>
      </c>
      <c r="C36" s="40">
        <f t="shared" si="0"/>
        <v>22096294.177241091</v>
      </c>
      <c r="D36" s="40">
        <f t="shared" si="1"/>
        <v>5111950.6245449856</v>
      </c>
      <c r="E36" s="41">
        <f t="shared" si="2"/>
        <v>16984343.552696105</v>
      </c>
      <c r="F36" s="40">
        <f t="shared" si="3"/>
        <v>1784825259.491467</v>
      </c>
    </row>
    <row r="37" spans="2:6">
      <c r="B37" s="38">
        <v>27</v>
      </c>
      <c r="C37" s="40">
        <f t="shared" si="0"/>
        <v>22096294.177241091</v>
      </c>
      <c r="D37" s="40">
        <f t="shared" si="1"/>
        <v>5160456.8655131087</v>
      </c>
      <c r="E37" s="41">
        <f t="shared" si="2"/>
        <v>16935837.311727982</v>
      </c>
      <c r="F37" s="40">
        <f t="shared" si="3"/>
        <v>1779664802.6259539</v>
      </c>
    </row>
    <row r="38" spans="2:6">
      <c r="B38" s="38">
        <v>28</v>
      </c>
      <c r="C38" s="40">
        <f t="shared" si="0"/>
        <v>22096294.177241091</v>
      </c>
      <c r="D38" s="40">
        <f t="shared" si="1"/>
        <v>5209423.3721578084</v>
      </c>
      <c r="E38" s="41">
        <f t="shared" si="2"/>
        <v>16886870.805083282</v>
      </c>
      <c r="F38" s="40">
        <f t="shared" si="3"/>
        <v>1774455379.2537961</v>
      </c>
    </row>
    <row r="39" spans="2:6">
      <c r="B39" s="38">
        <v>29</v>
      </c>
      <c r="C39" s="40">
        <f t="shared" si="0"/>
        <v>22096294.177241091</v>
      </c>
      <c r="D39" s="40">
        <f t="shared" si="1"/>
        <v>5258854.5118447915</v>
      </c>
      <c r="E39" s="41">
        <f t="shared" si="2"/>
        <v>16837439.665396299</v>
      </c>
      <c r="F39" s="40">
        <f t="shared" si="3"/>
        <v>1769196524.7419512</v>
      </c>
    </row>
    <row r="40" spans="2:6">
      <c r="B40" s="38">
        <v>30</v>
      </c>
      <c r="C40" s="40">
        <f t="shared" si="0"/>
        <v>22096294.177241091</v>
      </c>
      <c r="D40" s="40">
        <f t="shared" si="1"/>
        <v>5308754.6933807842</v>
      </c>
      <c r="E40" s="41">
        <f t="shared" si="2"/>
        <v>16787539.483860306</v>
      </c>
      <c r="F40" s="40">
        <f t="shared" si="3"/>
        <v>1763887770.0485704</v>
      </c>
    </row>
    <row r="41" spans="2:6">
      <c r="B41" s="38">
        <v>31</v>
      </c>
      <c r="C41" s="40">
        <f t="shared" si="0"/>
        <v>22096294.177241091</v>
      </c>
      <c r="D41" s="40">
        <f t="shared" si="1"/>
        <v>5359128.3674067724</v>
      </c>
      <c r="E41" s="41">
        <f t="shared" si="2"/>
        <v>16737165.809834318</v>
      </c>
      <c r="F41" s="40">
        <f t="shared" si="3"/>
        <v>1758528641.6811635</v>
      </c>
    </row>
    <row r="42" spans="2:6">
      <c r="B42" s="38">
        <v>32</v>
      </c>
      <c r="C42" s="40">
        <f t="shared" si="0"/>
        <v>22096294.177241091</v>
      </c>
      <c r="D42" s="40">
        <f t="shared" si="1"/>
        <v>5409980.0267949458</v>
      </c>
      <c r="E42" s="41">
        <f t="shared" si="2"/>
        <v>16686314.150446145</v>
      </c>
      <c r="F42" s="40">
        <f t="shared" si="3"/>
        <v>1753118661.6543686</v>
      </c>
    </row>
    <row r="43" spans="2:6">
      <c r="B43" s="38">
        <v>33</v>
      </c>
      <c r="C43" s="40">
        <f t="shared" si="0"/>
        <v>22096294.177241091</v>
      </c>
      <c r="D43" s="40">
        <f t="shared" si="1"/>
        <v>5461314.2070494331</v>
      </c>
      <c r="E43" s="41">
        <f t="shared" si="2"/>
        <v>16634979.970191658</v>
      </c>
      <c r="F43" s="40">
        <f t="shared" si="3"/>
        <v>1747657347.4473193</v>
      </c>
    </row>
    <row r="44" spans="2:6">
      <c r="B44" s="38">
        <v>34</v>
      </c>
      <c r="C44" s="40">
        <f t="shared" si="0"/>
        <v>22096294.177241091</v>
      </c>
      <c r="D44" s="40">
        <f t="shared" si="1"/>
        <v>5513135.4867108203</v>
      </c>
      <c r="E44" s="41">
        <f t="shared" si="2"/>
        <v>16583158.69053027</v>
      </c>
      <c r="F44" s="40">
        <f t="shared" si="3"/>
        <v>1742144211.9606085</v>
      </c>
    </row>
    <row r="45" spans="2:6">
      <c r="B45" s="38">
        <v>35</v>
      </c>
      <c r="C45" s="40">
        <f t="shared" si="0"/>
        <v>22096294.177241091</v>
      </c>
      <c r="D45" s="40">
        <f t="shared" si="1"/>
        <v>5565448.4877645206</v>
      </c>
      <c r="E45" s="41">
        <f t="shared" si="2"/>
        <v>16530845.68947657</v>
      </c>
      <c r="F45" s="40">
        <f t="shared" si="3"/>
        <v>1736578763.4728439</v>
      </c>
    </row>
    <row r="46" spans="2:6">
      <c r="B46" s="38">
        <v>36</v>
      </c>
      <c r="C46" s="40">
        <f t="shared" si="0"/>
        <v>22096294.177241091</v>
      </c>
      <c r="D46" s="40">
        <f t="shared" si="1"/>
        <v>5618257.8760530073</v>
      </c>
      <c r="E46" s="41">
        <f t="shared" si="2"/>
        <v>16478036.301188083</v>
      </c>
      <c r="F46" s="40">
        <f t="shared" si="3"/>
        <v>1730960505.5967908</v>
      </c>
    </row>
    <row r="47" spans="2:6">
      <c r="B47" s="38">
        <v>37</v>
      </c>
      <c r="C47" s="40">
        <f t="shared" si="0"/>
        <v>22096294.177241091</v>
      </c>
      <c r="D47" s="40">
        <f t="shared" si="1"/>
        <v>5671568.3616919648</v>
      </c>
      <c r="E47" s="41">
        <f t="shared" si="2"/>
        <v>16424725.815549126</v>
      </c>
      <c r="F47" s="40">
        <f t="shared" si="3"/>
        <v>1725288937.2350988</v>
      </c>
    </row>
    <row r="48" spans="2:6">
      <c r="B48" s="38">
        <v>38</v>
      </c>
      <c r="C48" s="40">
        <f t="shared" si="0"/>
        <v>22096294.177241091</v>
      </c>
      <c r="D48" s="40">
        <f t="shared" si="1"/>
        <v>5725384.6994903926</v>
      </c>
      <c r="E48" s="41">
        <f t="shared" si="2"/>
        <v>16370909.477750698</v>
      </c>
      <c r="F48" s="40">
        <f t="shared" si="3"/>
        <v>1719563552.5356085</v>
      </c>
    </row>
    <row r="49" spans="2:6">
      <c r="B49" s="38">
        <v>39</v>
      </c>
      <c r="C49" s="40">
        <f t="shared" si="0"/>
        <v>22096294.177241091</v>
      </c>
      <c r="D49" s="40">
        <f t="shared" si="1"/>
        <v>5779711.6893746872</v>
      </c>
      <c r="E49" s="41">
        <f t="shared" si="2"/>
        <v>16316582.487866404</v>
      </c>
      <c r="F49" s="40">
        <f t="shared" si="3"/>
        <v>1713783840.8462338</v>
      </c>
    </row>
    <row r="50" spans="2:6">
      <c r="B50" s="38">
        <v>40</v>
      </c>
      <c r="C50" s="40">
        <f t="shared" si="0"/>
        <v>22096294.177241091</v>
      </c>
      <c r="D50" s="40">
        <f t="shared" si="1"/>
        <v>5834554.1768167522</v>
      </c>
      <c r="E50" s="41">
        <f t="shared" si="2"/>
        <v>16261740.000424339</v>
      </c>
      <c r="F50" s="40">
        <f t="shared" si="3"/>
        <v>1707949286.6694171</v>
      </c>
    </row>
    <row r="51" spans="2:6">
      <c r="B51" s="38">
        <v>41</v>
      </c>
      <c r="C51" s="40">
        <f t="shared" si="0"/>
        <v>22096294.177241091</v>
      </c>
      <c r="D51" s="40">
        <f t="shared" si="1"/>
        <v>5889917.0532661732</v>
      </c>
      <c r="E51" s="41">
        <f t="shared" si="2"/>
        <v>16206377.123974917</v>
      </c>
      <c r="F51" s="40">
        <f t="shared" si="3"/>
        <v>1702059369.6161509</v>
      </c>
    </row>
    <row r="52" spans="2:6">
      <c r="B52" s="38">
        <v>42</v>
      </c>
      <c r="C52" s="40">
        <f t="shared" si="0"/>
        <v>22096294.177241091</v>
      </c>
      <c r="D52" s="40">
        <f t="shared" si="1"/>
        <v>5945805.2565864865</v>
      </c>
      <c r="E52" s="41">
        <f t="shared" si="2"/>
        <v>16150488.920654604</v>
      </c>
      <c r="F52" s="40">
        <f t="shared" si="3"/>
        <v>1696113564.3595643</v>
      </c>
    </row>
    <row r="53" spans="2:6">
      <c r="B53" s="38">
        <v>43</v>
      </c>
      <c r="C53" s="40">
        <f t="shared" si="0"/>
        <v>22096294.177241091</v>
      </c>
      <c r="D53" s="40">
        <f t="shared" si="1"/>
        <v>6002223.77149559</v>
      </c>
      <c r="E53" s="41">
        <f t="shared" si="2"/>
        <v>16094070.405745501</v>
      </c>
      <c r="F53" s="40">
        <f t="shared" si="3"/>
        <v>1690111340.5880687</v>
      </c>
    </row>
    <row r="54" spans="2:6">
      <c r="B54" s="38">
        <v>44</v>
      </c>
      <c r="C54" s="40">
        <f t="shared" si="0"/>
        <v>22096294.177241091</v>
      </c>
      <c r="D54" s="40">
        <f t="shared" si="1"/>
        <v>6059177.6300103441</v>
      </c>
      <c r="E54" s="41">
        <f t="shared" si="2"/>
        <v>16037116.547230747</v>
      </c>
      <c r="F54" s="40">
        <f t="shared" si="3"/>
        <v>1684052162.9580584</v>
      </c>
    </row>
    <row r="55" spans="2:6">
      <c r="B55" s="38">
        <v>45</v>
      </c>
      <c r="C55" s="40">
        <f t="shared" si="0"/>
        <v>22096294.177241091</v>
      </c>
      <c r="D55" s="40">
        <f t="shared" si="1"/>
        <v>6116671.9118953701</v>
      </c>
      <c r="E55" s="41">
        <f t="shared" si="2"/>
        <v>15979622.265345721</v>
      </c>
      <c r="F55" s="40">
        <f t="shared" si="3"/>
        <v>1677935491.0461631</v>
      </c>
    </row>
    <row r="56" spans="2:6">
      <c r="B56" s="38">
        <v>46</v>
      </c>
      <c r="C56" s="40">
        <f t="shared" si="0"/>
        <v>22096294.177241091</v>
      </c>
      <c r="D56" s="40">
        <f t="shared" si="1"/>
        <v>6174711.7451161258</v>
      </c>
      <c r="E56" s="41">
        <f t="shared" si="2"/>
        <v>15921582.432124965</v>
      </c>
      <c r="F56" s="40">
        <f t="shared" si="3"/>
        <v>1671760779.3010468</v>
      </c>
    </row>
    <row r="57" spans="2:6">
      <c r="B57" s="38">
        <v>47</v>
      </c>
      <c r="C57" s="40">
        <f t="shared" si="0"/>
        <v>22096294.177241091</v>
      </c>
      <c r="D57" s="40">
        <f t="shared" si="1"/>
        <v>6233302.3062962703</v>
      </c>
      <c r="E57" s="41">
        <f t="shared" si="2"/>
        <v>15862991.87094482</v>
      </c>
      <c r="F57" s="40">
        <f t="shared" si="3"/>
        <v>1665527476.9947505</v>
      </c>
    </row>
    <row r="58" spans="2:6">
      <c r="B58" s="38">
        <v>48</v>
      </c>
      <c r="C58" s="40">
        <f t="shared" si="0"/>
        <v>22096294.177241091</v>
      </c>
      <c r="D58" s="40">
        <f t="shared" si="1"/>
        <v>6292448.8211793751</v>
      </c>
      <c r="E58" s="41">
        <f t="shared" si="2"/>
        <v>15803845.356061716</v>
      </c>
      <c r="F58" s="40">
        <f t="shared" si="3"/>
        <v>1659235028.1735711</v>
      </c>
    </row>
    <row r="59" spans="2:6">
      <c r="B59" s="38">
        <v>49</v>
      </c>
      <c r="C59" s="40">
        <f t="shared" si="0"/>
        <v>22096294.177241091</v>
      </c>
      <c r="D59" s="40">
        <f t="shared" si="1"/>
        <v>6352156.5650950074</v>
      </c>
      <c r="E59" s="41">
        <f t="shared" si="2"/>
        <v>15744137.612146083</v>
      </c>
      <c r="F59" s="40">
        <f t="shared" si="3"/>
        <v>1652882871.6084762</v>
      </c>
    </row>
    <row r="60" spans="2:6">
      <c r="B60" s="38">
        <v>50</v>
      </c>
      <c r="C60" s="40">
        <f t="shared" si="0"/>
        <v>22096294.177241091</v>
      </c>
      <c r="D60" s="40">
        <f t="shared" si="1"/>
        <v>6412430.8634292465</v>
      </c>
      <c r="E60" s="41">
        <f t="shared" si="2"/>
        <v>15683863.313811844</v>
      </c>
      <c r="F60" s="40">
        <f t="shared" si="3"/>
        <v>1646470440.7450469</v>
      </c>
    </row>
    <row r="61" spans="2:6">
      <c r="B61" s="38">
        <v>51</v>
      </c>
      <c r="C61" s="40">
        <f t="shared" si="0"/>
        <v>22096294.177241091</v>
      </c>
      <c r="D61" s="40">
        <f t="shared" si="1"/>
        <v>6473277.0920996573</v>
      </c>
      <c r="E61" s="41">
        <f t="shared" si="2"/>
        <v>15623017.085141433</v>
      </c>
      <c r="F61" s="40">
        <f t="shared" si="3"/>
        <v>1639997163.6529472</v>
      </c>
    </row>
    <row r="62" spans="2:6">
      <c r="B62" s="38">
        <v>52</v>
      </c>
      <c r="C62" s="40">
        <f t="shared" si="0"/>
        <v>22096294.177241091</v>
      </c>
      <c r="D62" s="40">
        <f t="shared" si="1"/>
        <v>6534700.6780347712</v>
      </c>
      <c r="E62" s="41">
        <f t="shared" si="2"/>
        <v>15561593.499206319</v>
      </c>
      <c r="F62" s="40">
        <f t="shared" si="3"/>
        <v>1633462462.9749124</v>
      </c>
    </row>
    <row r="63" spans="2:6">
      <c r="B63" s="38">
        <v>53</v>
      </c>
      <c r="C63" s="40">
        <f t="shared" si="0"/>
        <v>22096294.177241091</v>
      </c>
      <c r="D63" s="40">
        <f t="shared" si="1"/>
        <v>6596707.0996581223</v>
      </c>
      <c r="E63" s="41">
        <f t="shared" si="2"/>
        <v>15499587.077582968</v>
      </c>
      <c r="F63" s="40">
        <f t="shared" si="3"/>
        <v>1626865755.8752544</v>
      </c>
    </row>
    <row r="64" spans="2:6">
      <c r="B64" s="38">
        <v>54</v>
      </c>
      <c r="C64" s="40">
        <f t="shared" si="0"/>
        <v>22096294.177241091</v>
      </c>
      <c r="D64" s="40">
        <f t="shared" si="1"/>
        <v>6659301.887376871</v>
      </c>
      <c r="E64" s="41">
        <f t="shared" si="2"/>
        <v>15436992.28986422</v>
      </c>
      <c r="F64" s="40">
        <f t="shared" si="3"/>
        <v>1620206453.9878776</v>
      </c>
    </row>
    <row r="65" spans="2:6">
      <c r="B65" s="38">
        <v>55</v>
      </c>
      <c r="C65" s="40">
        <f t="shared" si="0"/>
        <v>22096294.177241091</v>
      </c>
      <c r="D65" s="40">
        <f t="shared" si="1"/>
        <v>6722490.6240750663</v>
      </c>
      <c r="E65" s="41">
        <f t="shared" si="2"/>
        <v>15373803.553166024</v>
      </c>
      <c r="F65" s="40">
        <f t="shared" si="3"/>
        <v>1613483963.3638024</v>
      </c>
    </row>
    <row r="66" spans="2:6">
      <c r="B66" s="38">
        <v>56</v>
      </c>
      <c r="C66" s="40">
        <f t="shared" si="0"/>
        <v>22096294.177241091</v>
      </c>
      <c r="D66" s="40">
        <f t="shared" si="1"/>
        <v>6786278.9456115924</v>
      </c>
      <c r="E66" s="41">
        <f t="shared" si="2"/>
        <v>15310015.231629498</v>
      </c>
      <c r="F66" s="40">
        <f t="shared" si="3"/>
        <v>1606697684.418191</v>
      </c>
    </row>
    <row r="67" spans="2:6">
      <c r="B67" s="38">
        <v>57</v>
      </c>
      <c r="C67" s="40">
        <f t="shared" si="0"/>
        <v>22096294.177241091</v>
      </c>
      <c r="D67" s="40">
        <f t="shared" si="1"/>
        <v>6850672.5413228199</v>
      </c>
      <c r="E67" s="41">
        <f t="shared" si="2"/>
        <v>15245621.635918271</v>
      </c>
      <c r="F67" s="40">
        <f t="shared" si="3"/>
        <v>1599847011.8768682</v>
      </c>
    </row>
    <row r="68" spans="2:6">
      <c r="B68" s="38">
        <v>58</v>
      </c>
      <c r="C68" s="40">
        <f t="shared" si="0"/>
        <v>22096294.177241091</v>
      </c>
      <c r="D68" s="40">
        <f t="shared" si="1"/>
        <v>6915677.1545300651</v>
      </c>
      <c r="E68" s="41">
        <f t="shared" si="2"/>
        <v>15180617.022711026</v>
      </c>
      <c r="F68" s="40">
        <f t="shared" si="3"/>
        <v>1592931334.7223382</v>
      </c>
    </row>
    <row r="69" spans="2:6">
      <c r="B69" s="38">
        <v>59</v>
      </c>
      <c r="C69" s="40">
        <f t="shared" si="0"/>
        <v>22096294.177241091</v>
      </c>
      <c r="D69" s="40">
        <f t="shared" si="1"/>
        <v>6981298.5830518268</v>
      </c>
      <c r="E69" s="41">
        <f t="shared" si="2"/>
        <v>15114995.594189264</v>
      </c>
      <c r="F69" s="40">
        <f t="shared" si="3"/>
        <v>1585950036.1392863</v>
      </c>
    </row>
    <row r="70" spans="2:6">
      <c r="B70" s="38">
        <v>60</v>
      </c>
      <c r="C70" s="40">
        <f t="shared" si="0"/>
        <v>22096294.177241091</v>
      </c>
      <c r="D70" s="40">
        <f t="shared" si="1"/>
        <v>7047542.6797209047</v>
      </c>
      <c r="E70" s="41">
        <f t="shared" si="2"/>
        <v>15048751.497520186</v>
      </c>
      <c r="F70" s="40">
        <f t="shared" si="3"/>
        <v>1578902493.4595654</v>
      </c>
    </row>
    <row r="71" spans="2:6">
      <c r="B71" s="38">
        <v>61</v>
      </c>
      <c r="C71" s="40">
        <f t="shared" si="0"/>
        <v>22096294.177241091</v>
      </c>
      <c r="D71" s="40">
        <f t="shared" si="1"/>
        <v>7114415.3529064134</v>
      </c>
      <c r="E71" s="41">
        <f t="shared" si="2"/>
        <v>14981878.824334677</v>
      </c>
      <c r="F71" s="40">
        <f t="shared" si="3"/>
        <v>1571788078.1066589</v>
      </c>
    </row>
    <row r="72" spans="2:6">
      <c r="B72" s="38">
        <v>62</v>
      </c>
      <c r="C72" s="40">
        <f t="shared" si="0"/>
        <v>22096294.177241091</v>
      </c>
      <c r="D72" s="40">
        <f t="shared" si="1"/>
        <v>7181922.5670407601</v>
      </c>
      <c r="E72" s="41">
        <f t="shared" si="2"/>
        <v>14914371.610200331</v>
      </c>
      <c r="F72" s="40">
        <f t="shared" si="3"/>
        <v>1564606155.5396183</v>
      </c>
    </row>
    <row r="73" spans="2:6">
      <c r="B73" s="38">
        <v>63</v>
      </c>
      <c r="C73" s="40">
        <f t="shared" si="0"/>
        <v>22096294.177241091</v>
      </c>
      <c r="D73" s="40">
        <f t="shared" si="1"/>
        <v>7250070.3431516197</v>
      </c>
      <c r="E73" s="41">
        <f t="shared" si="2"/>
        <v>14846223.834089471</v>
      </c>
      <c r="F73" s="40">
        <f t="shared" si="3"/>
        <v>1557356085.1964667</v>
      </c>
    </row>
    <row r="74" spans="2:6">
      <c r="B74" s="38">
        <v>64</v>
      </c>
      <c r="C74" s="40">
        <f t="shared" si="0"/>
        <v>22096294.177241091</v>
      </c>
      <c r="D74" s="40">
        <f t="shared" si="1"/>
        <v>7318864.7593989465</v>
      </c>
      <c r="E74" s="41">
        <f t="shared" si="2"/>
        <v>14777429.417842144</v>
      </c>
      <c r="F74" s="40">
        <f t="shared" si="3"/>
        <v>1550037220.4370677</v>
      </c>
    </row>
    <row r="75" spans="2:6">
      <c r="B75" s="38">
        <v>65</v>
      </c>
      <c r="C75" s="40">
        <f t="shared" si="0"/>
        <v>22096294.177241091</v>
      </c>
      <c r="D75" s="40">
        <f t="shared" si="1"/>
        <v>7388311.9516170993</v>
      </c>
      <c r="E75" s="41">
        <f t="shared" si="2"/>
        <v>14707982.225623991</v>
      </c>
      <c r="F75" s="40">
        <f t="shared" si="3"/>
        <v>1542648908.4854507</v>
      </c>
    </row>
    <row r="76" spans="2:6">
      <c r="B76" s="38">
        <v>66</v>
      </c>
      <c r="C76" s="40">
        <f t="shared" ref="C76:C139" si="4">PMT($C$6,$C$4,-$C$2)</f>
        <v>22096294.177241091</v>
      </c>
      <c r="D76" s="40">
        <f t="shared" ref="D76:D139" si="5">C76-E76</f>
        <v>7458418.1138620973</v>
      </c>
      <c r="E76" s="41">
        <f t="shared" ref="E76:E139" si="6">F75*$C$6</f>
        <v>14637876.063378993</v>
      </c>
      <c r="F76" s="40">
        <f t="shared" ref="F76:F139" si="7">F75-D76</f>
        <v>1535190490.3715887</v>
      </c>
    </row>
    <row r="77" spans="2:6">
      <c r="B77" s="38">
        <v>67</v>
      </c>
      <c r="C77" s="40">
        <f t="shared" si="4"/>
        <v>22096294.177241091</v>
      </c>
      <c r="D77" s="40">
        <f t="shared" si="5"/>
        <v>7529189.4989640787</v>
      </c>
      <c r="E77" s="41">
        <f t="shared" si="6"/>
        <v>14567104.678277012</v>
      </c>
      <c r="F77" s="40">
        <f t="shared" si="7"/>
        <v>1527661300.8726246</v>
      </c>
    </row>
    <row r="78" spans="2:6">
      <c r="B78" s="38">
        <v>68</v>
      </c>
      <c r="C78" s="40">
        <f t="shared" si="4"/>
        <v>22096294.177241091</v>
      </c>
      <c r="D78" s="40">
        <f t="shared" si="5"/>
        <v>7600632.4190849848</v>
      </c>
      <c r="E78" s="41">
        <f t="shared" si="6"/>
        <v>14495661.758156106</v>
      </c>
      <c r="F78" s="40">
        <f t="shared" si="7"/>
        <v>1520060668.4535396</v>
      </c>
    </row>
    <row r="79" spans="2:6">
      <c r="B79" s="38">
        <v>69</v>
      </c>
      <c r="C79" s="40">
        <f t="shared" si="4"/>
        <v>22096294.177241091</v>
      </c>
      <c r="D79" s="40">
        <f t="shared" si="5"/>
        <v>7672753.2462815624</v>
      </c>
      <c r="E79" s="41">
        <f t="shared" si="6"/>
        <v>14423540.930959528</v>
      </c>
      <c r="F79" s="40">
        <f t="shared" si="7"/>
        <v>1512387915.207258</v>
      </c>
    </row>
    <row r="80" spans="2:6">
      <c r="B80" s="38">
        <v>70</v>
      </c>
      <c r="C80" s="40">
        <f t="shared" si="4"/>
        <v>22096294.177241091</v>
      </c>
      <c r="D80" s="40">
        <f t="shared" si="5"/>
        <v>7745558.4130736794</v>
      </c>
      <c r="E80" s="41">
        <f t="shared" si="6"/>
        <v>14350735.764167411</v>
      </c>
      <c r="F80" s="40">
        <f t="shared" si="7"/>
        <v>1504642356.7941842</v>
      </c>
    </row>
    <row r="81" spans="2:6">
      <c r="B81" s="38">
        <v>71</v>
      </c>
      <c r="C81" s="40">
        <f t="shared" si="4"/>
        <v>22096294.177241091</v>
      </c>
      <c r="D81" s="40">
        <f t="shared" si="5"/>
        <v>7819054.4130180534</v>
      </c>
      <c r="E81" s="41">
        <f t="shared" si="6"/>
        <v>14277239.764223037</v>
      </c>
      <c r="F81" s="40">
        <f t="shared" si="7"/>
        <v>1496823302.3811662</v>
      </c>
    </row>
    <row r="82" spans="2:6">
      <c r="B82" s="38">
        <v>72</v>
      </c>
      <c r="C82" s="40">
        <f t="shared" si="4"/>
        <v>22096294.177241091</v>
      </c>
      <c r="D82" s="40">
        <f t="shared" si="5"/>
        <v>7893247.8012874182</v>
      </c>
      <c r="E82" s="41">
        <f t="shared" si="6"/>
        <v>14203046.375953672</v>
      </c>
      <c r="F82" s="40">
        <f t="shared" si="7"/>
        <v>1488930054.5798788</v>
      </c>
    </row>
    <row r="83" spans="2:6">
      <c r="B83" s="38">
        <v>73</v>
      </c>
      <c r="C83" s="40">
        <f t="shared" si="4"/>
        <v>22096294.177241091</v>
      </c>
      <c r="D83" s="40">
        <f t="shared" si="5"/>
        <v>7968145.1952551883</v>
      </c>
      <c r="E83" s="41">
        <f t="shared" si="6"/>
        <v>14128148.981985902</v>
      </c>
      <c r="F83" s="40">
        <f t="shared" si="7"/>
        <v>1480961909.3846235</v>
      </c>
    </row>
    <row r="84" spans="2:6">
      <c r="B84" s="38">
        <v>74</v>
      </c>
      <c r="C84" s="40">
        <f t="shared" si="4"/>
        <v>22096294.177241091</v>
      </c>
      <c r="D84" s="40">
        <f t="shared" si="5"/>
        <v>8043753.2750856578</v>
      </c>
      <c r="E84" s="41">
        <f t="shared" si="6"/>
        <v>14052540.902155433</v>
      </c>
      <c r="F84" s="40">
        <f t="shared" si="7"/>
        <v>1472918156.1095378</v>
      </c>
    </row>
    <row r="85" spans="2:6">
      <c r="B85" s="38">
        <v>75</v>
      </c>
      <c r="C85" s="40">
        <f t="shared" si="4"/>
        <v>22096294.177241091</v>
      </c>
      <c r="D85" s="40">
        <f t="shared" si="5"/>
        <v>8120078.7843298204</v>
      </c>
      <c r="E85" s="41">
        <f t="shared" si="6"/>
        <v>13976215.39291127</v>
      </c>
      <c r="F85" s="40">
        <f t="shared" si="7"/>
        <v>1464798077.3252079</v>
      </c>
    </row>
    <row r="86" spans="2:6">
      <c r="B86" s="38">
        <v>76</v>
      </c>
      <c r="C86" s="40">
        <f t="shared" si="4"/>
        <v>22096294.177241091</v>
      </c>
      <c r="D86" s="40">
        <f t="shared" si="5"/>
        <v>8197128.530526828</v>
      </c>
      <c r="E86" s="41">
        <f t="shared" si="6"/>
        <v>13899165.646714263</v>
      </c>
      <c r="F86" s="40">
        <f t="shared" si="7"/>
        <v>1456600948.7946811</v>
      </c>
    </row>
    <row r="87" spans="2:6">
      <c r="B87" s="38">
        <v>77</v>
      </c>
      <c r="C87" s="40">
        <f t="shared" si="4"/>
        <v>22096294.177241091</v>
      </c>
      <c r="D87" s="40">
        <f t="shared" si="5"/>
        <v>8274909.3858111594</v>
      </c>
      <c r="E87" s="41">
        <f t="shared" si="6"/>
        <v>13821384.791429931</v>
      </c>
      <c r="F87" s="40">
        <f t="shared" si="7"/>
        <v>1448326039.40887</v>
      </c>
    </row>
    <row r="88" spans="2:6">
      <c r="B88" s="38">
        <v>78</v>
      </c>
      <c r="C88" s="40">
        <f t="shared" si="4"/>
        <v>22096294.177241091</v>
      </c>
      <c r="D88" s="40">
        <f t="shared" si="5"/>
        <v>8353428.2875255588</v>
      </c>
      <c r="E88" s="41">
        <f t="shared" si="6"/>
        <v>13742865.889715532</v>
      </c>
      <c r="F88" s="40">
        <f t="shared" si="7"/>
        <v>1439972611.1213443</v>
      </c>
    </row>
    <row r="89" spans="2:6">
      <c r="B89" s="38">
        <v>79</v>
      </c>
      <c r="C89" s="40">
        <f t="shared" si="4"/>
        <v>22096294.177241091</v>
      </c>
      <c r="D89" s="40">
        <f t="shared" si="5"/>
        <v>8432692.238839779</v>
      </c>
      <c r="E89" s="41">
        <f t="shared" si="6"/>
        <v>13663601.938401312</v>
      </c>
      <c r="F89" s="40">
        <f t="shared" si="7"/>
        <v>1431539918.8825045</v>
      </c>
    </row>
    <row r="90" spans="2:6">
      <c r="B90" s="38">
        <v>80</v>
      </c>
      <c r="C90" s="40">
        <f t="shared" si="4"/>
        <v>22096294.177241091</v>
      </c>
      <c r="D90" s="40">
        <f t="shared" si="5"/>
        <v>8512708.3093751967</v>
      </c>
      <c r="E90" s="41">
        <f t="shared" si="6"/>
        <v>13583585.867865894</v>
      </c>
      <c r="F90" s="40">
        <f t="shared" si="7"/>
        <v>1423027210.5731292</v>
      </c>
    </row>
    <row r="91" spans="2:6">
      <c r="B91" s="38">
        <v>81</v>
      </c>
      <c r="C91" s="40">
        <f t="shared" si="4"/>
        <v>22096294.177241091</v>
      </c>
      <c r="D91" s="40">
        <f t="shared" si="5"/>
        <v>8593483.6358353626</v>
      </c>
      <c r="E91" s="41">
        <f t="shared" si="6"/>
        <v>13502810.541405728</v>
      </c>
      <c r="F91" s="40">
        <f t="shared" si="7"/>
        <v>1414433726.9372938</v>
      </c>
    </row>
    <row r="92" spans="2:6">
      <c r="B92" s="38">
        <v>82</v>
      </c>
      <c r="C92" s="40">
        <f t="shared" si="4"/>
        <v>22096294.177241091</v>
      </c>
      <c r="D92" s="40">
        <f t="shared" si="5"/>
        <v>8675025.4226425327</v>
      </c>
      <c r="E92" s="41">
        <f t="shared" si="6"/>
        <v>13421268.754598558</v>
      </c>
      <c r="F92" s="40">
        <f t="shared" si="7"/>
        <v>1405758701.5146513</v>
      </c>
    </row>
    <row r="93" spans="2:6">
      <c r="B93" s="38">
        <v>83</v>
      </c>
      <c r="C93" s="40">
        <f t="shared" si="4"/>
        <v>22096294.177241091</v>
      </c>
      <c r="D93" s="40">
        <f t="shared" si="5"/>
        <v>8757340.9425802305</v>
      </c>
      <c r="E93" s="41">
        <f t="shared" si="6"/>
        <v>13338953.23466086</v>
      </c>
      <c r="F93" s="40">
        <f t="shared" si="7"/>
        <v>1397001360.5720711</v>
      </c>
    </row>
    <row r="94" spans="2:6">
      <c r="B94" s="38">
        <v>84</v>
      </c>
      <c r="C94" s="40">
        <f t="shared" si="4"/>
        <v>22096294.177241091</v>
      </c>
      <c r="D94" s="40">
        <f t="shared" si="5"/>
        <v>8840437.5374419205</v>
      </c>
      <c r="E94" s="41">
        <f t="shared" si="6"/>
        <v>13255856.63979917</v>
      </c>
      <c r="F94" s="40">
        <f t="shared" si="7"/>
        <v>1388160923.0346291</v>
      </c>
    </row>
    <row r="95" spans="2:6">
      <c r="B95" s="38">
        <v>85</v>
      </c>
      <c r="C95" s="40">
        <f t="shared" si="4"/>
        <v>22096294.177241091</v>
      </c>
      <c r="D95" s="40">
        <f t="shared" si="5"/>
        <v>8924322.6186858229</v>
      </c>
      <c r="E95" s="41">
        <f t="shared" si="6"/>
        <v>13171971.558555268</v>
      </c>
      <c r="F95" s="40">
        <f t="shared" si="7"/>
        <v>1379236600.4159434</v>
      </c>
    </row>
    <row r="96" spans="2:6">
      <c r="B96" s="38">
        <v>86</v>
      </c>
      <c r="C96" s="40">
        <f t="shared" si="4"/>
        <v>22096294.177241091</v>
      </c>
      <c r="D96" s="40">
        <f t="shared" si="5"/>
        <v>9009003.6680959482</v>
      </c>
      <c r="E96" s="41">
        <f t="shared" si="6"/>
        <v>13087290.509145143</v>
      </c>
      <c r="F96" s="40">
        <f t="shared" si="7"/>
        <v>1370227596.7478473</v>
      </c>
    </row>
    <row r="97" spans="2:6">
      <c r="B97" s="38">
        <v>87</v>
      </c>
      <c r="C97" s="40">
        <f t="shared" si="4"/>
        <v>22096294.177241091</v>
      </c>
      <c r="D97" s="40">
        <f t="shared" si="5"/>
        <v>9094488.2384494096</v>
      </c>
      <c r="E97" s="41">
        <f t="shared" si="6"/>
        <v>13001805.938791681</v>
      </c>
      <c r="F97" s="40">
        <f t="shared" si="7"/>
        <v>1361133108.509398</v>
      </c>
    </row>
    <row r="98" spans="2:6">
      <c r="B98" s="38">
        <v>88</v>
      </c>
      <c r="C98" s="40">
        <f t="shared" si="4"/>
        <v>22096294.177241091</v>
      </c>
      <c r="D98" s="40">
        <f t="shared" si="5"/>
        <v>9180783.9541900568</v>
      </c>
      <c r="E98" s="41">
        <f t="shared" si="6"/>
        <v>12915510.223051034</v>
      </c>
      <c r="F98" s="40">
        <f t="shared" si="7"/>
        <v>1351952324.555208</v>
      </c>
    </row>
    <row r="99" spans="2:6">
      <c r="B99" s="38">
        <v>89</v>
      </c>
      <c r="C99" s="40">
        <f t="shared" si="4"/>
        <v>22096294.177241091</v>
      </c>
      <c r="D99" s="40">
        <f t="shared" si="5"/>
        <v>9267898.5121085085</v>
      </c>
      <c r="E99" s="41">
        <f t="shared" si="6"/>
        <v>12828395.665132582</v>
      </c>
      <c r="F99" s="40">
        <f t="shared" si="7"/>
        <v>1342684426.0430994</v>
      </c>
    </row>
    <row r="100" spans="2:6">
      <c r="B100" s="38">
        <v>90</v>
      </c>
      <c r="C100" s="40">
        <f t="shared" si="4"/>
        <v>22096294.177241091</v>
      </c>
      <c r="D100" s="40">
        <f t="shared" si="5"/>
        <v>9355839.6820286363</v>
      </c>
      <c r="E100" s="41">
        <f t="shared" si="6"/>
        <v>12740454.495212454</v>
      </c>
      <c r="F100" s="40">
        <f t="shared" si="7"/>
        <v>1333328586.3610709</v>
      </c>
    </row>
    <row r="101" spans="2:6">
      <c r="B101" s="38">
        <v>91</v>
      </c>
      <c r="C101" s="40">
        <f t="shared" si="4"/>
        <v>22096294.177241091</v>
      </c>
      <c r="D101" s="40">
        <f t="shared" si="5"/>
        <v>9444615.3075005617</v>
      </c>
      <c r="E101" s="41">
        <f t="shared" si="6"/>
        <v>12651678.869740529</v>
      </c>
      <c r="F101" s="40">
        <f t="shared" si="7"/>
        <v>1323883971.0535703</v>
      </c>
    </row>
    <row r="102" spans="2:6">
      <c r="B102" s="38">
        <v>92</v>
      </c>
      <c r="C102" s="40">
        <f t="shared" si="4"/>
        <v>22096294.177241091</v>
      </c>
      <c r="D102" s="40">
        <f t="shared" si="5"/>
        <v>9534233.3065002281</v>
      </c>
      <c r="E102" s="41">
        <f t="shared" si="6"/>
        <v>12562060.870740863</v>
      </c>
      <c r="F102" s="40">
        <f t="shared" si="7"/>
        <v>1314349737.7470701</v>
      </c>
    </row>
    <row r="103" spans="2:6">
      <c r="B103" s="38">
        <v>93</v>
      </c>
      <c r="C103" s="40">
        <f t="shared" si="4"/>
        <v>22096294.177241091</v>
      </c>
      <c r="D103" s="40">
        <f t="shared" si="5"/>
        <v>9624701.6721356139</v>
      </c>
      <c r="E103" s="41">
        <f t="shared" si="6"/>
        <v>12471592.505105477</v>
      </c>
      <c r="F103" s="40">
        <f t="shared" si="7"/>
        <v>1304725036.0749345</v>
      </c>
    </row>
    <row r="104" spans="2:6">
      <c r="B104" s="38">
        <v>94</v>
      </c>
      <c r="C104" s="40">
        <f t="shared" si="4"/>
        <v>22096294.177241091</v>
      </c>
      <c r="D104" s="40">
        <f t="shared" si="5"/>
        <v>9716028.4733596426</v>
      </c>
      <c r="E104" s="41">
        <f t="shared" si="6"/>
        <v>12380265.703881448</v>
      </c>
      <c r="F104" s="40">
        <f t="shared" si="7"/>
        <v>1295009007.6015749</v>
      </c>
    </row>
    <row r="105" spans="2:6">
      <c r="B105" s="38">
        <v>95</v>
      </c>
      <c r="C105" s="40">
        <f t="shared" si="4"/>
        <v>22096294.177241091</v>
      </c>
      <c r="D105" s="40">
        <f t="shared" si="5"/>
        <v>9808221.8556898646</v>
      </c>
      <c r="E105" s="41">
        <f t="shared" si="6"/>
        <v>12288072.321551226</v>
      </c>
      <c r="F105" s="40">
        <f t="shared" si="7"/>
        <v>1285200785.7458851</v>
      </c>
    </row>
    <row r="106" spans="2:6">
      <c r="B106" s="38">
        <v>96</v>
      </c>
      <c r="C106" s="40">
        <f t="shared" si="4"/>
        <v>22096294.177241091</v>
      </c>
      <c r="D106" s="40">
        <f t="shared" si="5"/>
        <v>9901290.0419349577</v>
      </c>
      <c r="E106" s="41">
        <f t="shared" si="6"/>
        <v>12195004.135306133</v>
      </c>
      <c r="F106" s="40">
        <f t="shared" si="7"/>
        <v>1275299495.7039502</v>
      </c>
    </row>
    <row r="107" spans="2:6">
      <c r="B107" s="38">
        <v>97</v>
      </c>
      <c r="C107" s="40">
        <f t="shared" si="4"/>
        <v>22096294.177241091</v>
      </c>
      <c r="D107" s="40">
        <f t="shared" si="5"/>
        <v>9995241.3329281267</v>
      </c>
      <c r="E107" s="41">
        <f t="shared" si="6"/>
        <v>12101052.844312964</v>
      </c>
      <c r="F107" s="40">
        <f t="shared" si="7"/>
        <v>1265304254.371022</v>
      </c>
    </row>
    <row r="108" spans="2:6">
      <c r="B108" s="38">
        <v>98</v>
      </c>
      <c r="C108" s="40">
        <f t="shared" si="4"/>
        <v>22096294.177241091</v>
      </c>
      <c r="D108" s="40">
        <f t="shared" si="5"/>
        <v>10090084.108267469</v>
      </c>
      <c r="E108" s="41">
        <f t="shared" si="6"/>
        <v>12006210.068973621</v>
      </c>
      <c r="F108" s="40">
        <f t="shared" si="7"/>
        <v>1255214170.2627544</v>
      </c>
    </row>
    <row r="109" spans="2:6">
      <c r="B109" s="38">
        <v>99</v>
      </c>
      <c r="C109" s="40">
        <f t="shared" si="4"/>
        <v>22096294.177241091</v>
      </c>
      <c r="D109" s="40">
        <f t="shared" si="5"/>
        <v>10185826.827063346</v>
      </c>
      <c r="E109" s="41">
        <f t="shared" si="6"/>
        <v>11910467.350177744</v>
      </c>
      <c r="F109" s="40">
        <f t="shared" si="7"/>
        <v>1245028343.4356911</v>
      </c>
    </row>
    <row r="110" spans="2:6">
      <c r="B110" s="38">
        <v>100</v>
      </c>
      <c r="C110" s="40">
        <f t="shared" si="4"/>
        <v>22096294.177241091</v>
      </c>
      <c r="D110" s="40">
        <f t="shared" si="5"/>
        <v>10282478.028692871</v>
      </c>
      <c r="E110" s="41">
        <f t="shared" si="6"/>
        <v>11813816.148548219</v>
      </c>
      <c r="F110" s="40">
        <f t="shared" si="7"/>
        <v>1234745865.4069982</v>
      </c>
    </row>
    <row r="111" spans="2:6">
      <c r="B111" s="38">
        <v>101</v>
      </c>
      <c r="C111" s="40">
        <f t="shared" si="4"/>
        <v>22096294.177241091</v>
      </c>
      <c r="D111" s="40">
        <f t="shared" si="5"/>
        <v>10380046.333561538</v>
      </c>
      <c r="E111" s="41">
        <f t="shared" si="6"/>
        <v>11716247.843679553</v>
      </c>
      <c r="F111" s="40">
        <f t="shared" si="7"/>
        <v>1224365819.0734367</v>
      </c>
    </row>
    <row r="112" spans="2:6">
      <c r="B112" s="38">
        <v>102</v>
      </c>
      <c r="C112" s="40">
        <f t="shared" si="4"/>
        <v>22096294.177241091</v>
      </c>
      <c r="D112" s="40">
        <f t="shared" si="5"/>
        <v>10478540.443872081</v>
      </c>
      <c r="E112" s="41">
        <f t="shared" si="6"/>
        <v>11617753.73336901</v>
      </c>
      <c r="F112" s="40">
        <f t="shared" si="7"/>
        <v>1213887278.6295648</v>
      </c>
    </row>
    <row r="113" spans="2:6">
      <c r="B113" s="38">
        <v>103</v>
      </c>
      <c r="C113" s="40">
        <f t="shared" si="4"/>
        <v>22096294.177241091</v>
      </c>
      <c r="D113" s="40">
        <f t="shared" si="5"/>
        <v>10577969.144400636</v>
      </c>
      <c r="E113" s="41">
        <f t="shared" si="6"/>
        <v>11518325.032840455</v>
      </c>
      <c r="F113" s="40">
        <f t="shared" si="7"/>
        <v>1203309309.4851642</v>
      </c>
    </row>
    <row r="114" spans="2:6">
      <c r="B114" s="38">
        <v>104</v>
      </c>
      <c r="C114" s="40">
        <f t="shared" si="4"/>
        <v>22096294.177241091</v>
      </c>
      <c r="D114" s="40">
        <f t="shared" si="5"/>
        <v>10678341.303280262</v>
      </c>
      <c r="E114" s="41">
        <f t="shared" si="6"/>
        <v>11417952.873960828</v>
      </c>
      <c r="F114" s="40">
        <f t="shared" si="7"/>
        <v>1192630968.1818838</v>
      </c>
    </row>
    <row r="115" spans="2:6">
      <c r="B115" s="38">
        <v>105</v>
      </c>
      <c r="C115" s="40">
        <f t="shared" si="4"/>
        <v>22096294.177241091</v>
      </c>
      <c r="D115" s="40">
        <f t="shared" si="5"/>
        <v>10779665.872791894</v>
      </c>
      <c r="E115" s="41">
        <f t="shared" si="6"/>
        <v>11316628.304449197</v>
      </c>
      <c r="F115" s="40">
        <f t="shared" si="7"/>
        <v>1181851302.3090918</v>
      </c>
    </row>
    <row r="116" spans="2:6">
      <c r="B116" s="38">
        <v>106</v>
      </c>
      <c r="C116" s="40">
        <f t="shared" si="4"/>
        <v>22096294.177241091</v>
      </c>
      <c r="D116" s="40">
        <f t="shared" si="5"/>
        <v>10881951.890162809</v>
      </c>
      <c r="E116" s="41">
        <f t="shared" si="6"/>
        <v>11214342.287078282</v>
      </c>
      <c r="F116" s="40">
        <f t="shared" si="7"/>
        <v>1170969350.4189291</v>
      </c>
    </row>
    <row r="117" spans="2:6">
      <c r="B117" s="38">
        <v>107</v>
      </c>
      <c r="C117" s="40">
        <f t="shared" si="4"/>
        <v>22096294.177241091</v>
      </c>
      <c r="D117" s="40">
        <f t="shared" si="5"/>
        <v>10985208.478372658</v>
      </c>
      <c r="E117" s="41">
        <f t="shared" si="6"/>
        <v>11111085.698868433</v>
      </c>
      <c r="F117" s="40">
        <f t="shared" si="7"/>
        <v>1159984141.9405565</v>
      </c>
    </row>
    <row r="118" spans="2:6">
      <c r="B118" s="38">
        <v>108</v>
      </c>
      <c r="C118" s="40">
        <f t="shared" si="4"/>
        <v>22096294.177241091</v>
      </c>
      <c r="D118" s="40">
        <f t="shared" si="5"/>
        <v>11089444.846967161</v>
      </c>
      <c r="E118" s="41">
        <f t="shared" si="6"/>
        <v>11006849.33027393</v>
      </c>
      <c r="F118" s="40">
        <f t="shared" si="7"/>
        <v>1148894697.0935893</v>
      </c>
    </row>
    <row r="119" spans="2:6">
      <c r="B119" s="38">
        <v>109</v>
      </c>
      <c r="C119" s="40">
        <f t="shared" si="4"/>
        <v>22096294.177241091</v>
      </c>
      <c r="D119" s="40">
        <f t="shared" si="5"/>
        <v>11194670.292879513</v>
      </c>
      <c r="E119" s="41">
        <f t="shared" si="6"/>
        <v>10901623.884361578</v>
      </c>
      <c r="F119" s="40">
        <f t="shared" si="7"/>
        <v>1137700026.8007097</v>
      </c>
    </row>
    <row r="120" spans="2:6">
      <c r="B120" s="38">
        <v>110</v>
      </c>
      <c r="C120" s="40">
        <f t="shared" si="4"/>
        <v>22096294.177241091</v>
      </c>
      <c r="D120" s="40">
        <f t="shared" si="5"/>
        <v>11300894.201259574</v>
      </c>
      <c r="E120" s="41">
        <f t="shared" si="6"/>
        <v>10795399.975981517</v>
      </c>
      <c r="F120" s="40">
        <f t="shared" si="7"/>
        <v>1126399132.5994501</v>
      </c>
    </row>
    <row r="121" spans="2:6">
      <c r="B121" s="38">
        <v>111</v>
      </c>
      <c r="C121" s="40">
        <f t="shared" si="4"/>
        <v>22096294.177241091</v>
      </c>
      <c r="D121" s="40">
        <f t="shared" si="5"/>
        <v>11408126.046310958</v>
      </c>
      <c r="E121" s="41">
        <f t="shared" si="6"/>
        <v>10688168.130930133</v>
      </c>
      <c r="F121" s="40">
        <f t="shared" si="7"/>
        <v>1114991006.5531392</v>
      </c>
    </row>
    <row r="122" spans="2:6">
      <c r="B122" s="38">
        <v>112</v>
      </c>
      <c r="C122" s="40">
        <f t="shared" si="4"/>
        <v>22096294.177241091</v>
      </c>
      <c r="D122" s="40">
        <f t="shared" si="5"/>
        <v>11516375.392136024</v>
      </c>
      <c r="E122" s="41">
        <f t="shared" si="6"/>
        <v>10579918.785105066</v>
      </c>
      <c r="F122" s="40">
        <f t="shared" si="7"/>
        <v>1103474631.1610031</v>
      </c>
    </row>
    <row r="123" spans="2:6">
      <c r="B123" s="38">
        <v>113</v>
      </c>
      <c r="C123" s="40">
        <f t="shared" si="4"/>
        <v>22096294.177241091</v>
      </c>
      <c r="D123" s="40">
        <f t="shared" si="5"/>
        <v>11625651.893588932</v>
      </c>
      <c r="E123" s="41">
        <f t="shared" si="6"/>
        <v>10470642.283652158</v>
      </c>
      <c r="F123" s="40">
        <f t="shared" si="7"/>
        <v>1091848979.2674141</v>
      </c>
    </row>
    <row r="124" spans="2:6">
      <c r="B124" s="38">
        <v>114</v>
      </c>
      <c r="C124" s="40">
        <f t="shared" si="4"/>
        <v>22096294.177241091</v>
      </c>
      <c r="D124" s="40">
        <f t="shared" si="5"/>
        <v>11735965.297136741</v>
      </c>
      <c r="E124" s="41">
        <f t="shared" si="6"/>
        <v>10360328.88010435</v>
      </c>
      <c r="F124" s="40">
        <f t="shared" si="7"/>
        <v>1080113013.9702773</v>
      </c>
    </row>
    <row r="125" spans="2:6">
      <c r="B125" s="38">
        <v>115</v>
      </c>
      <c r="C125" s="40">
        <f t="shared" si="4"/>
        <v>22096294.177241091</v>
      </c>
      <c r="D125" s="40">
        <f t="shared" si="5"/>
        <v>11847325.441728724</v>
      </c>
      <c r="E125" s="41">
        <f t="shared" si="6"/>
        <v>10248968.735512367</v>
      </c>
      <c r="F125" s="40">
        <f t="shared" si="7"/>
        <v>1068265688.5285486</v>
      </c>
    </row>
    <row r="126" spans="2:6">
      <c r="B126" s="38">
        <v>116</v>
      </c>
      <c r="C126" s="40">
        <f t="shared" si="4"/>
        <v>22096294.177241091</v>
      </c>
      <c r="D126" s="40">
        <f t="shared" si="5"/>
        <v>11959742.259673906</v>
      </c>
      <c r="E126" s="41">
        <f t="shared" si="6"/>
        <v>10136551.917567184</v>
      </c>
      <c r="F126" s="40">
        <f t="shared" si="7"/>
        <v>1056305946.2688746</v>
      </c>
    </row>
    <row r="127" spans="2:6">
      <c r="B127" s="38">
        <v>117</v>
      </c>
      <c r="C127" s="40">
        <f t="shared" si="4"/>
        <v>22096294.177241091</v>
      </c>
      <c r="D127" s="40">
        <f t="shared" si="5"/>
        <v>12073225.777526934</v>
      </c>
      <c r="E127" s="41">
        <f t="shared" si="6"/>
        <v>10023068.399714157</v>
      </c>
      <c r="F127" s="40">
        <f t="shared" si="7"/>
        <v>1044232720.4913477</v>
      </c>
    </row>
    <row r="128" spans="2:6">
      <c r="B128" s="38">
        <v>118</v>
      </c>
      <c r="C128" s="40">
        <f t="shared" si="4"/>
        <v>22096294.177241091</v>
      </c>
      <c r="D128" s="40">
        <f t="shared" si="5"/>
        <v>12187786.116982358</v>
      </c>
      <c r="E128" s="41">
        <f t="shared" si="6"/>
        <v>9908508.0602587331</v>
      </c>
      <c r="F128" s="40">
        <f t="shared" si="7"/>
        <v>1032044934.3743653</v>
      </c>
    </row>
    <row r="129" spans="2:6">
      <c r="B129" s="38">
        <v>119</v>
      </c>
      <c r="C129" s="40">
        <f t="shared" si="4"/>
        <v>22096294.177241091</v>
      </c>
      <c r="D129" s="40">
        <f t="shared" si="5"/>
        <v>12303433.495777389</v>
      </c>
      <c r="E129" s="41">
        <f t="shared" si="6"/>
        <v>9792860.6814637017</v>
      </c>
      <c r="F129" s="40">
        <f t="shared" si="7"/>
        <v>1019741500.878588</v>
      </c>
    </row>
    <row r="130" spans="2:6">
      <c r="B130" s="38">
        <v>120</v>
      </c>
      <c r="C130" s="40">
        <f t="shared" si="4"/>
        <v>22096294.177241091</v>
      </c>
      <c r="D130" s="40">
        <f t="shared" si="5"/>
        <v>12420178.228603235</v>
      </c>
      <c r="E130" s="41">
        <f t="shared" si="6"/>
        <v>9676115.9486378562</v>
      </c>
      <c r="F130" s="40">
        <f t="shared" si="7"/>
        <v>1007321322.6499847</v>
      </c>
    </row>
    <row r="131" spans="2:6">
      <c r="B131" s="38">
        <v>121</v>
      </c>
      <c r="C131" s="40">
        <f t="shared" si="4"/>
        <v>22096294.177241091</v>
      </c>
      <c r="D131" s="40">
        <f t="shared" si="5"/>
        <v>12538030.728025068</v>
      </c>
      <c r="E131" s="41">
        <f t="shared" si="6"/>
        <v>9558263.4492160231</v>
      </c>
      <c r="F131" s="40">
        <f t="shared" si="7"/>
        <v>994783291.92195964</v>
      </c>
    </row>
    <row r="132" spans="2:6">
      <c r="B132" s="38">
        <v>122</v>
      </c>
      <c r="C132" s="40">
        <f t="shared" si="4"/>
        <v>22096294.177241091</v>
      </c>
      <c r="D132" s="40">
        <f t="shared" si="5"/>
        <v>12657001.505410736</v>
      </c>
      <c r="E132" s="41">
        <f t="shared" si="6"/>
        <v>9439292.6718303543</v>
      </c>
      <c r="F132" s="40">
        <f t="shared" si="7"/>
        <v>982126290.41654885</v>
      </c>
    </row>
    <row r="133" spans="2:6">
      <c r="B133" s="38">
        <v>123</v>
      </c>
      <c r="C133" s="40">
        <f t="shared" si="4"/>
        <v>22096294.177241091</v>
      </c>
      <c r="D133" s="40">
        <f t="shared" si="5"/>
        <v>12777101.171868285</v>
      </c>
      <c r="E133" s="41">
        <f t="shared" si="6"/>
        <v>9319193.0053728055</v>
      </c>
      <c r="F133" s="40">
        <f t="shared" si="7"/>
        <v>969349189.24468052</v>
      </c>
    </row>
    <row r="134" spans="2:6">
      <c r="B134" s="38">
        <v>124</v>
      </c>
      <c r="C134" s="40">
        <f t="shared" si="4"/>
        <v>22096294.177241091</v>
      </c>
      <c r="D134" s="40">
        <f t="shared" si="5"/>
        <v>12898340.439192362</v>
      </c>
      <c r="E134" s="41">
        <f t="shared" si="6"/>
        <v>9197953.7380487286</v>
      </c>
      <c r="F134" s="40">
        <f t="shared" si="7"/>
        <v>956450848.80548811</v>
      </c>
    </row>
    <row r="135" spans="2:6">
      <c r="B135" s="38">
        <v>125</v>
      </c>
      <c r="C135" s="40">
        <f t="shared" si="4"/>
        <v>22096294.177241091</v>
      </c>
      <c r="D135" s="40">
        <f t="shared" si="5"/>
        <v>13020730.120819619</v>
      </c>
      <c r="E135" s="41">
        <f t="shared" si="6"/>
        <v>9075564.0564214718</v>
      </c>
      <c r="F135" s="40">
        <f t="shared" si="7"/>
        <v>943430118.68466854</v>
      </c>
    </row>
    <row r="136" spans="2:6">
      <c r="B136" s="38">
        <v>126</v>
      </c>
      <c r="C136" s="40">
        <f t="shared" si="4"/>
        <v>22096294.177241091</v>
      </c>
      <c r="D136" s="40">
        <f t="shared" si="5"/>
        <v>13144281.132793164</v>
      </c>
      <c r="E136" s="41">
        <f t="shared" si="6"/>
        <v>8952013.0444479268</v>
      </c>
      <c r="F136" s="40">
        <f t="shared" si="7"/>
        <v>930285837.55187535</v>
      </c>
    </row>
    <row r="137" spans="2:6">
      <c r="B137" s="38">
        <v>127</v>
      </c>
      <c r="C137" s="40">
        <f t="shared" si="4"/>
        <v>22096294.177241091</v>
      </c>
      <c r="D137" s="40">
        <f t="shared" si="5"/>
        <v>13269004.494736185</v>
      </c>
      <c r="E137" s="41">
        <f t="shared" si="6"/>
        <v>8827289.6825049054</v>
      </c>
      <c r="F137" s="40">
        <f t="shared" si="7"/>
        <v>917016833.05713916</v>
      </c>
    </row>
    <row r="138" spans="2:6">
      <c r="B138" s="38">
        <v>128</v>
      </c>
      <c r="C138" s="40">
        <f t="shared" si="4"/>
        <v>22096294.177241091</v>
      </c>
      <c r="D138" s="40">
        <f t="shared" si="5"/>
        <v>13394911.330834787</v>
      </c>
      <c r="E138" s="41">
        <f t="shared" si="6"/>
        <v>8701382.8464063033</v>
      </c>
      <c r="F138" s="40">
        <f t="shared" si="7"/>
        <v>903621921.72630441</v>
      </c>
    </row>
    <row r="139" spans="2:6">
      <c r="B139" s="38">
        <v>129</v>
      </c>
      <c r="C139" s="40">
        <f t="shared" si="4"/>
        <v>22096294.177241091</v>
      </c>
      <c r="D139" s="40">
        <f t="shared" si="5"/>
        <v>13522012.87083018</v>
      </c>
      <c r="E139" s="41">
        <f t="shared" si="6"/>
        <v>8574281.3064109106</v>
      </c>
      <c r="F139" s="40">
        <f t="shared" si="7"/>
        <v>890099908.85547423</v>
      </c>
    </row>
    <row r="140" spans="2:6">
      <c r="B140" s="38">
        <v>130</v>
      </c>
      <c r="C140" s="40">
        <f t="shared" ref="C140:C190" si="8">PMT($C$6,$C$4,-$C$2)</f>
        <v>22096294.177241091</v>
      </c>
      <c r="D140" s="40">
        <f t="shared" ref="D140:D190" si="9">C140-E140</f>
        <v>13650320.451020254</v>
      </c>
      <c r="E140" s="41">
        <f t="shared" ref="E140:E190" si="10">F139*$C$6</f>
        <v>8445973.7262208369</v>
      </c>
      <c r="F140" s="40">
        <f t="shared" ref="F140:F190" si="11">F139-D140</f>
        <v>876449588.40445399</v>
      </c>
    </row>
    <row r="141" spans="2:6">
      <c r="B141" s="38">
        <v>131</v>
      </c>
      <c r="C141" s="40">
        <f t="shared" si="8"/>
        <v>22096294.177241091</v>
      </c>
      <c r="D141" s="40">
        <f t="shared" si="9"/>
        <v>13779845.51527069</v>
      </c>
      <c r="E141" s="41">
        <f t="shared" si="10"/>
        <v>8316448.6619704012</v>
      </c>
      <c r="F141" s="40">
        <f t="shared" si="11"/>
        <v>862669742.88918328</v>
      </c>
    </row>
    <row r="142" spans="2:6">
      <c r="B142" s="38">
        <v>132</v>
      </c>
      <c r="C142" s="40">
        <f t="shared" si="8"/>
        <v>22096294.177241091</v>
      </c>
      <c r="D142" s="40">
        <f t="shared" si="9"/>
        <v>13910599.616035637</v>
      </c>
      <c r="E142" s="41">
        <f t="shared" si="10"/>
        <v>8185694.5612054551</v>
      </c>
      <c r="F142" s="40">
        <f t="shared" si="11"/>
        <v>848759143.2731477</v>
      </c>
    </row>
    <row r="143" spans="2:6">
      <c r="B143" s="38">
        <v>133</v>
      </c>
      <c r="C143" s="40">
        <f t="shared" si="8"/>
        <v>22096294.177241091</v>
      </c>
      <c r="D143" s="40">
        <f t="shared" si="9"/>
        <v>14042594.415388089</v>
      </c>
      <c r="E143" s="41">
        <f t="shared" si="10"/>
        <v>8053699.7618530029</v>
      </c>
      <c r="F143" s="40">
        <f t="shared" si="11"/>
        <v>834716548.85775959</v>
      </c>
    </row>
    <row r="144" spans="2:6">
      <c r="B144" s="38">
        <v>134</v>
      </c>
      <c r="C144" s="40">
        <f t="shared" si="8"/>
        <v>22096294.177241091</v>
      </c>
      <c r="D144" s="40">
        <f t="shared" si="9"/>
        <v>14175841.686060037</v>
      </c>
      <c r="E144" s="41">
        <f t="shared" si="10"/>
        <v>7920452.4911810532</v>
      </c>
      <c r="F144" s="40">
        <f t="shared" si="11"/>
        <v>820540707.17169952</v>
      </c>
    </row>
    <row r="145" spans="2:6">
      <c r="B145" s="38">
        <v>135</v>
      </c>
      <c r="C145" s="40">
        <f t="shared" si="8"/>
        <v>22096294.177241091</v>
      </c>
      <c r="D145" s="40">
        <f t="shared" si="9"/>
        <v>14310353.312492494</v>
      </c>
      <c r="E145" s="41">
        <f t="shared" si="10"/>
        <v>7785940.8647485981</v>
      </c>
      <c r="F145" s="40">
        <f t="shared" si="11"/>
        <v>806230353.85920703</v>
      </c>
    </row>
    <row r="146" spans="2:6">
      <c r="B146" s="38">
        <v>136</v>
      </c>
      <c r="C146" s="40">
        <f t="shared" si="8"/>
        <v>22096294.177241091</v>
      </c>
      <c r="D146" s="40">
        <f t="shared" si="9"/>
        <v>14446141.291895458</v>
      </c>
      <c r="E146" s="41">
        <f t="shared" si="10"/>
        <v>7650152.8853456322</v>
      </c>
      <c r="F146" s="40">
        <f t="shared" si="11"/>
        <v>791784212.56731153</v>
      </c>
    </row>
    <row r="147" spans="2:6">
      <c r="B147" s="38">
        <v>137</v>
      </c>
      <c r="C147" s="40">
        <f t="shared" si="8"/>
        <v>22096294.177241091</v>
      </c>
      <c r="D147" s="40">
        <f t="shared" si="9"/>
        <v>14583217.735317985</v>
      </c>
      <c r="E147" s="41">
        <f t="shared" si="10"/>
        <v>7513076.4419231061</v>
      </c>
      <c r="F147" s="40">
        <f t="shared" si="11"/>
        <v>777200994.83199358</v>
      </c>
    </row>
    <row r="148" spans="2:6">
      <c r="B148" s="38">
        <v>138</v>
      </c>
      <c r="C148" s="40">
        <f t="shared" si="8"/>
        <v>22096294.177241091</v>
      </c>
      <c r="D148" s="40">
        <f t="shared" si="9"/>
        <v>14721594.868728355</v>
      </c>
      <c r="E148" s="41">
        <f t="shared" si="10"/>
        <v>7374699.3085127352</v>
      </c>
      <c r="F148" s="40">
        <f t="shared" si="11"/>
        <v>762479399.96326518</v>
      </c>
    </row>
    <row r="149" spans="2:6">
      <c r="B149" s="38">
        <v>139</v>
      </c>
      <c r="C149" s="40">
        <f t="shared" si="8"/>
        <v>22096294.177241091</v>
      </c>
      <c r="D149" s="40">
        <f t="shared" si="9"/>
        <v>14861285.034104541</v>
      </c>
      <c r="E149" s="41">
        <f t="shared" si="10"/>
        <v>7235009.1431365507</v>
      </c>
      <c r="F149" s="40">
        <f t="shared" si="11"/>
        <v>747618114.92916059</v>
      </c>
    </row>
    <row r="150" spans="2:6">
      <c r="B150" s="38">
        <v>140</v>
      </c>
      <c r="C150" s="40">
        <f t="shared" si="8"/>
        <v>22096294.177241091</v>
      </c>
      <c r="D150" s="40">
        <f t="shared" si="9"/>
        <v>15002300.690534975</v>
      </c>
      <c r="E150" s="41">
        <f t="shared" si="10"/>
        <v>7093993.4867061144</v>
      </c>
      <c r="F150" s="40">
        <f t="shared" si="11"/>
        <v>732615814.23862565</v>
      </c>
    </row>
    <row r="151" spans="2:6">
      <c r="B151" s="38">
        <v>141</v>
      </c>
      <c r="C151" s="40">
        <f t="shared" si="8"/>
        <v>22096294.177241091</v>
      </c>
      <c r="D151" s="40">
        <f t="shared" si="9"/>
        <v>15144654.415329814</v>
      </c>
      <c r="E151" s="41">
        <f t="shared" si="10"/>
        <v>6951639.7619112758</v>
      </c>
      <c r="F151" s="40">
        <f t="shared" si="11"/>
        <v>717471159.82329583</v>
      </c>
    </row>
    <row r="152" spans="2:6">
      <c r="B152" s="38">
        <v>142</v>
      </c>
      <c r="C152" s="40">
        <f t="shared" si="8"/>
        <v>22096294.177241091</v>
      </c>
      <c r="D152" s="40">
        <f t="shared" si="9"/>
        <v>15288358.905142698</v>
      </c>
      <c r="E152" s="41">
        <f t="shared" si="10"/>
        <v>6807935.2720983922</v>
      </c>
      <c r="F152" s="40">
        <f t="shared" si="11"/>
        <v>702182800.91815317</v>
      </c>
    </row>
    <row r="153" spans="2:6">
      <c r="B153" s="38">
        <v>143</v>
      </c>
      <c r="C153" s="40">
        <f t="shared" si="8"/>
        <v>22096294.177241091</v>
      </c>
      <c r="D153" s="40">
        <f t="shared" si="9"/>
        <v>15433426.977103185</v>
      </c>
      <c r="E153" s="41">
        <f t="shared" si="10"/>
        <v>6662867.2001379048</v>
      </c>
      <c r="F153" s="40">
        <f t="shared" si="11"/>
        <v>686749373.94104993</v>
      </c>
    </row>
    <row r="154" spans="2:6">
      <c r="B154" s="38">
        <v>144</v>
      </c>
      <c r="C154" s="40">
        <f t="shared" si="8"/>
        <v>22096294.177241091</v>
      </c>
      <c r="D154" s="40">
        <f t="shared" si="9"/>
        <v>15579871.569959927</v>
      </c>
      <c r="E154" s="41">
        <f t="shared" si="10"/>
        <v>6516422.6072811643</v>
      </c>
      <c r="F154" s="40">
        <f t="shared" si="11"/>
        <v>671169502.37109005</v>
      </c>
    </row>
    <row r="155" spans="2:6">
      <c r="B155" s="38">
        <v>145</v>
      </c>
      <c r="C155" s="40">
        <f t="shared" si="8"/>
        <v>22096294.177241091</v>
      </c>
      <c r="D155" s="40">
        <f t="shared" si="9"/>
        <v>15727705.745234672</v>
      </c>
      <c r="E155" s="41">
        <f t="shared" si="10"/>
        <v>6368588.4320064178</v>
      </c>
      <c r="F155" s="40">
        <f t="shared" si="11"/>
        <v>655441796.62585533</v>
      </c>
    </row>
    <row r="156" spans="2:6">
      <c r="B156" s="38">
        <v>146</v>
      </c>
      <c r="C156" s="40">
        <f t="shared" si="8"/>
        <v>22096294.177241091</v>
      </c>
      <c r="D156" s="40">
        <f t="shared" si="9"/>
        <v>15876942.688387256</v>
      </c>
      <c r="E156" s="41">
        <f t="shared" si="10"/>
        <v>6219351.4888538336</v>
      </c>
      <c r="F156" s="40">
        <f t="shared" si="11"/>
        <v>639564853.93746805</v>
      </c>
    </row>
    <row r="157" spans="2:6">
      <c r="B157" s="38">
        <v>147</v>
      </c>
      <c r="C157" s="40">
        <f t="shared" si="8"/>
        <v>22096294.177241091</v>
      </c>
      <c r="D157" s="40">
        <f t="shared" si="9"/>
        <v>16027595.709991606</v>
      </c>
      <c r="E157" s="41">
        <f t="shared" si="10"/>
        <v>6068698.4672494847</v>
      </c>
      <c r="F157" s="40">
        <f t="shared" si="11"/>
        <v>623537258.22747648</v>
      </c>
    </row>
    <row r="158" spans="2:6">
      <c r="B158" s="38">
        <v>148</v>
      </c>
      <c r="C158" s="40">
        <f t="shared" si="8"/>
        <v>22096294.177241091</v>
      </c>
      <c r="D158" s="40">
        <f t="shared" si="9"/>
        <v>16179678.246922929</v>
      </c>
      <c r="E158" s="41">
        <f t="shared" si="10"/>
        <v>5916615.9303181628</v>
      </c>
      <c r="F158" s="40">
        <f t="shared" si="11"/>
        <v>607357579.98055351</v>
      </c>
    </row>
    <row r="159" spans="2:6">
      <c r="B159" s="38">
        <v>149</v>
      </c>
      <c r="C159" s="40">
        <f t="shared" si="8"/>
        <v>22096294.177241091</v>
      </c>
      <c r="D159" s="40">
        <f t="shared" si="9"/>
        <v>16333203.863556158</v>
      </c>
      <c r="E159" s="41">
        <f t="shared" si="10"/>
        <v>5763090.3136849329</v>
      </c>
      <c r="F159" s="40">
        <f t="shared" si="11"/>
        <v>591024376.11699736</v>
      </c>
    </row>
    <row r="160" spans="2:6">
      <c r="B160" s="38">
        <v>150</v>
      </c>
      <c r="C160" s="40">
        <f t="shared" si="8"/>
        <v>22096294.177241091</v>
      </c>
      <c r="D160" s="40">
        <f t="shared" si="9"/>
        <v>16488186.252975773</v>
      </c>
      <c r="E160" s="41">
        <f t="shared" si="10"/>
        <v>5608107.9242653176</v>
      </c>
      <c r="F160" s="40">
        <f t="shared" si="11"/>
        <v>574536189.86402154</v>
      </c>
    </row>
    <row r="161" spans="2:6">
      <c r="B161" s="38">
        <v>151</v>
      </c>
      <c r="C161" s="40">
        <f t="shared" si="8"/>
        <v>22096294.177241091</v>
      </c>
      <c r="D161" s="40">
        <f t="shared" si="9"/>
        <v>16644639.238197099</v>
      </c>
      <c r="E161" s="41">
        <f t="shared" si="10"/>
        <v>5451654.9390439913</v>
      </c>
      <c r="F161" s="40">
        <f t="shared" si="11"/>
        <v>557891550.62582445</v>
      </c>
    </row>
    <row r="162" spans="2:6">
      <c r="B162" s="38">
        <v>152</v>
      </c>
      <c r="C162" s="40">
        <f t="shared" si="8"/>
        <v>22096294.177241091</v>
      </c>
      <c r="D162" s="40">
        <f t="shared" si="9"/>
        <v>16802576.773399189</v>
      </c>
      <c r="E162" s="41">
        <f t="shared" si="10"/>
        <v>5293717.4038419025</v>
      </c>
      <c r="F162" s="40">
        <f t="shared" si="11"/>
        <v>541088973.85242522</v>
      </c>
    </row>
    <row r="163" spans="2:6">
      <c r="B163" s="38">
        <v>153</v>
      </c>
      <c r="C163" s="40">
        <f t="shared" si="8"/>
        <v>22096294.177241091</v>
      </c>
      <c r="D163" s="40">
        <f t="shared" si="9"/>
        <v>16962012.945169408</v>
      </c>
      <c r="E163" s="41">
        <f t="shared" si="10"/>
        <v>5134281.2320716828</v>
      </c>
      <c r="F163" s="40">
        <f t="shared" si="11"/>
        <v>524126960.90725583</v>
      </c>
    </row>
    <row r="164" spans="2:6">
      <c r="B164" s="38">
        <v>154</v>
      </c>
      <c r="C164" s="40">
        <f t="shared" si="8"/>
        <v>22096294.177241091</v>
      </c>
      <c r="D164" s="40">
        <f t="shared" si="9"/>
        <v>17122961.973759837</v>
      </c>
      <c r="E164" s="41">
        <f t="shared" si="10"/>
        <v>4973332.2034812532</v>
      </c>
      <c r="F164" s="40">
        <f t="shared" si="11"/>
        <v>507003998.933496</v>
      </c>
    </row>
    <row r="165" spans="2:6">
      <c r="B165" s="38">
        <v>155</v>
      </c>
      <c r="C165" s="40">
        <f t="shared" si="8"/>
        <v>22096294.177241091</v>
      </c>
      <c r="D165" s="40">
        <f t="shared" si="9"/>
        <v>17285438.214355584</v>
      </c>
      <c r="E165" s="41">
        <f t="shared" si="10"/>
        <v>4810855.9628855065</v>
      </c>
      <c r="F165" s="40">
        <f t="shared" si="11"/>
        <v>489718560.71914041</v>
      </c>
    </row>
    <row r="166" spans="2:6">
      <c r="B166" s="38">
        <v>156</v>
      </c>
      <c r="C166" s="40">
        <f t="shared" si="8"/>
        <v>22096294.177241091</v>
      </c>
      <c r="D166" s="40">
        <f t="shared" si="9"/>
        <v>17449456.158355132</v>
      </c>
      <c r="E166" s="41">
        <f t="shared" si="10"/>
        <v>4646838.018885958</v>
      </c>
      <c r="F166" s="40">
        <f t="shared" si="11"/>
        <v>472269104.56078529</v>
      </c>
    </row>
    <row r="167" spans="2:6">
      <c r="B167" s="38">
        <v>157</v>
      </c>
      <c r="C167" s="40">
        <f t="shared" si="8"/>
        <v>22096294.177241091</v>
      </c>
      <c r="D167" s="40">
        <f t="shared" si="9"/>
        <v>17615030.434662849</v>
      </c>
      <c r="E167" s="41">
        <f t="shared" si="10"/>
        <v>4481263.742578241</v>
      </c>
      <c r="F167" s="40">
        <f t="shared" si="11"/>
        <v>454654074.12612247</v>
      </c>
    </row>
    <row r="168" spans="2:6">
      <c r="B168" s="38">
        <v>158</v>
      </c>
      <c r="C168" s="40">
        <f t="shared" si="8"/>
        <v>22096294.177241091</v>
      </c>
      <c r="D168" s="40">
        <f t="shared" si="9"/>
        <v>17782175.810993742</v>
      </c>
      <c r="E168" s="41">
        <f t="shared" si="10"/>
        <v>4314118.3662473476</v>
      </c>
      <c r="F168" s="40">
        <f t="shared" si="11"/>
        <v>436871898.31512874</v>
      </c>
    </row>
    <row r="169" spans="2:6">
      <c r="B169" s="38">
        <v>159</v>
      </c>
      <c r="C169" s="40">
        <f t="shared" si="8"/>
        <v>22096294.177241091</v>
      </c>
      <c r="D169" s="40">
        <f t="shared" si="9"/>
        <v>17950907.195190616</v>
      </c>
      <c r="E169" s="41">
        <f t="shared" si="10"/>
        <v>4145386.9820504766</v>
      </c>
      <c r="F169" s="40">
        <f t="shared" si="11"/>
        <v>418920991.11993814</v>
      </c>
    </row>
    <row r="170" spans="2:6">
      <c r="B170" s="38">
        <v>160</v>
      </c>
      <c r="C170" s="40">
        <f t="shared" si="8"/>
        <v>22096294.177241091</v>
      </c>
      <c r="D170" s="40">
        <f t="shared" si="9"/>
        <v>18121239.636553694</v>
      </c>
      <c r="E170" s="41">
        <f t="shared" si="10"/>
        <v>3975054.5406873957</v>
      </c>
      <c r="F170" s="40">
        <f t="shared" si="11"/>
        <v>400799751.48338443</v>
      </c>
    </row>
    <row r="171" spans="2:6">
      <c r="B171" s="38">
        <v>161</v>
      </c>
      <c r="C171" s="40">
        <f t="shared" si="8"/>
        <v>22096294.177241091</v>
      </c>
      <c r="D171" s="40">
        <f t="shared" si="9"/>
        <v>18293188.327182911</v>
      </c>
      <c r="E171" s="41">
        <f t="shared" si="10"/>
        <v>3803105.8500581789</v>
      </c>
      <c r="F171" s="40">
        <f t="shared" si="11"/>
        <v>382506563.15620154</v>
      </c>
    </row>
    <row r="172" spans="2:6">
      <c r="B172" s="38">
        <v>162</v>
      </c>
      <c r="C172" s="40">
        <f t="shared" si="8"/>
        <v>22096294.177241091</v>
      </c>
      <c r="D172" s="40">
        <f t="shared" si="9"/>
        <v>18466768.603332881</v>
      </c>
      <c r="E172" s="41">
        <f t="shared" si="10"/>
        <v>3629525.5739082089</v>
      </c>
      <c r="F172" s="40">
        <f t="shared" si="11"/>
        <v>364039794.55286866</v>
      </c>
    </row>
    <row r="173" spans="2:6">
      <c r="B173" s="38">
        <v>163</v>
      </c>
      <c r="C173" s="40">
        <f t="shared" si="8"/>
        <v>22096294.177241091</v>
      </c>
      <c r="D173" s="40">
        <f t="shared" si="9"/>
        <v>18641995.946780767</v>
      </c>
      <c r="E173" s="41">
        <f t="shared" si="10"/>
        <v>3454298.2304603239</v>
      </c>
      <c r="F173" s="40">
        <f t="shared" si="11"/>
        <v>345397798.60608792</v>
      </c>
    </row>
    <row r="174" spans="2:6">
      <c r="B174" s="38">
        <v>164</v>
      </c>
      <c r="C174" s="40">
        <f t="shared" si="8"/>
        <v>22096294.177241091</v>
      </c>
      <c r="D174" s="40">
        <f t="shared" si="9"/>
        <v>18818885.986207105</v>
      </c>
      <c r="E174" s="41">
        <f t="shared" si="10"/>
        <v>3277408.191033985</v>
      </c>
      <c r="F174" s="40">
        <f t="shared" si="11"/>
        <v>326578912.6198808</v>
      </c>
    </row>
    <row r="175" spans="2:6">
      <c r="B175" s="38">
        <v>165</v>
      </c>
      <c r="C175" s="40">
        <f t="shared" si="8"/>
        <v>22096294.177241091</v>
      </c>
      <c r="D175" s="40">
        <f t="shared" si="9"/>
        <v>18997454.49858975</v>
      </c>
      <c r="E175" s="41">
        <f t="shared" si="10"/>
        <v>3098839.6786513389</v>
      </c>
      <c r="F175" s="40">
        <f t="shared" si="11"/>
        <v>307581458.12129104</v>
      </c>
    </row>
    <row r="176" spans="2:6">
      <c r="B176" s="38">
        <v>166</v>
      </c>
      <c r="C176" s="40">
        <f t="shared" si="8"/>
        <v>22096294.177241091</v>
      </c>
      <c r="D176" s="40">
        <f t="shared" si="9"/>
        <v>19177717.410611033</v>
      </c>
      <c r="E176" s="41">
        <f t="shared" si="10"/>
        <v>2918576.7666300572</v>
      </c>
      <c r="F176" s="40">
        <f t="shared" si="11"/>
        <v>288403740.71068001</v>
      </c>
    </row>
    <row r="177" spans="2:6">
      <c r="B177" s="38">
        <v>167</v>
      </c>
      <c r="C177" s="40">
        <f t="shared" si="8"/>
        <v>22096294.177241091</v>
      </c>
      <c r="D177" s="40">
        <f t="shared" si="9"/>
        <v>19359690.800078269</v>
      </c>
      <c r="E177" s="41">
        <f t="shared" si="10"/>
        <v>2736603.3771628211</v>
      </c>
      <c r="F177" s="40">
        <f t="shared" si="11"/>
        <v>269044049.91060174</v>
      </c>
    </row>
    <row r="178" spans="2:6">
      <c r="B178" s="38">
        <v>168</v>
      </c>
      <c r="C178" s="40">
        <f t="shared" si="8"/>
        <v>22096294.177241091</v>
      </c>
      <c r="D178" s="40">
        <f t="shared" si="9"/>
        <v>19543390.897357766</v>
      </c>
      <c r="E178" s="41">
        <f t="shared" si="10"/>
        <v>2552903.279883326</v>
      </c>
      <c r="F178" s="40">
        <f t="shared" si="11"/>
        <v>249500659.01324397</v>
      </c>
    </row>
    <row r="179" spans="2:6">
      <c r="B179" s="38">
        <v>169</v>
      </c>
      <c r="C179" s="40">
        <f t="shared" si="8"/>
        <v>22096294.177241091</v>
      </c>
      <c r="D179" s="40">
        <f t="shared" si="9"/>
        <v>19728834.086822409</v>
      </c>
      <c r="E179" s="41">
        <f t="shared" si="10"/>
        <v>2367460.0904186829</v>
      </c>
      <c r="F179" s="40">
        <f t="shared" si="11"/>
        <v>229771824.92642155</v>
      </c>
    </row>
    <row r="180" spans="2:6">
      <c r="B180" s="38">
        <v>170</v>
      </c>
      <c r="C180" s="40">
        <f t="shared" si="8"/>
        <v>22096294.177241091</v>
      </c>
      <c r="D180" s="40">
        <f t="shared" si="9"/>
        <v>19916036.90831301</v>
      </c>
      <c r="E180" s="41">
        <f t="shared" si="10"/>
        <v>2180257.2689280813</v>
      </c>
      <c r="F180" s="40">
        <f t="shared" si="11"/>
        <v>209855788.01810855</v>
      </c>
    </row>
    <row r="181" spans="2:6">
      <c r="B181" s="38">
        <v>171</v>
      </c>
      <c r="C181" s="40">
        <f t="shared" si="8"/>
        <v>22096294.177241091</v>
      </c>
      <c r="D181" s="40">
        <f t="shared" si="9"/>
        <v>20105016.058613505</v>
      </c>
      <c r="E181" s="41">
        <f t="shared" si="10"/>
        <v>1991278.1186275857</v>
      </c>
      <c r="F181" s="40">
        <f t="shared" si="11"/>
        <v>189750771.95949504</v>
      </c>
    </row>
    <row r="182" spans="2:6">
      <c r="B182" s="38">
        <v>172</v>
      </c>
      <c r="C182" s="40">
        <f t="shared" si="8"/>
        <v>22096294.177241091</v>
      </c>
      <c r="D182" s="40">
        <f t="shared" si="9"/>
        <v>20295788.392940156</v>
      </c>
      <c r="E182" s="41">
        <f t="shared" si="10"/>
        <v>1800505.7843009352</v>
      </c>
      <c r="F182" s="40">
        <f t="shared" si="11"/>
        <v>169454983.56655487</v>
      </c>
    </row>
    <row r="183" spans="2:6">
      <c r="B183" s="38">
        <v>173</v>
      </c>
      <c r="C183" s="40">
        <f t="shared" si="8"/>
        <v>22096294.177241091</v>
      </c>
      <c r="D183" s="40">
        <f t="shared" si="9"/>
        <v>20488370.926444877</v>
      </c>
      <c r="E183" s="41">
        <f t="shared" si="10"/>
        <v>1607923.2507962121</v>
      </c>
      <c r="F183" s="40">
        <f t="shared" si="11"/>
        <v>148966612.64010999</v>
      </c>
    </row>
    <row r="184" spans="2:6">
      <c r="B184" s="38">
        <v>174</v>
      </c>
      <c r="C184" s="40">
        <f t="shared" si="8"/>
        <v>22096294.177241091</v>
      </c>
      <c r="D184" s="40">
        <f t="shared" si="9"/>
        <v>20682780.835732847</v>
      </c>
      <c r="E184" s="41">
        <f t="shared" si="10"/>
        <v>1413513.3415082451</v>
      </c>
      <c r="F184" s="40">
        <f t="shared" si="11"/>
        <v>128283831.80437714</v>
      </c>
    </row>
    <row r="185" spans="2:6">
      <c r="B185" s="38">
        <v>175</v>
      </c>
      <c r="C185" s="40">
        <f t="shared" si="8"/>
        <v>22096294.177241091</v>
      </c>
      <c r="D185" s="40">
        <f t="shared" si="9"/>
        <v>20879035.460394476</v>
      </c>
      <c r="E185" s="41">
        <f t="shared" si="10"/>
        <v>1217258.7168466137</v>
      </c>
      <c r="F185" s="40">
        <f t="shared" si="11"/>
        <v>107404796.34398267</v>
      </c>
    </row>
    <row r="186" spans="2:6">
      <c r="B186" s="38">
        <v>176</v>
      </c>
      <c r="C186" s="40">
        <f t="shared" si="8"/>
        <v>22096294.177241091</v>
      </c>
      <c r="D186" s="40">
        <f t="shared" si="9"/>
        <v>21077152.304551978</v>
      </c>
      <c r="E186" s="41">
        <f t="shared" si="10"/>
        <v>1019141.8726891137</v>
      </c>
      <c r="F186" s="40">
        <f t="shared" si="11"/>
        <v>86327644.039430693</v>
      </c>
    </row>
    <row r="187" spans="2:6">
      <c r="B187" s="38">
        <v>177</v>
      </c>
      <c r="C187" s="40">
        <f t="shared" si="8"/>
        <v>22096294.177241091</v>
      </c>
      <c r="D187" s="40">
        <f t="shared" si="9"/>
        <v>21277149.038420539</v>
      </c>
      <c r="E187" s="41">
        <f t="shared" si="10"/>
        <v>819145.13882055017</v>
      </c>
      <c r="F187" s="40">
        <f t="shared" si="11"/>
        <v>65050495.00101015</v>
      </c>
    </row>
    <row r="188" spans="2:6">
      <c r="B188" s="38">
        <v>178</v>
      </c>
      <c r="C188" s="40">
        <f t="shared" si="8"/>
        <v>22096294.177241091</v>
      </c>
      <c r="D188" s="40">
        <f t="shared" si="9"/>
        <v>21479043.499884374</v>
      </c>
      <c r="E188" s="41">
        <f t="shared" si="10"/>
        <v>617250.67735671485</v>
      </c>
      <c r="F188" s="40">
        <f t="shared" si="11"/>
        <v>43571451.501125775</v>
      </c>
    </row>
    <row r="189" spans="2:6">
      <c r="B189" s="38">
        <v>179</v>
      </c>
      <c r="C189" s="40">
        <f t="shared" si="8"/>
        <v>22096294.177241091</v>
      </c>
      <c r="D189" s="40">
        <f t="shared" si="9"/>
        <v>21682853.696087681</v>
      </c>
      <c r="E189" s="41">
        <f t="shared" si="10"/>
        <v>413440.4811534101</v>
      </c>
      <c r="F189" s="40">
        <f t="shared" si="11"/>
        <v>21888597.805038095</v>
      </c>
    </row>
    <row r="190" spans="2:6">
      <c r="B190" s="38">
        <v>180</v>
      </c>
      <c r="C190" s="40">
        <f t="shared" si="8"/>
        <v>22096294.177241091</v>
      </c>
      <c r="D190" s="40">
        <f t="shared" si="9"/>
        <v>21888597.805040717</v>
      </c>
      <c r="E190" s="41">
        <f t="shared" si="10"/>
        <v>207696.37220037542</v>
      </c>
      <c r="F190" s="40">
        <f t="shared" si="11"/>
        <v>-2.6226043701171875E-6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5251-49F4-47B7-92B2-288882075D69}">
  <dimension ref="A1:H17"/>
  <sheetViews>
    <sheetView showGridLines="0" zoomScale="86" zoomScaleNormal="86" workbookViewId="0">
      <selection activeCell="L37" sqref="L37"/>
    </sheetView>
  </sheetViews>
  <sheetFormatPr baseColWidth="10" defaultRowHeight="15"/>
  <cols>
    <col min="2" max="2" width="29.85546875" bestFit="1" customWidth="1"/>
    <col min="3" max="3" width="16.7109375" bestFit="1" customWidth="1"/>
    <col min="4" max="4" width="15.5703125" bestFit="1" customWidth="1"/>
    <col min="5" max="7" width="16.7109375" bestFit="1" customWidth="1"/>
    <col min="8" max="8" width="18.42578125" bestFit="1" customWidth="1"/>
  </cols>
  <sheetData>
    <row r="1" spans="1:8" ht="15.75">
      <c r="B1" s="50" t="s">
        <v>56</v>
      </c>
      <c r="C1" s="51"/>
      <c r="D1" s="51"/>
      <c r="E1" s="51"/>
      <c r="F1" s="51"/>
      <c r="G1" s="51"/>
      <c r="H1" s="52"/>
    </row>
    <row r="2" spans="1:8" ht="15.75">
      <c r="B2" s="53">
        <v>800057319</v>
      </c>
      <c r="C2" s="54"/>
      <c r="D2" s="54"/>
      <c r="E2" s="54"/>
      <c r="F2" s="54"/>
      <c r="G2" s="54"/>
      <c r="H2" s="55"/>
    </row>
    <row r="3" spans="1:8" ht="15.75">
      <c r="B3" s="53" t="s">
        <v>72</v>
      </c>
      <c r="C3" s="54"/>
      <c r="D3" s="54"/>
      <c r="E3" s="54"/>
      <c r="F3" s="54"/>
      <c r="G3" s="54"/>
      <c r="H3" s="55"/>
    </row>
    <row r="4" spans="1:8">
      <c r="B4" s="53" t="s">
        <v>58</v>
      </c>
      <c r="C4" s="54"/>
      <c r="D4" s="54"/>
      <c r="E4" s="54"/>
      <c r="F4" s="54"/>
      <c r="G4" s="54"/>
      <c r="H4" s="55"/>
    </row>
    <row r="5" spans="1:8" ht="16.5" thickBot="1">
      <c r="B5" s="56" t="s">
        <v>0</v>
      </c>
      <c r="C5" s="57"/>
      <c r="D5" s="57"/>
      <c r="E5" s="57"/>
      <c r="F5" s="57"/>
      <c r="G5" s="57"/>
      <c r="H5" s="58"/>
    </row>
    <row r="6" spans="1:8" ht="27" thickBot="1">
      <c r="B6" s="23"/>
      <c r="C6" s="24" t="s">
        <v>62</v>
      </c>
      <c r="D6" s="25" t="s">
        <v>63</v>
      </c>
      <c r="E6" s="26" t="s">
        <v>64</v>
      </c>
      <c r="F6" s="26" t="s">
        <v>65</v>
      </c>
      <c r="G6" s="24" t="s">
        <v>66</v>
      </c>
      <c r="H6" s="27" t="s">
        <v>59</v>
      </c>
    </row>
    <row r="7" spans="1:8" ht="15.75" thickBot="1">
      <c r="B7" s="19" t="s">
        <v>57</v>
      </c>
      <c r="C7" s="22">
        <f>ESF!E49</f>
        <v>500000</v>
      </c>
      <c r="D7" s="22">
        <v>94023</v>
      </c>
      <c r="E7" s="22">
        <v>101006</v>
      </c>
      <c r="F7" s="22">
        <v>106559</v>
      </c>
      <c r="G7" s="22">
        <v>1218030</v>
      </c>
      <c r="H7" s="21">
        <f>SUM(C7:G7)</f>
        <v>2019618</v>
      </c>
    </row>
    <row r="8" spans="1:8">
      <c r="B8" s="11" t="s">
        <v>69</v>
      </c>
      <c r="H8" s="13"/>
    </row>
    <row r="9" spans="1:8">
      <c r="B9" s="14" t="s">
        <v>61</v>
      </c>
      <c r="F9" s="15">
        <f>-F7</f>
        <v>-106559</v>
      </c>
      <c r="G9" s="15">
        <f>F7</f>
        <v>106559</v>
      </c>
      <c r="H9" s="12">
        <f>SUM(C9:G9)</f>
        <v>0</v>
      </c>
    </row>
    <row r="10" spans="1:8">
      <c r="B10" s="14" t="s">
        <v>60</v>
      </c>
      <c r="F10" s="15">
        <f>ESF!D53</f>
        <v>84666</v>
      </c>
      <c r="H10" s="12">
        <f t="shared" ref="H10:H11" si="0">SUM(C10:G10)</f>
        <v>84666</v>
      </c>
    </row>
    <row r="11" spans="1:8" ht="15.75" thickBot="1">
      <c r="B11" s="14" t="s">
        <v>67</v>
      </c>
      <c r="G11" s="15">
        <f>-ESF!C58</f>
        <v>-1150395</v>
      </c>
      <c r="H11" s="12">
        <f t="shared" si="0"/>
        <v>-1150395</v>
      </c>
    </row>
    <row r="12" spans="1:8" ht="15.75" thickBot="1">
      <c r="A12" s="10"/>
      <c r="B12" s="19" t="s">
        <v>68</v>
      </c>
      <c r="C12" s="20">
        <f>SUM(C7:C11)</f>
        <v>500000</v>
      </c>
      <c r="D12" s="20">
        <f>SUM(D7:D11)</f>
        <v>94023</v>
      </c>
      <c r="E12" s="20">
        <f>SUM(E7:E11)</f>
        <v>101006</v>
      </c>
      <c r="F12" s="20">
        <f t="shared" ref="F12" si="1">SUM(F7:F11)</f>
        <v>84666</v>
      </c>
      <c r="G12" s="20">
        <f>SUM(G7:G11)</f>
        <v>174194</v>
      </c>
      <c r="H12" s="21">
        <f>SUM(H7:H11)</f>
        <v>953889</v>
      </c>
    </row>
    <row r="13" spans="1:8">
      <c r="B13" s="11" t="s">
        <v>70</v>
      </c>
      <c r="H13" s="13"/>
    </row>
    <row r="14" spans="1:8">
      <c r="B14" s="14" t="str">
        <f>B9</f>
        <v>Traslado a utilidad acumulada</v>
      </c>
      <c r="F14" s="15">
        <f>-F12</f>
        <v>-84666</v>
      </c>
      <c r="G14" s="15">
        <f>+F12</f>
        <v>84666</v>
      </c>
      <c r="H14" s="12">
        <f>SUM(C14:G14)</f>
        <v>0</v>
      </c>
    </row>
    <row r="15" spans="1:8">
      <c r="B15" s="14" t="str">
        <f t="shared" ref="B15" si="2">B10</f>
        <v>Resultado del periodo</v>
      </c>
      <c r="F15" s="15">
        <f>ESF!C53</f>
        <v>500002</v>
      </c>
      <c r="H15" s="12">
        <f t="shared" ref="H15" si="3">SUM(C15:G15)</f>
        <v>500002</v>
      </c>
    </row>
    <row r="16" spans="1:8" s="10" customFormat="1" ht="15.75" thickBot="1">
      <c r="B16" s="16" t="s">
        <v>71</v>
      </c>
      <c r="C16" s="17">
        <f>SUM(C12:C15)</f>
        <v>500000</v>
      </c>
      <c r="D16" s="17">
        <f>SUM(D12:D15)</f>
        <v>94023</v>
      </c>
      <c r="E16" s="17">
        <f>SUM(E12:E15)</f>
        <v>101006</v>
      </c>
      <c r="F16" s="17">
        <f>SUM(F12:F15)</f>
        <v>500002</v>
      </c>
      <c r="G16" s="17">
        <f>SUM(G12:G15)</f>
        <v>258860</v>
      </c>
      <c r="H16" s="18">
        <f>SUM(C16:G16)</f>
        <v>1453891</v>
      </c>
    </row>
    <row r="17" spans="3:8">
      <c r="C17" s="30">
        <f t="shared" ref="C17:F17" si="4">C16*1000</f>
        <v>500000000</v>
      </c>
      <c r="D17" s="30">
        <f t="shared" si="4"/>
        <v>94023000</v>
      </c>
      <c r="E17" s="30">
        <f t="shared" si="4"/>
        <v>101006000</v>
      </c>
      <c r="F17" s="30">
        <f t="shared" si="4"/>
        <v>500002000</v>
      </c>
      <c r="G17" s="30">
        <f>G16*1000</f>
        <v>258860000</v>
      </c>
      <c r="H17" s="30">
        <f>H16*1000</f>
        <v>1453891000</v>
      </c>
    </row>
  </sheetData>
  <mergeCells count="5">
    <mergeCell ref="B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8"/>
  <sheetViews>
    <sheetView zoomScale="78" zoomScaleNormal="78" workbookViewId="0">
      <pane ySplit="7" topLeftCell="A41" activePane="bottomLeft" state="frozen"/>
      <selection pane="bottomLeft" activeCell="B50" sqref="B50"/>
    </sheetView>
  </sheetViews>
  <sheetFormatPr baseColWidth="10" defaultRowHeight="15"/>
  <cols>
    <col min="2" max="2" width="58" bestFit="1" customWidth="1"/>
    <col min="3" max="4" width="13" bestFit="1" customWidth="1"/>
    <col min="5" max="5" width="12.28515625" bestFit="1" customWidth="1"/>
    <col min="6" max="6" width="17.5703125" bestFit="1" customWidth="1"/>
  </cols>
  <sheetData>
    <row r="1" spans="2:10" ht="15.75">
      <c r="B1" s="59" t="s">
        <v>56</v>
      </c>
      <c r="C1" s="59"/>
      <c r="D1" s="59"/>
      <c r="E1" s="59"/>
    </row>
    <row r="2" spans="2:10" ht="15.75">
      <c r="B2" s="59">
        <v>800057319</v>
      </c>
      <c r="C2" s="59"/>
      <c r="D2" s="59"/>
      <c r="E2" s="59"/>
    </row>
    <row r="3" spans="2:10">
      <c r="B3" s="59" t="s">
        <v>52</v>
      </c>
      <c r="C3" s="59"/>
      <c r="D3" s="59"/>
      <c r="E3" s="59"/>
    </row>
    <row r="4" spans="2:10">
      <c r="B4" s="59" t="s">
        <v>58</v>
      </c>
      <c r="C4" s="59"/>
      <c r="D4" s="59"/>
      <c r="E4" s="59"/>
    </row>
    <row r="5" spans="2:10" ht="15.75">
      <c r="B5" s="59" t="s">
        <v>0</v>
      </c>
      <c r="C5" s="59"/>
      <c r="D5" s="59"/>
      <c r="E5" s="59"/>
    </row>
    <row r="7" spans="2:10">
      <c r="B7" s="1" t="s">
        <v>1</v>
      </c>
      <c r="C7" s="2" t="s">
        <v>53</v>
      </c>
      <c r="D7" s="2" t="s">
        <v>54</v>
      </c>
      <c r="E7" s="3" t="s">
        <v>55</v>
      </c>
    </row>
    <row r="8" spans="2:10" ht="15.75">
      <c r="B8" s="4" t="s">
        <v>2</v>
      </c>
      <c r="C8" s="5">
        <v>7250</v>
      </c>
      <c r="D8" s="5">
        <v>6000</v>
      </c>
      <c r="E8" s="6">
        <v>6500</v>
      </c>
      <c r="F8" s="31">
        <f t="shared" ref="F8:F46" si="0">C8*1000</f>
        <v>7250000</v>
      </c>
    </row>
    <row r="9" spans="2:10" ht="15.75">
      <c r="B9" s="4" t="s">
        <v>3</v>
      </c>
      <c r="C9" s="5">
        <v>547517</v>
      </c>
      <c r="D9" s="5">
        <v>579547</v>
      </c>
      <c r="E9" s="6">
        <v>344686</v>
      </c>
      <c r="F9" s="31">
        <f t="shared" si="0"/>
        <v>547517000</v>
      </c>
    </row>
    <row r="10" spans="2:10" ht="15.75">
      <c r="B10" s="4" t="s">
        <v>4</v>
      </c>
      <c r="C10" s="5">
        <v>336751</v>
      </c>
      <c r="D10" s="5">
        <v>173631</v>
      </c>
      <c r="E10" s="6">
        <v>52936</v>
      </c>
      <c r="F10" s="31">
        <f t="shared" si="0"/>
        <v>336751000</v>
      </c>
    </row>
    <row r="11" spans="2:10" ht="15.75">
      <c r="B11" s="7" t="s">
        <v>5</v>
      </c>
      <c r="C11" s="8">
        <v>891518</v>
      </c>
      <c r="D11" s="8">
        <v>759178</v>
      </c>
      <c r="E11" s="9">
        <v>404122</v>
      </c>
      <c r="F11" s="31">
        <f>C11*1000</f>
        <v>891518000</v>
      </c>
    </row>
    <row r="12" spans="2:10" ht="15.75">
      <c r="B12" s="7" t="s">
        <v>6</v>
      </c>
      <c r="C12" s="8">
        <v>831623</v>
      </c>
      <c r="D12" s="8">
        <v>286157</v>
      </c>
      <c r="E12" s="9">
        <v>345279</v>
      </c>
      <c r="F12" s="31">
        <f t="shared" si="0"/>
        <v>831623000</v>
      </c>
    </row>
    <row r="13" spans="2:10" ht="15.75">
      <c r="B13" s="4" t="s">
        <v>7</v>
      </c>
      <c r="C13" s="5">
        <v>2745522</v>
      </c>
      <c r="D13" s="5">
        <v>1955412</v>
      </c>
      <c r="E13" s="6">
        <v>1365934</v>
      </c>
      <c r="F13" s="31">
        <f t="shared" si="0"/>
        <v>2745522000</v>
      </c>
    </row>
    <row r="14" spans="2:10" ht="15.75">
      <c r="B14" s="4" t="s">
        <v>8</v>
      </c>
      <c r="C14" s="5">
        <v>237917</v>
      </c>
      <c r="D14" s="5">
        <v>216886</v>
      </c>
      <c r="E14" s="6">
        <v>162933</v>
      </c>
      <c r="F14" s="31">
        <f t="shared" si="0"/>
        <v>237917000</v>
      </c>
    </row>
    <row r="15" spans="2:10" ht="15.75">
      <c r="B15" s="4" t="s">
        <v>9</v>
      </c>
      <c r="C15" s="5">
        <v>240013</v>
      </c>
      <c r="D15" s="5">
        <v>121785</v>
      </c>
      <c r="E15" s="6">
        <v>0</v>
      </c>
      <c r="F15" s="31">
        <f t="shared" si="0"/>
        <v>240013000</v>
      </c>
      <c r="J15" t="s">
        <v>179</v>
      </c>
    </row>
    <row r="16" spans="2:10">
      <c r="B16" s="4" t="s">
        <v>10</v>
      </c>
      <c r="C16" s="5">
        <v>1417625</v>
      </c>
      <c r="D16" s="5">
        <v>731379</v>
      </c>
      <c r="E16" s="6">
        <v>1077272</v>
      </c>
      <c r="F16" s="31">
        <f t="shared" si="0"/>
        <v>1417625000</v>
      </c>
    </row>
    <row r="17" spans="2:6" ht="15.75">
      <c r="B17" s="4" t="s">
        <v>11</v>
      </c>
      <c r="C17" s="5">
        <v>1167985</v>
      </c>
      <c r="D17" s="5">
        <v>777596</v>
      </c>
      <c r="E17" s="6">
        <v>563147</v>
      </c>
      <c r="F17" s="31">
        <f t="shared" si="0"/>
        <v>1167985000</v>
      </c>
    </row>
    <row r="18" spans="2:6" ht="15.75">
      <c r="B18" s="4" t="s">
        <v>12</v>
      </c>
      <c r="C18" s="5">
        <v>1918</v>
      </c>
      <c r="D18" s="5">
        <v>18693</v>
      </c>
      <c r="E18" s="6">
        <v>54174</v>
      </c>
      <c r="F18" s="31">
        <f t="shared" si="0"/>
        <v>1918000</v>
      </c>
    </row>
    <row r="19" spans="2:6" ht="15.75">
      <c r="B19" s="4" t="s">
        <v>13</v>
      </c>
      <c r="C19" s="5">
        <v>3195587</v>
      </c>
      <c r="D19" s="5">
        <v>2227806</v>
      </c>
      <c r="E19" s="6">
        <v>2933249</v>
      </c>
      <c r="F19" s="31">
        <f t="shared" si="0"/>
        <v>3195587000</v>
      </c>
    </row>
    <row r="20" spans="2:6" ht="15.75">
      <c r="B20" s="4" t="s">
        <v>14</v>
      </c>
      <c r="C20" s="5">
        <v>0</v>
      </c>
      <c r="D20" s="5">
        <v>0</v>
      </c>
      <c r="E20" s="6">
        <v>2757</v>
      </c>
      <c r="F20" s="31">
        <f t="shared" si="0"/>
        <v>0</v>
      </c>
    </row>
    <row r="21" spans="2:6" ht="15.75">
      <c r="B21" s="7" t="s">
        <v>15</v>
      </c>
      <c r="C21" s="8">
        <v>9006567</v>
      </c>
      <c r="D21" s="8">
        <v>6049557</v>
      </c>
      <c r="E21" s="9">
        <v>6153952</v>
      </c>
      <c r="F21" s="31">
        <f t="shared" si="0"/>
        <v>9006567000</v>
      </c>
    </row>
    <row r="22" spans="2:6" ht="15.75">
      <c r="B22" s="4" t="s">
        <v>16</v>
      </c>
      <c r="C22" s="5">
        <v>456262</v>
      </c>
      <c r="D22" s="5">
        <v>902814</v>
      </c>
      <c r="E22" s="6">
        <v>235973</v>
      </c>
      <c r="F22" s="31">
        <f t="shared" si="0"/>
        <v>456262000</v>
      </c>
    </row>
    <row r="23" spans="2:6">
      <c r="B23" s="4" t="s">
        <v>17</v>
      </c>
      <c r="C23" s="5">
        <v>2640497</v>
      </c>
      <c r="D23" s="5">
        <v>2665292</v>
      </c>
      <c r="E23" s="6">
        <v>4051976</v>
      </c>
      <c r="F23" s="31">
        <f t="shared" si="0"/>
        <v>2640497000</v>
      </c>
    </row>
    <row r="24" spans="2:6" ht="15.75">
      <c r="B24" s="4" t="s">
        <v>18</v>
      </c>
      <c r="C24" s="5">
        <v>108391</v>
      </c>
      <c r="D24" s="5"/>
      <c r="E24" s="6"/>
      <c r="F24" s="31">
        <f t="shared" si="0"/>
        <v>108391000</v>
      </c>
    </row>
    <row r="25" spans="2:6" ht="15.75">
      <c r="B25" s="7" t="s">
        <v>19</v>
      </c>
      <c r="C25" s="8">
        <v>3205150</v>
      </c>
      <c r="D25" s="8">
        <v>3568106</v>
      </c>
      <c r="E25" s="9">
        <v>4287949</v>
      </c>
      <c r="F25" s="31">
        <f t="shared" si="0"/>
        <v>3205150000</v>
      </c>
    </row>
    <row r="26" spans="2:6" ht="15.75">
      <c r="B26" s="4" t="s">
        <v>20</v>
      </c>
      <c r="C26" s="5">
        <v>12829</v>
      </c>
      <c r="D26" s="5">
        <v>2054</v>
      </c>
      <c r="E26" s="6">
        <v>3090</v>
      </c>
      <c r="F26" s="31">
        <f t="shared" si="0"/>
        <v>12829000</v>
      </c>
    </row>
    <row r="27" spans="2:6" ht="15.75">
      <c r="B27" s="7" t="s">
        <v>21</v>
      </c>
      <c r="C27" s="8">
        <v>12829</v>
      </c>
      <c r="D27" s="8">
        <v>2054</v>
      </c>
      <c r="E27" s="9">
        <v>3090</v>
      </c>
      <c r="F27" s="31">
        <f t="shared" si="0"/>
        <v>12829000</v>
      </c>
    </row>
    <row r="28" spans="2:6" ht="15.75">
      <c r="B28" s="7" t="s">
        <v>22</v>
      </c>
      <c r="C28" s="8">
        <v>13947687</v>
      </c>
      <c r="D28" s="8">
        <v>10665052</v>
      </c>
      <c r="E28" s="9">
        <v>11194392</v>
      </c>
      <c r="F28" s="31">
        <f t="shared" si="0"/>
        <v>13947687000</v>
      </c>
    </row>
    <row r="29" spans="2:6" ht="15.75">
      <c r="B29" s="7" t="s">
        <v>23</v>
      </c>
      <c r="C29" s="8">
        <v>290285</v>
      </c>
      <c r="D29" s="8">
        <v>154865</v>
      </c>
      <c r="E29" s="9">
        <v>222845</v>
      </c>
      <c r="F29" s="31">
        <f t="shared" si="0"/>
        <v>290285000</v>
      </c>
    </row>
    <row r="30" spans="2:6" ht="15.75">
      <c r="B30" s="7" t="s">
        <v>24</v>
      </c>
      <c r="C30" s="8">
        <v>290285</v>
      </c>
      <c r="D30" s="8">
        <v>154865</v>
      </c>
      <c r="E30" s="9">
        <v>222845</v>
      </c>
      <c r="F30" s="31">
        <f t="shared" si="0"/>
        <v>290285000</v>
      </c>
    </row>
    <row r="31" spans="2:6" ht="15.75">
      <c r="B31" s="7" t="s">
        <v>25</v>
      </c>
      <c r="C31" s="8">
        <v>14237972</v>
      </c>
      <c r="D31" s="8">
        <v>10819917</v>
      </c>
      <c r="E31" s="9">
        <v>11417237</v>
      </c>
      <c r="F31" s="31">
        <f t="shared" si="0"/>
        <v>14237972000</v>
      </c>
    </row>
    <row r="32" spans="2:6" ht="15.75">
      <c r="B32" s="7" t="s">
        <v>26</v>
      </c>
      <c r="C32" s="8">
        <v>1903233</v>
      </c>
      <c r="D32" s="8">
        <v>763324</v>
      </c>
      <c r="E32" s="9">
        <v>705195</v>
      </c>
      <c r="F32" s="31">
        <f t="shared" si="0"/>
        <v>1903233000</v>
      </c>
    </row>
    <row r="33" spans="2:6" ht="15.75">
      <c r="B33" s="7" t="s">
        <v>27</v>
      </c>
      <c r="C33" s="8">
        <v>1382497</v>
      </c>
      <c r="D33" s="8">
        <v>1501773</v>
      </c>
      <c r="E33" s="9">
        <v>2576959</v>
      </c>
      <c r="F33" s="31">
        <f t="shared" si="0"/>
        <v>1382497000</v>
      </c>
    </row>
    <row r="34" spans="2:6" ht="15.75">
      <c r="B34" s="4" t="s">
        <v>28</v>
      </c>
      <c r="C34" s="5">
        <v>138168</v>
      </c>
      <c r="D34" s="5">
        <v>60429</v>
      </c>
      <c r="E34" s="6">
        <v>128660</v>
      </c>
      <c r="F34" s="31">
        <f t="shared" si="0"/>
        <v>138168000</v>
      </c>
    </row>
    <row r="35" spans="2:6" ht="15.75">
      <c r="B35" s="4" t="s">
        <v>29</v>
      </c>
      <c r="C35" s="5">
        <v>0</v>
      </c>
      <c r="D35" s="5">
        <v>778381</v>
      </c>
      <c r="E35" s="6">
        <v>0</v>
      </c>
      <c r="F35" s="31">
        <f t="shared" si="0"/>
        <v>0</v>
      </c>
    </row>
    <row r="36" spans="2:6">
      <c r="B36" s="4" t="s">
        <v>30</v>
      </c>
      <c r="C36" s="5">
        <v>24927</v>
      </c>
      <c r="D36" s="5"/>
      <c r="E36" s="6"/>
      <c r="F36" s="31">
        <f t="shared" si="0"/>
        <v>24927000</v>
      </c>
    </row>
    <row r="37" spans="2:6">
      <c r="B37" s="4" t="s">
        <v>31</v>
      </c>
      <c r="C37" s="5">
        <v>81619</v>
      </c>
      <c r="D37" s="5">
        <v>219854</v>
      </c>
      <c r="E37" s="6">
        <v>40166</v>
      </c>
      <c r="F37" s="31">
        <f t="shared" si="0"/>
        <v>81619000</v>
      </c>
    </row>
    <row r="38" spans="2:6" ht="15.75">
      <c r="B38" s="4" t="s">
        <v>32</v>
      </c>
      <c r="C38" s="5">
        <v>273855</v>
      </c>
      <c r="D38" s="5">
        <v>108916</v>
      </c>
      <c r="E38" s="6">
        <v>146018</v>
      </c>
      <c r="F38" s="31">
        <f t="shared" si="0"/>
        <v>273855000</v>
      </c>
    </row>
    <row r="39" spans="2:6" ht="15.75">
      <c r="B39" s="7" t="s">
        <v>33</v>
      </c>
      <c r="C39" s="8">
        <v>518569</v>
      </c>
      <c r="D39" s="8">
        <v>1167580</v>
      </c>
      <c r="E39" s="9">
        <v>314844</v>
      </c>
      <c r="F39" s="31">
        <f t="shared" si="0"/>
        <v>518569000</v>
      </c>
    </row>
    <row r="40" spans="2:6">
      <c r="B40" s="7" t="s">
        <v>34</v>
      </c>
      <c r="C40" s="8">
        <v>42994</v>
      </c>
      <c r="D40" s="8"/>
      <c r="E40" s="9"/>
      <c r="F40" s="31">
        <f t="shared" si="0"/>
        <v>42994000</v>
      </c>
    </row>
    <row r="41" spans="2:6" ht="15.75">
      <c r="B41" s="7" t="s">
        <v>35</v>
      </c>
      <c r="C41" s="8">
        <v>323353</v>
      </c>
      <c r="D41" s="8">
        <v>276521</v>
      </c>
      <c r="E41" s="9">
        <v>306496</v>
      </c>
      <c r="F41" s="31">
        <f t="shared" si="0"/>
        <v>323353000</v>
      </c>
    </row>
    <row r="42" spans="2:6" ht="15.75">
      <c r="B42" s="4" t="s">
        <v>36</v>
      </c>
      <c r="C42" s="5">
        <v>5450480</v>
      </c>
      <c r="D42" s="5">
        <v>2864998</v>
      </c>
      <c r="E42" s="6">
        <v>2924483</v>
      </c>
      <c r="F42" s="31">
        <f t="shared" si="0"/>
        <v>5450480000</v>
      </c>
    </row>
    <row r="43" spans="2:6">
      <c r="B43" s="4" t="s">
        <v>37</v>
      </c>
      <c r="C43" s="5">
        <v>1167721</v>
      </c>
      <c r="D43" s="5">
        <v>17721</v>
      </c>
      <c r="E43" s="6">
        <v>8712</v>
      </c>
      <c r="F43" s="31">
        <f t="shared" si="0"/>
        <v>1167721000</v>
      </c>
    </row>
    <row r="44" spans="2:6" ht="15.75">
      <c r="B44" s="7" t="s">
        <v>38</v>
      </c>
      <c r="C44" s="8">
        <v>6618201</v>
      </c>
      <c r="D44" s="8">
        <v>2882719</v>
      </c>
      <c r="E44" s="9">
        <v>2933195</v>
      </c>
      <c r="F44" s="31">
        <f t="shared" si="0"/>
        <v>6618201000</v>
      </c>
    </row>
    <row r="45" spans="2:6" ht="15.75">
      <c r="B45" s="7" t="s">
        <v>39</v>
      </c>
      <c r="C45" s="8">
        <v>10788847</v>
      </c>
      <c r="D45" s="8">
        <v>6591917</v>
      </c>
      <c r="E45" s="9">
        <v>6836689</v>
      </c>
      <c r="F45" s="31">
        <f t="shared" si="0"/>
        <v>10788847000</v>
      </c>
    </row>
    <row r="46" spans="2:6" ht="15.75">
      <c r="B46" s="7" t="s">
        <v>40</v>
      </c>
      <c r="C46" s="8">
        <v>1995234</v>
      </c>
      <c r="D46" s="8">
        <v>3274111</v>
      </c>
      <c r="E46" s="9">
        <v>2560930</v>
      </c>
      <c r="F46" s="31">
        <f t="shared" si="0"/>
        <v>1995234000</v>
      </c>
    </row>
    <row r="47" spans="2:6" ht="15.75">
      <c r="B47" s="7" t="s">
        <v>41</v>
      </c>
      <c r="C47" s="8">
        <v>1995234</v>
      </c>
      <c r="D47" s="8">
        <v>3274111</v>
      </c>
      <c r="E47" s="9">
        <v>2560930</v>
      </c>
      <c r="F47" s="31">
        <f>C47*1000</f>
        <v>1995234000</v>
      </c>
    </row>
    <row r="48" spans="2:6" ht="15.75">
      <c r="B48" s="7" t="s">
        <v>42</v>
      </c>
      <c r="C48" s="8">
        <v>12784081</v>
      </c>
      <c r="D48" s="8">
        <v>9866028</v>
      </c>
      <c r="E48" s="9">
        <v>9397619</v>
      </c>
      <c r="F48" s="31">
        <f t="shared" ref="F48:F57" si="1">C48*1000</f>
        <v>12784081000</v>
      </c>
    </row>
    <row r="49" spans="2:6" ht="15.75">
      <c r="B49" s="4" t="s">
        <v>43</v>
      </c>
      <c r="C49" s="5">
        <v>500000</v>
      </c>
      <c r="D49" s="5">
        <v>500000</v>
      </c>
      <c r="E49" s="6">
        <v>500000</v>
      </c>
      <c r="F49" s="31">
        <f>C49*1000</f>
        <v>500000000</v>
      </c>
    </row>
    <row r="50" spans="2:6" ht="15.75">
      <c r="B50" s="7" t="s">
        <v>44</v>
      </c>
      <c r="C50" s="8">
        <v>500000</v>
      </c>
      <c r="D50" s="8">
        <v>500000</v>
      </c>
      <c r="E50" s="9">
        <v>500000</v>
      </c>
      <c r="F50" s="31">
        <f t="shared" si="1"/>
        <v>500000000</v>
      </c>
    </row>
    <row r="51" spans="2:6" ht="15.75">
      <c r="B51" s="7" t="s">
        <v>45</v>
      </c>
      <c r="C51" s="8">
        <v>94023</v>
      </c>
      <c r="D51" s="8">
        <v>94023</v>
      </c>
      <c r="E51" s="9">
        <v>94023</v>
      </c>
      <c r="F51" s="31">
        <f t="shared" si="1"/>
        <v>94023000</v>
      </c>
    </row>
    <row r="52" spans="2:6">
      <c r="B52" s="7" t="s">
        <v>46</v>
      </c>
      <c r="C52" s="8">
        <v>101006</v>
      </c>
      <c r="D52" s="8">
        <v>101006</v>
      </c>
      <c r="E52" s="9">
        <v>101006</v>
      </c>
      <c r="F52" s="31">
        <f t="shared" si="1"/>
        <v>101006000</v>
      </c>
    </row>
    <row r="53" spans="2:6" ht="15.75">
      <c r="B53" s="7" t="s">
        <v>47</v>
      </c>
      <c r="C53" s="8">
        <v>500002</v>
      </c>
      <c r="D53" s="8">
        <v>84666</v>
      </c>
      <c r="E53" s="9">
        <v>106559</v>
      </c>
      <c r="F53" s="31">
        <f t="shared" si="1"/>
        <v>500002000</v>
      </c>
    </row>
    <row r="54" spans="2:6" ht="15.75">
      <c r="B54" s="4" t="s">
        <v>48</v>
      </c>
      <c r="C54" s="5">
        <v>258860</v>
      </c>
      <c r="D54" s="5">
        <v>174194</v>
      </c>
      <c r="E54" s="6">
        <v>1218030</v>
      </c>
      <c r="F54" s="31">
        <f t="shared" si="1"/>
        <v>258860000</v>
      </c>
    </row>
    <row r="55" spans="2:6" ht="15.75">
      <c r="B55" s="7" t="s">
        <v>49</v>
      </c>
      <c r="C55" s="8">
        <v>258860</v>
      </c>
      <c r="D55" s="8">
        <v>174194</v>
      </c>
      <c r="E55" s="9">
        <v>1218030</v>
      </c>
      <c r="F55" s="31">
        <f t="shared" si="1"/>
        <v>258860000</v>
      </c>
    </row>
    <row r="56" spans="2:6" ht="15.75">
      <c r="B56" s="7" t="s">
        <v>50</v>
      </c>
      <c r="C56" s="8">
        <v>1453891</v>
      </c>
      <c r="D56" s="8">
        <v>953889</v>
      </c>
      <c r="E56" s="9">
        <v>2019618</v>
      </c>
      <c r="F56" s="31">
        <f t="shared" si="1"/>
        <v>1453891000</v>
      </c>
    </row>
    <row r="57" spans="2:6" ht="15.75">
      <c r="B57" s="7" t="s">
        <v>51</v>
      </c>
      <c r="C57" s="8">
        <v>14237972</v>
      </c>
      <c r="D57" s="8">
        <v>10819917</v>
      </c>
      <c r="E57" s="9">
        <v>11417237</v>
      </c>
      <c r="F57" s="31">
        <f t="shared" si="1"/>
        <v>14237972000</v>
      </c>
    </row>
    <row r="58" spans="2:6">
      <c r="B58" s="28" t="s">
        <v>73</v>
      </c>
      <c r="C58" s="29">
        <f>+E54+E53-D54</f>
        <v>1150395</v>
      </c>
    </row>
  </sheetData>
  <mergeCells count="5">
    <mergeCell ref="B5:E5"/>
    <mergeCell ref="B1:E1"/>
    <mergeCell ref="B2:E2"/>
    <mergeCell ref="B3:E3"/>
    <mergeCell ref="B4:E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9C68-35DB-44CE-8A68-5DD9CBC33A49}">
  <dimension ref="A2:F73"/>
  <sheetViews>
    <sheetView zoomScaleNormal="100" workbookViewId="0">
      <selection activeCell="G20" sqref="G20"/>
    </sheetView>
  </sheetViews>
  <sheetFormatPr baseColWidth="10" defaultRowHeight="15"/>
  <cols>
    <col min="3" max="3" width="37.5703125" bestFit="1" customWidth="1"/>
    <col min="4" max="4" width="16.85546875" bestFit="1" customWidth="1"/>
    <col min="5" max="5" width="16.28515625" bestFit="1" customWidth="1"/>
  </cols>
  <sheetData>
    <row r="2" spans="1:5">
      <c r="A2">
        <v>1</v>
      </c>
      <c r="B2" t="s">
        <v>75</v>
      </c>
    </row>
    <row r="3" spans="1:5">
      <c r="A3">
        <v>2</v>
      </c>
      <c r="B3" t="s">
        <v>86</v>
      </c>
    </row>
    <row r="4" spans="1:5">
      <c r="A4">
        <v>3</v>
      </c>
      <c r="B4" t="s">
        <v>85</v>
      </c>
    </row>
    <row r="5" spans="1:5">
      <c r="A5">
        <v>4</v>
      </c>
      <c r="B5" t="s">
        <v>92</v>
      </c>
    </row>
    <row r="6" spans="1:5">
      <c r="A6">
        <v>5</v>
      </c>
      <c r="B6" t="s">
        <v>93</v>
      </c>
    </row>
    <row r="7" spans="1:5">
      <c r="A7">
        <v>6</v>
      </c>
      <c r="B7" t="s">
        <v>121</v>
      </c>
    </row>
    <row r="8" spans="1:5">
      <c r="A8">
        <v>7</v>
      </c>
      <c r="B8" t="s">
        <v>125</v>
      </c>
    </row>
    <row r="9" spans="1:5">
      <c r="A9">
        <v>8</v>
      </c>
      <c r="B9" t="s">
        <v>122</v>
      </c>
    </row>
    <row r="10" spans="1:5">
      <c r="A10">
        <v>9</v>
      </c>
      <c r="B10" t="s">
        <v>123</v>
      </c>
    </row>
    <row r="11" spans="1:5">
      <c r="A11">
        <v>10</v>
      </c>
      <c r="B11" t="s">
        <v>124</v>
      </c>
    </row>
    <row r="13" spans="1:5">
      <c r="B13" t="s">
        <v>74</v>
      </c>
      <c r="C13" t="s">
        <v>76</v>
      </c>
      <c r="D13" t="s">
        <v>77</v>
      </c>
      <c r="E13" t="s">
        <v>78</v>
      </c>
    </row>
    <row r="14" spans="1:5">
      <c r="A14">
        <v>1</v>
      </c>
      <c r="B14" s="47" t="s">
        <v>134</v>
      </c>
      <c r="C14" t="s">
        <v>79</v>
      </c>
      <c r="E14" s="31">
        <f>ESF!F13*60%</f>
        <v>1647313200</v>
      </c>
    </row>
    <row r="15" spans="1:5">
      <c r="A15">
        <v>1</v>
      </c>
      <c r="B15" s="47" t="s">
        <v>135</v>
      </c>
      <c r="C15" t="s">
        <v>80</v>
      </c>
      <c r="D15" s="33">
        <f>E14</f>
        <v>1647313200</v>
      </c>
    </row>
    <row r="16" spans="1:5">
      <c r="A16">
        <v>2</v>
      </c>
      <c r="B16" s="47" t="s">
        <v>136</v>
      </c>
      <c r="C16" t="s">
        <v>81</v>
      </c>
      <c r="D16" s="31">
        <v>100000000</v>
      </c>
    </row>
    <row r="17" spans="1:5">
      <c r="A17">
        <v>2</v>
      </c>
      <c r="B17" s="47" t="s">
        <v>137</v>
      </c>
      <c r="C17" t="s">
        <v>82</v>
      </c>
      <c r="D17" s="33">
        <f>D16*19%</f>
        <v>19000000</v>
      </c>
    </row>
    <row r="18" spans="1:5">
      <c r="A18">
        <v>2</v>
      </c>
      <c r="B18" s="47" t="s">
        <v>138</v>
      </c>
      <c r="C18" t="s">
        <v>83</v>
      </c>
      <c r="E18" s="33">
        <f>D16*2.5%</f>
        <v>2500000</v>
      </c>
    </row>
    <row r="19" spans="1:5">
      <c r="A19">
        <v>2</v>
      </c>
      <c r="B19" s="47" t="s">
        <v>139</v>
      </c>
      <c r="C19" t="s">
        <v>84</v>
      </c>
      <c r="E19" s="33">
        <f>D16+D17-E18</f>
        <v>116500000</v>
      </c>
    </row>
    <row r="20" spans="1:5">
      <c r="A20">
        <v>3</v>
      </c>
      <c r="B20" s="47" t="s">
        <v>134</v>
      </c>
      <c r="C20" t="s">
        <v>79</v>
      </c>
      <c r="D20" s="32">
        <f>SUM(E21:E27)-SUM(D21:D27)</f>
        <v>95488461.538461551</v>
      </c>
    </row>
    <row r="21" spans="1:5">
      <c r="A21">
        <v>3</v>
      </c>
      <c r="B21" s="47" t="s">
        <v>137</v>
      </c>
      <c r="C21" t="s">
        <v>87</v>
      </c>
      <c r="E21" s="32">
        <f>E27*19%</f>
        <v>16076923.076923078</v>
      </c>
    </row>
    <row r="22" spans="1:5">
      <c r="A22">
        <v>3</v>
      </c>
      <c r="B22" s="47" t="s">
        <v>140</v>
      </c>
      <c r="C22" t="s">
        <v>83</v>
      </c>
      <c r="D22" s="32">
        <f>E27*2.5%</f>
        <v>2115384.6153846155</v>
      </c>
    </row>
    <row r="23" spans="1:5">
      <c r="A23">
        <v>3</v>
      </c>
      <c r="B23" s="47" t="s">
        <v>140</v>
      </c>
      <c r="C23" t="s">
        <v>88</v>
      </c>
      <c r="D23" s="32">
        <f>E27*0.8%</f>
        <v>676923.07692307699</v>
      </c>
    </row>
    <row r="24" spans="1:5">
      <c r="A24">
        <v>3</v>
      </c>
      <c r="B24" s="47" t="s">
        <v>140</v>
      </c>
      <c r="C24" t="s">
        <v>89</v>
      </c>
      <c r="D24" s="32">
        <f>E21*15%</f>
        <v>2411538.4615384615</v>
      </c>
    </row>
    <row r="25" spans="1:5">
      <c r="A25">
        <v>3</v>
      </c>
      <c r="B25" s="47" t="s">
        <v>136</v>
      </c>
      <c r="C25" t="s">
        <v>81</v>
      </c>
      <c r="E25" s="33">
        <f>D16*55%</f>
        <v>55000000.000000007</v>
      </c>
    </row>
    <row r="26" spans="1:5">
      <c r="A26">
        <v>3</v>
      </c>
      <c r="B26" s="47" t="s">
        <v>141</v>
      </c>
      <c r="C26" t="s">
        <v>90</v>
      </c>
      <c r="D26" s="33">
        <f>E25</f>
        <v>55000000.000000007</v>
      </c>
    </row>
    <row r="27" spans="1:5">
      <c r="A27">
        <v>3</v>
      </c>
      <c r="B27" s="47" t="s">
        <v>142</v>
      </c>
      <c r="C27" t="s">
        <v>91</v>
      </c>
      <c r="E27" s="30">
        <f>D26/(1-35%)</f>
        <v>84615384.615384623</v>
      </c>
    </row>
    <row r="28" spans="1:5">
      <c r="A28">
        <v>4</v>
      </c>
      <c r="B28" s="47" t="s">
        <v>134</v>
      </c>
      <c r="C28" t="s">
        <v>79</v>
      </c>
      <c r="E28" s="32">
        <f>D20*70%</f>
        <v>66841923.07692308</v>
      </c>
    </row>
    <row r="29" spans="1:5">
      <c r="A29">
        <v>4</v>
      </c>
      <c r="B29" s="47" t="s">
        <v>135</v>
      </c>
      <c r="C29" t="s">
        <v>80</v>
      </c>
      <c r="D29" s="32">
        <f>E28</f>
        <v>66841923.07692308</v>
      </c>
    </row>
    <row r="30" spans="1:5">
      <c r="A30">
        <v>4</v>
      </c>
      <c r="B30" s="47" t="s">
        <v>139</v>
      </c>
      <c r="C30" t="s">
        <v>84</v>
      </c>
      <c r="D30" s="30">
        <f>(ESF!F33+Transacciones!E19)*65%</f>
        <v>974348050</v>
      </c>
    </row>
    <row r="31" spans="1:5">
      <c r="A31">
        <v>4</v>
      </c>
      <c r="B31" s="47" t="s">
        <v>135</v>
      </c>
      <c r="C31" t="s">
        <v>80</v>
      </c>
      <c r="E31" s="32">
        <f>D30</f>
        <v>974348050</v>
      </c>
    </row>
    <row r="32" spans="1:5">
      <c r="A32">
        <v>5</v>
      </c>
      <c r="B32" s="47" t="s">
        <v>143</v>
      </c>
      <c r="C32" t="s">
        <v>94</v>
      </c>
      <c r="D32" s="32">
        <f>Nómina!C3</f>
        <v>1160000</v>
      </c>
    </row>
    <row r="33" spans="1:5">
      <c r="A33">
        <v>5</v>
      </c>
      <c r="B33" s="47" t="s">
        <v>143</v>
      </c>
      <c r="C33" t="s">
        <v>102</v>
      </c>
      <c r="D33" s="32">
        <f>Nómina!C4</f>
        <v>140606</v>
      </c>
    </row>
    <row r="34" spans="1:5">
      <c r="A34">
        <v>5</v>
      </c>
      <c r="B34" s="47" t="s">
        <v>144</v>
      </c>
      <c r="C34" t="s">
        <v>100</v>
      </c>
      <c r="E34" s="32">
        <f>Nómina!D7</f>
        <v>46400</v>
      </c>
    </row>
    <row r="35" spans="1:5">
      <c r="A35">
        <v>5</v>
      </c>
      <c r="B35" s="47" t="s">
        <v>145</v>
      </c>
      <c r="C35" t="s">
        <v>101</v>
      </c>
      <c r="E35" s="32">
        <f>Nómina!D8</f>
        <v>46400</v>
      </c>
    </row>
    <row r="36" spans="1:5">
      <c r="A36">
        <v>5</v>
      </c>
      <c r="B36" s="47" t="s">
        <v>146</v>
      </c>
      <c r="C36" t="s">
        <v>103</v>
      </c>
      <c r="E36" s="32">
        <f>SUM(D32:D33)-SUM(E34:E35)</f>
        <v>1207806</v>
      </c>
    </row>
    <row r="37" spans="1:5">
      <c r="A37">
        <v>5</v>
      </c>
      <c r="B37" s="47" t="s">
        <v>143</v>
      </c>
      <c r="C37" t="s">
        <v>104</v>
      </c>
      <c r="D37" s="32">
        <f>Nómina!C8</f>
        <v>92800</v>
      </c>
    </row>
    <row r="38" spans="1:5">
      <c r="A38">
        <v>5</v>
      </c>
      <c r="B38" s="47" t="s">
        <v>145</v>
      </c>
      <c r="C38" t="s">
        <v>101</v>
      </c>
      <c r="E38" s="32">
        <f>D37</f>
        <v>92800</v>
      </c>
    </row>
    <row r="39" spans="1:5">
      <c r="A39">
        <v>5</v>
      </c>
      <c r="B39" s="47" t="s">
        <v>143</v>
      </c>
      <c r="C39" t="s">
        <v>105</v>
      </c>
      <c r="D39" s="32">
        <f>Nómina!C9</f>
        <v>108383.83333333333</v>
      </c>
    </row>
    <row r="40" spans="1:5">
      <c r="A40">
        <v>5</v>
      </c>
      <c r="B40" s="47" t="s">
        <v>147</v>
      </c>
      <c r="C40" t="s">
        <v>105</v>
      </c>
      <c r="E40" s="32">
        <f>D39</f>
        <v>108383.83333333333</v>
      </c>
    </row>
    <row r="41" spans="1:5">
      <c r="A41">
        <v>5</v>
      </c>
      <c r="B41" s="47" t="s">
        <v>143</v>
      </c>
      <c r="C41" t="s">
        <v>97</v>
      </c>
      <c r="D41" s="32">
        <f>Nómina!C10</f>
        <v>48333.333333333336</v>
      </c>
    </row>
    <row r="42" spans="1:5">
      <c r="A42">
        <v>5</v>
      </c>
      <c r="B42" s="47" t="s">
        <v>148</v>
      </c>
      <c r="C42" t="s">
        <v>97</v>
      </c>
      <c r="E42" s="32">
        <f>D41</f>
        <v>48333.333333333336</v>
      </c>
    </row>
    <row r="43" spans="1:5">
      <c r="A43">
        <v>5</v>
      </c>
      <c r="B43" s="47" t="s">
        <v>143</v>
      </c>
      <c r="C43" t="s">
        <v>98</v>
      </c>
      <c r="D43" s="32">
        <f>Nómina!C11</f>
        <v>108383.83333333333</v>
      </c>
    </row>
    <row r="44" spans="1:5">
      <c r="A44">
        <v>5</v>
      </c>
      <c r="B44" s="47" t="s">
        <v>149</v>
      </c>
      <c r="C44" t="s">
        <v>98</v>
      </c>
      <c r="E44" s="32">
        <f>D43</f>
        <v>108383.83333333333</v>
      </c>
    </row>
    <row r="45" spans="1:5">
      <c r="A45">
        <v>5</v>
      </c>
      <c r="B45" s="47" t="s">
        <v>143</v>
      </c>
      <c r="C45" t="s">
        <v>106</v>
      </c>
      <c r="D45" s="32">
        <f>Nómina!C12</f>
        <v>1083.8383333333334</v>
      </c>
    </row>
    <row r="46" spans="1:5">
      <c r="A46">
        <v>5</v>
      </c>
      <c r="B46" s="47" t="s">
        <v>150</v>
      </c>
      <c r="C46" t="s">
        <v>106</v>
      </c>
      <c r="E46" s="32">
        <f>D45</f>
        <v>1083.8383333333334</v>
      </c>
    </row>
    <row r="47" spans="1:5">
      <c r="A47">
        <v>6</v>
      </c>
      <c r="B47" s="47" t="s">
        <v>151</v>
      </c>
      <c r="C47" t="s">
        <v>118</v>
      </c>
      <c r="D47" s="32">
        <f>SUM(Amortización!E11:E22)</f>
        <v>214102752.03205878</v>
      </c>
    </row>
    <row r="48" spans="1:5">
      <c r="A48">
        <v>6</v>
      </c>
      <c r="B48" s="47" t="s">
        <v>152</v>
      </c>
      <c r="C48" t="s">
        <v>120</v>
      </c>
      <c r="E48" s="32">
        <f>D47</f>
        <v>214102752.03205878</v>
      </c>
    </row>
    <row r="49" spans="1:6">
      <c r="A49">
        <v>6</v>
      </c>
      <c r="B49" s="47" t="s">
        <v>152</v>
      </c>
      <c r="C49" t="s">
        <v>120</v>
      </c>
      <c r="D49" s="42">
        <f>SUM(Amortización!C11:C22)</f>
        <v>265155530.12689307</v>
      </c>
    </row>
    <row r="50" spans="1:6">
      <c r="A50">
        <v>6</v>
      </c>
      <c r="B50" s="47" t="s">
        <v>135</v>
      </c>
      <c r="C50" t="s">
        <v>80</v>
      </c>
      <c r="E50" s="42">
        <f>D49</f>
        <v>265155530.12689307</v>
      </c>
    </row>
    <row r="51" spans="1:6">
      <c r="A51">
        <v>7</v>
      </c>
      <c r="B51" s="47" t="s">
        <v>136</v>
      </c>
      <c r="C51" t="s">
        <v>81</v>
      </c>
      <c r="D51" s="31">
        <v>900000000</v>
      </c>
    </row>
    <row r="52" spans="1:6">
      <c r="A52">
        <v>7</v>
      </c>
      <c r="B52" s="47" t="s">
        <v>137</v>
      </c>
      <c r="C52" t="s">
        <v>82</v>
      </c>
      <c r="D52" s="33">
        <f>D51*19%</f>
        <v>171000000</v>
      </c>
    </row>
    <row r="53" spans="1:6">
      <c r="A53">
        <v>7</v>
      </c>
      <c r="B53" s="47" t="s">
        <v>138</v>
      </c>
      <c r="C53" t="s">
        <v>83</v>
      </c>
      <c r="E53" s="33">
        <f>D51*2.5%</f>
        <v>22500000</v>
      </c>
    </row>
    <row r="54" spans="1:6">
      <c r="A54">
        <v>7</v>
      </c>
      <c r="B54" s="47" t="s">
        <v>139</v>
      </c>
      <c r="C54" t="s">
        <v>84</v>
      </c>
      <c r="E54" s="33">
        <f>D51+D52-E53</f>
        <v>1048500000</v>
      </c>
    </row>
    <row r="55" spans="1:6">
      <c r="A55">
        <v>7</v>
      </c>
      <c r="B55" s="47" t="s">
        <v>134</v>
      </c>
      <c r="C55" t="s">
        <v>79</v>
      </c>
      <c r="D55" s="32">
        <f>SUM(E56:E62)-SUM(D56:D62)</f>
        <v>1558632115.3846149</v>
      </c>
    </row>
    <row r="56" spans="1:6">
      <c r="A56">
        <v>7</v>
      </c>
      <c r="B56" s="47" t="s">
        <v>137</v>
      </c>
      <c r="C56" t="s">
        <v>87</v>
      </c>
      <c r="E56" s="32">
        <f>E62*19%</f>
        <v>262419230.76923075</v>
      </c>
    </row>
    <row r="57" spans="1:6">
      <c r="A57">
        <v>7</v>
      </c>
      <c r="B57" s="47" t="s">
        <v>140</v>
      </c>
      <c r="C57" t="s">
        <v>83</v>
      </c>
      <c r="D57" s="32">
        <f>E62*2.5%</f>
        <v>34528846.153846152</v>
      </c>
    </row>
    <row r="58" spans="1:6">
      <c r="A58">
        <v>7</v>
      </c>
      <c r="B58" s="47" t="s">
        <v>140</v>
      </c>
      <c r="C58" t="s">
        <v>88</v>
      </c>
      <c r="D58" s="32">
        <f>E62*0.8%</f>
        <v>11049230.769230768</v>
      </c>
    </row>
    <row r="59" spans="1:6">
      <c r="A59">
        <v>7</v>
      </c>
      <c r="B59" s="47" t="s">
        <v>140</v>
      </c>
      <c r="C59" t="s">
        <v>89</v>
      </c>
      <c r="D59" s="32">
        <f>E56*15%</f>
        <v>39362884.615384609</v>
      </c>
    </row>
    <row r="60" spans="1:6">
      <c r="A60">
        <v>7</v>
      </c>
      <c r="B60" s="48" t="s">
        <v>136</v>
      </c>
      <c r="C60" s="43" t="s">
        <v>81</v>
      </c>
      <c r="D60" s="43"/>
      <c r="E60" s="44">
        <f>(SUMIF(B14:B54,B60,D14:D54)-SUMIF(B14:B54,B60,E14:E54))*95%</f>
        <v>897750000</v>
      </c>
      <c r="F60" s="43"/>
    </row>
    <row r="61" spans="1:6">
      <c r="A61">
        <v>7</v>
      </c>
      <c r="B61" s="47" t="s">
        <v>141</v>
      </c>
      <c r="C61" t="s">
        <v>90</v>
      </c>
      <c r="D61" s="33">
        <f>E60</f>
        <v>897750000</v>
      </c>
    </row>
    <row r="62" spans="1:6">
      <c r="A62">
        <v>7</v>
      </c>
      <c r="B62" s="47" t="s">
        <v>142</v>
      </c>
      <c r="C62" t="s">
        <v>91</v>
      </c>
      <c r="E62" s="30">
        <f>D61/(1-35%)</f>
        <v>1381153846.153846</v>
      </c>
    </row>
    <row r="63" spans="1:6">
      <c r="A63">
        <v>8</v>
      </c>
      <c r="B63" s="47" t="s">
        <v>134</v>
      </c>
      <c r="C63" t="s">
        <v>79</v>
      </c>
      <c r="E63" s="32">
        <f>D55*90%</f>
        <v>1402768903.8461535</v>
      </c>
    </row>
    <row r="64" spans="1:6">
      <c r="A64">
        <v>8</v>
      </c>
      <c r="B64" s="47" t="s">
        <v>135</v>
      </c>
      <c r="C64" t="s">
        <v>80</v>
      </c>
      <c r="D64" s="32">
        <f>E63</f>
        <v>1402768903.8461535</v>
      </c>
    </row>
    <row r="65" spans="1:5">
      <c r="A65">
        <v>8</v>
      </c>
      <c r="B65" s="47" t="s">
        <v>139</v>
      </c>
      <c r="C65" t="s">
        <v>84</v>
      </c>
      <c r="D65" s="33">
        <f>E54*85%</f>
        <v>891225000</v>
      </c>
    </row>
    <row r="66" spans="1:5">
      <c r="A66">
        <v>8</v>
      </c>
      <c r="B66" s="47" t="s">
        <v>135</v>
      </c>
      <c r="C66" t="s">
        <v>80</v>
      </c>
      <c r="E66" s="33">
        <f>D65</f>
        <v>891225000</v>
      </c>
    </row>
    <row r="67" spans="1:5">
      <c r="A67">
        <v>9</v>
      </c>
      <c r="B67" s="47" t="s">
        <v>153</v>
      </c>
      <c r="C67" t="s">
        <v>66</v>
      </c>
      <c r="D67" s="30">
        <f>ESF!F54*2%</f>
        <v>5177200</v>
      </c>
    </row>
    <row r="68" spans="1:5">
      <c r="A68">
        <v>9</v>
      </c>
      <c r="B68" s="47" t="s">
        <v>154</v>
      </c>
      <c r="C68" t="s">
        <v>126</v>
      </c>
      <c r="E68" s="32">
        <f>D67</f>
        <v>5177200</v>
      </c>
    </row>
    <row r="69" spans="1:5">
      <c r="A69">
        <v>9</v>
      </c>
      <c r="B69" s="47" t="s">
        <v>154</v>
      </c>
      <c r="C69" t="s">
        <v>126</v>
      </c>
      <c r="D69" s="32">
        <f>E68</f>
        <v>5177200</v>
      </c>
    </row>
    <row r="70" spans="1:5">
      <c r="A70">
        <v>9</v>
      </c>
      <c r="B70" s="47" t="s">
        <v>135</v>
      </c>
      <c r="C70" t="s">
        <v>80</v>
      </c>
      <c r="E70" s="32">
        <f>D69</f>
        <v>5177200</v>
      </c>
    </row>
    <row r="71" spans="1:5">
      <c r="A71">
        <v>10</v>
      </c>
      <c r="B71" s="47" t="s">
        <v>155</v>
      </c>
      <c r="C71" t="s">
        <v>127</v>
      </c>
      <c r="D71" s="31">
        <f>ESF!F53</f>
        <v>500002000</v>
      </c>
    </row>
    <row r="72" spans="1:5">
      <c r="A72">
        <v>10</v>
      </c>
      <c r="B72" s="47" t="s">
        <v>153</v>
      </c>
      <c r="C72" t="s">
        <v>66</v>
      </c>
      <c r="E72" s="33">
        <f>D71</f>
        <v>500002000</v>
      </c>
    </row>
    <row r="73" spans="1:5">
      <c r="D73" s="30">
        <f>SUM(D14:D72)</f>
        <v>9860786734.5357456</v>
      </c>
      <c r="E73" s="30">
        <f>SUM(E14:E72)</f>
        <v>9860786734.5357456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E079-2E9D-47EF-BE49-04F3E7ECE7DE}">
  <dimension ref="B1:I52"/>
  <sheetViews>
    <sheetView topLeftCell="A7" zoomScale="130" zoomScaleNormal="130" workbookViewId="0">
      <selection activeCell="H43" sqref="H43"/>
    </sheetView>
  </sheetViews>
  <sheetFormatPr baseColWidth="10" defaultRowHeight="15"/>
  <cols>
    <col min="1" max="1" width="4.85546875" customWidth="1"/>
    <col min="3" max="3" width="13" bestFit="1" customWidth="1"/>
    <col min="5" max="5" width="32.7109375" bestFit="1" customWidth="1"/>
  </cols>
  <sheetData>
    <row r="1" spans="2:9" ht="15.75">
      <c r="E1" s="45" t="s">
        <v>56</v>
      </c>
      <c r="F1" s="45"/>
      <c r="G1" s="45"/>
      <c r="H1" s="45"/>
    </row>
    <row r="2" spans="2:9" ht="15.75">
      <c r="E2" s="46">
        <v>800057319</v>
      </c>
      <c r="F2" s="45"/>
      <c r="G2" s="45"/>
      <c r="H2" s="45"/>
    </row>
    <row r="3" spans="2:9" ht="15.75">
      <c r="E3" s="45" t="s">
        <v>128</v>
      </c>
      <c r="F3" s="45"/>
      <c r="G3" s="45"/>
      <c r="H3" s="45"/>
    </row>
    <row r="4" spans="2:9">
      <c r="E4" s="45" t="s">
        <v>129</v>
      </c>
      <c r="F4" s="45"/>
      <c r="G4" s="45"/>
      <c r="H4" s="45"/>
    </row>
    <row r="6" spans="2:9">
      <c r="B6" t="s">
        <v>133</v>
      </c>
      <c r="C6" t="s">
        <v>132</v>
      </c>
      <c r="D6" t="s">
        <v>74</v>
      </c>
      <c r="E6" s="45" t="s">
        <v>76</v>
      </c>
      <c r="F6" t="s">
        <v>130</v>
      </c>
      <c r="G6" t="s">
        <v>77</v>
      </c>
      <c r="H6" t="s">
        <v>78</v>
      </c>
      <c r="I6" t="s">
        <v>131</v>
      </c>
    </row>
    <row r="7" spans="2:9">
      <c r="B7">
        <f>LEN(D7)</f>
        <v>1</v>
      </c>
      <c r="C7">
        <f>IF(B7=1,0,IF(B7=2,LEFT(D7,1),LEFT(D7,2)))</f>
        <v>0</v>
      </c>
      <c r="D7" t="s">
        <v>156</v>
      </c>
    </row>
    <row r="8" spans="2:9">
      <c r="B8">
        <f t="shared" ref="B8:B49" si="0">LEN(D8)</f>
        <v>2</v>
      </c>
      <c r="C8" t="str">
        <f t="shared" ref="C8:C49" si="1">IF(B8=1,0,IF(B8=2,LEFT(D8,1),LEFT(D8,2)))</f>
        <v>1</v>
      </c>
      <c r="D8" t="s">
        <v>158</v>
      </c>
    </row>
    <row r="9" spans="2:9">
      <c r="B9">
        <f t="shared" si="0"/>
        <v>4</v>
      </c>
      <c r="C9" t="str">
        <f t="shared" si="1"/>
        <v>11</v>
      </c>
      <c r="D9" s="47" t="s">
        <v>135</v>
      </c>
      <c r="E9" t="str">
        <f>VLOOKUP(D9,Transacciones!B:C,2,FALSE)</f>
        <v>Bancos</v>
      </c>
    </row>
    <row r="10" spans="2:9">
      <c r="B10">
        <f t="shared" si="0"/>
        <v>2</v>
      </c>
      <c r="C10" t="str">
        <f t="shared" si="1"/>
        <v>1</v>
      </c>
      <c r="D10" t="s">
        <v>157</v>
      </c>
    </row>
    <row r="11" spans="2:9">
      <c r="B11">
        <f t="shared" si="0"/>
        <v>4</v>
      </c>
      <c r="C11" t="str">
        <f t="shared" si="1"/>
        <v>13</v>
      </c>
      <c r="D11" s="47" t="s">
        <v>134</v>
      </c>
      <c r="E11" t="str">
        <f>VLOOKUP(D11,Transacciones!B:C,2,FALSE)</f>
        <v>Clientes</v>
      </c>
    </row>
    <row r="12" spans="2:9">
      <c r="B12">
        <f t="shared" si="0"/>
        <v>4</v>
      </c>
      <c r="C12" t="str">
        <f t="shared" si="1"/>
        <v>13</v>
      </c>
      <c r="D12" s="47" t="s">
        <v>140</v>
      </c>
      <c r="E12" t="str">
        <f>VLOOKUP(D12,Transacciones!B:C,2,FALSE)</f>
        <v>Retefuente</v>
      </c>
    </row>
    <row r="13" spans="2:9">
      <c r="B13">
        <f t="shared" si="0"/>
        <v>2</v>
      </c>
      <c r="C13" t="str">
        <f t="shared" si="1"/>
        <v>1</v>
      </c>
      <c r="D13" t="s">
        <v>159</v>
      </c>
    </row>
    <row r="14" spans="2:9">
      <c r="B14">
        <f t="shared" si="0"/>
        <v>4</v>
      </c>
      <c r="C14" t="str">
        <f t="shared" si="1"/>
        <v>14</v>
      </c>
      <c r="D14" s="47" t="s">
        <v>136</v>
      </c>
      <c r="E14" t="str">
        <f>VLOOKUP(D14,Transacciones!B:C,2,FALSE)</f>
        <v>Mercancía</v>
      </c>
    </row>
    <row r="15" spans="2:9">
      <c r="B15">
        <f t="shared" si="0"/>
        <v>1</v>
      </c>
      <c r="C15">
        <f t="shared" si="1"/>
        <v>0</v>
      </c>
      <c r="D15" t="s">
        <v>160</v>
      </c>
    </row>
    <row r="16" spans="2:9">
      <c r="B16">
        <f t="shared" si="0"/>
        <v>2</v>
      </c>
      <c r="C16" t="str">
        <f t="shared" si="1"/>
        <v>2</v>
      </c>
      <c r="D16" t="s">
        <v>172</v>
      </c>
    </row>
    <row r="17" spans="2:5">
      <c r="B17">
        <f t="shared" si="0"/>
        <v>4</v>
      </c>
      <c r="C17" t="str">
        <f t="shared" si="1"/>
        <v>21</v>
      </c>
      <c r="D17" s="47" t="s">
        <v>152</v>
      </c>
      <c r="E17" t="str">
        <f>VLOOKUP(D17,Transacciones!B:C,2,FALSE)</f>
        <v>Obl. Fras</v>
      </c>
    </row>
    <row r="18" spans="2:5">
      <c r="B18">
        <f t="shared" si="0"/>
        <v>2</v>
      </c>
      <c r="C18" t="str">
        <f t="shared" si="1"/>
        <v>2</v>
      </c>
      <c r="D18" t="s">
        <v>163</v>
      </c>
    </row>
    <row r="19" spans="2:5">
      <c r="B19">
        <f t="shared" si="0"/>
        <v>4</v>
      </c>
      <c r="C19" t="str">
        <f t="shared" si="1"/>
        <v>22</v>
      </c>
      <c r="D19" s="47" t="s">
        <v>139</v>
      </c>
      <c r="E19" t="str">
        <f>VLOOKUP(D19,Transacciones!B:C,2,FALSE)</f>
        <v>Proveedores</v>
      </c>
    </row>
    <row r="20" spans="2:5">
      <c r="B20">
        <f t="shared" si="0"/>
        <v>2</v>
      </c>
      <c r="C20" t="str">
        <f t="shared" si="1"/>
        <v>2</v>
      </c>
      <c r="D20" t="s">
        <v>162</v>
      </c>
    </row>
    <row r="21" spans="2:5">
      <c r="B21">
        <f t="shared" si="0"/>
        <v>4</v>
      </c>
      <c r="C21" t="str">
        <f t="shared" si="1"/>
        <v>23</v>
      </c>
      <c r="D21" s="47" t="s">
        <v>154</v>
      </c>
      <c r="E21" t="str">
        <f>VLOOKUP(D21,Transacciones!B:C,2,FALSE)</f>
        <v>Dividendos O Participaciones Por Pagar (Cp)</v>
      </c>
    </row>
    <row r="22" spans="2:5">
      <c r="B22">
        <f t="shared" si="0"/>
        <v>4</v>
      </c>
      <c r="C22" t="str">
        <f t="shared" si="1"/>
        <v>23</v>
      </c>
      <c r="D22" s="47" t="s">
        <v>138</v>
      </c>
      <c r="E22" t="str">
        <f>VLOOKUP(D22,Transacciones!B:C,2,FALSE)</f>
        <v>Retefuente</v>
      </c>
    </row>
    <row r="23" spans="2:5">
      <c r="B23">
        <f t="shared" si="0"/>
        <v>4</v>
      </c>
      <c r="C23" t="str">
        <f t="shared" si="1"/>
        <v>23</v>
      </c>
      <c r="D23" s="47" t="s">
        <v>144</v>
      </c>
      <c r="E23" t="str">
        <f>VLOOKUP(D23,Transacciones!B:C,2,FALSE)</f>
        <v>Salud</v>
      </c>
    </row>
    <row r="24" spans="2:5">
      <c r="B24">
        <f t="shared" si="0"/>
        <v>4</v>
      </c>
      <c r="C24" t="str">
        <f t="shared" si="1"/>
        <v>23</v>
      </c>
      <c r="D24" s="47" t="s">
        <v>145</v>
      </c>
      <c r="E24" t="str">
        <f>VLOOKUP(D24,Transacciones!B:C,2,FALSE)</f>
        <v>Pensión</v>
      </c>
    </row>
    <row r="25" spans="2:5">
      <c r="B25">
        <f t="shared" si="0"/>
        <v>2</v>
      </c>
      <c r="C25" t="str">
        <f t="shared" si="1"/>
        <v>2</v>
      </c>
      <c r="D25" t="s">
        <v>161</v>
      </c>
    </row>
    <row r="26" spans="2:5">
      <c r="B26">
        <f t="shared" si="0"/>
        <v>4</v>
      </c>
      <c r="C26" t="str">
        <f t="shared" si="1"/>
        <v>24</v>
      </c>
      <c r="D26" s="47" t="s">
        <v>137</v>
      </c>
      <c r="E26" t="str">
        <f>VLOOKUP(D26,Transacciones!B:C,2,FALSE)</f>
        <v>IVA Descontable</v>
      </c>
    </row>
    <row r="27" spans="2:5">
      <c r="B27">
        <f t="shared" si="0"/>
        <v>2</v>
      </c>
      <c r="C27" t="str">
        <f t="shared" si="1"/>
        <v>2</v>
      </c>
      <c r="D27" t="s">
        <v>170</v>
      </c>
    </row>
    <row r="28" spans="2:5">
      <c r="B28">
        <f t="shared" si="0"/>
        <v>4</v>
      </c>
      <c r="C28" t="str">
        <f t="shared" si="1"/>
        <v>25</v>
      </c>
      <c r="D28" s="47" t="s">
        <v>146</v>
      </c>
      <c r="E28" t="str">
        <f>VLOOKUP(D28,Transacciones!B:C,2,FALSE)</f>
        <v>Beneficios a los empleados</v>
      </c>
    </row>
    <row r="29" spans="2:5">
      <c r="B29">
        <f t="shared" si="0"/>
        <v>4</v>
      </c>
      <c r="C29" t="str">
        <f t="shared" si="1"/>
        <v>25</v>
      </c>
      <c r="D29" s="47" t="s">
        <v>149</v>
      </c>
      <c r="E29" t="str">
        <f>VLOOKUP(D29,Transacciones!B:C,2,FALSE)</f>
        <v>Cesantías</v>
      </c>
    </row>
    <row r="30" spans="2:5">
      <c r="B30">
        <f t="shared" si="0"/>
        <v>4</v>
      </c>
      <c r="C30" t="str">
        <f t="shared" si="1"/>
        <v>25</v>
      </c>
      <c r="D30" s="47" t="s">
        <v>150</v>
      </c>
      <c r="E30" t="str">
        <f>VLOOKUP(D30,Transacciones!B:C,2,FALSE)</f>
        <v>Int. Cesantías</v>
      </c>
    </row>
    <row r="31" spans="2:5">
      <c r="B31">
        <f t="shared" si="0"/>
        <v>4</v>
      </c>
      <c r="C31" t="str">
        <f t="shared" si="1"/>
        <v>25</v>
      </c>
      <c r="D31" s="47" t="s">
        <v>147</v>
      </c>
      <c r="E31" t="str">
        <f>VLOOKUP(D31,Transacciones!B:C,2,FALSE)</f>
        <v>Prima de servicios</v>
      </c>
    </row>
    <row r="32" spans="2:5">
      <c r="B32">
        <f t="shared" si="0"/>
        <v>4</v>
      </c>
      <c r="C32" t="str">
        <f t="shared" si="1"/>
        <v>25</v>
      </c>
      <c r="D32" s="47" t="s">
        <v>148</v>
      </c>
      <c r="E32" t="str">
        <f>VLOOKUP(D32,Transacciones!B:C,2,FALSE)</f>
        <v>Vacaciones</v>
      </c>
    </row>
    <row r="33" spans="2:5">
      <c r="B33">
        <f t="shared" si="0"/>
        <v>1</v>
      </c>
      <c r="C33">
        <f t="shared" si="1"/>
        <v>0</v>
      </c>
      <c r="D33" t="s">
        <v>173</v>
      </c>
    </row>
    <row r="34" spans="2:5">
      <c r="B34">
        <f t="shared" si="0"/>
        <v>2</v>
      </c>
      <c r="C34" t="str">
        <f t="shared" si="1"/>
        <v>3</v>
      </c>
      <c r="D34" t="s">
        <v>175</v>
      </c>
    </row>
    <row r="35" spans="2:5">
      <c r="B35">
        <f t="shared" si="0"/>
        <v>4</v>
      </c>
      <c r="C35" t="str">
        <f t="shared" si="1"/>
        <v>36</v>
      </c>
      <c r="D35" s="47" t="s">
        <v>155</v>
      </c>
      <c r="E35" t="str">
        <f>VLOOKUP(D35,Transacciones!B:C,2,FALSE)</f>
        <v>Utilidades del periodo</v>
      </c>
    </row>
    <row r="36" spans="2:5">
      <c r="B36">
        <f t="shared" si="0"/>
        <v>2</v>
      </c>
      <c r="C36" t="str">
        <f t="shared" si="1"/>
        <v>3</v>
      </c>
      <c r="D36" t="s">
        <v>174</v>
      </c>
    </row>
    <row r="37" spans="2:5">
      <c r="B37">
        <f t="shared" si="0"/>
        <v>4</v>
      </c>
      <c r="C37" t="str">
        <f t="shared" si="1"/>
        <v>37</v>
      </c>
      <c r="D37" s="47" t="s">
        <v>153</v>
      </c>
      <c r="E37" t="str">
        <f>VLOOKUP(D37,Transacciones!B:C,2,FALSE)</f>
        <v>Utilidades Acumuladas</v>
      </c>
    </row>
    <row r="38" spans="2:5">
      <c r="B38">
        <f t="shared" si="0"/>
        <v>1</v>
      </c>
      <c r="C38">
        <f t="shared" si="1"/>
        <v>0</v>
      </c>
      <c r="D38" t="s">
        <v>166</v>
      </c>
    </row>
    <row r="39" spans="2:5">
      <c r="B39">
        <f t="shared" si="0"/>
        <v>2</v>
      </c>
      <c r="C39" t="str">
        <f t="shared" si="1"/>
        <v>4</v>
      </c>
      <c r="D39" t="s">
        <v>167</v>
      </c>
    </row>
    <row r="40" spans="2:5">
      <c r="B40">
        <f t="shared" si="0"/>
        <v>4</v>
      </c>
      <c r="C40" t="str">
        <f t="shared" si="1"/>
        <v>41</v>
      </c>
      <c r="D40" s="47" t="s">
        <v>142</v>
      </c>
      <c r="E40" t="str">
        <f>VLOOKUP(D40,Transacciones!B:C,2,FALSE)</f>
        <v>Ingresos</v>
      </c>
    </row>
    <row r="41" spans="2:5">
      <c r="B41">
        <f t="shared" si="0"/>
        <v>1</v>
      </c>
      <c r="C41">
        <f t="shared" si="1"/>
        <v>0</v>
      </c>
      <c r="D41" t="s">
        <v>168</v>
      </c>
    </row>
    <row r="42" spans="2:5">
      <c r="B42">
        <f t="shared" si="0"/>
        <v>2</v>
      </c>
      <c r="C42" t="str">
        <f t="shared" si="1"/>
        <v>5</v>
      </c>
      <c r="D42" t="s">
        <v>169</v>
      </c>
    </row>
    <row r="43" spans="2:5">
      <c r="B43">
        <f t="shared" si="0"/>
        <v>4</v>
      </c>
      <c r="C43" t="str">
        <f t="shared" si="1"/>
        <v>51</v>
      </c>
      <c r="D43" s="47" t="s">
        <v>143</v>
      </c>
      <c r="E43" t="str">
        <f>VLOOKUP(D43,Transacciones!B:C,2,FALSE)</f>
        <v>Salario</v>
      </c>
    </row>
    <row r="44" spans="2:5">
      <c r="B44">
        <f t="shared" si="0"/>
        <v>2</v>
      </c>
      <c r="C44" t="str">
        <f t="shared" si="1"/>
        <v>5</v>
      </c>
      <c r="D44" t="s">
        <v>171</v>
      </c>
    </row>
    <row r="45" spans="2:5">
      <c r="B45">
        <f t="shared" si="0"/>
        <v>4</v>
      </c>
      <c r="C45" t="str">
        <f t="shared" si="1"/>
        <v>53</v>
      </c>
      <c r="D45" s="47" t="s">
        <v>151</v>
      </c>
      <c r="E45" t="str">
        <f>VLOOKUP(D45,Transacciones!B:C,2,FALSE)</f>
        <v>Interés</v>
      </c>
    </row>
    <row r="46" spans="2:5">
      <c r="B46">
        <f t="shared" si="0"/>
        <v>1</v>
      </c>
      <c r="C46">
        <f t="shared" si="1"/>
        <v>0</v>
      </c>
      <c r="D46" t="s">
        <v>164</v>
      </c>
    </row>
    <row r="47" spans="2:5">
      <c r="B47">
        <f t="shared" si="0"/>
        <v>2</v>
      </c>
      <c r="C47" t="str">
        <f t="shared" si="1"/>
        <v>6</v>
      </c>
      <c r="D47" t="s">
        <v>165</v>
      </c>
    </row>
    <row r="48" spans="2:5">
      <c r="B48">
        <f t="shared" si="0"/>
        <v>4</v>
      </c>
      <c r="C48" t="str">
        <f t="shared" si="1"/>
        <v>61</v>
      </c>
      <c r="D48" s="47" t="s">
        <v>141</v>
      </c>
      <c r="E48" t="str">
        <f>VLOOKUP(D48,Transacciones!B:C,2,FALSE)</f>
        <v>CMV</v>
      </c>
    </row>
    <row r="49" spans="2:7">
      <c r="B49">
        <f t="shared" si="0"/>
        <v>0</v>
      </c>
      <c r="C49" t="str">
        <f t="shared" si="1"/>
        <v/>
      </c>
    </row>
    <row r="50" spans="2:7">
      <c r="D50" s="49" t="s">
        <v>178</v>
      </c>
      <c r="E50" s="43"/>
      <c r="F50" s="43"/>
      <c r="G50" s="43"/>
    </row>
    <row r="51" spans="2:7">
      <c r="D51" s="49" t="s">
        <v>176</v>
      </c>
      <c r="E51" s="43"/>
      <c r="F51" s="43"/>
      <c r="G51" s="43"/>
    </row>
    <row r="52" spans="2:7">
      <c r="D52" s="49" t="s">
        <v>177</v>
      </c>
      <c r="E52" s="43"/>
      <c r="F52" s="43"/>
      <c r="G52" s="43"/>
    </row>
  </sheetData>
  <sortState ref="D7:E48">
    <sortCondition ref="D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Nómina</vt:lpstr>
      <vt:lpstr>Amortización</vt:lpstr>
      <vt:lpstr>Cambios en el patrimonio</vt:lpstr>
      <vt:lpstr>ESF</vt:lpstr>
      <vt:lpstr>Transacciones</vt:lpstr>
      <vt:lpstr>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 Montes</dc:creator>
  <cp:lastModifiedBy>SALA ICOLVEN</cp:lastModifiedBy>
  <dcterms:created xsi:type="dcterms:W3CDTF">2018-10-03T20:40:27Z</dcterms:created>
  <dcterms:modified xsi:type="dcterms:W3CDTF">2023-11-08T01:14:50Z</dcterms:modified>
</cp:coreProperties>
</file>