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E:\V SEMESTRE - CONTADURÍA PÚBLICA\COSTOS\"/>
    </mc:Choice>
  </mc:AlternateContent>
  <xr:revisionPtr revIDLastSave="0" documentId="13_ncr:1_{4FE5000F-8F34-4415-B60F-081A04A4CB9F}" xr6:coauthVersionLast="47" xr6:coauthVersionMax="47" xr10:uidLastSave="{00000000-0000-0000-0000-000000000000}"/>
  <bookViews>
    <workbookView xWindow="-120" yWindow="-120" windowWidth="20730" windowHeight="11040" firstSheet="5" activeTab="8" xr2:uid="{00000000-000D-0000-FFFF-FFFF00000000}"/>
  </bookViews>
  <sheets>
    <sheet name="Calculo Nómina" sheetId="1" r:id="rId1"/>
    <sheet name="Liquidación" sheetId="5" r:id="rId2"/>
    <sheet name="Ejercicio" sheetId="6" r:id="rId3"/>
    <sheet name="Ejercicio 1" sheetId="7" r:id="rId4"/>
    <sheet name="Hoja1" sheetId="8" r:id="rId5"/>
    <sheet name="19-03" sheetId="9" r:id="rId6"/>
    <sheet name="21-03" sheetId="10" r:id="rId7"/>
    <sheet name="ENTREGABLE" sheetId="11" r:id="rId8"/>
    <sheet name="COSTEO ESTÁNDAR" sheetId="12" r:id="rId9"/>
    <sheet name="COSTEO ABC" sheetId="13" r:id="rId10"/>
    <sheet name="EJERCICIOS ESTUDIO" sheetId="14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2" l="1"/>
  <c r="I37" i="12"/>
  <c r="I36" i="12"/>
  <c r="B29" i="12"/>
  <c r="B28" i="12"/>
  <c r="B22" i="12"/>
  <c r="C24" i="12"/>
  <c r="B24" i="12"/>
  <c r="B23" i="12"/>
  <c r="B21" i="12"/>
  <c r="D15" i="12"/>
  <c r="D14" i="12"/>
  <c r="C10" i="12"/>
  <c r="C28" i="12"/>
  <c r="E9" i="12"/>
  <c r="E10" i="12"/>
  <c r="G34" i="8"/>
  <c r="G33" i="8" l="1"/>
  <c r="G27" i="8"/>
  <c r="G26" i="8"/>
  <c r="I27" i="8"/>
  <c r="J27" i="8" s="1"/>
  <c r="H27" i="8"/>
  <c r="F27" i="8"/>
  <c r="E26" i="8"/>
  <c r="E27" i="8"/>
  <c r="N6" i="8" l="1"/>
  <c r="B7" i="8"/>
  <c r="I13" i="11"/>
  <c r="I11" i="11"/>
  <c r="F11" i="13"/>
  <c r="F9" i="13"/>
  <c r="E11" i="13"/>
  <c r="D11" i="13"/>
  <c r="C11" i="13"/>
  <c r="E9" i="13"/>
  <c r="D9" i="13"/>
  <c r="C9" i="13"/>
  <c r="E7" i="13"/>
  <c r="F7" i="13" s="1"/>
  <c r="D7" i="13"/>
  <c r="C7" i="13"/>
  <c r="F5" i="13"/>
  <c r="E5" i="13"/>
  <c r="D5" i="13"/>
  <c r="C5" i="13"/>
  <c r="E7" i="12"/>
  <c r="E8" i="12"/>
  <c r="E6" i="12"/>
  <c r="C44" i="12"/>
  <c r="C45" i="12" s="1"/>
  <c r="C46" i="12" s="1"/>
  <c r="B44" i="12"/>
  <c r="B46" i="12" s="1"/>
  <c r="D46" i="12" s="1"/>
  <c r="C43" i="12"/>
  <c r="B43" i="12"/>
  <c r="D43" i="12" s="1"/>
  <c r="C39" i="12"/>
  <c r="C38" i="12"/>
  <c r="B38" i="12"/>
  <c r="C37" i="12"/>
  <c r="D36" i="12"/>
  <c r="C36" i="12"/>
  <c r="B36" i="12"/>
  <c r="B37" i="12" s="1"/>
  <c r="D37" i="12" s="1"/>
  <c r="B40" i="12" s="1"/>
  <c r="C29" i="12"/>
  <c r="C30" i="12" s="1"/>
  <c r="C31" i="12" s="1"/>
  <c r="B30" i="12"/>
  <c r="B25" i="12"/>
  <c r="C22" i="12"/>
  <c r="C23" i="12" s="1"/>
  <c r="C21" i="12"/>
  <c r="D23" i="12"/>
  <c r="D17" i="12"/>
  <c r="D18" i="12"/>
  <c r="D16" i="12"/>
  <c r="D21" i="12"/>
  <c r="L33" i="11"/>
  <c r="I32" i="11"/>
  <c r="I22" i="11"/>
  <c r="I23" i="11" s="1"/>
  <c r="M22" i="11" s="1"/>
  <c r="I30" i="11"/>
  <c r="L24" i="11"/>
  <c r="I21" i="11"/>
  <c r="I8" i="11"/>
  <c r="L13" i="11"/>
  <c r="H27" i="10"/>
  <c r="H28" i="10" s="1"/>
  <c r="B33" i="10" s="1"/>
  <c r="H26" i="10"/>
  <c r="B39" i="12" l="1"/>
  <c r="D39" i="12" s="1"/>
  <c r="I14" i="11"/>
  <c r="M10" i="11" s="1"/>
  <c r="B31" i="12"/>
  <c r="D31" i="12" s="1"/>
  <c r="C25" i="12"/>
  <c r="D30" i="12"/>
  <c r="D22" i="12"/>
  <c r="D24" i="12" s="1"/>
  <c r="I34" i="12" s="1"/>
  <c r="D44" i="12"/>
  <c r="B47" i="12" s="1"/>
  <c r="D28" i="12"/>
  <c r="B45" i="12"/>
  <c r="D45" i="12" s="1"/>
  <c r="D29" i="12"/>
  <c r="D38" i="12"/>
  <c r="N22" i="11"/>
  <c r="M11" i="11"/>
  <c r="N11" i="11" s="1"/>
  <c r="M12" i="11"/>
  <c r="N12" i="11" s="1"/>
  <c r="I33" i="11"/>
  <c r="M33" i="11" s="1"/>
  <c r="M23" i="11"/>
  <c r="M24" i="11" s="1"/>
  <c r="M13" i="11" l="1"/>
  <c r="I16" i="11" s="1"/>
  <c r="N10" i="11"/>
  <c r="N23" i="11"/>
  <c r="B32" i="12"/>
  <c r="B33" i="12" s="1"/>
  <c r="I35" i="12" s="1"/>
  <c r="I38" i="12" s="1"/>
  <c r="N24" i="11"/>
  <c r="N33" i="11"/>
  <c r="M31" i="11"/>
  <c r="N31" i="11" s="1"/>
  <c r="M32" i="11"/>
  <c r="N32" i="11" s="1"/>
  <c r="F35" i="10"/>
  <c r="B44" i="10"/>
  <c r="F42" i="10"/>
  <c r="F41" i="10"/>
  <c r="B49" i="10"/>
  <c r="C32" i="10"/>
  <c r="B29" i="10" s="1"/>
  <c r="F37" i="10"/>
  <c r="F36" i="10"/>
  <c r="C37" i="10"/>
  <c r="D37" i="10" s="1"/>
  <c r="G37" i="10" s="1"/>
  <c r="C36" i="10"/>
  <c r="D36" i="10" s="1"/>
  <c r="G36" i="10" s="1"/>
  <c r="H36" i="10" s="1"/>
  <c r="C35" i="10"/>
  <c r="C38" i="10" s="1"/>
  <c r="D38" i="10" s="1"/>
  <c r="J30" i="9"/>
  <c r="G28" i="9"/>
  <c r="J24" i="9"/>
  <c r="K27" i="9" s="1"/>
  <c r="E18" i="9"/>
  <c r="E16" i="9"/>
  <c r="E17" i="9"/>
  <c r="E15" i="9"/>
  <c r="D19" i="9"/>
  <c r="D26" i="8"/>
  <c r="M26" i="8" s="1"/>
  <c r="N26" i="8" s="1"/>
  <c r="E29" i="8"/>
  <c r="L29" i="8"/>
  <c r="L28" i="8"/>
  <c r="K29" i="8"/>
  <c r="K28" i="8"/>
  <c r="I29" i="8"/>
  <c r="J29" i="8" s="1"/>
  <c r="I28" i="8"/>
  <c r="J28" i="8" s="1"/>
  <c r="H29" i="8"/>
  <c r="G29" i="8"/>
  <c r="F29" i="8"/>
  <c r="F28" i="8"/>
  <c r="G28" i="8"/>
  <c r="H28" i="8"/>
  <c r="E28" i="8"/>
  <c r="J7" i="6"/>
  <c r="H7" i="6"/>
  <c r="K27" i="8"/>
  <c r="L27" i="8"/>
  <c r="L26" i="8"/>
  <c r="K26" i="8"/>
  <c r="I26" i="8"/>
  <c r="J26" i="8" s="1"/>
  <c r="H26" i="8"/>
  <c r="F26" i="8"/>
  <c r="L7" i="6"/>
  <c r="M9" i="6"/>
  <c r="L9" i="6"/>
  <c r="J9" i="6"/>
  <c r="K9" i="6" s="1"/>
  <c r="J8" i="6"/>
  <c r="G8" i="6"/>
  <c r="F7" i="6"/>
  <c r="G7" i="6"/>
  <c r="F9" i="6"/>
  <c r="D28" i="8"/>
  <c r="M28" i="8" s="1"/>
  <c r="N28" i="8" s="1"/>
  <c r="D27" i="8"/>
  <c r="D29" i="8"/>
  <c r="E9" i="6"/>
  <c r="E8" i="6"/>
  <c r="E7" i="6"/>
  <c r="D7" i="8"/>
  <c r="C7" i="8"/>
  <c r="C6" i="8"/>
  <c r="M25" i="11" l="1"/>
  <c r="M27" i="8"/>
  <c r="N27" i="8" s="1"/>
  <c r="F43" i="10"/>
  <c r="H37" i="10"/>
  <c r="E19" i="9"/>
  <c r="D41" i="9" s="1"/>
  <c r="E48" i="10"/>
  <c r="E47" i="10"/>
  <c r="B45" i="10"/>
  <c r="E41" i="9"/>
  <c r="A34" i="9"/>
  <c r="C34" i="9" s="1"/>
  <c r="F41" i="9" s="1"/>
  <c r="N13" i="11"/>
  <c r="K24" i="9"/>
  <c r="D35" i="10"/>
  <c r="M29" i="8"/>
  <c r="N29" i="8" s="1"/>
  <c r="B8" i="8"/>
  <c r="D6" i="8"/>
  <c r="D8" i="8" s="1"/>
  <c r="E14" i="8" s="1"/>
  <c r="C8" i="8"/>
  <c r="C14" i="8" l="1"/>
  <c r="C21" i="8" s="1"/>
  <c r="C13" i="8"/>
  <c r="C20" i="8" s="1"/>
  <c r="C12" i="8"/>
  <c r="C19" i="8" s="1"/>
  <c r="D13" i="8"/>
  <c r="D12" i="8"/>
  <c r="D19" i="8" s="1"/>
  <c r="D43" i="9"/>
  <c r="D44" i="9" s="1"/>
  <c r="I25" i="11"/>
  <c r="M34" i="11"/>
  <c r="C47" i="10"/>
  <c r="C49" i="10"/>
  <c r="C48" i="10"/>
  <c r="F48" i="10" s="1"/>
  <c r="G48" i="10" s="1"/>
  <c r="D39" i="10"/>
  <c r="G35" i="10"/>
  <c r="H35" i="10" s="1"/>
  <c r="H38" i="10" s="1"/>
  <c r="D20" i="8"/>
  <c r="D15" i="8"/>
  <c r="D22" i="8" s="1"/>
  <c r="D14" i="8"/>
  <c r="D21" i="8" s="1"/>
  <c r="E13" i="8"/>
  <c r="E20" i="8" s="1"/>
  <c r="E12" i="8"/>
  <c r="E19" i="8" s="1"/>
  <c r="E15" i="8"/>
  <c r="E22" i="8" s="1"/>
  <c r="E21" i="8"/>
  <c r="C15" i="8"/>
  <c r="C22" i="8" s="1"/>
  <c r="I36" i="11" l="1"/>
  <c r="I37" i="11" s="1"/>
  <c r="I38" i="11"/>
  <c r="F47" i="10"/>
  <c r="G47" i="10" s="1"/>
  <c r="G49" i="10" s="1"/>
  <c r="C50" i="10"/>
  <c r="B33" i="7"/>
  <c r="B36" i="7" s="1"/>
  <c r="B13" i="7"/>
  <c r="G14" i="6"/>
  <c r="N13" i="6"/>
  <c r="M14" i="6" s="1"/>
  <c r="K13" i="6"/>
  <c r="J14" i="6" s="1"/>
  <c r="H13" i="6"/>
  <c r="L12" i="1"/>
  <c r="L10" i="1"/>
  <c r="K8" i="6"/>
  <c r="K7" i="6"/>
  <c r="M8" i="6"/>
  <c r="M7" i="6"/>
  <c r="L8" i="6"/>
  <c r="I9" i="6"/>
  <c r="I8" i="6"/>
  <c r="I7" i="6"/>
  <c r="H9" i="6"/>
  <c r="H8" i="6"/>
  <c r="G9" i="6"/>
  <c r="N9" i="6" s="1"/>
  <c r="F8" i="6"/>
  <c r="N8" i="6" s="1"/>
  <c r="N11" i="1"/>
  <c r="M11" i="1"/>
  <c r="M10" i="1"/>
  <c r="AK14" i="1"/>
  <c r="AK9" i="1"/>
  <c r="AG14" i="1"/>
  <c r="AG9" i="1"/>
  <c r="AC14" i="1"/>
  <c r="AC9" i="1"/>
  <c r="Q10" i="1"/>
  <c r="R10" i="1" s="1"/>
  <c r="O10" i="1"/>
  <c r="N10" i="1"/>
  <c r="T10" i="1"/>
  <c r="S10" i="1"/>
  <c r="P10" i="1"/>
  <c r="U10" i="1" l="1"/>
  <c r="V10" i="1" s="1"/>
  <c r="W10" i="1" s="1"/>
  <c r="X10" i="1" s="1"/>
  <c r="M16" i="6"/>
  <c r="O9" i="6"/>
  <c r="O8" i="6"/>
  <c r="J16" i="6"/>
  <c r="C30" i="7"/>
  <c r="C31" i="7"/>
  <c r="C27" i="7"/>
  <c r="C32" i="7"/>
  <c r="C28" i="7"/>
  <c r="C29" i="7"/>
  <c r="C8" i="7"/>
  <c r="B17" i="7"/>
  <c r="D7" i="7" s="1"/>
  <c r="N7" i="6"/>
  <c r="C12" i="7"/>
  <c r="C11" i="7"/>
  <c r="C10" i="7"/>
  <c r="C9" i="7"/>
  <c r="C7" i="7"/>
  <c r="N10" i="6" l="1"/>
  <c r="O7" i="6"/>
  <c r="G16" i="6"/>
  <c r="H18" i="6"/>
  <c r="C33" i="7"/>
  <c r="K18" i="6"/>
  <c r="C13" i="7"/>
  <c r="D9" i="7"/>
  <c r="D10" i="7"/>
  <c r="D12" i="7"/>
  <c r="D8" i="7"/>
  <c r="D11" i="7"/>
  <c r="D13" i="7" l="1"/>
  <c r="E17" i="5"/>
  <c r="C45" i="5"/>
  <c r="F44" i="5"/>
  <c r="F43" i="5"/>
  <c r="F42" i="5"/>
  <c r="F41" i="5"/>
  <c r="F40" i="5"/>
  <c r="E9" i="5"/>
  <c r="E15" i="5" s="1"/>
  <c r="E21" i="5" s="1"/>
  <c r="E8" i="5"/>
  <c r="B7" i="5"/>
  <c r="C7" i="5" s="1"/>
  <c r="B20" i="5" s="1"/>
  <c r="F45" i="5" l="1"/>
  <c r="C46" i="5" s="1"/>
  <c r="C47" i="5" s="1"/>
  <c r="E10" i="5"/>
  <c r="E11" i="5" s="1"/>
  <c r="E12" i="5" s="1"/>
  <c r="E46" i="5"/>
  <c r="B31" i="5"/>
  <c r="B8" i="5"/>
  <c r="B25" i="5"/>
  <c r="B21" i="5"/>
  <c r="B9" i="5"/>
  <c r="E14" i="5"/>
  <c r="E20" i="5" l="1"/>
  <c r="E16" i="5"/>
  <c r="E18" i="5" s="1"/>
  <c r="D39" i="5"/>
  <c r="E39" i="5"/>
  <c r="E22" i="5" l="1"/>
  <c r="E23" i="5" s="1"/>
  <c r="E24" i="5" s="1"/>
  <c r="E4" i="5"/>
  <c r="B12" i="5" s="1"/>
  <c r="F39" i="5"/>
  <c r="E44" i="5"/>
  <c r="E42" i="5"/>
  <c r="E40" i="5"/>
  <c r="E41" i="5"/>
  <c r="E43" i="5"/>
  <c r="E45" i="5" l="1"/>
  <c r="E47" i="5" s="1"/>
  <c r="B13" i="5"/>
  <c r="B14" i="5" s="1"/>
  <c r="B15" i="5"/>
  <c r="B4" i="5"/>
  <c r="B24" i="5" l="1"/>
  <c r="B16" i="5"/>
  <c r="B22" i="5"/>
  <c r="B23" i="5"/>
  <c r="B6" i="5"/>
  <c r="B26" i="5" l="1"/>
  <c r="B28" i="5" s="1"/>
  <c r="B32" i="5" l="1"/>
  <c r="B38" i="5"/>
  <c r="B40" i="5" s="1"/>
  <c r="T13" i="1"/>
  <c r="Q13" i="1"/>
  <c r="R13" i="1" s="1"/>
  <c r="S13" i="1"/>
  <c r="P13" i="1" l="1"/>
  <c r="M13" i="1"/>
  <c r="N13" i="1"/>
  <c r="O13" i="1"/>
  <c r="L13" i="1"/>
  <c r="U13" i="1" l="1"/>
  <c r="V13" i="1" s="1"/>
  <c r="W13" i="1" s="1"/>
  <c r="T11" i="1" l="1"/>
  <c r="Q11" i="1"/>
  <c r="R11" i="1" s="1"/>
  <c r="O11" i="1" l="1"/>
  <c r="S11" i="1"/>
  <c r="L11" i="1"/>
  <c r="P11" i="1"/>
  <c r="U11" i="1" l="1"/>
  <c r="V11" i="1" s="1"/>
  <c r="P12" i="1"/>
  <c r="M12" i="1"/>
  <c r="T12" i="1"/>
  <c r="Q12" i="1"/>
  <c r="S12" i="1"/>
  <c r="W11" i="1" l="1"/>
  <c r="X11" i="1" s="1"/>
  <c r="O12" i="1"/>
  <c r="N12" i="1"/>
  <c r="R12" i="1"/>
  <c r="AH9" i="1" l="1"/>
  <c r="AL9" i="1"/>
  <c r="AL14" i="1"/>
  <c r="AH14" i="1"/>
  <c r="Z10" i="1"/>
  <c r="Z18" i="1"/>
  <c r="U12" i="1"/>
  <c r="V12" i="1" s="1"/>
  <c r="W12" i="1" s="1"/>
  <c r="W16" i="1" s="1"/>
  <c r="AL17" i="1" l="1"/>
  <c r="AH18" i="1"/>
  <c r="Y18" i="1"/>
  <c r="Y10" i="1"/>
  <c r="AD9" i="1"/>
  <c r="AD14" i="1"/>
  <c r="V16" i="1"/>
  <c r="U16" i="1"/>
  <c r="AD18" i="1" l="1"/>
</calcChain>
</file>

<file path=xl/sharedStrings.xml><?xml version="1.0" encoding="utf-8"?>
<sst xmlns="http://schemas.openxmlformats.org/spreadsheetml/2006/main" count="518" uniqueCount="329">
  <si>
    <t>Salario Minimo</t>
  </si>
  <si>
    <t>Aux Transporte</t>
  </si>
  <si>
    <t>Nº</t>
  </si>
  <si>
    <t>Nombre</t>
  </si>
  <si>
    <t>Nº EMPLEADOS</t>
  </si>
  <si>
    <t>CARGO</t>
  </si>
  <si>
    <t>SUELDO</t>
  </si>
  <si>
    <t>BASE</t>
  </si>
  <si>
    <t xml:space="preserve">% </t>
  </si>
  <si>
    <t>DEVENGADO</t>
  </si>
  <si>
    <t>TOTAL DEVENGADO</t>
  </si>
  <si>
    <t>PAGO PRESTACIONES</t>
  </si>
  <si>
    <t>VALOR MENSUAL TRABAJADOR</t>
  </si>
  <si>
    <t>AUXILIO DE TRANSPORTE</t>
  </si>
  <si>
    <t>RECARGOS</t>
  </si>
  <si>
    <t>SALUD</t>
  </si>
  <si>
    <t>PENSION</t>
  </si>
  <si>
    <t>ARL</t>
  </si>
  <si>
    <t>CESANTIAS</t>
  </si>
  <si>
    <t>INT CESANTIAS</t>
  </si>
  <si>
    <t xml:space="preserve">PRIMA </t>
  </si>
  <si>
    <t>VACACIONES</t>
  </si>
  <si>
    <t>TOTAL</t>
  </si>
  <si>
    <t>CALCULO NOMINA</t>
  </si>
  <si>
    <t>VALOR HORA</t>
  </si>
  <si>
    <t>VALOR DIA</t>
  </si>
  <si>
    <t>Docente</t>
  </si>
  <si>
    <t>CAJA+ICBF+SENA</t>
  </si>
  <si>
    <t>DEDUCCIÒN</t>
  </si>
  <si>
    <t>ESCENARIO (1 CURSO)</t>
  </si>
  <si>
    <t>VALOR PRES HR</t>
  </si>
  <si>
    <t>TOTAL HR</t>
  </si>
  <si>
    <t>Febrero</t>
  </si>
  <si>
    <t>TOTAL HR IDEAL</t>
  </si>
  <si>
    <t>Marzo</t>
  </si>
  <si>
    <t xml:space="preserve">Abril </t>
  </si>
  <si>
    <t>Mayo</t>
  </si>
  <si>
    <t>Junio</t>
  </si>
  <si>
    <t>DIAS</t>
  </si>
  <si>
    <t>SEM</t>
  </si>
  <si>
    <t>HR CONT</t>
  </si>
  <si>
    <t xml:space="preserve">Hrs </t>
  </si>
  <si>
    <t>Formato para liquidar prestaciones sociales en periodos superiores al mes.</t>
  </si>
  <si>
    <t>Salario mensual para efectos de la liquidación</t>
  </si>
  <si>
    <t>Valores de referencia</t>
  </si>
  <si>
    <t>Salario mensual</t>
  </si>
  <si>
    <t>Salario mínimo</t>
  </si>
  <si>
    <t xml:space="preserve">Auxilio de transporte </t>
  </si>
  <si>
    <t>Auxilio de transporte</t>
  </si>
  <si>
    <t>Total salario + auxilio de transporte</t>
  </si>
  <si>
    <t xml:space="preserve">Minimo </t>
  </si>
  <si>
    <t xml:space="preserve">Periodo a liquidar cesantías e
intereses sobre cesantías </t>
  </si>
  <si>
    <t>Días a liquidar</t>
  </si>
  <si>
    <t>Salud</t>
  </si>
  <si>
    <t>Fecha de ingreso</t>
  </si>
  <si>
    <t>Pension</t>
  </si>
  <si>
    <t>Fecha de liquidación</t>
  </si>
  <si>
    <t>Meses a liquidar</t>
  </si>
  <si>
    <t>Liquidación de las prestaciones sociales</t>
  </si>
  <si>
    <t>Periodo a liquidar</t>
  </si>
  <si>
    <t>Prima de servicios</t>
  </si>
  <si>
    <t xml:space="preserve">Dias Cesantias </t>
  </si>
  <si>
    <t>Cesantías</t>
  </si>
  <si>
    <t>Periodo a liquidar prima de servicios</t>
  </si>
  <si>
    <t>Intereses sobre cesantías</t>
  </si>
  <si>
    <t>Fecha de la última liquidación</t>
  </si>
  <si>
    <t>Compensación de vacaciones</t>
  </si>
  <si>
    <t xml:space="preserve">Fecha de la liquidacion </t>
  </si>
  <si>
    <t>Total de la liquidación de prestaciones sociales</t>
  </si>
  <si>
    <t>Dias Prima</t>
  </si>
  <si>
    <t>Liquidación de parafiscales</t>
  </si>
  <si>
    <t>Periodo a liquidar la compensación en dinero de las vacaciones</t>
  </si>
  <si>
    <t>Fecha de la última liquidación de la vacaciones</t>
  </si>
  <si>
    <t>CAJA</t>
  </si>
  <si>
    <t>ICBF</t>
  </si>
  <si>
    <t>SENA</t>
  </si>
  <si>
    <t>Días de vacaciones a compensar</t>
  </si>
  <si>
    <t>Total de la liquidación parafiscales</t>
  </si>
  <si>
    <t>Dias Año</t>
  </si>
  <si>
    <t>TOTAL LIQUIDACION SALARIO + PRESTACIONES + PARAFISCALES</t>
  </si>
  <si>
    <t xml:space="preserve">Dias calendario </t>
  </si>
  <si>
    <t>Fecha inicio</t>
  </si>
  <si>
    <t>LIQUIDACION HORAS PACTADAS</t>
  </si>
  <si>
    <t>Fecha Retiro</t>
  </si>
  <si>
    <t>Minuto</t>
  </si>
  <si>
    <t>Yogur</t>
  </si>
  <si>
    <t>Operario 1</t>
  </si>
  <si>
    <t>Operario 2</t>
  </si>
  <si>
    <t>Crema</t>
  </si>
  <si>
    <t>Unidades</t>
  </si>
  <si>
    <t>UNIDADES</t>
  </si>
  <si>
    <t>MINUTOS</t>
  </si>
  <si>
    <t>COSTO</t>
  </si>
  <si>
    <t>Operario 1 Enero</t>
  </si>
  <si>
    <t>Yogurt</t>
  </si>
  <si>
    <t>Enero</t>
  </si>
  <si>
    <t>MO</t>
  </si>
  <si>
    <t>ENER/FEBR</t>
  </si>
  <si>
    <t>Benjamin</t>
  </si>
  <si>
    <t>Carlos</t>
  </si>
  <si>
    <t>Cada uno de ellos al mes produce las siguientes unidades:</t>
  </si>
  <si>
    <t>Alberto</t>
  </si>
  <si>
    <t>Salario</t>
  </si>
  <si>
    <t xml:space="preserve">La empresa Flemoxin S.A encargada de producir medicamentos cuenta con tres empleados: </t>
  </si>
  <si>
    <t>La empresa espera alcanzar un nivel de producción de 6.000 unidades. ¿Cúanto cuesta la mano de obra de estos trabajadores para producir cada uno 6.000 unidades y en qué tiempo?</t>
  </si>
  <si>
    <t xml:space="preserve">Total devengado </t>
  </si>
  <si>
    <t>Salario base</t>
  </si>
  <si>
    <t>Mes</t>
  </si>
  <si>
    <t xml:space="preserve">Producción </t>
  </si>
  <si>
    <t>ANÁLISIS DE LA PROFESORA</t>
  </si>
  <si>
    <t>Nos quedamos con los tres empleados porque con los tres y el tiempo se logra llevar a cabo el objetivo de lograr las 6.000 unidades, a un tiempo corto y con una menor diferencia de costos de tener, por ejemplo, a Alberto.</t>
  </si>
  <si>
    <t xml:space="preserve">AROMAHOME </t>
  </si>
  <si>
    <t>CC1</t>
  </si>
  <si>
    <t>CC2</t>
  </si>
  <si>
    <t>CC3</t>
  </si>
  <si>
    <t>CC4</t>
  </si>
  <si>
    <t>CC5</t>
  </si>
  <si>
    <t>CC6</t>
  </si>
  <si>
    <t>Unidades producidas</t>
  </si>
  <si>
    <t>Porcentajes</t>
  </si>
  <si>
    <t xml:space="preserve">Una empresa se dedica a la fabricación de aromatizantes y tiene una maquina que produce las siguientes 6 variedades de aroma: </t>
  </si>
  <si>
    <t xml:space="preserve">Se revisa el contrato de alquiler de la maquina, el cuál costa de un canon de 5 millones mensuales. </t>
  </si>
  <si>
    <t xml:space="preserve">Hallado el factor de producción, calcular el importe por cada línea de producto </t>
  </si>
  <si>
    <t>Factor de producción</t>
  </si>
  <si>
    <t>TOTALES</t>
  </si>
  <si>
    <t>Esto es un prorrateo</t>
  </si>
  <si>
    <t>(Esto se desarrolló en la tabla de arriba)</t>
  </si>
  <si>
    <t>Espacio (en m2)</t>
  </si>
  <si>
    <t>Ya en la empresa no se está utilizando una sola maquina, sino que cada referencia tienen su propia máquina y necesitamos saber el espacio que esta ocupa en la bodega</t>
  </si>
  <si>
    <t>El canon mensual del alquiler por las 6 maquinas es de 30.000.000, halle el factor de producción de la maquinaria</t>
  </si>
  <si>
    <t>EJERCICIO EN CLASE</t>
  </si>
  <si>
    <t>PERIODO</t>
  </si>
  <si>
    <t>ENERO</t>
  </si>
  <si>
    <t>FEBRERO</t>
  </si>
  <si>
    <t>MARZO</t>
  </si>
  <si>
    <t>VENTA</t>
  </si>
  <si>
    <t>INVENTARIO INICIAL</t>
  </si>
  <si>
    <t>UND A PRODUCIR</t>
  </si>
  <si>
    <t>UNIDADES A PRODUCIR</t>
  </si>
  <si>
    <t>UNIDADES DE USO O CONSUMO</t>
  </si>
  <si>
    <t>Materiales</t>
  </si>
  <si>
    <t>Madera de Roble</t>
  </si>
  <si>
    <t>Madera de Pino</t>
  </si>
  <si>
    <t>Pegamento</t>
  </si>
  <si>
    <t>Tornillos</t>
  </si>
  <si>
    <t>Unidad de compra</t>
  </si>
  <si>
    <t>Valor de compra</t>
  </si>
  <si>
    <t>Consumo</t>
  </si>
  <si>
    <t>Pie</t>
  </si>
  <si>
    <t>Litro</t>
  </si>
  <si>
    <t>Unidad</t>
  </si>
  <si>
    <t>Desperdicio 8%</t>
  </si>
  <si>
    <t>COSTO DE CONSUMO</t>
  </si>
  <si>
    <t>INVENTARIO FINAL 10%</t>
  </si>
  <si>
    <t>Directo</t>
  </si>
  <si>
    <t>Indirecto</t>
  </si>
  <si>
    <t>Clasificación</t>
  </si>
  <si>
    <t>CONSUMO REAL</t>
  </si>
  <si>
    <t>Mano de obra</t>
  </si>
  <si>
    <t>Cortador de madera</t>
  </si>
  <si>
    <t>Ensamblador</t>
  </si>
  <si>
    <t>Supervisor</t>
  </si>
  <si>
    <t>Portero</t>
  </si>
  <si>
    <t>Total devengado</t>
  </si>
  <si>
    <t>PENSIÓN</t>
  </si>
  <si>
    <t>Costo mano de obra al producto</t>
  </si>
  <si>
    <t>Arriendo de la maquinaria cortada</t>
  </si>
  <si>
    <t>Servicios generales fábrica</t>
  </si>
  <si>
    <t>Unidades producidas por la maquina mensualmente</t>
  </si>
  <si>
    <t>Servicios de oficina</t>
  </si>
  <si>
    <t>Salarios de oficina</t>
  </si>
  <si>
    <t xml:space="preserve">CLASIFICACIÓN Y CARGOS DE CIF </t>
  </si>
  <si>
    <t>CIF FIJO</t>
  </si>
  <si>
    <t>CIF VARIABLE</t>
  </si>
  <si>
    <t>CIF MIXTO</t>
  </si>
  <si>
    <t>EMPRESA DMG S.A.S</t>
  </si>
  <si>
    <t>Orden de producción</t>
  </si>
  <si>
    <t>Cliente: UNAC</t>
  </si>
  <si>
    <t>Fecha de pedido: 15 abril 2024</t>
  </si>
  <si>
    <t>Fecha entrega: 30 abril 2024</t>
  </si>
  <si>
    <t>Artículo: Camisas</t>
  </si>
  <si>
    <t>Cantidad: 50</t>
  </si>
  <si>
    <t>Especificación: Logo UNAC bordado (azul)</t>
  </si>
  <si>
    <t>Requesición materiales</t>
  </si>
  <si>
    <t xml:space="preserve">Funcionario solicitante: Óscar Rojas (Jefe de producción). </t>
  </si>
  <si>
    <t>Funcionario a cargo: Jhoiner Barrios (Jefe de compras)</t>
  </si>
  <si>
    <t xml:space="preserve">Descripción </t>
  </si>
  <si>
    <t>Cantidad</t>
  </si>
  <si>
    <t>Valor unitario</t>
  </si>
  <si>
    <t xml:space="preserve">Valor total </t>
  </si>
  <si>
    <t xml:space="preserve">Tela azul </t>
  </si>
  <si>
    <t>Unidad de medida</t>
  </si>
  <si>
    <t>metros</t>
  </si>
  <si>
    <t>Hilo Blanco</t>
  </si>
  <si>
    <t xml:space="preserve">Hilo azul </t>
  </si>
  <si>
    <t>Botones</t>
  </si>
  <si>
    <t>conos</t>
  </si>
  <si>
    <t>Proveedor</t>
  </si>
  <si>
    <t>Kevin Guerrero</t>
  </si>
  <si>
    <t xml:space="preserve">Tarjeta de tiempo </t>
  </si>
  <si>
    <t xml:space="preserve">Fecha: 17 abril </t>
  </si>
  <si>
    <t xml:space="preserve">Nombre del trabajador: Kelly Camacho. </t>
  </si>
  <si>
    <t xml:space="preserve">Departamento: Producción </t>
  </si>
  <si>
    <t xml:space="preserve">Salario Básico: </t>
  </si>
  <si>
    <t>Mensual:</t>
  </si>
  <si>
    <t>Hora:</t>
  </si>
  <si>
    <t>Esto se saca teniendo en cuenta la tabla de nómina.</t>
  </si>
  <si>
    <t>Detalle</t>
  </si>
  <si>
    <t>Hora inicio</t>
  </si>
  <si>
    <t xml:space="preserve">Hora final </t>
  </si>
  <si>
    <t>Valor hora</t>
  </si>
  <si>
    <t>Orden de producción #1014</t>
  </si>
  <si>
    <t>8:00am</t>
  </si>
  <si>
    <t>9:00am</t>
  </si>
  <si>
    <t>10:00am</t>
  </si>
  <si>
    <t>12:00pm</t>
  </si>
  <si>
    <t>1:00pm</t>
  </si>
  <si>
    <t>3:00pm</t>
  </si>
  <si>
    <t>5:00pm</t>
  </si>
  <si>
    <t>25 horas=</t>
  </si>
  <si>
    <t>Costos indirectos de fabricación</t>
  </si>
  <si>
    <t>Politica del 60% de la Mano de Obra</t>
  </si>
  <si>
    <t>Hoja de costos</t>
  </si>
  <si>
    <t xml:space="preserve">Orden de producción </t>
  </si>
  <si>
    <t xml:space="preserve">Artículo: </t>
  </si>
  <si>
    <t>Camisas</t>
  </si>
  <si>
    <t>Fecha inicio: 17 abril</t>
  </si>
  <si>
    <t>Fecha termino: 21 abril</t>
  </si>
  <si>
    <t>Materia prima</t>
  </si>
  <si>
    <t>CIF</t>
  </si>
  <si>
    <t>Requisición</t>
  </si>
  <si>
    <t>Costo total</t>
  </si>
  <si>
    <t>Costo unitario</t>
  </si>
  <si>
    <t xml:space="preserve">Elaborado por: Grabriela Calderín. </t>
  </si>
  <si>
    <t>Aprobó: Johan Suesca.</t>
  </si>
  <si>
    <t>Compañía oro negro S.A fabrica papel para cauaderno, para tal fin tiene tres procesos:</t>
  </si>
  <si>
    <t xml:space="preserve">A. </t>
  </si>
  <si>
    <t>B.</t>
  </si>
  <si>
    <t xml:space="preserve">C. </t>
  </si>
  <si>
    <t xml:space="preserve">Tiene varios departamentos productivos, en los cuales hay inventarios en procesos y el desarrollo de estos son los siguientes: </t>
  </si>
  <si>
    <t>Proceso A</t>
  </si>
  <si>
    <t>Proceso B</t>
  </si>
  <si>
    <t>El proceso A indicó que entregó al proceso B 60.000 unidades y perdidas en la producción de 6.000 unidades, Inventario en proceso de 12.000 unidades, que es el 60% de su acabado</t>
  </si>
  <si>
    <t>Se compone de lo siguiente:</t>
  </si>
  <si>
    <t>Costo de transformación</t>
  </si>
  <si>
    <t>El proceso B le entrega al proceso C 36.000 unidades, inventario en proceso 24.000 unidades al 40% de su acabado</t>
  </si>
  <si>
    <t>Proceso C</t>
  </si>
  <si>
    <t>Gasto de fabricación (CIF)</t>
  </si>
  <si>
    <t>Proceso C le entrega al almacén 20.000 unidades y 16.000 en proceso</t>
  </si>
  <si>
    <t xml:space="preserve">Costo de proceso </t>
  </si>
  <si>
    <t>Departamento A</t>
  </si>
  <si>
    <t xml:space="preserve">Unidades </t>
  </si>
  <si>
    <t>Volumen de producción total</t>
  </si>
  <si>
    <t>Perdida</t>
  </si>
  <si>
    <t>En proceso</t>
  </si>
  <si>
    <t>Producción equivalente</t>
  </si>
  <si>
    <t xml:space="preserve">Costo producción total </t>
  </si>
  <si>
    <t>Costo total Departamento A</t>
  </si>
  <si>
    <t>Producción equivalente = productos entregados + inventarios en proceso</t>
  </si>
  <si>
    <t>Productos entregados</t>
  </si>
  <si>
    <t>Inventario proceso</t>
  </si>
  <si>
    <t>Departamento B</t>
  </si>
  <si>
    <t xml:space="preserve">Equivalente </t>
  </si>
  <si>
    <t>Mano de obra en proceso</t>
  </si>
  <si>
    <t>Materia Prima en proceso</t>
  </si>
  <si>
    <t>Costos Indirectos en proceso</t>
  </si>
  <si>
    <t>Unitario</t>
  </si>
  <si>
    <t>Costo proceso</t>
  </si>
  <si>
    <t>Inventario en  proceso</t>
  </si>
  <si>
    <t>Costo total departamento B</t>
  </si>
  <si>
    <t>Equivalente</t>
  </si>
  <si>
    <t>La compañía Oro Negro S.A fabrica papel para cuaderno, para tal fin tiene tres procesos: A, B, C</t>
  </si>
  <si>
    <t>El proceso A indicó que entregó al proceso B 60.000 unidades y perdidas en la producción de 6.000 unidades, Inventario en proceso de 12.000 unidades, que es el 60% de su acabado.</t>
  </si>
  <si>
    <t>El proceso B le entrega al proceso C 36.000 unidades, inventario en proceso 24.000 unidades al 40% de su acabado.</t>
  </si>
  <si>
    <t>EJERCICIO ENTREGABLE (21-03-24)</t>
  </si>
  <si>
    <t>COSTO DEL PROCESO</t>
  </si>
  <si>
    <t>PROCESO A</t>
  </si>
  <si>
    <t>Unidades entregadas</t>
  </si>
  <si>
    <t>Volumen de producción</t>
  </si>
  <si>
    <t>Pérdidas</t>
  </si>
  <si>
    <t>Inventario en proceso</t>
  </si>
  <si>
    <t>Total</t>
  </si>
  <si>
    <t xml:space="preserve">Costo total de producción </t>
  </si>
  <si>
    <t>Costo equivalente</t>
  </si>
  <si>
    <t xml:space="preserve">Total </t>
  </si>
  <si>
    <t>Costo unidades recibidas</t>
  </si>
  <si>
    <t>PROCESO B</t>
  </si>
  <si>
    <t>PROCESO C</t>
  </si>
  <si>
    <t xml:space="preserve">Costo unitario </t>
  </si>
  <si>
    <t>Costo unitario total</t>
  </si>
  <si>
    <t>Ficha de producto</t>
  </si>
  <si>
    <t>Empresa XY</t>
  </si>
  <si>
    <t>Materia Prima</t>
  </si>
  <si>
    <t>Elementos</t>
  </si>
  <si>
    <t>Und. Medida</t>
  </si>
  <si>
    <t>Valor x unidad</t>
  </si>
  <si>
    <t>Mano de obra mensual</t>
  </si>
  <si>
    <t>Maquila</t>
  </si>
  <si>
    <t>Metros</t>
  </si>
  <si>
    <t>Horas</t>
  </si>
  <si>
    <t>Se realizaron 1000 unidades</t>
  </si>
  <si>
    <t>Costos reales</t>
  </si>
  <si>
    <t>Valor real</t>
  </si>
  <si>
    <t>Valor total</t>
  </si>
  <si>
    <t xml:space="preserve">Cálculo de variación </t>
  </si>
  <si>
    <t>Cantidad real</t>
  </si>
  <si>
    <t>Cantidad presupuesto</t>
  </si>
  <si>
    <t>Variación cantidad</t>
  </si>
  <si>
    <t>Variación precio</t>
  </si>
  <si>
    <t>La variación final fue FAVORABLE.</t>
  </si>
  <si>
    <t xml:space="preserve">Mano de obra </t>
  </si>
  <si>
    <t>Presupuesto estan*precio estandar</t>
  </si>
  <si>
    <t>Cant real* precio estan</t>
  </si>
  <si>
    <t>Variación real</t>
  </si>
  <si>
    <t>La variación final fue DESFAVORABLE.</t>
  </si>
  <si>
    <t>Tener en cuenta las fórmulas para hallar los precios y variaciones</t>
  </si>
  <si>
    <t>VARIACIONES TOTALES</t>
  </si>
  <si>
    <t>Esto es lo que al final nos ahorramos</t>
  </si>
  <si>
    <t>Manzana</t>
  </si>
  <si>
    <t>Uva</t>
  </si>
  <si>
    <t>Naranja</t>
  </si>
  <si>
    <t>Costo Mat Unit</t>
  </si>
  <si>
    <t>Costo MOD Unit</t>
  </si>
  <si>
    <t>MOD</t>
  </si>
  <si>
    <t>Horas MOD/Unid</t>
  </si>
  <si>
    <t>Valor</t>
  </si>
  <si>
    <t>Horas máquina Unit</t>
  </si>
  <si>
    <t>Costo Total CIF</t>
  </si>
  <si>
    <t>EJERCICIO 1: COSTOS POR PROCESOS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</si>
</sst>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$&quot;\ #,##0;[Red]\-&quot;$&quot;\ #,##0"/>
    <numFmt numFmtId="42" formatCode="_-&quot;$&quot;\ * #,##0_-;\-&quot;$&quot;\ * #,##0_-;_-&quot;$&quot;\ * &quot;-&quot;_-;_-@_-"/>
    <numFmt numFmtId="41" formatCode="_-* #,##0_-;\-* #,##0_-;_-* &quot;-&quot;_-;_-@_-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$&quot;* #,##0_-;\-&quot;$&quot;* #,##0_-;_-&quot;$&quot;* &quot;-&quot;_-;_-@_-"/>
    <numFmt numFmtId="165" formatCode="&quot;$&quot;\ #,##0"/>
    <numFmt numFmtId="166" formatCode="_-&quot;$&quot;\ * #,##0_-;\-&quot;$&quot;\ * #,##0_-;_-&quot;$&quot;\ * &quot;-&quot;??_-;_-@_-"/>
    <numFmt numFmtId="167" formatCode="&quot;$&quot;\ #,##0.00"/>
    <numFmt numFmtId="168" formatCode="0.0%"/>
    <numFmt numFmtId="169" formatCode="_-* #,##0_-;\-* #,##0_-;_-* &quot;-&quot;??_-;_-@_-"/>
    <numFmt numFmtId="170" formatCode="_-[$$-240A]\ * #,##0_-;\-[$$-240A]\ * #,##0_-;_-[$$-240A]\ * &quot;-&quot;??_-;_-@_-"/>
    <numFmt numFmtId="171" formatCode="_-* #,##0.00_-;\-* #,##0.00_-;_-* &quot;-&quot;_-;_-@_-"/>
    <numFmt numFmtId="172" formatCode="_-&quot;$&quot;\ * #,##0_-;\-&quot;$&quot;\ * #,##0_-;_-&quot;$&quot;\ * &quot;-&quot;?_-;_-@_-"/>
    <numFmt numFmtId="173" formatCode="_-&quot;$&quot;\ * #,##0.0_-;\-&quot;$&quot;\ * #,##0.0_-;_-&quot;$&quot;\ * &quot;-&quot;?_-;_-@_-"/>
    <numFmt numFmtId="174" formatCode="_-* #,##0.00\ _€_-;\-* #,##0.00\ _€_-;_-* &quot;-&quot;??\ _€_-;_-@_-"/>
    <numFmt numFmtId="175" formatCode="_-* #,##0\ _€_-;\-* #,##0\ _€_-;_-* &quot;-&quot;??\ _€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rgb="FF000000"/>
      <name val="Metropolis"/>
      <family val="3"/>
    </font>
    <font>
      <sz val="9"/>
      <color rgb="FF000000"/>
      <name val="Metropolis"/>
      <family val="3"/>
    </font>
    <font>
      <b/>
      <sz val="9"/>
      <color rgb="FFC00000"/>
      <name val="Metropolis"/>
      <family val="3"/>
    </font>
    <font>
      <b/>
      <sz val="9"/>
      <name val="Metropolis"/>
      <family val="3"/>
    </font>
    <font>
      <sz val="9"/>
      <name val="Metropolis"/>
      <family val="3"/>
    </font>
    <font>
      <sz val="9"/>
      <color theme="1"/>
      <name val="Metropolis"/>
      <family val="3"/>
    </font>
    <font>
      <b/>
      <sz val="9"/>
      <color theme="1"/>
      <name val="Metropolis"/>
      <family val="3"/>
    </font>
    <font>
      <b/>
      <sz val="9"/>
      <color rgb="FFFF0000"/>
      <name val="Metropolis"/>
      <family val="3"/>
    </font>
    <font>
      <b/>
      <sz val="9"/>
      <color theme="0"/>
      <name val="Metropolis"/>
      <family val="3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E7E6E6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</fills>
  <borders count="3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2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34">
    <xf numFmtId="0" fontId="0" fillId="0" borderId="0" xfId="0"/>
    <xf numFmtId="0" fontId="4" fillId="0" borderId="0" xfId="0" applyFont="1"/>
    <xf numFmtId="0" fontId="3" fillId="0" borderId="0" xfId="0" applyFont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64" fontId="3" fillId="0" borderId="0" xfId="1" applyNumberFormat="1" applyFont="1" applyFill="1" applyBorder="1" applyAlignment="1">
      <alignment horizontal="center" vertical="center"/>
    </xf>
    <xf numFmtId="0" fontId="3" fillId="0" borderId="0" xfId="0" applyFont="1"/>
    <xf numFmtId="9" fontId="5" fillId="0" borderId="0" xfId="0" applyNumberFormat="1" applyFont="1"/>
    <xf numFmtId="0" fontId="3" fillId="3" borderId="4" xfId="3" applyFont="1" applyFill="1" applyBorder="1" applyAlignment="1" applyProtection="1">
      <alignment vertical="center"/>
      <protection hidden="1"/>
    </xf>
    <xf numFmtId="0" fontId="3" fillId="3" borderId="4" xfId="3" applyFont="1" applyFill="1" applyBorder="1" applyAlignment="1" applyProtection="1">
      <alignment horizontal="center" vertical="center" wrapText="1"/>
      <protection hidden="1"/>
    </xf>
    <xf numFmtId="0" fontId="3" fillId="3" borderId="4" xfId="3" applyFont="1" applyFill="1" applyBorder="1" applyAlignment="1" applyProtection="1">
      <alignment horizontal="center" vertical="center"/>
      <protection hidden="1"/>
    </xf>
    <xf numFmtId="0" fontId="4" fillId="4" borderId="4" xfId="0" applyFont="1" applyFill="1" applyBorder="1"/>
    <xf numFmtId="4" fontId="6" fillId="4" borderId="4" xfId="4" applyNumberFormat="1" applyFont="1" applyFill="1" applyBorder="1" applyAlignment="1">
      <alignment horizontal="center"/>
    </xf>
    <xf numFmtId="4" fontId="7" fillId="4" borderId="4" xfId="4" applyNumberFormat="1" applyFont="1" applyFill="1" applyBorder="1" applyAlignment="1">
      <alignment horizontal="center"/>
    </xf>
    <xf numFmtId="165" fontId="4" fillId="4" borderId="4" xfId="3" applyNumberFormat="1" applyFont="1" applyFill="1" applyBorder="1" applyAlignment="1" applyProtection="1">
      <alignment horizontal="center" vertical="center" shrinkToFit="1"/>
      <protection hidden="1"/>
    </xf>
    <xf numFmtId="165" fontId="4" fillId="4" borderId="4" xfId="3" applyNumberFormat="1" applyFont="1" applyFill="1" applyBorder="1" applyAlignment="1" applyProtection="1">
      <alignment vertical="center" shrinkToFit="1"/>
      <protection hidden="1"/>
    </xf>
    <xf numFmtId="9" fontId="4" fillId="4" borderId="4" xfId="5" applyFont="1" applyFill="1" applyBorder="1" applyAlignment="1" applyProtection="1">
      <alignment horizontal="center" vertical="center" shrinkToFit="1"/>
      <protection hidden="1"/>
    </xf>
    <xf numFmtId="9" fontId="4" fillId="4" borderId="4" xfId="2" applyFont="1" applyFill="1" applyBorder="1" applyAlignment="1" applyProtection="1">
      <alignment horizontal="center" vertical="center" shrinkToFit="1"/>
      <protection hidden="1"/>
    </xf>
    <xf numFmtId="10" fontId="4" fillId="4" borderId="4" xfId="2" applyNumberFormat="1" applyFont="1" applyFill="1" applyBorder="1" applyAlignment="1" applyProtection="1">
      <alignment horizontal="center" vertical="center" shrinkToFit="1"/>
      <protection hidden="1"/>
    </xf>
    <xf numFmtId="0" fontId="4" fillId="0" borderId="4" xfId="0" applyFont="1" applyBorder="1"/>
    <xf numFmtId="4" fontId="6" fillId="0" borderId="4" xfId="4" applyNumberFormat="1" applyFont="1" applyBorder="1" applyAlignment="1">
      <alignment horizontal="center"/>
    </xf>
    <xf numFmtId="4" fontId="7" fillId="0" borderId="4" xfId="4" applyNumberFormat="1" applyFont="1" applyBorder="1" applyAlignment="1">
      <alignment horizontal="center"/>
    </xf>
    <xf numFmtId="165" fontId="4" fillId="5" borderId="4" xfId="3" applyNumberFormat="1" applyFont="1" applyFill="1" applyBorder="1" applyAlignment="1" applyProtection="1">
      <alignment horizontal="center" vertical="center" shrinkToFit="1"/>
      <protection hidden="1"/>
    </xf>
    <xf numFmtId="165" fontId="4" fillId="5" borderId="4" xfId="3" applyNumberFormat="1" applyFont="1" applyFill="1" applyBorder="1" applyAlignment="1" applyProtection="1">
      <alignment vertical="center" shrinkToFit="1"/>
      <protection hidden="1"/>
    </xf>
    <xf numFmtId="9" fontId="4" fillId="5" borderId="4" xfId="5" applyFont="1" applyFill="1" applyBorder="1" applyAlignment="1" applyProtection="1">
      <alignment horizontal="center" vertical="center" shrinkToFit="1"/>
      <protection hidden="1"/>
    </xf>
    <xf numFmtId="165" fontId="4" fillId="0" borderId="0" xfId="0" applyNumberFormat="1" applyFont="1"/>
    <xf numFmtId="0" fontId="3" fillId="2" borderId="4" xfId="0" applyFont="1" applyFill="1" applyBorder="1"/>
    <xf numFmtId="0" fontId="3" fillId="3" borderId="4" xfId="0" applyFont="1" applyFill="1" applyBorder="1"/>
    <xf numFmtId="3" fontId="3" fillId="3" borderId="4" xfId="0" applyNumberFormat="1" applyFont="1" applyFill="1" applyBorder="1" applyAlignment="1">
      <alignment horizontal="center"/>
    </xf>
    <xf numFmtId="165" fontId="3" fillId="3" borderId="4" xfId="0" applyNumberFormat="1" applyFont="1" applyFill="1" applyBorder="1"/>
    <xf numFmtId="165" fontId="3" fillId="0" borderId="0" xfId="0" applyNumberFormat="1" applyFont="1"/>
    <xf numFmtId="43" fontId="4" fillId="0" borderId="0" xfId="7" applyFont="1" applyFill="1" applyBorder="1"/>
    <xf numFmtId="43" fontId="4" fillId="0" borderId="0" xfId="0" applyNumberFormat="1" applyFont="1"/>
    <xf numFmtId="167" fontId="4" fillId="0" borderId="0" xfId="0" applyNumberFormat="1" applyFont="1"/>
    <xf numFmtId="168" fontId="4" fillId="4" borderId="4" xfId="2" applyNumberFormat="1" applyFont="1" applyFill="1" applyBorder="1" applyAlignment="1" applyProtection="1">
      <alignment vertical="center" shrinkToFit="1"/>
      <protection hidden="1"/>
    </xf>
    <xf numFmtId="0" fontId="9" fillId="0" borderId="10" xfId="0" applyFont="1" applyBorder="1"/>
    <xf numFmtId="0" fontId="9" fillId="0" borderId="11" xfId="0" applyFont="1" applyBorder="1"/>
    <xf numFmtId="0" fontId="8" fillId="0" borderId="11" xfId="0" applyFont="1" applyBorder="1"/>
    <xf numFmtId="170" fontId="8" fillId="0" borderId="11" xfId="6" applyNumberFormat="1" applyFont="1" applyBorder="1"/>
    <xf numFmtId="0" fontId="8" fillId="0" borderId="12" xfId="0" applyFont="1" applyBorder="1"/>
    <xf numFmtId="167" fontId="9" fillId="6" borderId="13" xfId="6" applyNumberFormat="1" applyFont="1" applyFill="1" applyBorder="1"/>
    <xf numFmtId="165" fontId="9" fillId="6" borderId="0" xfId="0" applyNumberFormat="1" applyFont="1" applyFill="1"/>
    <xf numFmtId="0" fontId="8" fillId="0" borderId="0" xfId="0" applyFont="1"/>
    <xf numFmtId="170" fontId="8" fillId="0" borderId="0" xfId="6" applyNumberFormat="1" applyFont="1" applyBorder="1"/>
    <xf numFmtId="169" fontId="8" fillId="0" borderId="14" xfId="7" applyNumberFormat="1" applyFont="1" applyBorder="1"/>
    <xf numFmtId="165" fontId="8" fillId="0" borderId="13" xfId="0" applyNumberFormat="1" applyFont="1" applyBorder="1"/>
    <xf numFmtId="167" fontId="9" fillId="0" borderId="13" xfId="0" applyNumberFormat="1" applyFont="1" applyBorder="1"/>
    <xf numFmtId="167" fontId="9" fillId="0" borderId="0" xfId="0" applyNumberFormat="1" applyFont="1"/>
    <xf numFmtId="0" fontId="8" fillId="6" borderId="0" xfId="0" applyFont="1" applyFill="1"/>
    <xf numFmtId="0" fontId="9" fillId="0" borderId="13" xfId="0" applyFont="1" applyBorder="1"/>
    <xf numFmtId="0" fontId="8" fillId="0" borderId="13" xfId="0" applyFont="1" applyBorder="1"/>
    <xf numFmtId="43" fontId="8" fillId="0" borderId="0" xfId="7" applyFont="1" applyBorder="1"/>
    <xf numFmtId="170" fontId="9" fillId="0" borderId="0" xfId="6" applyNumberFormat="1" applyFont="1" applyBorder="1"/>
    <xf numFmtId="0" fontId="8" fillId="0" borderId="14" xfId="0" applyFont="1" applyBorder="1"/>
    <xf numFmtId="0" fontId="8" fillId="0" borderId="15" xfId="0" applyFont="1" applyBorder="1"/>
    <xf numFmtId="0" fontId="8" fillId="0" borderId="16" xfId="0" applyFont="1" applyBorder="1"/>
    <xf numFmtId="43" fontId="8" fillId="6" borderId="16" xfId="7" applyFont="1" applyFill="1" applyBorder="1"/>
    <xf numFmtId="170" fontId="8" fillId="0" borderId="16" xfId="6" applyNumberFormat="1" applyFont="1" applyBorder="1"/>
    <xf numFmtId="0" fontId="8" fillId="0" borderId="17" xfId="0" applyFont="1" applyBorder="1"/>
    <xf numFmtId="169" fontId="8" fillId="0" borderId="0" xfId="7" applyNumberFormat="1" applyFont="1" applyBorder="1"/>
    <xf numFmtId="41" fontId="8" fillId="8" borderId="0" xfId="8" applyFont="1" applyFill="1"/>
    <xf numFmtId="41" fontId="8" fillId="8" borderId="18" xfId="8" applyFont="1" applyFill="1" applyBorder="1"/>
    <xf numFmtId="166" fontId="8" fillId="8" borderId="18" xfId="6" applyNumberFormat="1" applyFont="1" applyFill="1" applyBorder="1"/>
    <xf numFmtId="6" fontId="8" fillId="8" borderId="0" xfId="8" applyNumberFormat="1" applyFont="1" applyFill="1"/>
    <xf numFmtId="41" fontId="7" fillId="8" borderId="18" xfId="8" applyFont="1" applyFill="1" applyBorder="1" applyAlignment="1"/>
    <xf numFmtId="6" fontId="8" fillId="10" borderId="0" xfId="8" applyNumberFormat="1" applyFont="1" applyFill="1"/>
    <xf numFmtId="41" fontId="8" fillId="8" borderId="18" xfId="8" applyFont="1" applyFill="1" applyBorder="1" applyAlignment="1"/>
    <xf numFmtId="166" fontId="8" fillId="8" borderId="18" xfId="6" applyNumberFormat="1" applyFont="1" applyFill="1" applyBorder="1" applyAlignment="1"/>
    <xf numFmtId="41" fontId="8" fillId="10" borderId="0" xfId="8" applyFont="1" applyFill="1"/>
    <xf numFmtId="166" fontId="10" fillId="8" borderId="18" xfId="6" applyNumberFormat="1" applyFont="1" applyFill="1" applyBorder="1" applyAlignment="1"/>
    <xf numFmtId="14" fontId="7" fillId="8" borderId="18" xfId="8" applyNumberFormat="1" applyFont="1" applyFill="1" applyBorder="1" applyAlignment="1"/>
    <xf numFmtId="171" fontId="7" fillId="8" borderId="18" xfId="8" applyNumberFormat="1" applyFont="1" applyFill="1" applyBorder="1" applyAlignment="1"/>
    <xf numFmtId="41" fontId="7" fillId="8" borderId="18" xfId="8" applyFont="1" applyFill="1" applyBorder="1"/>
    <xf numFmtId="41" fontId="6" fillId="8" borderId="18" xfId="8" applyFont="1" applyFill="1" applyBorder="1" applyAlignment="1"/>
    <xf numFmtId="166" fontId="6" fillId="8" borderId="18" xfId="6" applyNumberFormat="1" applyFont="1" applyFill="1" applyBorder="1" applyAlignment="1"/>
    <xf numFmtId="166" fontId="8" fillId="8" borderId="0" xfId="8" applyNumberFormat="1" applyFont="1" applyFill="1"/>
    <xf numFmtId="171" fontId="8" fillId="8" borderId="18" xfId="8" applyNumberFormat="1" applyFont="1" applyFill="1" applyBorder="1" applyAlignment="1"/>
    <xf numFmtId="41" fontId="8" fillId="8" borderId="0" xfId="8" applyFont="1" applyFill="1" applyBorder="1" applyAlignment="1"/>
    <xf numFmtId="171" fontId="8" fillId="8" borderId="0" xfId="8" applyNumberFormat="1" applyFont="1" applyFill="1" applyBorder="1" applyAlignment="1"/>
    <xf numFmtId="41" fontId="6" fillId="8" borderId="0" xfId="8" applyFont="1" applyFill="1" applyBorder="1" applyAlignment="1"/>
    <xf numFmtId="166" fontId="6" fillId="8" borderId="0" xfId="6" applyNumberFormat="1" applyFont="1" applyFill="1" applyBorder="1" applyAlignment="1"/>
    <xf numFmtId="14" fontId="8" fillId="8" borderId="0" xfId="8" applyNumberFormat="1" applyFont="1" applyFill="1"/>
    <xf numFmtId="0" fontId="4" fillId="6" borderId="0" xfId="0" applyFont="1" applyFill="1"/>
    <xf numFmtId="166" fontId="0" fillId="0" borderId="0" xfId="6" applyNumberFormat="1" applyFont="1"/>
    <xf numFmtId="0" fontId="0" fillId="0" borderId="0" xfId="6" applyNumberFormat="1" applyFont="1"/>
    <xf numFmtId="0" fontId="12" fillId="0" borderId="0" xfId="0" applyFont="1"/>
    <xf numFmtId="0" fontId="12" fillId="0" borderId="28" xfId="0" applyFont="1" applyBorder="1"/>
    <xf numFmtId="166" fontId="0" fillId="0" borderId="0" xfId="0" applyNumberFormat="1"/>
    <xf numFmtId="172" fontId="0" fillId="0" borderId="0" xfId="0" applyNumberFormat="1"/>
    <xf numFmtId="44" fontId="0" fillId="0" borderId="0" xfId="0" applyNumberFormat="1"/>
    <xf numFmtId="2" fontId="0" fillId="0" borderId="0" xfId="0" applyNumberFormat="1"/>
    <xf numFmtId="166" fontId="0" fillId="0" borderId="28" xfId="0" applyNumberFormat="1" applyBorder="1"/>
    <xf numFmtId="166" fontId="0" fillId="0" borderId="0" xfId="6" applyNumberFormat="1" applyFont="1" applyBorder="1"/>
    <xf numFmtId="0" fontId="0" fillId="0" borderId="0" xfId="6" applyNumberFormat="1" applyFont="1" applyBorder="1"/>
    <xf numFmtId="0" fontId="0" fillId="0" borderId="0" xfId="0" applyAlignment="1">
      <alignment horizontal="center" wrapText="1"/>
    </xf>
    <xf numFmtId="44" fontId="0" fillId="0" borderId="0" xfId="6" applyFont="1"/>
    <xf numFmtId="167" fontId="0" fillId="0" borderId="0" xfId="0" applyNumberFormat="1"/>
    <xf numFmtId="2" fontId="12" fillId="0" borderId="0" xfId="0" applyNumberFormat="1" applyFont="1"/>
    <xf numFmtId="167" fontId="12" fillId="0" borderId="0" xfId="0" applyNumberFormat="1" applyFont="1"/>
    <xf numFmtId="44" fontId="0" fillId="0" borderId="28" xfId="6" applyFont="1" applyBorder="1"/>
    <xf numFmtId="44" fontId="12" fillId="0" borderId="0" xfId="0" applyNumberFormat="1" applyFont="1"/>
    <xf numFmtId="1" fontId="0" fillId="0" borderId="0" xfId="6" applyNumberFormat="1" applyFont="1"/>
    <xf numFmtId="1" fontId="0" fillId="0" borderId="0" xfId="0" applyNumberFormat="1"/>
    <xf numFmtId="0" fontId="0" fillId="0" borderId="13" xfId="0" applyBorder="1"/>
    <xf numFmtId="169" fontId="0" fillId="0" borderId="0" xfId="7" applyNumberFormat="1" applyFont="1" applyBorder="1"/>
    <xf numFmtId="169" fontId="0" fillId="0" borderId="14" xfId="7" applyNumberFormat="1" applyFont="1" applyBorder="1"/>
    <xf numFmtId="0" fontId="0" fillId="0" borderId="15" xfId="0" applyBorder="1"/>
    <xf numFmtId="169" fontId="0" fillId="0" borderId="16" xfId="7" applyNumberFormat="1" applyFont="1" applyBorder="1"/>
    <xf numFmtId="169" fontId="0" fillId="0" borderId="17" xfId="7" applyNumberFormat="1" applyFont="1" applyBorder="1"/>
    <xf numFmtId="0" fontId="0" fillId="12" borderId="28" xfId="0" applyFill="1" applyBorder="1" applyAlignment="1">
      <alignment horizontal="center"/>
    </xf>
    <xf numFmtId="169" fontId="12" fillId="0" borderId="0" xfId="0" applyNumberFormat="1" applyFont="1"/>
    <xf numFmtId="0" fontId="0" fillId="8" borderId="0" xfId="0" applyFill="1"/>
    <xf numFmtId="0" fontId="12" fillId="13" borderId="7" xfId="0" applyFont="1" applyFill="1" applyBorder="1"/>
    <xf numFmtId="0" fontId="12" fillId="13" borderId="8" xfId="0" applyFont="1" applyFill="1" applyBorder="1"/>
    <xf numFmtId="0" fontId="12" fillId="13" borderId="9" xfId="0" applyFont="1" applyFill="1" applyBorder="1"/>
    <xf numFmtId="0" fontId="12" fillId="14" borderId="7" xfId="0" applyFont="1" applyFill="1" applyBorder="1"/>
    <xf numFmtId="0" fontId="12" fillId="14" borderId="8" xfId="0" applyFont="1" applyFill="1" applyBorder="1"/>
    <xf numFmtId="0" fontId="12" fillId="14" borderId="9" xfId="0" applyFont="1" applyFill="1" applyBorder="1"/>
    <xf numFmtId="0" fontId="12" fillId="15" borderId="0" xfId="0" applyFont="1" applyFill="1"/>
    <xf numFmtId="0" fontId="0" fillId="12" borderId="7" xfId="0" applyFill="1" applyBorder="1"/>
    <xf numFmtId="0" fontId="0" fillId="12" borderId="8" xfId="0" applyFill="1" applyBorder="1"/>
    <xf numFmtId="0" fontId="0" fillId="12" borderId="9" xfId="0" applyFill="1" applyBorder="1"/>
    <xf numFmtId="9" fontId="0" fillId="0" borderId="0" xfId="0" applyNumberFormat="1"/>
    <xf numFmtId="166" fontId="0" fillId="0" borderId="0" xfId="6" applyNumberFormat="1" applyFont="1" applyFill="1" applyBorder="1"/>
    <xf numFmtId="168" fontId="0" fillId="0" borderId="0" xfId="2" applyNumberFormat="1" applyFont="1"/>
    <xf numFmtId="173" fontId="0" fillId="0" borderId="0" xfId="0" applyNumberFormat="1"/>
    <xf numFmtId="0" fontId="0" fillId="16" borderId="7" xfId="0" applyFill="1" applyBorder="1"/>
    <xf numFmtId="44" fontId="0" fillId="16" borderId="9" xfId="6" applyFont="1" applyFill="1" applyBorder="1"/>
    <xf numFmtId="0" fontId="12" fillId="16" borderId="28" xfId="0" applyFont="1" applyFill="1" applyBorder="1"/>
    <xf numFmtId="0" fontId="12" fillId="16" borderId="7" xfId="0" applyFont="1" applyFill="1" applyBorder="1"/>
    <xf numFmtId="0" fontId="0" fillId="0" borderId="0" xfId="0" applyAlignment="1">
      <alignment wrapText="1"/>
    </xf>
    <xf numFmtId="166" fontId="12" fillId="6" borderId="29" xfId="0" applyNumberFormat="1" applyFont="1" applyFill="1" applyBorder="1"/>
    <xf numFmtId="166" fontId="12" fillId="6" borderId="28" xfId="0" applyNumberFormat="1" applyFont="1" applyFill="1" applyBorder="1"/>
    <xf numFmtId="0" fontId="0" fillId="0" borderId="7" xfId="0" applyBorder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7" xfId="0" applyBorder="1"/>
    <xf numFmtId="166" fontId="0" fillId="6" borderId="28" xfId="0" applyNumberFormat="1" applyFill="1" applyBorder="1"/>
    <xf numFmtId="0" fontId="0" fillId="0" borderId="28" xfId="0" applyBorder="1"/>
    <xf numFmtId="0" fontId="0" fillId="0" borderId="28" xfId="0" applyBorder="1" applyAlignment="1">
      <alignment horizontal="center"/>
    </xf>
    <xf numFmtId="0" fontId="12" fillId="0" borderId="29" xfId="0" applyFont="1" applyBorder="1"/>
    <xf numFmtId="166" fontId="12" fillId="0" borderId="0" xfId="6" applyNumberFormat="1" applyFont="1"/>
    <xf numFmtId="0" fontId="12" fillId="6" borderId="0" xfId="0" applyFont="1" applyFill="1"/>
    <xf numFmtId="166" fontId="12" fillId="0" borderId="0" xfId="0" applyNumberFormat="1" applyFont="1"/>
    <xf numFmtId="0" fontId="12" fillId="6" borderId="28" xfId="0" applyFont="1" applyFill="1" applyBorder="1"/>
    <xf numFmtId="2" fontId="12" fillId="0" borderId="0" xfId="2" applyNumberFormat="1" applyFont="1"/>
    <xf numFmtId="175" fontId="0" fillId="0" borderId="0" xfId="0" applyNumberFormat="1"/>
    <xf numFmtId="175" fontId="12" fillId="0" borderId="0" xfId="0" applyNumberFormat="1" applyFont="1"/>
    <xf numFmtId="0" fontId="12" fillId="0" borderId="7" xfId="0" applyFont="1" applyBorder="1"/>
    <xf numFmtId="175" fontId="12" fillId="0" borderId="28" xfId="0" applyNumberFormat="1" applyFont="1" applyBorder="1"/>
    <xf numFmtId="2" fontId="12" fillId="0" borderId="28" xfId="0" applyNumberFormat="1" applyFont="1" applyBorder="1"/>
    <xf numFmtId="174" fontId="12" fillId="0" borderId="28" xfId="0" applyNumberFormat="1" applyFont="1" applyBorder="1"/>
    <xf numFmtId="0" fontId="12" fillId="0" borderId="18" xfId="0" applyFont="1" applyBorder="1"/>
    <xf numFmtId="0" fontId="12" fillId="0" borderId="25" xfId="0" applyFont="1" applyBorder="1"/>
    <xf numFmtId="0" fontId="12" fillId="0" borderId="30" xfId="0" applyFont="1" applyBorder="1"/>
    <xf numFmtId="166" fontId="12" fillId="0" borderId="18" xfId="0" applyNumberFormat="1" applyFont="1" applyBorder="1"/>
    <xf numFmtId="164" fontId="3" fillId="0" borderId="0" xfId="0" applyNumberFormat="1" applyFont="1" applyAlignment="1">
      <alignment horizontal="center" vertical="center"/>
    </xf>
    <xf numFmtId="0" fontId="3" fillId="3" borderId="1" xfId="3" applyFont="1" applyFill="1" applyBorder="1" applyAlignment="1" applyProtection="1">
      <alignment horizontal="center" vertical="center" wrapText="1"/>
      <protection hidden="1"/>
    </xf>
    <xf numFmtId="0" fontId="3" fillId="3" borderId="6" xfId="3" applyFont="1" applyFill="1" applyBorder="1" applyAlignment="1" applyProtection="1">
      <alignment horizontal="center" vertical="center" wrapText="1"/>
      <protection hidden="1"/>
    </xf>
    <xf numFmtId="0" fontId="3" fillId="3" borderId="2" xfId="3" applyFont="1" applyFill="1" applyBorder="1" applyAlignment="1" applyProtection="1">
      <alignment horizontal="center" vertical="center"/>
      <protection hidden="1"/>
    </xf>
    <xf numFmtId="0" fontId="3" fillId="3" borderId="5" xfId="3" applyFont="1" applyFill="1" applyBorder="1" applyAlignment="1" applyProtection="1">
      <alignment horizontal="center" vertical="center"/>
      <protection hidden="1"/>
    </xf>
    <xf numFmtId="0" fontId="3" fillId="3" borderId="3" xfId="3" applyFont="1" applyFill="1" applyBorder="1" applyAlignment="1" applyProtection="1">
      <alignment horizontal="center" vertical="center"/>
      <protection hidden="1"/>
    </xf>
    <xf numFmtId="0" fontId="3" fillId="0" borderId="0" xfId="0" applyFont="1" applyAlignment="1">
      <alignment horizontal="center" vertical="center"/>
    </xf>
    <xf numFmtId="0" fontId="3" fillId="2" borderId="1" xfId="3" applyFont="1" applyFill="1" applyBorder="1" applyAlignment="1" applyProtection="1">
      <alignment horizontal="center" vertical="center" wrapText="1"/>
      <protection hidden="1"/>
    </xf>
    <xf numFmtId="0" fontId="3" fillId="2" borderId="6" xfId="3" applyFont="1" applyFill="1" applyBorder="1" applyAlignment="1" applyProtection="1">
      <alignment horizontal="center" vertical="center" wrapText="1"/>
      <protection hidden="1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41" fontId="9" fillId="7" borderId="19" xfId="8" applyFont="1" applyFill="1" applyBorder="1" applyAlignment="1">
      <alignment horizontal="center" vertical="center" wrapText="1"/>
    </xf>
    <xf numFmtId="41" fontId="9" fillId="7" borderId="20" xfId="8" applyFont="1" applyFill="1" applyBorder="1" applyAlignment="1">
      <alignment horizontal="center" vertical="center"/>
    </xf>
    <xf numFmtId="41" fontId="9" fillId="7" borderId="22" xfId="8" applyFont="1" applyFill="1" applyBorder="1" applyAlignment="1">
      <alignment horizontal="center" vertical="center"/>
    </xf>
    <xf numFmtId="41" fontId="9" fillId="7" borderId="23" xfId="8" applyFont="1" applyFill="1" applyBorder="1" applyAlignment="1">
      <alignment horizontal="center" vertical="center"/>
    </xf>
    <xf numFmtId="41" fontId="8" fillId="7" borderId="20" xfId="8" applyFont="1" applyFill="1" applyBorder="1" applyAlignment="1">
      <alignment horizontal="center"/>
    </xf>
    <xf numFmtId="41" fontId="8" fillId="7" borderId="21" xfId="8" applyFont="1" applyFill="1" applyBorder="1" applyAlignment="1">
      <alignment horizontal="center"/>
    </xf>
    <xf numFmtId="41" fontId="8" fillId="7" borderId="23" xfId="8" applyFont="1" applyFill="1" applyBorder="1" applyAlignment="1">
      <alignment horizontal="center"/>
    </xf>
    <xf numFmtId="41" fontId="8" fillId="7" borderId="24" xfId="8" applyFont="1" applyFill="1" applyBorder="1" applyAlignment="1">
      <alignment horizontal="center"/>
    </xf>
    <xf numFmtId="41" fontId="11" fillId="9" borderId="25" xfId="8" applyFont="1" applyFill="1" applyBorder="1" applyAlignment="1">
      <alignment horizontal="center"/>
    </xf>
    <xf numFmtId="41" fontId="11" fillId="11" borderId="18" xfId="8" applyFont="1" applyFill="1" applyBorder="1" applyAlignment="1">
      <alignment horizontal="center" vertical="center" wrapText="1"/>
    </xf>
    <xf numFmtId="41" fontId="11" fillId="11" borderId="26" xfId="8" applyFont="1" applyFill="1" applyBorder="1" applyAlignment="1">
      <alignment horizontal="center"/>
    </xf>
    <xf numFmtId="41" fontId="11" fillId="11" borderId="27" xfId="8" applyFont="1" applyFill="1" applyBorder="1" applyAlignment="1">
      <alignment horizontal="center"/>
    </xf>
    <xf numFmtId="41" fontId="11" fillId="11" borderId="18" xfId="8" applyFont="1" applyFill="1" applyBorder="1" applyAlignment="1">
      <alignment horizontal="center"/>
    </xf>
    <xf numFmtId="41" fontId="6" fillId="8" borderId="20" xfId="8" applyFont="1" applyFill="1" applyBorder="1" applyAlignment="1">
      <alignment horizontal="center" wrapText="1"/>
    </xf>
    <xf numFmtId="41" fontId="6" fillId="8" borderId="0" xfId="8" applyFont="1" applyFill="1" applyBorder="1" applyAlignment="1">
      <alignment horizontal="center" wrapText="1"/>
    </xf>
    <xf numFmtId="166" fontId="6" fillId="8" borderId="20" xfId="6" applyNumberFormat="1" applyFont="1" applyFill="1" applyBorder="1" applyAlignment="1">
      <alignment horizontal="center" vertical="center"/>
    </xf>
    <xf numFmtId="166" fontId="6" fillId="8" borderId="0" xfId="6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12" fillId="6" borderId="7" xfId="0" applyFont="1" applyFill="1" applyBorder="1" applyAlignment="1">
      <alignment horizontal="center"/>
    </xf>
    <xf numFmtId="0" fontId="12" fillId="6" borderId="9" xfId="0" applyFont="1" applyFill="1" applyBorder="1" applyAlignment="1">
      <alignment horizontal="center"/>
    </xf>
    <xf numFmtId="0" fontId="12" fillId="8" borderId="7" xfId="0" applyFont="1" applyFill="1" applyBorder="1" applyAlignment="1">
      <alignment horizontal="center"/>
    </xf>
    <xf numFmtId="0" fontId="12" fillId="8" borderId="8" xfId="0" applyFont="1" applyFill="1" applyBorder="1" applyAlignment="1">
      <alignment horizontal="center"/>
    </xf>
    <xf numFmtId="0" fontId="12" fillId="8" borderId="16" xfId="0" applyFont="1" applyFill="1" applyBorder="1" applyAlignment="1">
      <alignment horizontal="center"/>
    </xf>
    <xf numFmtId="0" fontId="12" fillId="8" borderId="17" xfId="0" applyFont="1" applyFill="1" applyBorder="1" applyAlignment="1">
      <alignment horizontal="center"/>
    </xf>
    <xf numFmtId="0" fontId="12" fillId="18" borderId="7" xfId="0" applyFont="1" applyFill="1" applyBorder="1" applyAlignment="1">
      <alignment horizontal="center"/>
    </xf>
    <xf numFmtId="0" fontId="12" fillId="18" borderId="8" xfId="0" applyFont="1" applyFill="1" applyBorder="1" applyAlignment="1">
      <alignment horizontal="center"/>
    </xf>
    <xf numFmtId="0" fontId="12" fillId="18" borderId="9" xfId="0" applyFont="1" applyFill="1" applyBorder="1" applyAlignment="1">
      <alignment horizontal="center"/>
    </xf>
    <xf numFmtId="0" fontId="12" fillId="17" borderId="7" xfId="0" applyFont="1" applyFill="1" applyBorder="1" applyAlignment="1">
      <alignment horizontal="center"/>
    </xf>
    <xf numFmtId="0" fontId="12" fillId="17" borderId="8" xfId="0" applyFont="1" applyFill="1" applyBorder="1" applyAlignment="1">
      <alignment horizontal="center"/>
    </xf>
    <xf numFmtId="0" fontId="12" fillId="17" borderId="9" xfId="0" applyFont="1" applyFill="1" applyBorder="1" applyAlignment="1">
      <alignment horizontal="center"/>
    </xf>
    <xf numFmtId="0" fontId="12" fillId="14" borderId="7" xfId="0" applyFont="1" applyFill="1" applyBorder="1" applyAlignment="1">
      <alignment horizontal="center"/>
    </xf>
    <xf numFmtId="0" fontId="12" fillId="14" borderId="8" xfId="0" applyFont="1" applyFill="1" applyBorder="1" applyAlignment="1">
      <alignment horizontal="center"/>
    </xf>
    <xf numFmtId="0" fontId="12" fillId="14" borderId="9" xfId="0" applyFont="1" applyFill="1" applyBorder="1" applyAlignment="1">
      <alignment horizontal="center"/>
    </xf>
    <xf numFmtId="0" fontId="12" fillId="19" borderId="7" xfId="0" applyFont="1" applyFill="1" applyBorder="1" applyAlignment="1">
      <alignment horizontal="center"/>
    </xf>
    <xf numFmtId="0" fontId="12" fillId="19" borderId="8" xfId="0" applyFont="1" applyFill="1" applyBorder="1" applyAlignment="1">
      <alignment horizontal="center"/>
    </xf>
    <xf numFmtId="0" fontId="12" fillId="19" borderId="9" xfId="0" applyFont="1" applyFill="1" applyBorder="1" applyAlignment="1">
      <alignment horizont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2" fillId="20" borderId="7" xfId="0" applyFont="1" applyFill="1" applyBorder="1" applyAlignment="1">
      <alignment horizontal="center"/>
    </xf>
    <xf numFmtId="0" fontId="12" fillId="20" borderId="8" xfId="0" applyFont="1" applyFill="1" applyBorder="1" applyAlignment="1">
      <alignment horizontal="center"/>
    </xf>
    <xf numFmtId="0" fontId="12" fillId="20" borderId="9" xfId="0" applyFont="1" applyFill="1" applyBorder="1" applyAlignment="1">
      <alignment horizontal="center"/>
    </xf>
    <xf numFmtId="0" fontId="12" fillId="13" borderId="7" xfId="0" applyFont="1" applyFill="1" applyBorder="1" applyAlignment="1">
      <alignment horizontal="center"/>
    </xf>
    <xf numFmtId="0" fontId="12" fillId="13" borderId="8" xfId="0" applyFont="1" applyFill="1" applyBorder="1" applyAlignment="1">
      <alignment horizontal="center"/>
    </xf>
    <xf numFmtId="0" fontId="12" fillId="13" borderId="9" xfId="0" applyFont="1" applyFill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2" fillId="0" borderId="18" xfId="0" applyFont="1" applyBorder="1" applyAlignment="1">
      <alignment horizontal="center" vertical="center"/>
    </xf>
  </cellXfs>
  <cellStyles count="9">
    <cellStyle name="Millares" xfId="7" builtinId="3"/>
    <cellStyle name="Millares [0]" xfId="8" builtinId="6"/>
    <cellStyle name="Moneda" xfId="6" builtinId="4"/>
    <cellStyle name="Moneda [0]" xfId="1" builtinId="7"/>
    <cellStyle name="Normal" xfId="0" builtinId="0"/>
    <cellStyle name="Normal 2" xfId="3" xr:uid="{00000000-0005-0000-0000-000005000000}"/>
    <cellStyle name="Normal 2 2" xfId="4" xr:uid="{00000000-0005-0000-0000-000006000000}"/>
    <cellStyle name="Porcentaje" xfId="2" builtinId="5"/>
    <cellStyle name="Porcentaje 2" xfId="5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695325</xdr:colOff>
      <xdr:row>8</xdr:row>
      <xdr:rowOff>114300</xdr:rowOff>
    </xdr:from>
    <xdr:to>
      <xdr:col>12</xdr:col>
      <xdr:colOff>457668</xdr:colOff>
      <xdr:row>12</xdr:row>
      <xdr:rowOff>181095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5B908D3-0C10-7B3B-C9D8-B7C415E34A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0" y="1685925"/>
          <a:ext cx="4944165" cy="857370"/>
        </a:xfrm>
        <a:prstGeom prst="rect">
          <a:avLst/>
        </a:prstGeom>
      </xdr:spPr>
    </xdr:pic>
    <xdr:clientData/>
  </xdr:twoCellAnchor>
  <xdr:twoCellAnchor editAs="oneCell">
    <xdr:from>
      <xdr:col>0</xdr:col>
      <xdr:colOff>166133</xdr:colOff>
      <xdr:row>29</xdr:row>
      <xdr:rowOff>166134</xdr:rowOff>
    </xdr:from>
    <xdr:to>
      <xdr:col>2</xdr:col>
      <xdr:colOff>1312314</xdr:colOff>
      <xdr:row>36</xdr:row>
      <xdr:rowOff>44302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6E40E51-94A9-3270-F2B0-A74669E37C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6133" y="5781454"/>
          <a:ext cx="4070134" cy="12515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104775</xdr:colOff>
      <xdr:row>9</xdr:row>
      <xdr:rowOff>104774</xdr:rowOff>
    </xdr:from>
    <xdr:to>
      <xdr:col>12</xdr:col>
      <xdr:colOff>752474</xdr:colOff>
      <xdr:row>27</xdr:row>
      <xdr:rowOff>47623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C7D249D-2ACA-AE73-C8F9-5F406D444B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00950" y="1819274"/>
          <a:ext cx="4495799" cy="3371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L20"/>
  <sheetViews>
    <sheetView zoomScale="106" zoomScaleNormal="106" workbookViewId="0">
      <selection activeCell="I5" sqref="I5"/>
    </sheetView>
  </sheetViews>
  <sheetFormatPr baseColWidth="10" defaultRowHeight="12"/>
  <cols>
    <col min="1" max="1" width="3.85546875" style="1" customWidth="1"/>
    <col min="2" max="2" width="3.85546875" style="1" bestFit="1" customWidth="1"/>
    <col min="3" max="3" width="19.28515625" style="1" customWidth="1"/>
    <col min="4" max="4" width="13" style="1" bestFit="1" customWidth="1"/>
    <col min="5" max="5" width="16" style="1" bestFit="1" customWidth="1"/>
    <col min="6" max="6" width="13.85546875" style="1" bestFit="1" customWidth="1"/>
    <col min="7" max="7" width="11.42578125" style="1" bestFit="1" customWidth="1"/>
    <col min="8" max="8" width="5" style="1" bestFit="1" customWidth="1"/>
    <col min="9" max="9" width="11" style="1" bestFit="1" customWidth="1"/>
    <col min="10" max="10" width="9" style="1" bestFit="1" customWidth="1"/>
    <col min="11" max="11" width="11" style="1" bestFit="1" customWidth="1"/>
    <col min="12" max="12" width="14.7109375" style="1" customWidth="1"/>
    <col min="13" max="13" width="12.140625" style="1" customWidth="1"/>
    <col min="14" max="14" width="9.7109375" style="1" customWidth="1"/>
    <col min="15" max="15" width="11.28515625" style="1" customWidth="1"/>
    <col min="16" max="16" width="8.85546875" style="1" bestFit="1" customWidth="1"/>
    <col min="17" max="17" width="12.85546875" style="1" customWidth="1"/>
    <col min="18" max="18" width="12.140625" style="1" customWidth="1"/>
    <col min="19" max="19" width="8.42578125" style="1" customWidth="1"/>
    <col min="20" max="20" width="14.28515625" style="1" customWidth="1"/>
    <col min="21" max="23" width="15.42578125" style="1" customWidth="1"/>
    <col min="24" max="24" width="13.42578125" style="1" bestFit="1" customWidth="1"/>
    <col min="25" max="25" width="13.140625" style="1" bestFit="1" customWidth="1"/>
    <col min="26" max="26" width="12" style="1" bestFit="1" customWidth="1"/>
    <col min="27" max="29" width="11.42578125" style="1"/>
    <col min="30" max="30" width="15" style="1" bestFit="1" customWidth="1"/>
    <col min="31" max="33" width="15" style="1" customWidth="1"/>
    <col min="34" max="34" width="17.28515625" style="1" bestFit="1" customWidth="1"/>
    <col min="35" max="37" width="11.42578125" style="1"/>
    <col min="38" max="38" width="12.85546875" style="1" bestFit="1" customWidth="1"/>
    <col min="39" max="16384" width="11.42578125" style="1"/>
  </cols>
  <sheetData>
    <row r="2" spans="2:38">
      <c r="B2" s="163" t="s">
        <v>23</v>
      </c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</row>
    <row r="3" spans="2:38"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</row>
    <row r="4" spans="2:38" ht="12.75">
      <c r="B4" s="2"/>
      <c r="C4" s="2"/>
      <c r="D4" s="3"/>
      <c r="E4" s="4" t="s">
        <v>0</v>
      </c>
      <c r="F4" s="5">
        <v>1300000</v>
      </c>
      <c r="G4" s="157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2:38" ht="12.75">
      <c r="E5" s="4" t="s">
        <v>1</v>
      </c>
      <c r="F5" s="5">
        <v>162000</v>
      </c>
    </row>
    <row r="6" spans="2:38" ht="12.75">
      <c r="E6" s="6"/>
      <c r="F6" s="7">
        <v>1</v>
      </c>
      <c r="AC6" s="1" t="s">
        <v>94</v>
      </c>
      <c r="AJ6" s="1" t="s">
        <v>88</v>
      </c>
    </row>
    <row r="7" spans="2:38" ht="12.75" customHeight="1">
      <c r="B7" s="164" t="s">
        <v>2</v>
      </c>
      <c r="C7" s="158" t="s">
        <v>3</v>
      </c>
      <c r="D7" s="158" t="s">
        <v>4</v>
      </c>
      <c r="E7" s="158" t="s">
        <v>5</v>
      </c>
      <c r="F7" s="158" t="s">
        <v>6</v>
      </c>
      <c r="G7" s="158" t="s">
        <v>7</v>
      </c>
      <c r="H7" s="158" t="s">
        <v>8</v>
      </c>
      <c r="I7" s="160" t="s">
        <v>9</v>
      </c>
      <c r="J7" s="162"/>
      <c r="K7" s="8"/>
      <c r="L7" s="158" t="s">
        <v>10</v>
      </c>
      <c r="M7" s="160" t="s">
        <v>11</v>
      </c>
      <c r="N7" s="161"/>
      <c r="O7" s="161"/>
      <c r="P7" s="161"/>
      <c r="Q7" s="161"/>
      <c r="R7" s="161"/>
      <c r="S7" s="161"/>
      <c r="T7" s="162"/>
      <c r="U7" s="158" t="s">
        <v>12</v>
      </c>
      <c r="V7" s="158" t="s">
        <v>25</v>
      </c>
      <c r="W7" s="158" t="s">
        <v>24</v>
      </c>
      <c r="Y7" s="1" t="s">
        <v>86</v>
      </c>
      <c r="Z7" s="1" t="s">
        <v>87</v>
      </c>
      <c r="AB7" s="1" t="s">
        <v>93</v>
      </c>
      <c r="AE7" s="1" t="s">
        <v>87</v>
      </c>
      <c r="AF7" s="1" t="s">
        <v>95</v>
      </c>
      <c r="AJ7" s="1" t="s">
        <v>95</v>
      </c>
    </row>
    <row r="8" spans="2:38" ht="25.5">
      <c r="B8" s="165"/>
      <c r="C8" s="159"/>
      <c r="D8" s="159"/>
      <c r="E8" s="159"/>
      <c r="F8" s="159"/>
      <c r="G8" s="159"/>
      <c r="H8" s="159"/>
      <c r="I8" s="9" t="s">
        <v>13</v>
      </c>
      <c r="J8" s="9" t="s">
        <v>14</v>
      </c>
      <c r="K8" s="9" t="s">
        <v>28</v>
      </c>
      <c r="L8" s="159"/>
      <c r="M8" s="10" t="s">
        <v>15</v>
      </c>
      <c r="N8" s="9" t="s">
        <v>16</v>
      </c>
      <c r="O8" s="9" t="s">
        <v>27</v>
      </c>
      <c r="P8" s="9" t="s">
        <v>17</v>
      </c>
      <c r="Q8" s="9" t="s">
        <v>18</v>
      </c>
      <c r="R8" s="9" t="s">
        <v>19</v>
      </c>
      <c r="S8" s="9" t="s">
        <v>20</v>
      </c>
      <c r="T8" s="9" t="s">
        <v>21</v>
      </c>
      <c r="U8" s="159"/>
      <c r="V8" s="159"/>
      <c r="W8" s="159"/>
      <c r="Y8" s="1" t="s">
        <v>85</v>
      </c>
      <c r="Z8" s="1" t="s">
        <v>85</v>
      </c>
      <c r="AB8" s="1" t="s">
        <v>90</v>
      </c>
      <c r="AC8" s="1" t="s">
        <v>91</v>
      </c>
      <c r="AD8" s="1" t="s">
        <v>92</v>
      </c>
      <c r="AF8" s="1" t="s">
        <v>90</v>
      </c>
      <c r="AJ8" s="1" t="s">
        <v>90</v>
      </c>
    </row>
    <row r="9" spans="2:38" ht="12.75">
      <c r="B9" s="11"/>
      <c r="C9" s="11"/>
      <c r="D9" s="12"/>
      <c r="E9" s="13"/>
      <c r="F9" s="14"/>
      <c r="G9" s="15"/>
      <c r="H9" s="16"/>
      <c r="I9" s="15"/>
      <c r="J9" s="15"/>
      <c r="K9" s="15"/>
      <c r="L9" s="15"/>
      <c r="M9" s="34">
        <v>0.125</v>
      </c>
      <c r="N9" s="17">
        <v>0.16</v>
      </c>
      <c r="O9" s="17">
        <v>0.09</v>
      </c>
      <c r="P9" s="18">
        <v>4.3499999999999997E-2</v>
      </c>
      <c r="Q9" s="18">
        <v>8.3299999999999999E-2</v>
      </c>
      <c r="R9" s="18">
        <v>0.01</v>
      </c>
      <c r="S9" s="18">
        <v>8.3299999999999999E-2</v>
      </c>
      <c r="T9" s="18">
        <v>4.1700000000000001E-2</v>
      </c>
      <c r="U9" s="15"/>
      <c r="V9" s="15"/>
      <c r="W9" s="15"/>
      <c r="X9" s="1" t="s">
        <v>84</v>
      </c>
      <c r="Y9" s="1">
        <v>75</v>
      </c>
      <c r="Z9" s="1">
        <v>80</v>
      </c>
      <c r="AB9" s="1">
        <v>5500</v>
      </c>
      <c r="AC9" s="1">
        <f>AB9*AC10/AB10</f>
        <v>20625</v>
      </c>
      <c r="AD9" s="25">
        <f>AC9*X10</f>
        <v>2656509.0950520835</v>
      </c>
      <c r="AE9" s="25"/>
      <c r="AF9" s="25">
        <v>5500</v>
      </c>
      <c r="AG9" s="25">
        <f>AF9*AG10/AF10</f>
        <v>22000</v>
      </c>
      <c r="AH9" s="25">
        <f>AG9*X11</f>
        <v>3018338.3541666665</v>
      </c>
      <c r="AJ9" s="1">
        <v>4200</v>
      </c>
      <c r="AK9" s="1">
        <f>AJ9*AK10/AJ10</f>
        <v>8400</v>
      </c>
      <c r="AL9" s="25">
        <f>AK9*X11</f>
        <v>1152456.4624999999</v>
      </c>
    </row>
    <row r="10" spans="2:38" ht="12.75">
      <c r="B10" s="19">
        <v>1</v>
      </c>
      <c r="C10" s="19"/>
      <c r="D10" s="20">
        <v>1</v>
      </c>
      <c r="E10" s="21" t="s">
        <v>26</v>
      </c>
      <c r="F10" s="22">
        <v>950000</v>
      </c>
      <c r="G10" s="23">
        <v>1300000</v>
      </c>
      <c r="H10" s="24">
        <v>1</v>
      </c>
      <c r="I10" s="23">
        <v>162000</v>
      </c>
      <c r="J10" s="23"/>
      <c r="K10" s="23">
        <v>0</v>
      </c>
      <c r="L10" s="23">
        <f>(F10*H10)+I10+J10+K10</f>
        <v>1112000</v>
      </c>
      <c r="M10" s="23">
        <f>((G10*H10)+J10+K10)*$M$9</f>
        <v>162500</v>
      </c>
      <c r="N10" s="23">
        <f>((G10*H10)+J10+K10)*$N$9</f>
        <v>208000</v>
      </c>
      <c r="O10" s="23">
        <f>((G10*H10)+J10+K10)*$O$9</f>
        <v>117000</v>
      </c>
      <c r="P10" s="23">
        <f>((G10*H10)+J10+K10)*$P$9</f>
        <v>56549.999999999993</v>
      </c>
      <c r="Q10" s="23">
        <f>(F10*H10)*$Q$9</f>
        <v>79135</v>
      </c>
      <c r="R10" s="23">
        <f>(Q10*H10)*$R$9</f>
        <v>791.35</v>
      </c>
      <c r="S10" s="23">
        <f>((F10*H10)+J10+K10)*$S$9</f>
        <v>79135</v>
      </c>
      <c r="T10" s="23">
        <f>(F10*H10)*$T$9</f>
        <v>39615</v>
      </c>
      <c r="U10" s="23">
        <f>L10+M10+N10+O10+P10+Q10+R10+S10+T10</f>
        <v>1854726.35</v>
      </c>
      <c r="V10" s="23">
        <f>U10/30</f>
        <v>61824.21166666667</v>
      </c>
      <c r="W10" s="23">
        <f>V10/8</f>
        <v>7728.0264583333337</v>
      </c>
      <c r="X10" s="25">
        <f>W10/60</f>
        <v>128.80044097222222</v>
      </c>
      <c r="Y10" s="25">
        <f>X10*Y9</f>
        <v>9660.0330729166672</v>
      </c>
      <c r="Z10" s="25">
        <f>X11*Z9</f>
        <v>10975.775833333333</v>
      </c>
      <c r="AB10" s="1">
        <v>20</v>
      </c>
      <c r="AC10" s="1">
        <v>75</v>
      </c>
      <c r="AF10" s="1">
        <v>20</v>
      </c>
      <c r="AG10" s="1">
        <v>80</v>
      </c>
      <c r="AJ10" s="1">
        <v>60</v>
      </c>
      <c r="AK10" s="1">
        <v>120</v>
      </c>
    </row>
    <row r="11" spans="2:38" ht="12.75">
      <c r="B11" s="19">
        <v>2</v>
      </c>
      <c r="C11" s="19"/>
      <c r="D11" s="20">
        <v>1</v>
      </c>
      <c r="E11" s="21" t="s">
        <v>26</v>
      </c>
      <c r="F11" s="22">
        <v>1050000</v>
      </c>
      <c r="G11" s="23">
        <v>1300000</v>
      </c>
      <c r="H11" s="24">
        <v>1</v>
      </c>
      <c r="I11" s="23">
        <v>162000</v>
      </c>
      <c r="J11" s="23"/>
      <c r="K11" s="23">
        <v>0</v>
      </c>
      <c r="L11" s="23">
        <f>(F11*H11)+I11+J11+K11</f>
        <v>1212000</v>
      </c>
      <c r="M11" s="23">
        <f>((G11*H11)+J11+K11)*$M$9</f>
        <v>162500</v>
      </c>
      <c r="N11" s="23">
        <f>((G11*H11)+J11+K11)*$N$9</f>
        <v>208000</v>
      </c>
      <c r="O11" s="23">
        <f>((G11*H11)+J11+K11)*$O$9</f>
        <v>117000</v>
      </c>
      <c r="P11" s="23">
        <f>((G11*H11)+J11+K11)*$P$9</f>
        <v>56549.999999999993</v>
      </c>
      <c r="Q11" s="23">
        <f>(F11*H11)*$Q$9</f>
        <v>87465</v>
      </c>
      <c r="R11" s="23">
        <f>(Q11*H11)*$R$9</f>
        <v>874.65</v>
      </c>
      <c r="S11" s="23">
        <f>((F11*H11)+J11+K11)*$S$9</f>
        <v>87465</v>
      </c>
      <c r="T11" s="23">
        <f>(F11*H11)*$T$9</f>
        <v>43785</v>
      </c>
      <c r="U11" s="23">
        <f>L11+M11+N11+O11+P11+Q11+R11+S11+T11</f>
        <v>1975639.65</v>
      </c>
      <c r="V11" s="23">
        <f t="shared" ref="V11" si="0">U11/30</f>
        <v>65854.654999999999</v>
      </c>
      <c r="W11" s="23">
        <f>V11/8</f>
        <v>8231.8318749999999</v>
      </c>
      <c r="X11" s="25">
        <f>W11/60</f>
        <v>137.19719791666665</v>
      </c>
      <c r="Y11" s="82">
        <v>20</v>
      </c>
      <c r="Z11" s="82">
        <v>20</v>
      </c>
      <c r="AA11" s="1" t="s">
        <v>89</v>
      </c>
    </row>
    <row r="12" spans="2:38" ht="12.75">
      <c r="B12" s="19">
        <v>3</v>
      </c>
      <c r="C12" s="19"/>
      <c r="D12" s="20">
        <v>1</v>
      </c>
      <c r="E12" s="21" t="s">
        <v>26</v>
      </c>
      <c r="F12" s="22">
        <v>750000</v>
      </c>
      <c r="G12" s="23">
        <v>1300000</v>
      </c>
      <c r="H12" s="24">
        <v>1</v>
      </c>
      <c r="I12" s="23">
        <v>162000</v>
      </c>
      <c r="J12" s="23"/>
      <c r="K12" s="23">
        <v>0</v>
      </c>
      <c r="L12" s="23">
        <f>(F12*H12)+I12+J12+K12</f>
        <v>912000</v>
      </c>
      <c r="M12" s="23">
        <f>((G12*H12)+J12+K12)*$M$9</f>
        <v>162500</v>
      </c>
      <c r="N12" s="23">
        <f>((G12*H12)+J12+K12)*$N$9</f>
        <v>208000</v>
      </c>
      <c r="O12" s="23">
        <f>((G12*H12)+J12+K12)*$O$9</f>
        <v>117000</v>
      </c>
      <c r="P12" s="23">
        <f>((G12*H12)+J12+K12)*$P$9</f>
        <v>56549.999999999993</v>
      </c>
      <c r="Q12" s="23">
        <f>(F12*H12)*$Q$9</f>
        <v>62475</v>
      </c>
      <c r="R12" s="23">
        <f>(Q12*H12)*$R$9</f>
        <v>624.75</v>
      </c>
      <c r="S12" s="23">
        <f>((F12*H12)+J12+K12)*$S$9</f>
        <v>62475</v>
      </c>
      <c r="T12" s="23">
        <f>(F12*H12)*$T$9</f>
        <v>31275</v>
      </c>
      <c r="U12" s="23">
        <f>L12+M12+N12+O12+P12+Q12+R12+S12+T12</f>
        <v>1612899.75</v>
      </c>
      <c r="V12" s="23">
        <f t="shared" ref="V12" si="1">U12/30</f>
        <v>53763.324999999997</v>
      </c>
      <c r="W12" s="23">
        <f t="shared" ref="W12" si="2">V12/8</f>
        <v>6720.4156249999996</v>
      </c>
    </row>
    <row r="13" spans="2:38" ht="12.75">
      <c r="B13" s="19">
        <v>4</v>
      </c>
      <c r="C13" s="19"/>
      <c r="D13" s="20">
        <v>1</v>
      </c>
      <c r="E13" s="21" t="s">
        <v>26</v>
      </c>
      <c r="F13" s="22">
        <v>512000</v>
      </c>
      <c r="G13" s="23">
        <v>1300000</v>
      </c>
      <c r="H13" s="24">
        <v>1</v>
      </c>
      <c r="I13" s="23">
        <v>162000</v>
      </c>
      <c r="J13" s="23"/>
      <c r="K13" s="23">
        <v>0</v>
      </c>
      <c r="L13" s="23">
        <f>(F13*H13)+I13+J13+K13</f>
        <v>674000</v>
      </c>
      <c r="M13" s="23">
        <f>((G13*H13)+J13+K13)*$M$9</f>
        <v>162500</v>
      </c>
      <c r="N13" s="23">
        <f>((G13*H13)+J13+K13)*$N$9</f>
        <v>208000</v>
      </c>
      <c r="O13" s="23">
        <f>((G13*H13)+J13+K13)*$O$9</f>
        <v>117000</v>
      </c>
      <c r="P13" s="23">
        <f>((G13*H13)+J13+K13)*$P$9</f>
        <v>56549.999999999993</v>
      </c>
      <c r="Q13" s="23">
        <f>(F13*H13)*$Q$9</f>
        <v>42649.599999999999</v>
      </c>
      <c r="R13" s="23">
        <f>(Q13*H13)*$R$9</f>
        <v>426.49599999999998</v>
      </c>
      <c r="S13" s="23">
        <f>((F13*H13)+J13+K13)*$S$9</f>
        <v>42649.599999999999</v>
      </c>
      <c r="T13" s="23">
        <f>(F13*H13)*$T$9</f>
        <v>21350.400000000001</v>
      </c>
      <c r="U13" s="23">
        <f>L13+M13+N13+O13+P13+Q13+R13+S13+T13</f>
        <v>1325126.0960000001</v>
      </c>
      <c r="V13" s="23">
        <f t="shared" ref="V13" si="3">U13/30</f>
        <v>44170.869866666668</v>
      </c>
      <c r="W13" s="23">
        <f t="shared" ref="W13" si="4">V13/8</f>
        <v>5521.3587333333335</v>
      </c>
      <c r="AC13" s="1" t="s">
        <v>32</v>
      </c>
      <c r="AF13" s="1" t="s">
        <v>32</v>
      </c>
      <c r="AJ13" s="1" t="s">
        <v>32</v>
      </c>
    </row>
    <row r="14" spans="2:38" ht="12.75">
      <c r="B14" s="19"/>
      <c r="C14" s="19"/>
      <c r="D14" s="20"/>
      <c r="E14" s="21"/>
      <c r="F14" s="22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AB14" s="1">
        <v>6000</v>
      </c>
      <c r="AC14" s="1">
        <f>AB14*AC15/AB15</f>
        <v>22500</v>
      </c>
      <c r="AD14" s="25">
        <f>AC14*X10</f>
        <v>2898009.921875</v>
      </c>
      <c r="AE14" s="25"/>
      <c r="AF14" s="25">
        <v>6000</v>
      </c>
      <c r="AG14" s="25">
        <f>AF14*AG15/AF15</f>
        <v>24000</v>
      </c>
      <c r="AH14" s="25">
        <f>AG14*X11</f>
        <v>3292732.7499999995</v>
      </c>
      <c r="AJ14" s="1">
        <v>4500</v>
      </c>
      <c r="AK14" s="1">
        <f>AJ14*AK15/AJ15</f>
        <v>9000</v>
      </c>
      <c r="AL14" s="25">
        <f>AK14*X11</f>
        <v>1234774.7812499998</v>
      </c>
    </row>
    <row r="15" spans="2:38" ht="12.75">
      <c r="B15" s="19"/>
      <c r="C15" s="19"/>
      <c r="D15" s="20"/>
      <c r="E15" s="20"/>
      <c r="F15" s="22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AB15" s="1">
        <v>20</v>
      </c>
      <c r="AC15" s="1">
        <v>75</v>
      </c>
      <c r="AF15" s="1">
        <v>20</v>
      </c>
      <c r="AG15" s="1">
        <v>80</v>
      </c>
      <c r="AJ15" s="1">
        <v>60</v>
      </c>
      <c r="AK15" s="1">
        <v>120</v>
      </c>
    </row>
    <row r="16" spans="2:38" ht="12.75">
      <c r="B16" s="26"/>
      <c r="C16" s="27" t="s">
        <v>22</v>
      </c>
      <c r="D16" s="28"/>
      <c r="E16" s="28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9">
        <f>+SUM(U10:U15)</f>
        <v>6768391.8459999999</v>
      </c>
      <c r="V16" s="29">
        <f>SUM(V10:V10)</f>
        <v>61824.21166666667</v>
      </c>
      <c r="W16" s="29">
        <f>SUM(W10:W15)</f>
        <v>28201.632691666666</v>
      </c>
      <c r="X16" s="30"/>
      <c r="Y16" s="1" t="s">
        <v>88</v>
      </c>
      <c r="Z16" s="1" t="s">
        <v>88</v>
      </c>
    </row>
    <row r="17" spans="6:38">
      <c r="H17" s="33"/>
      <c r="U17" s="25"/>
      <c r="X17" s="25"/>
      <c r="Y17" s="1">
        <v>150</v>
      </c>
      <c r="Z17" s="1">
        <v>120</v>
      </c>
      <c r="AK17" s="1" t="s">
        <v>96</v>
      </c>
      <c r="AL17" s="25">
        <f>AL9+AL14</f>
        <v>2387231.2437499994</v>
      </c>
    </row>
    <row r="18" spans="6:38">
      <c r="F18" s="31"/>
      <c r="H18" s="31"/>
      <c r="X18" s="25"/>
      <c r="Y18" s="25">
        <f>X10*Y17</f>
        <v>19320.066145833334</v>
      </c>
      <c r="Z18" s="25">
        <f>X11*Z17</f>
        <v>16463.66375</v>
      </c>
      <c r="AC18" s="1" t="s">
        <v>96</v>
      </c>
      <c r="AD18" s="25">
        <f>AD9+AD14</f>
        <v>5554519.016927084</v>
      </c>
      <c r="AE18" s="25"/>
      <c r="AG18" s="1" t="s">
        <v>96</v>
      </c>
      <c r="AH18" s="25">
        <f>AH9+AH14</f>
        <v>6311071.104166666</v>
      </c>
      <c r="AK18" s="1" t="s">
        <v>97</v>
      </c>
    </row>
    <row r="19" spans="6:38">
      <c r="F19" s="32"/>
      <c r="H19" s="32"/>
      <c r="Y19" s="1">
        <v>60</v>
      </c>
      <c r="Z19" s="1">
        <v>60</v>
      </c>
      <c r="AA19" s="1" t="s">
        <v>89</v>
      </c>
      <c r="AC19" s="1" t="s">
        <v>97</v>
      </c>
      <c r="AG19" s="1" t="s">
        <v>97</v>
      </c>
      <c r="AK19" s="1" t="s">
        <v>88</v>
      </c>
    </row>
    <row r="20" spans="6:38">
      <c r="AC20" s="1" t="s">
        <v>94</v>
      </c>
      <c r="AG20" s="1" t="s">
        <v>94</v>
      </c>
    </row>
  </sheetData>
  <mergeCells count="14">
    <mergeCell ref="W7:W8"/>
    <mergeCell ref="V7:V8"/>
    <mergeCell ref="M7:T7"/>
    <mergeCell ref="U7:U8"/>
    <mergeCell ref="B2:U3"/>
    <mergeCell ref="B7:B8"/>
    <mergeCell ref="C7:C8"/>
    <mergeCell ref="D7:D8"/>
    <mergeCell ref="E7:E8"/>
    <mergeCell ref="F7:F8"/>
    <mergeCell ref="G7:G8"/>
    <mergeCell ref="H7:H8"/>
    <mergeCell ref="I7:J7"/>
    <mergeCell ref="L7:L8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F14"/>
  <sheetViews>
    <sheetView workbookViewId="0">
      <selection activeCell="I19" sqref="I19"/>
    </sheetView>
  </sheetViews>
  <sheetFormatPr baseColWidth="10" defaultRowHeight="15"/>
  <cols>
    <col min="2" max="2" width="19.5703125" customWidth="1"/>
    <col min="3" max="3" width="15.5703125" bestFit="1" customWidth="1"/>
    <col min="4" max="5" width="13" bestFit="1" customWidth="1"/>
    <col min="6" max="6" width="12" bestFit="1" customWidth="1"/>
  </cols>
  <sheetData>
    <row r="2" spans="2:6">
      <c r="C2" t="s">
        <v>318</v>
      </c>
      <c r="D2" t="s">
        <v>319</v>
      </c>
      <c r="E2" t="s">
        <v>320</v>
      </c>
      <c r="F2" t="s">
        <v>281</v>
      </c>
    </row>
    <row r="3" spans="2:6">
      <c r="B3" t="s">
        <v>89</v>
      </c>
      <c r="C3" s="83">
        <v>40000</v>
      </c>
      <c r="D3" s="83">
        <v>10000</v>
      </c>
      <c r="E3" s="83">
        <v>30000</v>
      </c>
    </row>
    <row r="4" spans="2:6">
      <c r="B4" t="s">
        <v>321</v>
      </c>
      <c r="C4">
        <v>30</v>
      </c>
      <c r="D4">
        <v>15</v>
      </c>
      <c r="E4">
        <v>8</v>
      </c>
    </row>
    <row r="5" spans="2:6">
      <c r="B5" t="s">
        <v>140</v>
      </c>
      <c r="C5" s="83">
        <f>C3*C4</f>
        <v>1200000</v>
      </c>
      <c r="D5" s="83">
        <f>D3*D4</f>
        <v>150000</v>
      </c>
      <c r="E5" s="83">
        <f>E3*E4</f>
        <v>240000</v>
      </c>
      <c r="F5" s="87">
        <f>SUM(C5:E5)</f>
        <v>1590000</v>
      </c>
    </row>
    <row r="6" spans="2:6">
      <c r="B6" t="s">
        <v>322</v>
      </c>
      <c r="C6">
        <v>11</v>
      </c>
      <c r="D6">
        <v>8</v>
      </c>
      <c r="E6">
        <v>6</v>
      </c>
    </row>
    <row r="7" spans="2:6">
      <c r="B7" t="s">
        <v>323</v>
      </c>
      <c r="C7" s="87">
        <f>C3*C6</f>
        <v>440000</v>
      </c>
      <c r="D7" s="87">
        <f>D3*D6</f>
        <v>80000</v>
      </c>
      <c r="E7" s="87">
        <f>E3*E6</f>
        <v>180000</v>
      </c>
      <c r="F7" s="87">
        <f>SUM(C7:E7)</f>
        <v>700000</v>
      </c>
    </row>
    <row r="8" spans="2:6">
      <c r="B8" t="s">
        <v>324</v>
      </c>
      <c r="C8">
        <v>1.5</v>
      </c>
      <c r="D8">
        <v>2</v>
      </c>
      <c r="E8">
        <v>1</v>
      </c>
    </row>
    <row r="9" spans="2:6">
      <c r="B9" t="s">
        <v>325</v>
      </c>
      <c r="C9" s="87">
        <f>C3*C8</f>
        <v>60000</v>
      </c>
      <c r="D9" s="87">
        <f>D3*D8</f>
        <v>20000</v>
      </c>
      <c r="E9" s="87">
        <f>E3*E8</f>
        <v>30000</v>
      </c>
      <c r="F9" s="87">
        <f>SUM(C9:E9)</f>
        <v>110000</v>
      </c>
    </row>
    <row r="10" spans="2:6">
      <c r="B10" t="s">
        <v>326</v>
      </c>
      <c r="C10">
        <v>1.3</v>
      </c>
      <c r="D10">
        <v>1</v>
      </c>
      <c r="E10">
        <v>1.5</v>
      </c>
    </row>
    <row r="11" spans="2:6">
      <c r="B11" t="s">
        <v>325</v>
      </c>
      <c r="C11" s="87">
        <f>C3*C10</f>
        <v>52000</v>
      </c>
      <c r="D11" s="87">
        <f>D3*D10</f>
        <v>10000</v>
      </c>
      <c r="E11" s="87">
        <f>E3*E10</f>
        <v>45000</v>
      </c>
      <c r="F11" s="87">
        <f>SUM(C11:E11)</f>
        <v>107000</v>
      </c>
    </row>
    <row r="12" spans="2:6">
      <c r="B12" t="s">
        <v>229</v>
      </c>
      <c r="C12" s="87"/>
    </row>
    <row r="14" spans="2:6">
      <c r="B14" t="s">
        <v>327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E1:L1"/>
  <sheetViews>
    <sheetView workbookViewId="0">
      <selection activeCell="I7" sqref="I7"/>
    </sheetView>
  </sheetViews>
  <sheetFormatPr baseColWidth="10" defaultRowHeight="15"/>
  <sheetData>
    <row r="1" spans="5:12">
      <c r="E1" s="232" t="s">
        <v>328</v>
      </c>
      <c r="F1" s="232"/>
      <c r="G1" s="232"/>
      <c r="H1" s="232"/>
      <c r="I1" s="232"/>
      <c r="J1" s="232"/>
      <c r="K1" s="232"/>
      <c r="L1" s="232"/>
    </row>
  </sheetData>
  <mergeCells count="1">
    <mergeCell ref="E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8"/>
  <sheetViews>
    <sheetView topLeftCell="A19" workbookViewId="0">
      <selection activeCell="B58" sqref="B58"/>
    </sheetView>
  </sheetViews>
  <sheetFormatPr baseColWidth="10" defaultColWidth="11.42578125" defaultRowHeight="12"/>
  <cols>
    <col min="1" max="1" width="48.7109375" style="60" customWidth="1"/>
    <col min="2" max="2" width="26" style="60" customWidth="1"/>
    <col min="3" max="3" width="11.85546875" style="60" customWidth="1"/>
    <col min="4" max="4" width="41.5703125" style="60" bestFit="1" customWidth="1"/>
    <col min="5" max="5" width="20.42578125" style="60" customWidth="1"/>
    <col min="6" max="6" width="5" style="60" bestFit="1" customWidth="1"/>
    <col min="7" max="7" width="11.42578125" style="60"/>
    <col min="8" max="8" width="14.140625" style="60" bestFit="1" customWidth="1"/>
    <col min="9" max="9" width="14.42578125" style="60" bestFit="1" customWidth="1"/>
    <col min="10" max="10" width="12.28515625" style="60" bestFit="1" customWidth="1"/>
    <col min="11" max="11" width="12.42578125" style="60" bestFit="1" customWidth="1"/>
    <col min="12" max="16384" width="11.42578125" style="60"/>
  </cols>
  <sheetData>
    <row r="1" spans="1:5">
      <c r="A1" s="169" t="s">
        <v>42</v>
      </c>
      <c r="B1" s="170"/>
      <c r="C1" s="170"/>
      <c r="D1" s="173"/>
      <c r="E1" s="174"/>
    </row>
    <row r="2" spans="1:5">
      <c r="A2" s="171"/>
      <c r="B2" s="172"/>
      <c r="C2" s="172"/>
      <c r="D2" s="175"/>
      <c r="E2" s="176"/>
    </row>
    <row r="3" spans="1:5" ht="12.75">
      <c r="A3" s="177" t="s">
        <v>43</v>
      </c>
      <c r="B3" s="177"/>
      <c r="C3" s="60">
        <v>109</v>
      </c>
      <c r="D3" s="177" t="s">
        <v>44</v>
      </c>
      <c r="E3" s="177"/>
    </row>
    <row r="4" spans="1:5">
      <c r="A4" s="61" t="s">
        <v>45</v>
      </c>
      <c r="B4" s="62">
        <f>+E4/30*B7</f>
        <v>1813119.8343723291</v>
      </c>
      <c r="C4" s="63"/>
      <c r="D4" s="64" t="s">
        <v>46</v>
      </c>
      <c r="E4" s="64">
        <f>+D39</f>
        <v>499023.80762541166</v>
      </c>
    </row>
    <row r="5" spans="1:5">
      <c r="A5" s="61" t="s">
        <v>47</v>
      </c>
      <c r="B5" s="62">
        <v>0</v>
      </c>
      <c r="C5" s="63"/>
      <c r="D5" s="64" t="s">
        <v>48</v>
      </c>
      <c r="E5" s="64">
        <v>0</v>
      </c>
    </row>
    <row r="6" spans="1:5">
      <c r="A6" s="61" t="s">
        <v>49</v>
      </c>
      <c r="B6" s="62">
        <f>+B4+B5</f>
        <v>1813119.8343723291</v>
      </c>
      <c r="C6" s="65" t="s">
        <v>50</v>
      </c>
      <c r="D6" s="178" t="s">
        <v>51</v>
      </c>
      <c r="E6" s="178"/>
    </row>
    <row r="7" spans="1:5">
      <c r="A7" s="66" t="s">
        <v>52</v>
      </c>
      <c r="B7" s="67">
        <f>+C3</f>
        <v>109</v>
      </c>
      <c r="C7" s="68">
        <f>1300000/30*B7</f>
        <v>4723333.333333334</v>
      </c>
      <c r="D7" s="178"/>
      <c r="E7" s="178"/>
    </row>
    <row r="8" spans="1:5" ht="12.75">
      <c r="A8" s="66" t="s">
        <v>53</v>
      </c>
      <c r="B8" s="69">
        <f>+C7*4%*-1</f>
        <v>-188933.33333333337</v>
      </c>
      <c r="D8" s="64" t="s">
        <v>54</v>
      </c>
      <c r="E8" s="70">
        <f>+E30</f>
        <v>45352</v>
      </c>
    </row>
    <row r="9" spans="1:5" ht="12.75">
      <c r="A9" s="66" t="s">
        <v>55</v>
      </c>
      <c r="B9" s="69">
        <f>+C7*4%*-1</f>
        <v>-188933.33333333337</v>
      </c>
      <c r="D9" s="64" t="s">
        <v>56</v>
      </c>
      <c r="E9" s="70">
        <f>+E31</f>
        <v>45462</v>
      </c>
    </row>
    <row r="10" spans="1:5">
      <c r="D10" s="64" t="s">
        <v>57</v>
      </c>
      <c r="E10" s="64">
        <f>((DAYS360(E8,E9,TRUE))+1)/30</f>
        <v>3.6333333333333333</v>
      </c>
    </row>
    <row r="11" spans="1:5" ht="12.75">
      <c r="A11" s="179" t="s">
        <v>58</v>
      </c>
      <c r="B11" s="180"/>
      <c r="D11" s="64" t="s">
        <v>59</v>
      </c>
      <c r="E11" s="64">
        <f>(E10*30)</f>
        <v>109</v>
      </c>
    </row>
    <row r="12" spans="1:5">
      <c r="A12" s="61" t="s">
        <v>60</v>
      </c>
      <c r="B12" s="62">
        <f>(($E$4)*E17)/360</f>
        <v>151093.3195310274</v>
      </c>
      <c r="D12" s="64" t="s">
        <v>61</v>
      </c>
      <c r="E12" s="71">
        <f>+E11*30/$E$26</f>
        <v>9.0833333333333339</v>
      </c>
    </row>
    <row r="13" spans="1:5" ht="12.75">
      <c r="A13" s="61" t="s">
        <v>62</v>
      </c>
      <c r="B13" s="62">
        <f>(($E$4)*E11)/$E$28</f>
        <v>151093.3195310274</v>
      </c>
      <c r="D13" s="181" t="s">
        <v>63</v>
      </c>
      <c r="E13" s="181"/>
    </row>
    <row r="14" spans="1:5">
      <c r="A14" s="61" t="s">
        <v>64</v>
      </c>
      <c r="B14" s="62">
        <f>(B13*E11*0.12)/$E$28</f>
        <v>5489.7239429606616</v>
      </c>
      <c r="D14" s="72" t="s">
        <v>65</v>
      </c>
      <c r="E14" s="70">
        <f>+E8</f>
        <v>45352</v>
      </c>
    </row>
    <row r="15" spans="1:5">
      <c r="A15" s="61" t="s">
        <v>66</v>
      </c>
      <c r="B15" s="62">
        <f>(E4*E23)/(+E28*2)</f>
        <v>75546.659765513701</v>
      </c>
      <c r="D15" s="72" t="s">
        <v>67</v>
      </c>
      <c r="E15" s="70">
        <f>+E9</f>
        <v>45462</v>
      </c>
    </row>
    <row r="16" spans="1:5" ht="12.75">
      <c r="A16" s="73" t="s">
        <v>68</v>
      </c>
      <c r="B16" s="74">
        <f>B12+B13+B14+B15</f>
        <v>383223.02277052915</v>
      </c>
      <c r="D16" s="72" t="s">
        <v>57</v>
      </c>
      <c r="E16" s="72">
        <f>((DAYS360(E14,E15,TRUE))+1)/30</f>
        <v>3.6333333333333333</v>
      </c>
    </row>
    <row r="17" spans="1:5">
      <c r="B17" s="75"/>
      <c r="D17" s="72" t="s">
        <v>52</v>
      </c>
      <c r="E17" s="72">
        <f>C3</f>
        <v>109</v>
      </c>
    </row>
    <row r="18" spans="1:5">
      <c r="D18" s="64" t="s">
        <v>69</v>
      </c>
      <c r="E18" s="71">
        <f>(E17*30)/$E$26</f>
        <v>9.0833333333333339</v>
      </c>
    </row>
    <row r="19" spans="1:5" ht="12.75">
      <c r="A19" s="179" t="s">
        <v>70</v>
      </c>
      <c r="B19" s="180"/>
      <c r="D19" s="181" t="s">
        <v>71</v>
      </c>
      <c r="E19" s="181"/>
    </row>
    <row r="20" spans="1:5">
      <c r="A20" s="61" t="s">
        <v>15</v>
      </c>
      <c r="B20" s="62">
        <f>ROUND(($C$7*12.5%),-2)</f>
        <v>590400</v>
      </c>
      <c r="D20" s="72" t="s">
        <v>72</v>
      </c>
      <c r="E20" s="70">
        <f>+E14</f>
        <v>45352</v>
      </c>
    </row>
    <row r="21" spans="1:5">
      <c r="A21" s="61" t="s">
        <v>16</v>
      </c>
      <c r="B21" s="62">
        <f>ROUND(($C$7*16%),-2)</f>
        <v>755700</v>
      </c>
      <c r="D21" s="72" t="s">
        <v>67</v>
      </c>
      <c r="E21" s="70">
        <f>+E15</f>
        <v>45462</v>
      </c>
    </row>
    <row r="22" spans="1:5">
      <c r="A22" s="61" t="s">
        <v>73</v>
      </c>
      <c r="B22" s="62">
        <f>ROUND(((($E$4/30*$B$7)+$B$15)*4%),-2)</f>
        <v>75500</v>
      </c>
      <c r="D22" s="72" t="s">
        <v>57</v>
      </c>
      <c r="E22" s="72">
        <f>((DAYS360(E20,E21,TRUE))+1)/30</f>
        <v>3.6333333333333333</v>
      </c>
    </row>
    <row r="23" spans="1:5">
      <c r="A23" s="61" t="s">
        <v>74</v>
      </c>
      <c r="B23" s="62">
        <f>ROUND((($E$4/30*$B$7)+$B$15)*3%,-2)</f>
        <v>56700</v>
      </c>
      <c r="D23" s="72" t="s">
        <v>59</v>
      </c>
      <c r="E23" s="72">
        <f>(E22*30)</f>
        <v>109</v>
      </c>
    </row>
    <row r="24" spans="1:5">
      <c r="A24" s="64" t="s">
        <v>75</v>
      </c>
      <c r="B24" s="62">
        <f>ROUND(((($E$4/30*$B$7)+$B$15)*2%),-2)</f>
        <v>37800</v>
      </c>
      <c r="D24" s="66" t="s">
        <v>76</v>
      </c>
      <c r="E24" s="76">
        <f>(15*E23)/360</f>
        <v>4.541666666666667</v>
      </c>
    </row>
    <row r="25" spans="1:5">
      <c r="A25" s="61" t="s">
        <v>17</v>
      </c>
      <c r="B25" s="62">
        <f>ROUND(($C$7*0.52222%),-2)</f>
        <v>24700</v>
      </c>
      <c r="D25" s="77"/>
      <c r="E25" s="78"/>
    </row>
    <row r="26" spans="1:5" ht="12.75">
      <c r="A26" s="73" t="s">
        <v>77</v>
      </c>
      <c r="B26" s="74">
        <f>SUM(B20:B25)</f>
        <v>1540800</v>
      </c>
      <c r="D26" s="77" t="s">
        <v>78</v>
      </c>
      <c r="E26" s="78">
        <v>360</v>
      </c>
    </row>
    <row r="27" spans="1:5">
      <c r="D27" s="77"/>
      <c r="E27" s="78"/>
    </row>
    <row r="28" spans="1:5">
      <c r="A28" s="182" t="s">
        <v>79</v>
      </c>
      <c r="B28" s="184">
        <f>+B4+B16+B26</f>
        <v>3737142.8571428582</v>
      </c>
      <c r="D28" s="77" t="s">
        <v>80</v>
      </c>
      <c r="E28" s="78">
        <v>360</v>
      </c>
    </row>
    <row r="29" spans="1:5">
      <c r="A29" s="183"/>
      <c r="B29" s="185"/>
    </row>
    <row r="30" spans="1:5" ht="12.75">
      <c r="A30" s="79"/>
      <c r="B30" s="80"/>
      <c r="D30" s="60" t="s">
        <v>81</v>
      </c>
      <c r="E30" s="81">
        <v>45352</v>
      </c>
    </row>
    <row r="31" spans="1:5">
      <c r="A31" s="60" t="s">
        <v>82</v>
      </c>
      <c r="B31" s="60">
        <f>+C47*40000</f>
        <v>3737142.8571428577</v>
      </c>
      <c r="D31" s="60" t="s">
        <v>83</v>
      </c>
      <c r="E31" s="81">
        <v>45462</v>
      </c>
    </row>
    <row r="32" spans="1:5">
      <c r="B32" s="60">
        <f>+B31-B28</f>
        <v>0</v>
      </c>
    </row>
    <row r="35" spans="1:6" ht="12.75" thickBot="1"/>
    <row r="36" spans="1:6" ht="13.5" thickBot="1">
      <c r="A36" s="166" t="s">
        <v>29</v>
      </c>
      <c r="B36" s="167"/>
      <c r="C36" s="167"/>
      <c r="D36" s="167"/>
      <c r="E36" s="167"/>
      <c r="F36" s="168"/>
    </row>
    <row r="37" spans="1:6" ht="12.75">
      <c r="A37" s="35" t="s">
        <v>24</v>
      </c>
      <c r="B37" s="36" t="s">
        <v>30</v>
      </c>
      <c r="C37" s="37"/>
      <c r="D37" s="38"/>
      <c r="E37" s="38"/>
      <c r="F37" s="39"/>
    </row>
    <row r="38" spans="1:6" ht="12.75">
      <c r="A38" s="40">
        <v>19406.481407654894</v>
      </c>
      <c r="B38" s="41">
        <f>(B16+B26)/C47</f>
        <v>20593.51859234511</v>
      </c>
      <c r="C38" s="42"/>
      <c r="D38" s="43"/>
      <c r="E38" s="43"/>
      <c r="F38" s="44"/>
    </row>
    <row r="39" spans="1:6">
      <c r="A39" s="45"/>
      <c r="B39" s="42"/>
      <c r="C39" s="42"/>
      <c r="D39" s="43">
        <f>((E46/C45))*30</f>
        <v>499023.80762541166</v>
      </c>
      <c r="E39" s="43">
        <f>(E46/C45)*30</f>
        <v>499023.80762541166</v>
      </c>
      <c r="F39" s="44">
        <f>+D39-E39</f>
        <v>0</v>
      </c>
    </row>
    <row r="40" spans="1:6" ht="12.75">
      <c r="A40" s="46" t="s">
        <v>31</v>
      </c>
      <c r="B40" s="47">
        <f>+B38+A38</f>
        <v>40000</v>
      </c>
      <c r="C40" s="48">
        <v>0</v>
      </c>
      <c r="D40" s="43" t="s">
        <v>32</v>
      </c>
      <c r="E40" s="43">
        <f>+E39/30*C40</f>
        <v>0</v>
      </c>
      <c r="F40" s="44">
        <f>+C40/7</f>
        <v>0</v>
      </c>
    </row>
    <row r="41" spans="1:6" ht="12.75">
      <c r="A41" s="49" t="s">
        <v>33</v>
      </c>
      <c r="B41" s="47"/>
      <c r="C41" s="48">
        <v>30</v>
      </c>
      <c r="D41" s="43" t="s">
        <v>34</v>
      </c>
      <c r="E41" s="43">
        <f>+E39/30*C41</f>
        <v>499023.80762541166</v>
      </c>
      <c r="F41" s="44">
        <f>+C41/7</f>
        <v>4.2857142857142856</v>
      </c>
    </row>
    <row r="42" spans="1:6">
      <c r="A42" s="50"/>
      <c r="B42" s="42"/>
      <c r="C42" s="48">
        <v>30</v>
      </c>
      <c r="D42" s="43" t="s">
        <v>35</v>
      </c>
      <c r="E42" s="43">
        <f>+E39/30*C42</f>
        <v>499023.80762541166</v>
      </c>
      <c r="F42" s="44">
        <f>+C42/7</f>
        <v>4.2857142857142856</v>
      </c>
    </row>
    <row r="43" spans="1:6">
      <c r="A43" s="50"/>
      <c r="B43" s="51"/>
      <c r="C43" s="48">
        <v>30</v>
      </c>
      <c r="D43" s="43" t="s">
        <v>36</v>
      </c>
      <c r="E43" s="43">
        <f>+E39/30*C43</f>
        <v>499023.80762541166</v>
      </c>
      <c r="F43" s="44">
        <f>+C43/7</f>
        <v>4.2857142857142856</v>
      </c>
    </row>
    <row r="44" spans="1:6">
      <c r="A44" s="50"/>
      <c r="B44" s="42"/>
      <c r="C44" s="48">
        <v>19</v>
      </c>
      <c r="D44" s="43" t="s">
        <v>37</v>
      </c>
      <c r="E44" s="43">
        <f>+E39/30*C44</f>
        <v>316048.41149609402</v>
      </c>
      <c r="F44" s="44">
        <f>+C44/7</f>
        <v>2.7142857142857144</v>
      </c>
    </row>
    <row r="45" spans="1:6" ht="12.75">
      <c r="A45" s="50"/>
      <c r="B45" s="42" t="s">
        <v>38</v>
      </c>
      <c r="C45" s="51">
        <f>SUM(C40:C44)</f>
        <v>109</v>
      </c>
      <c r="D45" s="52"/>
      <c r="E45" s="52">
        <f>SUM(E40:E44)</f>
        <v>1813119.8343723291</v>
      </c>
      <c r="F45" s="44">
        <f>SUM(F40:F44)</f>
        <v>15.571428571428573</v>
      </c>
    </row>
    <row r="46" spans="1:6">
      <c r="A46" s="50"/>
      <c r="B46" s="42" t="s">
        <v>39</v>
      </c>
      <c r="C46" s="59">
        <f>F45</f>
        <v>15.571428571428573</v>
      </c>
      <c r="D46" s="43"/>
      <c r="E46" s="43">
        <f>+C47*A38</f>
        <v>1813119.8343723291</v>
      </c>
      <c r="F46" s="53"/>
    </row>
    <row r="47" spans="1:6">
      <c r="A47" s="50"/>
      <c r="B47" s="42" t="s">
        <v>40</v>
      </c>
      <c r="C47" s="51">
        <f>C48*C46</f>
        <v>93.428571428571445</v>
      </c>
      <c r="D47" s="43"/>
      <c r="E47" s="43">
        <f>+E45-E46</f>
        <v>0</v>
      </c>
      <c r="F47" s="53"/>
    </row>
    <row r="48" spans="1:6" ht="12.75" thickBot="1">
      <c r="A48" s="54"/>
      <c r="B48" s="55" t="s">
        <v>41</v>
      </c>
      <c r="C48" s="56">
        <v>6</v>
      </c>
      <c r="D48" s="57"/>
      <c r="E48" s="57"/>
      <c r="F48" s="58"/>
    </row>
  </sheetData>
  <mergeCells count="12">
    <mergeCell ref="A36:F36"/>
    <mergeCell ref="A1:C2"/>
    <mergeCell ref="D1:E2"/>
    <mergeCell ref="A3:B3"/>
    <mergeCell ref="D3:E3"/>
    <mergeCell ref="D6:E7"/>
    <mergeCell ref="A11:B11"/>
    <mergeCell ref="D13:E13"/>
    <mergeCell ref="A19:B19"/>
    <mergeCell ref="D19:E19"/>
    <mergeCell ref="A28:A29"/>
    <mergeCell ref="B28:B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O29"/>
  <sheetViews>
    <sheetView topLeftCell="B1" workbookViewId="0">
      <selection activeCell="D13" sqref="D13"/>
    </sheetView>
  </sheetViews>
  <sheetFormatPr baseColWidth="10" defaultRowHeight="15"/>
  <cols>
    <col min="3" max="3" width="14.5703125" bestFit="1" customWidth="1"/>
    <col min="4" max="4" width="20.28515625" bestFit="1" customWidth="1"/>
    <col min="5" max="5" width="16.28515625" bestFit="1" customWidth="1"/>
    <col min="6" max="7" width="12" bestFit="1" customWidth="1"/>
    <col min="10" max="13" width="13" bestFit="1" customWidth="1"/>
    <col min="14" max="14" width="12" bestFit="1" customWidth="1"/>
  </cols>
  <sheetData>
    <row r="3" spans="1:15">
      <c r="A3" t="s">
        <v>103</v>
      </c>
    </row>
    <row r="5" spans="1:15" ht="26.25" thickBot="1">
      <c r="C5" t="s">
        <v>106</v>
      </c>
      <c r="D5" s="83">
        <v>1300000</v>
      </c>
      <c r="F5" s="10" t="s">
        <v>15</v>
      </c>
      <c r="G5" s="9" t="s">
        <v>16</v>
      </c>
      <c r="H5" s="9" t="s">
        <v>27</v>
      </c>
      <c r="I5" s="9" t="s">
        <v>17</v>
      </c>
      <c r="J5" s="9" t="s">
        <v>18</v>
      </c>
      <c r="K5" s="9" t="s">
        <v>19</v>
      </c>
      <c r="L5" s="9" t="s">
        <v>20</v>
      </c>
      <c r="M5" s="9" t="s">
        <v>21</v>
      </c>
      <c r="N5" s="158" t="s">
        <v>12</v>
      </c>
      <c r="O5" s="158" t="s">
        <v>25</v>
      </c>
    </row>
    <row r="6" spans="1:15" ht="15.75" thickBot="1">
      <c r="C6" s="86" t="s">
        <v>102</v>
      </c>
      <c r="D6" s="86" t="s">
        <v>47</v>
      </c>
      <c r="E6" s="85" t="s">
        <v>105</v>
      </c>
      <c r="F6" s="34">
        <v>0.125</v>
      </c>
      <c r="G6" s="17">
        <v>0.16</v>
      </c>
      <c r="H6" s="17">
        <v>0.09</v>
      </c>
      <c r="I6" s="18">
        <v>5.2199999999999998E-3</v>
      </c>
      <c r="J6" s="18">
        <v>8.3299999999999999E-2</v>
      </c>
      <c r="K6" s="18">
        <v>0.01</v>
      </c>
      <c r="L6" s="18">
        <v>8.3299999999999999E-2</v>
      </c>
      <c r="M6" s="18">
        <v>4.1700000000000001E-2</v>
      </c>
      <c r="N6" s="159"/>
      <c r="O6" s="159"/>
    </row>
    <row r="7" spans="1:15">
      <c r="B7" t="s">
        <v>101</v>
      </c>
      <c r="C7" s="83">
        <v>1400000</v>
      </c>
      <c r="D7" s="83">
        <v>162000</v>
      </c>
      <c r="E7" s="87">
        <f>C7+D7</f>
        <v>1562000</v>
      </c>
      <c r="F7" s="88">
        <f>C7*$F$6</f>
        <v>175000</v>
      </c>
      <c r="G7" s="87">
        <f>C7*$G$6</f>
        <v>224000</v>
      </c>
      <c r="H7" s="87">
        <f>C7*$H$6</f>
        <v>126000</v>
      </c>
      <c r="I7" s="89">
        <f>C7*$I$6</f>
        <v>7308</v>
      </c>
      <c r="J7" s="89">
        <f>$C$7*$J$6</f>
        <v>116620</v>
      </c>
      <c r="K7" s="87">
        <f>$J$7*$K$6</f>
        <v>1166.2</v>
      </c>
      <c r="L7" s="87">
        <f>$C$7*$L$6</f>
        <v>116620</v>
      </c>
      <c r="M7" s="87">
        <f>$C$7*$M$6</f>
        <v>58380</v>
      </c>
      <c r="N7" s="87">
        <f>SUM(E7:M7)</f>
        <v>2387094.2000000002</v>
      </c>
      <c r="O7" s="87">
        <f>N7/30</f>
        <v>79569.806666666671</v>
      </c>
    </row>
    <row r="8" spans="1:15">
      <c r="B8" t="s">
        <v>98</v>
      </c>
      <c r="C8" s="83">
        <v>1300000</v>
      </c>
      <c r="D8" s="83">
        <v>162000</v>
      </c>
      <c r="E8" s="87">
        <f>C8+D8</f>
        <v>1462000</v>
      </c>
      <c r="F8" s="88">
        <f>C8*$F$6</f>
        <v>162500</v>
      </c>
      <c r="G8" s="87">
        <f>C8*$G$6</f>
        <v>208000</v>
      </c>
      <c r="H8" s="87">
        <f t="shared" ref="H8" si="0">C8*$H$6</f>
        <v>117000</v>
      </c>
      <c r="I8" s="89">
        <f t="shared" ref="I8" si="1">C8*$I$6</f>
        <v>6786</v>
      </c>
      <c r="J8" s="89">
        <f>$C$8*$J$6</f>
        <v>108290</v>
      </c>
      <c r="K8" s="87">
        <f>$J$8*$K$6</f>
        <v>1082.9000000000001</v>
      </c>
      <c r="L8" s="87">
        <f>$C$8*$L$6</f>
        <v>108290</v>
      </c>
      <c r="M8" s="87">
        <f>$C$8*$M$6</f>
        <v>54210</v>
      </c>
      <c r="N8" s="87">
        <f>SUM(E8:M8)</f>
        <v>2228158.9</v>
      </c>
      <c r="O8" s="87">
        <f>N8/30</f>
        <v>74271.963333333333</v>
      </c>
    </row>
    <row r="9" spans="1:15">
      <c r="B9" t="s">
        <v>99</v>
      </c>
      <c r="C9" s="83">
        <v>1100000</v>
      </c>
      <c r="D9" s="83">
        <v>162000</v>
      </c>
      <c r="E9" s="87">
        <f>C9+D9</f>
        <v>1262000</v>
      </c>
      <c r="F9" s="88">
        <f>D5*$F$6</f>
        <v>162500</v>
      </c>
      <c r="G9" s="87">
        <f>D5*$G$6</f>
        <v>208000</v>
      </c>
      <c r="H9" s="87">
        <f>D5*$H$6</f>
        <v>117000</v>
      </c>
      <c r="I9" s="89">
        <f>D5*$I$6</f>
        <v>6786</v>
      </c>
      <c r="J9" s="89">
        <f>$C$9*$J$6</f>
        <v>91630</v>
      </c>
      <c r="K9" s="87">
        <f>$J$9*$K$6</f>
        <v>916.30000000000007</v>
      </c>
      <c r="L9" s="87">
        <f>$C$9*$L$6</f>
        <v>91630</v>
      </c>
      <c r="M9" s="87">
        <f>$C$9*$M$6</f>
        <v>45870</v>
      </c>
      <c r="N9" s="87">
        <f>SUM(E9:M9)</f>
        <v>1986332.3</v>
      </c>
      <c r="O9" s="87">
        <f>N9/30</f>
        <v>66211.076666666675</v>
      </c>
    </row>
    <row r="10" spans="1:15">
      <c r="C10" s="83"/>
      <c r="N10" s="87">
        <f>SUM(N7:N9)</f>
        <v>6601585.3999999994</v>
      </c>
    </row>
    <row r="11" spans="1:15" ht="15.75" thickBot="1">
      <c r="A11" t="s">
        <v>100</v>
      </c>
    </row>
    <row r="12" spans="1:15" ht="15.75" thickBot="1">
      <c r="C12" s="86" t="s">
        <v>89</v>
      </c>
      <c r="G12" s="85" t="s">
        <v>107</v>
      </c>
      <c r="H12" s="85" t="s">
        <v>108</v>
      </c>
      <c r="I12" s="85"/>
      <c r="J12" s="85" t="s">
        <v>107</v>
      </c>
      <c r="K12" s="85" t="s">
        <v>108</v>
      </c>
      <c r="L12" s="85"/>
      <c r="M12" s="85" t="s">
        <v>107</v>
      </c>
      <c r="N12" s="85" t="s">
        <v>108</v>
      </c>
    </row>
    <row r="13" spans="1:15">
      <c r="B13" t="s">
        <v>101</v>
      </c>
      <c r="C13" s="84">
        <v>1446</v>
      </c>
      <c r="G13">
        <v>1</v>
      </c>
      <c r="H13">
        <f>C13</f>
        <v>1446</v>
      </c>
      <c r="J13">
        <v>1</v>
      </c>
      <c r="K13">
        <f>C14</f>
        <v>1250</v>
      </c>
      <c r="M13">
        <v>1</v>
      </c>
      <c r="N13">
        <f>C15</f>
        <v>1054</v>
      </c>
    </row>
    <row r="14" spans="1:15">
      <c r="B14" t="s">
        <v>98</v>
      </c>
      <c r="C14">
        <v>1250</v>
      </c>
      <c r="G14" s="90">
        <f>(G13*H14)/H13</f>
        <v>4.1493775933609962</v>
      </c>
      <c r="H14">
        <v>6000</v>
      </c>
      <c r="J14" s="90">
        <f>(J13*K14)/K13</f>
        <v>4.8</v>
      </c>
      <c r="K14">
        <v>6000</v>
      </c>
      <c r="M14" s="90">
        <f>(M13*N14)/N13</f>
        <v>5.6925996204933584</v>
      </c>
      <c r="N14">
        <v>6000</v>
      </c>
    </row>
    <row r="15" spans="1:15" ht="15.75" thickBot="1">
      <c r="B15" t="s">
        <v>99</v>
      </c>
      <c r="C15">
        <v>1054</v>
      </c>
    </row>
    <row r="16" spans="1:15" ht="15.75" thickBot="1">
      <c r="A16" s="186" t="s">
        <v>104</v>
      </c>
      <c r="B16" s="187"/>
      <c r="C16" s="187"/>
      <c r="D16" s="187"/>
      <c r="E16" s="188"/>
      <c r="G16" s="91">
        <f>N7*G14</f>
        <v>9904955.1867219936</v>
      </c>
      <c r="J16" s="91">
        <f>N8*J14</f>
        <v>10695162.719999999</v>
      </c>
      <c r="M16" s="91">
        <f>N9*M14</f>
        <v>11307394.497153699</v>
      </c>
    </row>
    <row r="17" spans="1:14">
      <c r="A17" s="189"/>
      <c r="B17" s="190"/>
      <c r="C17" s="190"/>
      <c r="D17" s="190"/>
      <c r="E17" s="191"/>
    </row>
    <row r="18" spans="1:14">
      <c r="A18" s="189"/>
      <c r="B18" s="190"/>
      <c r="C18" s="190"/>
      <c r="D18" s="190"/>
      <c r="E18" s="191"/>
      <c r="H18" s="87">
        <f>J16-G16</f>
        <v>790207.5332780052</v>
      </c>
      <c r="K18" s="87">
        <f>M16-G16</f>
        <v>1402439.3104317058</v>
      </c>
    </row>
    <row r="19" spans="1:14" ht="15.75" thickBot="1">
      <c r="A19" s="192"/>
      <c r="B19" s="193"/>
      <c r="C19" s="193"/>
      <c r="D19" s="193"/>
      <c r="E19" s="194"/>
    </row>
    <row r="20" spans="1:14" ht="15.75" thickBot="1"/>
    <row r="21" spans="1:14" ht="15.75" thickBot="1">
      <c r="F21" s="195" t="s">
        <v>109</v>
      </c>
      <c r="G21" s="196"/>
      <c r="H21" s="196"/>
      <c r="I21" s="196"/>
      <c r="J21" s="196"/>
      <c r="K21" s="196"/>
      <c r="L21" s="196"/>
      <c r="M21" s="196"/>
      <c r="N21" s="197"/>
    </row>
    <row r="22" spans="1:14">
      <c r="F22" s="186" t="s">
        <v>110</v>
      </c>
      <c r="G22" s="187"/>
      <c r="H22" s="187"/>
      <c r="I22" s="187"/>
      <c r="J22" s="187"/>
      <c r="K22" s="187"/>
      <c r="L22" s="187"/>
      <c r="M22" s="187"/>
      <c r="N22" s="188"/>
    </row>
    <row r="23" spans="1:14">
      <c r="F23" s="189"/>
      <c r="G23" s="190"/>
      <c r="H23" s="190"/>
      <c r="I23" s="190"/>
      <c r="J23" s="190"/>
      <c r="K23" s="190"/>
      <c r="L23" s="190"/>
      <c r="M23" s="190"/>
      <c r="N23" s="191"/>
    </row>
    <row r="24" spans="1:14" ht="15.75" thickBot="1">
      <c r="F24" s="192"/>
      <c r="G24" s="193"/>
      <c r="H24" s="193"/>
      <c r="I24" s="193"/>
      <c r="J24" s="193"/>
      <c r="K24" s="193"/>
      <c r="L24" s="193"/>
      <c r="M24" s="193"/>
      <c r="N24" s="194"/>
    </row>
    <row r="25" spans="1:14">
      <c r="F25" s="85"/>
      <c r="G25" s="85"/>
    </row>
    <row r="26" spans="1:14">
      <c r="F26" s="92"/>
      <c r="G26" s="93"/>
    </row>
    <row r="27" spans="1:14">
      <c r="F27" s="92"/>
    </row>
    <row r="28" spans="1:14">
      <c r="F28" s="92"/>
    </row>
    <row r="29" spans="1:14">
      <c r="F29" s="87"/>
    </row>
  </sheetData>
  <mergeCells count="5">
    <mergeCell ref="A16:E19"/>
    <mergeCell ref="N5:N6"/>
    <mergeCell ref="O5:O6"/>
    <mergeCell ref="F21:N21"/>
    <mergeCell ref="F22:N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6"/>
  <sheetViews>
    <sheetView workbookViewId="0">
      <selection activeCell="I10" sqref="I10"/>
    </sheetView>
  </sheetViews>
  <sheetFormatPr baseColWidth="10" defaultRowHeight="15"/>
  <cols>
    <col min="1" max="1" width="15.5703125" bestFit="1" customWidth="1"/>
    <col min="2" max="4" width="19.5703125" bestFit="1" customWidth="1"/>
  </cols>
  <sheetData>
    <row r="1" spans="1:7" ht="15.75" thickBot="1"/>
    <row r="2" spans="1:7" ht="15.75" thickBot="1">
      <c r="B2" s="195" t="s">
        <v>111</v>
      </c>
      <c r="C2" s="196"/>
      <c r="D2" s="196"/>
      <c r="E2" s="197"/>
    </row>
    <row r="3" spans="1:7">
      <c r="A3" s="198" t="s">
        <v>120</v>
      </c>
      <c r="B3" s="198"/>
      <c r="C3" s="198"/>
      <c r="D3" s="198"/>
      <c r="E3" s="198"/>
      <c r="F3" s="198"/>
      <c r="G3" s="198"/>
    </row>
    <row r="4" spans="1:7">
      <c r="A4" s="198"/>
      <c r="B4" s="198"/>
      <c r="C4" s="198"/>
      <c r="D4" s="198"/>
      <c r="E4" s="198"/>
      <c r="F4" s="198"/>
      <c r="G4" s="198"/>
    </row>
    <row r="5" spans="1:7">
      <c r="A5" s="94"/>
      <c r="B5" s="94"/>
      <c r="C5" s="94"/>
      <c r="D5" s="94"/>
      <c r="E5" s="94"/>
      <c r="F5" s="94"/>
      <c r="G5" s="94"/>
    </row>
    <row r="6" spans="1:7">
      <c r="B6" s="85" t="s">
        <v>118</v>
      </c>
      <c r="C6" s="85" t="s">
        <v>119</v>
      </c>
      <c r="D6" s="85" t="s">
        <v>123</v>
      </c>
    </row>
    <row r="7" spans="1:7">
      <c r="A7" t="s">
        <v>112</v>
      </c>
      <c r="B7">
        <v>10</v>
      </c>
      <c r="C7" s="90">
        <f t="shared" ref="C7:C12" si="0">(B7/$B$13)*100</f>
        <v>2.4390243902439024</v>
      </c>
      <c r="D7" s="96">
        <f>$B$17*B7</f>
        <v>121951.21951219512</v>
      </c>
    </row>
    <row r="8" spans="1:7">
      <c r="A8" t="s">
        <v>113</v>
      </c>
      <c r="B8">
        <v>50</v>
      </c>
      <c r="C8" s="90">
        <f t="shared" si="0"/>
        <v>12.195121951219512</v>
      </c>
      <c r="D8" s="96">
        <f t="shared" ref="D8:D11" si="1">$B$17*B8</f>
        <v>609756.0975609757</v>
      </c>
    </row>
    <row r="9" spans="1:7">
      <c r="A9" t="s">
        <v>114</v>
      </c>
      <c r="B9">
        <v>150</v>
      </c>
      <c r="C9" s="90">
        <f t="shared" si="0"/>
        <v>36.585365853658537</v>
      </c>
      <c r="D9" s="96">
        <f t="shared" si="1"/>
        <v>1829268.2926829269</v>
      </c>
    </row>
    <row r="10" spans="1:7">
      <c r="A10" t="s">
        <v>115</v>
      </c>
      <c r="B10">
        <v>25</v>
      </c>
      <c r="C10" s="90">
        <f t="shared" si="0"/>
        <v>6.0975609756097562</v>
      </c>
      <c r="D10" s="96">
        <f t="shared" si="1"/>
        <v>304878.04878048785</v>
      </c>
    </row>
    <row r="11" spans="1:7">
      <c r="A11" t="s">
        <v>116</v>
      </c>
      <c r="B11">
        <v>75</v>
      </c>
      <c r="C11" s="90">
        <f t="shared" si="0"/>
        <v>18.292682926829269</v>
      </c>
      <c r="D11" s="96">
        <f t="shared" si="1"/>
        <v>914634.14634146343</v>
      </c>
    </row>
    <row r="12" spans="1:7" ht="15.75" thickBot="1">
      <c r="A12" t="s">
        <v>117</v>
      </c>
      <c r="B12">
        <v>100</v>
      </c>
      <c r="C12" s="90">
        <f t="shared" si="0"/>
        <v>24.390243902439025</v>
      </c>
      <c r="D12" s="96">
        <f>$B$17*B12</f>
        <v>1219512.1951219514</v>
      </c>
    </row>
    <row r="13" spans="1:7" ht="15.75" thickBot="1">
      <c r="A13" s="85" t="s">
        <v>124</v>
      </c>
      <c r="B13" s="85">
        <f>SUM(B7:B12)</f>
        <v>410</v>
      </c>
      <c r="C13" s="97">
        <f>SUM(C7:C12)</f>
        <v>100</v>
      </c>
      <c r="D13" s="98">
        <f>SUM(D7:D12)</f>
        <v>5000000</v>
      </c>
      <c r="E13" s="199" t="s">
        <v>125</v>
      </c>
      <c r="F13" s="200"/>
    </row>
    <row r="15" spans="1:7">
      <c r="A15" t="s">
        <v>121</v>
      </c>
    </row>
    <row r="16" spans="1:7" ht="15.75" thickBot="1"/>
    <row r="17" spans="1:6" ht="15.75" thickBot="1">
      <c r="A17" s="95">
        <v>5000000</v>
      </c>
      <c r="B17" s="99">
        <f>A17/B13</f>
        <v>12195.121951219513</v>
      </c>
    </row>
    <row r="19" spans="1:6">
      <c r="A19" t="s">
        <v>122</v>
      </c>
    </row>
    <row r="20" spans="1:6">
      <c r="A20" t="s">
        <v>126</v>
      </c>
    </row>
    <row r="22" spans="1:6">
      <c r="A22" s="190" t="s">
        <v>128</v>
      </c>
      <c r="B22" s="190"/>
      <c r="C22" s="190"/>
      <c r="D22" s="190"/>
      <c r="E22" s="190"/>
      <c r="F22" s="190"/>
    </row>
    <row r="23" spans="1:6">
      <c r="A23" s="190"/>
      <c r="B23" s="190"/>
      <c r="C23" s="190"/>
      <c r="D23" s="190"/>
      <c r="E23" s="190"/>
      <c r="F23" s="190"/>
    </row>
    <row r="24" spans="1:6">
      <c r="A24" s="190"/>
      <c r="B24" s="190"/>
      <c r="C24" s="190"/>
      <c r="D24" s="190"/>
      <c r="E24" s="190"/>
      <c r="F24" s="190"/>
    </row>
    <row r="26" spans="1:6">
      <c r="B26" s="85" t="s">
        <v>127</v>
      </c>
      <c r="C26" s="85" t="s">
        <v>123</v>
      </c>
    </row>
    <row r="27" spans="1:6">
      <c r="A27" t="s">
        <v>112</v>
      </c>
      <c r="B27">
        <v>7</v>
      </c>
      <c r="C27" s="89">
        <f>$B$36*B27</f>
        <v>3888888.8888888885</v>
      </c>
    </row>
    <row r="28" spans="1:6">
      <c r="A28" t="s">
        <v>113</v>
      </c>
      <c r="B28">
        <v>5</v>
      </c>
      <c r="C28" s="89">
        <f t="shared" ref="C28:C31" si="2">$B$36*B28</f>
        <v>2777777.7777777775</v>
      </c>
    </row>
    <row r="29" spans="1:6">
      <c r="A29" t="s">
        <v>114</v>
      </c>
      <c r="B29">
        <v>10</v>
      </c>
      <c r="C29" s="89">
        <f t="shared" si="2"/>
        <v>5555555.555555555</v>
      </c>
    </row>
    <row r="30" spans="1:6">
      <c r="A30" t="s">
        <v>115</v>
      </c>
      <c r="B30">
        <v>15</v>
      </c>
      <c r="C30" s="89">
        <f t="shared" si="2"/>
        <v>8333333.3333333321</v>
      </c>
    </row>
    <row r="31" spans="1:6">
      <c r="A31" t="s">
        <v>116</v>
      </c>
      <c r="B31">
        <v>6</v>
      </c>
      <c r="C31" s="89">
        <f t="shared" si="2"/>
        <v>3333333.333333333</v>
      </c>
    </row>
    <row r="32" spans="1:6">
      <c r="A32" t="s">
        <v>117</v>
      </c>
      <c r="B32">
        <v>11</v>
      </c>
      <c r="C32" s="89">
        <f>$B$36*B32</f>
        <v>6111111.1111111101</v>
      </c>
    </row>
    <row r="33" spans="1:3">
      <c r="A33" s="85" t="s">
        <v>124</v>
      </c>
      <c r="B33" s="85">
        <f>SUM(B27:B32)</f>
        <v>54</v>
      </c>
      <c r="C33" s="100">
        <f>SUM(C27:C32)</f>
        <v>29999999.999999993</v>
      </c>
    </row>
    <row r="34" spans="1:3">
      <c r="A34" t="s">
        <v>129</v>
      </c>
    </row>
    <row r="36" spans="1:3">
      <c r="A36" s="95">
        <v>30000000</v>
      </c>
      <c r="B36" s="95">
        <f>A36/B33</f>
        <v>555555.5555555555</v>
      </c>
    </row>
  </sheetData>
  <mergeCells count="4">
    <mergeCell ref="B2:E2"/>
    <mergeCell ref="A3:G4"/>
    <mergeCell ref="E13:F13"/>
    <mergeCell ref="A22:F24"/>
  </mergeCells>
  <phoneticPr fontId="1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9"/>
  <sheetViews>
    <sheetView zoomScale="86" zoomScaleNormal="86" workbookViewId="0">
      <selection activeCell="F15" sqref="F15"/>
    </sheetView>
  </sheetViews>
  <sheetFormatPr baseColWidth="10" defaultRowHeight="15"/>
  <cols>
    <col min="1" max="2" width="22" bestFit="1" customWidth="1"/>
    <col min="3" max="3" width="21.140625" bestFit="1" customWidth="1"/>
    <col min="4" max="5" width="33.5703125" bestFit="1" customWidth="1"/>
    <col min="6" max="6" width="15.5703125" bestFit="1" customWidth="1"/>
    <col min="7" max="9" width="16.140625" bestFit="1" customWidth="1"/>
    <col min="10" max="10" width="17.140625" bestFit="1" customWidth="1"/>
    <col min="11" max="11" width="15.42578125" bestFit="1" customWidth="1"/>
    <col min="12" max="12" width="13" bestFit="1" customWidth="1"/>
    <col min="13" max="13" width="29.7109375" bestFit="1" customWidth="1"/>
    <col min="14" max="14" width="30.7109375" bestFit="1" customWidth="1"/>
  </cols>
  <sheetData>
    <row r="1" spans="1:15" ht="15.75" thickBot="1"/>
    <row r="2" spans="1:15" ht="15.75" thickBot="1">
      <c r="C2" s="205" t="s">
        <v>130</v>
      </c>
      <c r="D2" s="206"/>
      <c r="E2" s="206"/>
      <c r="F2" s="206"/>
      <c r="G2" s="206"/>
      <c r="H2" s="206"/>
      <c r="I2" s="207"/>
    </row>
    <row r="3" spans="1:15" ht="15.75" thickBot="1">
      <c r="A3" s="201" t="s">
        <v>138</v>
      </c>
      <c r="B3" s="202"/>
      <c r="C3" s="203"/>
      <c r="D3" s="203"/>
      <c r="E3" s="204"/>
      <c r="F3" s="85"/>
    </row>
    <row r="4" spans="1:15" ht="15.75" thickBot="1">
      <c r="A4" s="118" t="s">
        <v>131</v>
      </c>
      <c r="B4" s="118" t="s">
        <v>132</v>
      </c>
      <c r="C4" s="118" t="s">
        <v>133</v>
      </c>
      <c r="D4" s="118" t="s">
        <v>134</v>
      </c>
      <c r="I4" s="86" t="s">
        <v>140</v>
      </c>
      <c r="J4" s="109" t="s">
        <v>145</v>
      </c>
      <c r="K4" s="109" t="s">
        <v>146</v>
      </c>
      <c r="L4" s="109" t="s">
        <v>147</v>
      </c>
      <c r="M4" s="119" t="s">
        <v>151</v>
      </c>
      <c r="N4" s="120" t="s">
        <v>157</v>
      </c>
      <c r="O4" s="121"/>
    </row>
    <row r="5" spans="1:15">
      <c r="A5" s="85" t="s">
        <v>135</v>
      </c>
      <c r="B5" s="101">
        <v>100</v>
      </c>
      <c r="C5" s="101">
        <v>130</v>
      </c>
      <c r="D5" s="101">
        <v>150</v>
      </c>
      <c r="I5" s="103" t="s">
        <v>141</v>
      </c>
      <c r="J5" s="104" t="s">
        <v>148</v>
      </c>
      <c r="K5" s="104">
        <v>150000</v>
      </c>
      <c r="L5" s="105">
        <v>1</v>
      </c>
      <c r="N5">
        <v>1</v>
      </c>
    </row>
    <row r="6" spans="1:15">
      <c r="A6" t="s">
        <v>136</v>
      </c>
      <c r="B6" s="102">
        <v>15</v>
      </c>
      <c r="C6" s="102">
        <f>+B7</f>
        <v>10</v>
      </c>
      <c r="D6" s="102">
        <f>+C7</f>
        <v>13</v>
      </c>
      <c r="I6" s="103" t="s">
        <v>142</v>
      </c>
      <c r="J6" s="104" t="s">
        <v>148</v>
      </c>
      <c r="K6" s="104">
        <v>110000</v>
      </c>
      <c r="L6" s="105">
        <v>1</v>
      </c>
      <c r="M6" s="122">
        <v>0.08</v>
      </c>
      <c r="N6" s="90">
        <f>L6*(1+M6)</f>
        <v>1.08</v>
      </c>
      <c r="O6" s="110"/>
    </row>
    <row r="7" spans="1:15">
      <c r="A7" t="s">
        <v>153</v>
      </c>
      <c r="B7" s="102">
        <f>+B5*10%</f>
        <v>10</v>
      </c>
      <c r="C7" s="102">
        <f>+C5*10%</f>
        <v>13</v>
      </c>
      <c r="D7" s="102">
        <f>+D5*10%</f>
        <v>15</v>
      </c>
      <c r="I7" s="103" t="s">
        <v>143</v>
      </c>
      <c r="J7" s="104" t="s">
        <v>149</v>
      </c>
      <c r="K7" s="104">
        <v>800</v>
      </c>
      <c r="L7" s="105">
        <v>10</v>
      </c>
      <c r="N7">
        <v>10</v>
      </c>
    </row>
    <row r="8" spans="1:15" ht="15.75" thickBot="1">
      <c r="A8" s="85" t="s">
        <v>137</v>
      </c>
      <c r="B8" s="102">
        <f>B5+B7-B6</f>
        <v>95</v>
      </c>
      <c r="C8" s="102">
        <f>C5+C7-C6</f>
        <v>133</v>
      </c>
      <c r="D8" s="102">
        <f>D5+D7-D6</f>
        <v>152</v>
      </c>
      <c r="I8" s="106" t="s">
        <v>144</v>
      </c>
      <c r="J8" s="107" t="s">
        <v>150</v>
      </c>
      <c r="K8" s="107">
        <v>1000</v>
      </c>
      <c r="L8" s="108">
        <v>5</v>
      </c>
      <c r="N8">
        <v>5</v>
      </c>
    </row>
    <row r="9" spans="1:15" ht="15.75" thickBot="1"/>
    <row r="10" spans="1:15" ht="15.75" thickBot="1">
      <c r="A10" s="195" t="s">
        <v>139</v>
      </c>
      <c r="B10" s="196"/>
      <c r="C10" s="196"/>
      <c r="D10" s="196"/>
      <c r="E10" s="197"/>
    </row>
    <row r="11" spans="1:15" ht="15.75" thickBot="1">
      <c r="A11" s="112" t="s">
        <v>156</v>
      </c>
      <c r="B11" s="113" t="s">
        <v>140</v>
      </c>
      <c r="C11" s="113" t="s">
        <v>132</v>
      </c>
      <c r="D11" s="113" t="s">
        <v>133</v>
      </c>
      <c r="E11" s="114" t="s">
        <v>134</v>
      </c>
      <c r="F11" s="111"/>
    </row>
    <row r="12" spans="1:15">
      <c r="A12" t="s">
        <v>154</v>
      </c>
      <c r="B12" t="s">
        <v>141</v>
      </c>
      <c r="C12" s="104">
        <f>B8*N5</f>
        <v>95</v>
      </c>
      <c r="D12" s="104">
        <f>C8*N5</f>
        <v>133</v>
      </c>
      <c r="E12" s="104">
        <f>D8*N5</f>
        <v>152</v>
      </c>
    </row>
    <row r="13" spans="1:15">
      <c r="A13" t="s">
        <v>154</v>
      </c>
      <c r="B13" t="s">
        <v>142</v>
      </c>
      <c r="C13" s="104">
        <f>B8*N6</f>
        <v>102.60000000000001</v>
      </c>
      <c r="D13" s="104">
        <f>C8*N6</f>
        <v>143.64000000000001</v>
      </c>
      <c r="E13" s="104">
        <f>D8*N6</f>
        <v>164.16000000000003</v>
      </c>
    </row>
    <row r="14" spans="1:15">
      <c r="A14" t="s">
        <v>155</v>
      </c>
      <c r="B14" t="s">
        <v>143</v>
      </c>
      <c r="C14" s="104">
        <f>B8*N7</f>
        <v>950</v>
      </c>
      <c r="D14" s="104">
        <f>C8*N7</f>
        <v>1330</v>
      </c>
      <c r="E14" s="104">
        <f>D8*N7</f>
        <v>1520</v>
      </c>
    </row>
    <row r="15" spans="1:15">
      <c r="A15" t="s">
        <v>155</v>
      </c>
      <c r="B15" t="s">
        <v>144</v>
      </c>
      <c r="C15" s="104">
        <f>B8*N8</f>
        <v>475</v>
      </c>
      <c r="D15" s="104">
        <f>C8*N8</f>
        <v>665</v>
      </c>
      <c r="E15" s="104">
        <f>D8*N8</f>
        <v>760</v>
      </c>
    </row>
    <row r="16" spans="1:15" ht="15.75" thickBot="1"/>
    <row r="17" spans="1:14" ht="15.75" thickBot="1">
      <c r="A17" s="195" t="s">
        <v>152</v>
      </c>
      <c r="B17" s="196"/>
      <c r="C17" s="196"/>
      <c r="D17" s="196"/>
      <c r="E17" s="197"/>
      <c r="F17" s="85"/>
    </row>
    <row r="18" spans="1:14" ht="15.75" thickBot="1">
      <c r="A18" s="115" t="s">
        <v>156</v>
      </c>
      <c r="B18" s="116" t="s">
        <v>140</v>
      </c>
      <c r="C18" s="116" t="s">
        <v>132</v>
      </c>
      <c r="D18" s="116" t="s">
        <v>133</v>
      </c>
      <c r="E18" s="117" t="s">
        <v>134</v>
      </c>
    </row>
    <row r="19" spans="1:14">
      <c r="A19" t="s">
        <v>154</v>
      </c>
      <c r="B19" t="s">
        <v>141</v>
      </c>
      <c r="C19" s="95">
        <f>C12*K5</f>
        <v>14250000</v>
      </c>
      <c r="D19" s="83">
        <f>D12*K5</f>
        <v>19950000</v>
      </c>
      <c r="E19" s="83">
        <f>E12*K5</f>
        <v>22800000</v>
      </c>
      <c r="F19" s="83"/>
    </row>
    <row r="20" spans="1:14">
      <c r="A20" t="s">
        <v>154</v>
      </c>
      <c r="B20" t="s">
        <v>142</v>
      </c>
      <c r="C20" s="95">
        <f>C13*K6</f>
        <v>11286000.000000002</v>
      </c>
      <c r="D20" s="83">
        <f>D13*K6</f>
        <v>15800400.000000002</v>
      </c>
      <c r="E20" s="83">
        <f>E13*K6</f>
        <v>18057600.000000004</v>
      </c>
      <c r="F20" s="83"/>
    </row>
    <row r="21" spans="1:14">
      <c r="A21" t="s">
        <v>155</v>
      </c>
      <c r="B21" t="s">
        <v>143</v>
      </c>
      <c r="C21" s="95">
        <f>C14*K7</f>
        <v>760000</v>
      </c>
      <c r="D21" s="83">
        <f>D14*K7</f>
        <v>1064000</v>
      </c>
      <c r="E21" s="83">
        <f>E14*K7</f>
        <v>1216000</v>
      </c>
      <c r="F21" s="83"/>
    </row>
    <row r="22" spans="1:14">
      <c r="A22" t="s">
        <v>155</v>
      </c>
      <c r="B22" t="s">
        <v>144</v>
      </c>
      <c r="C22" s="95">
        <f>C15*K8</f>
        <v>475000</v>
      </c>
      <c r="D22" s="83">
        <f>D15*K8</f>
        <v>665000</v>
      </c>
      <c r="E22" s="83">
        <f>E15*K8</f>
        <v>760000</v>
      </c>
      <c r="F22" s="83"/>
    </row>
    <row r="23" spans="1:14" ht="15.75" thickBot="1"/>
    <row r="24" spans="1:14" ht="15.75" thickBot="1">
      <c r="A24" s="126" t="s">
        <v>106</v>
      </c>
      <c r="B24" s="127">
        <v>1300000</v>
      </c>
      <c r="E24" s="129" t="s">
        <v>15</v>
      </c>
      <c r="F24" s="128" t="s">
        <v>164</v>
      </c>
      <c r="G24" s="128" t="s">
        <v>27</v>
      </c>
      <c r="H24" s="128" t="s">
        <v>17</v>
      </c>
      <c r="I24" s="128" t="s">
        <v>18</v>
      </c>
      <c r="J24" s="128" t="s">
        <v>19</v>
      </c>
      <c r="K24" s="128" t="s">
        <v>20</v>
      </c>
      <c r="L24" s="128" t="s">
        <v>21</v>
      </c>
      <c r="M24" s="128" t="s">
        <v>12</v>
      </c>
      <c r="N24" s="128" t="s">
        <v>165</v>
      </c>
    </row>
    <row r="25" spans="1:14" ht="15.75" thickBot="1">
      <c r="A25" s="128" t="s">
        <v>158</v>
      </c>
      <c r="B25" s="128" t="s">
        <v>102</v>
      </c>
      <c r="C25" s="128" t="s">
        <v>47</v>
      </c>
      <c r="D25" s="128" t="s">
        <v>163</v>
      </c>
      <c r="E25" s="124">
        <v>0.125</v>
      </c>
      <c r="F25" s="124">
        <v>0.16</v>
      </c>
      <c r="G25" s="124">
        <v>0.09</v>
      </c>
      <c r="H25" s="124">
        <v>4.3499999999999997E-2</v>
      </c>
      <c r="I25" s="124">
        <v>8.3299999999999999E-2</v>
      </c>
      <c r="J25" s="124">
        <v>0.01</v>
      </c>
      <c r="K25" s="124">
        <v>8.3299999999999999E-2</v>
      </c>
      <c r="L25" s="124">
        <v>4.1700000000000001E-2</v>
      </c>
    </row>
    <row r="26" spans="1:14">
      <c r="A26" t="s">
        <v>159</v>
      </c>
      <c r="B26" s="83">
        <v>800000</v>
      </c>
      <c r="C26" s="83">
        <v>162000</v>
      </c>
      <c r="D26" s="87">
        <f>B26+C26</f>
        <v>962000</v>
      </c>
      <c r="E26" s="89">
        <f>B24*E25</f>
        <v>162500</v>
      </c>
      <c r="F26" s="89">
        <f>B24*F25</f>
        <v>208000</v>
      </c>
      <c r="G26" s="89">
        <f>$B$24*G25</f>
        <v>117000</v>
      </c>
      <c r="H26" s="89">
        <f>$B$24*H25</f>
        <v>56549.999999999993</v>
      </c>
      <c r="I26" s="125">
        <f>B26*I25</f>
        <v>66640</v>
      </c>
      <c r="J26" s="125">
        <f>I26*J25</f>
        <v>666.4</v>
      </c>
      <c r="K26" s="125">
        <f>B26*K25</f>
        <v>66640</v>
      </c>
      <c r="L26" s="125">
        <f>B26*L25</f>
        <v>33360</v>
      </c>
      <c r="M26" s="87">
        <f>SUM(D26:L26)</f>
        <v>1673356.4</v>
      </c>
      <c r="N26" s="87">
        <f>M26/50</f>
        <v>33467.127999999997</v>
      </c>
    </row>
    <row r="27" spans="1:14">
      <c r="A27" t="s">
        <v>160</v>
      </c>
      <c r="B27" s="83">
        <v>1400000</v>
      </c>
      <c r="C27" s="83">
        <v>162000</v>
      </c>
      <c r="D27" s="87">
        <f t="shared" ref="D27:D29" si="0">B27+C27</f>
        <v>1562000</v>
      </c>
      <c r="E27" s="125">
        <f>$B$27*E25</f>
        <v>175000</v>
      </c>
      <c r="F27" s="125">
        <f>$B$27*F25</f>
        <v>224000</v>
      </c>
      <c r="G27" s="125">
        <f>$B$27*G25</f>
        <v>126000</v>
      </c>
      <c r="H27" s="125">
        <f>$B$27*H25</f>
        <v>60899.999999999993</v>
      </c>
      <c r="I27" s="125">
        <f>$B$27*I25</f>
        <v>116620</v>
      </c>
      <c r="J27" s="125">
        <f>$I$27*J25</f>
        <v>1166.2</v>
      </c>
      <c r="K27" s="125">
        <f t="shared" ref="K27:L27" si="1">$B$27*K25</f>
        <v>116620</v>
      </c>
      <c r="L27" s="125">
        <f t="shared" si="1"/>
        <v>58380</v>
      </c>
      <c r="M27" s="87">
        <f>SUM(D27:L27)</f>
        <v>2440686.2000000002</v>
      </c>
      <c r="N27" s="87">
        <f>M27/50</f>
        <v>48813.724000000002</v>
      </c>
    </row>
    <row r="28" spans="1:14">
      <c r="A28" t="s">
        <v>161</v>
      </c>
      <c r="B28" s="83">
        <v>1100000</v>
      </c>
      <c r="C28" s="83">
        <v>162000</v>
      </c>
      <c r="D28" s="87">
        <f>B28+C28</f>
        <v>1262000</v>
      </c>
      <c r="E28" s="89">
        <f>$B$24*E25</f>
        <v>162500</v>
      </c>
      <c r="F28" s="89">
        <f t="shared" ref="F28:H28" si="2">$B$24*F25</f>
        <v>208000</v>
      </c>
      <c r="G28" s="89">
        <f t="shared" si="2"/>
        <v>117000</v>
      </c>
      <c r="H28" s="89">
        <f t="shared" si="2"/>
        <v>56549.999999999993</v>
      </c>
      <c r="I28" s="125">
        <f>B28*I25</f>
        <v>91630</v>
      </c>
      <c r="J28" s="125">
        <f>I28*J25</f>
        <v>916.30000000000007</v>
      </c>
      <c r="K28" s="125">
        <f>B28*K25</f>
        <v>91630</v>
      </c>
      <c r="L28" s="125">
        <f>B28*L25</f>
        <v>45870</v>
      </c>
      <c r="M28" s="87">
        <f>SUM(D28:L28)</f>
        <v>2036096.3</v>
      </c>
      <c r="N28" s="87">
        <f>M28/50</f>
        <v>40721.925999999999</v>
      </c>
    </row>
    <row r="29" spans="1:14">
      <c r="A29" t="s">
        <v>162</v>
      </c>
      <c r="B29" s="123">
        <v>750000</v>
      </c>
      <c r="C29" s="83">
        <v>162000</v>
      </c>
      <c r="D29" s="87">
        <f t="shared" si="0"/>
        <v>912000</v>
      </c>
      <c r="E29" s="89">
        <f>$B$24*E25</f>
        <v>162500</v>
      </c>
      <c r="F29" s="89">
        <f>$B$24*F25</f>
        <v>208000</v>
      </c>
      <c r="G29" s="89">
        <f>$B$24*G25</f>
        <v>117000</v>
      </c>
      <c r="H29" s="89">
        <f>$B$24*H25</f>
        <v>56549.999999999993</v>
      </c>
      <c r="I29" s="125">
        <f>B29*I25</f>
        <v>62475</v>
      </c>
      <c r="J29" s="125">
        <f>I29*J25</f>
        <v>624.75</v>
      </c>
      <c r="K29" s="125">
        <f>B29*K25</f>
        <v>62475</v>
      </c>
      <c r="L29" s="125">
        <f>B29*L25</f>
        <v>31275</v>
      </c>
      <c r="M29" s="87">
        <f>SUM(D29:L29)</f>
        <v>1612899.75</v>
      </c>
      <c r="N29" s="87">
        <f>M29/50</f>
        <v>32257.994999999999</v>
      </c>
    </row>
    <row r="31" spans="1:14" ht="15.75" thickBot="1"/>
    <row r="32" spans="1:14" ht="15.75" thickBot="1">
      <c r="D32" s="208" t="s">
        <v>171</v>
      </c>
      <c r="E32" s="209"/>
      <c r="F32" s="210"/>
    </row>
    <row r="33" spans="4:7" ht="15.75" thickBot="1">
      <c r="D33" s="85" t="s">
        <v>172</v>
      </c>
      <c r="E33" t="s">
        <v>166</v>
      </c>
      <c r="F33" s="83">
        <v>1200000</v>
      </c>
      <c r="G33" s="132">
        <f>F33/F37</f>
        <v>6000</v>
      </c>
    </row>
    <row r="34" spans="4:7" ht="15.75" thickBot="1">
      <c r="D34" s="85" t="s">
        <v>173</v>
      </c>
      <c r="E34" t="s">
        <v>167</v>
      </c>
      <c r="F34" s="83">
        <v>350000</v>
      </c>
      <c r="G34" s="131">
        <f>F34/F37</f>
        <v>1750</v>
      </c>
    </row>
    <row r="35" spans="4:7">
      <c r="D35" s="85" t="s">
        <v>174</v>
      </c>
      <c r="E35" t="s">
        <v>169</v>
      </c>
      <c r="F35" s="83">
        <v>150000</v>
      </c>
    </row>
    <row r="36" spans="4:7" ht="15.75" thickBot="1">
      <c r="D36" s="85" t="s">
        <v>174</v>
      </c>
      <c r="E36" t="s">
        <v>170</v>
      </c>
      <c r="F36" s="83">
        <v>3500000</v>
      </c>
    </row>
    <row r="37" spans="4:7" ht="30.75" thickBot="1">
      <c r="E37" s="133" t="s">
        <v>168</v>
      </c>
      <c r="F37" s="134">
        <v>200</v>
      </c>
    </row>
    <row r="38" spans="4:7">
      <c r="D38" s="130"/>
    </row>
    <row r="39" spans="4:7">
      <c r="D39" s="130"/>
    </row>
  </sheetData>
  <mergeCells count="5">
    <mergeCell ref="A17:E17"/>
    <mergeCell ref="A3:E3"/>
    <mergeCell ref="C2:I2"/>
    <mergeCell ref="A10:E10"/>
    <mergeCell ref="D32:F32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7"/>
  <sheetViews>
    <sheetView workbookViewId="0">
      <selection activeCell="H41" sqref="H41"/>
    </sheetView>
  </sheetViews>
  <sheetFormatPr baseColWidth="10" defaultRowHeight="15"/>
  <cols>
    <col min="1" max="1" width="20.85546875" customWidth="1"/>
    <col min="2" max="2" width="14.5703125" bestFit="1" customWidth="1"/>
    <col min="3" max="3" width="17.28515625" bestFit="1" customWidth="1"/>
    <col min="4" max="4" width="15.7109375" customWidth="1"/>
    <col min="5" max="5" width="13" bestFit="1" customWidth="1"/>
    <col min="6" max="6" width="22.85546875" customWidth="1"/>
    <col min="10" max="10" width="12" bestFit="1" customWidth="1"/>
  </cols>
  <sheetData>
    <row r="1" spans="1:8" ht="15.75" thickBot="1"/>
    <row r="2" spans="1:8" ht="15.75" thickBot="1">
      <c r="B2" s="195" t="s">
        <v>175</v>
      </c>
      <c r="C2" s="196"/>
      <c r="D2" s="196"/>
      <c r="E2" s="196"/>
      <c r="F2" s="197"/>
    </row>
    <row r="3" spans="1:8" ht="15.75" thickBot="1">
      <c r="B3" s="214" t="s">
        <v>176</v>
      </c>
      <c r="C3" s="215"/>
      <c r="D3" s="215"/>
      <c r="E3" s="215"/>
      <c r="F3" s="216"/>
    </row>
    <row r="4" spans="1:8">
      <c r="A4" t="s">
        <v>177</v>
      </c>
      <c r="D4" t="s">
        <v>178</v>
      </c>
    </row>
    <row r="5" spans="1:8">
      <c r="A5" t="s">
        <v>180</v>
      </c>
      <c r="D5" t="s">
        <v>179</v>
      </c>
    </row>
    <row r="6" spans="1:8">
      <c r="A6" t="s">
        <v>181</v>
      </c>
    </row>
    <row r="7" spans="1:8">
      <c r="A7" t="s">
        <v>182</v>
      </c>
    </row>
    <row r="8" spans="1:8" ht="15.75" thickBot="1"/>
    <row r="9" spans="1:8" ht="15.75" thickBot="1">
      <c r="B9" s="195" t="s">
        <v>183</v>
      </c>
      <c r="C9" s="196"/>
      <c r="D9" s="196"/>
      <c r="E9" s="196"/>
      <c r="F9" s="197"/>
    </row>
    <row r="10" spans="1:8">
      <c r="A10" t="s">
        <v>184</v>
      </c>
    </row>
    <row r="11" spans="1:8">
      <c r="A11" t="s">
        <v>185</v>
      </c>
    </row>
    <row r="12" spans="1:8" ht="15.75" thickBot="1"/>
    <row r="13" spans="1:8" ht="15.75" thickBot="1">
      <c r="B13" s="211" t="s">
        <v>211</v>
      </c>
      <c r="C13" s="212"/>
      <c r="D13" s="212"/>
      <c r="E13" s="212"/>
      <c r="F13" s="213"/>
      <c r="H13" s="86" t="s">
        <v>197</v>
      </c>
    </row>
    <row r="14" spans="1:8" ht="15.75" thickBot="1">
      <c r="A14" s="86" t="s">
        <v>186</v>
      </c>
      <c r="B14" s="86" t="s">
        <v>187</v>
      </c>
      <c r="C14" s="86" t="s">
        <v>191</v>
      </c>
      <c r="D14" s="86" t="s">
        <v>188</v>
      </c>
      <c r="E14" s="86" t="s">
        <v>189</v>
      </c>
      <c r="H14" s="85" t="s">
        <v>198</v>
      </c>
    </row>
    <row r="15" spans="1:8">
      <c r="A15" t="s">
        <v>190</v>
      </c>
      <c r="B15">
        <v>75</v>
      </c>
      <c r="C15" t="s">
        <v>192</v>
      </c>
      <c r="D15" s="83">
        <v>9800</v>
      </c>
      <c r="E15" s="83">
        <f>D15*B15</f>
        <v>735000</v>
      </c>
    </row>
    <row r="16" spans="1:8">
      <c r="A16" t="s">
        <v>193</v>
      </c>
      <c r="B16">
        <v>5</v>
      </c>
      <c r="C16" t="s">
        <v>196</v>
      </c>
      <c r="D16" s="83">
        <v>3200</v>
      </c>
      <c r="E16" s="83">
        <f t="shared" ref="E16:E17" si="0">D16*B16</f>
        <v>16000</v>
      </c>
    </row>
    <row r="17" spans="1:11">
      <c r="A17" t="s">
        <v>194</v>
      </c>
      <c r="B17">
        <v>5</v>
      </c>
      <c r="C17" t="s">
        <v>196</v>
      </c>
      <c r="D17" s="83">
        <v>3200</v>
      </c>
      <c r="E17" s="83">
        <f t="shared" si="0"/>
        <v>16000</v>
      </c>
    </row>
    <row r="18" spans="1:11">
      <c r="A18" t="s">
        <v>195</v>
      </c>
      <c r="B18">
        <v>100</v>
      </c>
      <c r="D18" s="83">
        <v>200</v>
      </c>
      <c r="E18" s="83">
        <f>D18*B18</f>
        <v>20000</v>
      </c>
    </row>
    <row r="19" spans="1:11">
      <c r="C19" s="85" t="s">
        <v>124</v>
      </c>
      <c r="D19" s="83">
        <f>SUM(D15:D18)</f>
        <v>16400</v>
      </c>
      <c r="E19" s="83">
        <f>SUM(E15:E18)</f>
        <v>787000</v>
      </c>
    </row>
    <row r="20" spans="1:11" ht="15.75" thickBot="1"/>
    <row r="21" spans="1:11" ht="15.75" thickBot="1">
      <c r="B21" s="211" t="s">
        <v>199</v>
      </c>
      <c r="C21" s="212"/>
      <c r="D21" s="212"/>
      <c r="E21" s="212"/>
      <c r="F21" s="213"/>
    </row>
    <row r="22" spans="1:11" ht="15.75" thickBot="1"/>
    <row r="23" spans="1:11" ht="15.75" thickBot="1">
      <c r="A23" t="s">
        <v>200</v>
      </c>
      <c r="F23" s="86" t="s">
        <v>176</v>
      </c>
      <c r="G23" s="86" t="s">
        <v>207</v>
      </c>
      <c r="H23" s="86" t="s">
        <v>208</v>
      </c>
      <c r="I23" s="86" t="s">
        <v>209</v>
      </c>
      <c r="J23" s="86" t="s">
        <v>210</v>
      </c>
      <c r="K23" s="86" t="s">
        <v>189</v>
      </c>
    </row>
    <row r="24" spans="1:11">
      <c r="A24" t="s">
        <v>201</v>
      </c>
      <c r="F24">
        <v>1014</v>
      </c>
      <c r="G24">
        <v>4</v>
      </c>
      <c r="H24" t="s">
        <v>212</v>
      </c>
      <c r="I24" t="s">
        <v>213</v>
      </c>
      <c r="J24" s="87">
        <f>B28</f>
        <v>12595</v>
      </c>
      <c r="K24" s="87">
        <f>J24*8</f>
        <v>100760</v>
      </c>
    </row>
    <row r="25" spans="1:11">
      <c r="A25" t="s">
        <v>202</v>
      </c>
      <c r="G25">
        <v>4</v>
      </c>
      <c r="H25" t="s">
        <v>214</v>
      </c>
      <c r="I25" t="s">
        <v>215</v>
      </c>
    </row>
    <row r="26" spans="1:11">
      <c r="A26" t="s">
        <v>203</v>
      </c>
      <c r="B26" s="83">
        <v>1800000</v>
      </c>
      <c r="G26">
        <v>4</v>
      </c>
      <c r="H26" t="s">
        <v>216</v>
      </c>
      <c r="I26" t="s">
        <v>217</v>
      </c>
    </row>
    <row r="27" spans="1:11" ht="15.75" thickBot="1">
      <c r="A27" t="s">
        <v>204</v>
      </c>
      <c r="G27">
        <v>4</v>
      </c>
      <c r="H27" t="s">
        <v>217</v>
      </c>
      <c r="I27" t="s">
        <v>218</v>
      </c>
      <c r="J27" t="s">
        <v>219</v>
      </c>
      <c r="K27" s="87">
        <f>J24*J30</f>
        <v>314875</v>
      </c>
    </row>
    <row r="28" spans="1:11" ht="15.75" thickBot="1">
      <c r="A28" t="s">
        <v>205</v>
      </c>
      <c r="B28" s="83">
        <v>12595</v>
      </c>
      <c r="C28" s="217" t="s">
        <v>206</v>
      </c>
      <c r="D28" s="218"/>
      <c r="E28" s="219"/>
      <c r="G28">
        <f>SUM(G24:G27)</f>
        <v>16</v>
      </c>
    </row>
    <row r="29" spans="1:11">
      <c r="C29" s="220"/>
      <c r="D29" s="221"/>
      <c r="E29" s="222"/>
      <c r="I29" s="135">
        <v>8</v>
      </c>
      <c r="J29" s="136">
        <v>16</v>
      </c>
    </row>
    <row r="30" spans="1:11" ht="15.75" thickBot="1">
      <c r="C30" s="223"/>
      <c r="D30" s="224"/>
      <c r="E30" s="225"/>
      <c r="I30" s="106">
        <v>50</v>
      </c>
      <c r="J30" s="137">
        <f>I30*I29/J29</f>
        <v>25</v>
      </c>
    </row>
    <row r="31" spans="1:11" ht="15.75" thickBot="1"/>
    <row r="32" spans="1:11" ht="15.75" thickBot="1">
      <c r="B32" s="211" t="s">
        <v>220</v>
      </c>
      <c r="C32" s="212"/>
      <c r="D32" s="212"/>
      <c r="E32" s="212"/>
      <c r="F32" s="213"/>
    </row>
    <row r="33" spans="1:6" ht="15.75" thickBot="1">
      <c r="A33" t="s">
        <v>221</v>
      </c>
    </row>
    <row r="34" spans="1:6" ht="15.75" thickBot="1">
      <c r="A34" s="87">
        <f>K27</f>
        <v>314875</v>
      </c>
      <c r="B34" s="122">
        <v>0.6</v>
      </c>
      <c r="C34" s="138">
        <f>A34*B34</f>
        <v>188925</v>
      </c>
    </row>
    <row r="35" spans="1:6" ht="15.75" thickBot="1"/>
    <row r="36" spans="1:6" ht="15.75" thickBot="1">
      <c r="B36" s="211" t="s">
        <v>222</v>
      </c>
      <c r="C36" s="212"/>
      <c r="D36" s="212"/>
      <c r="E36" s="212"/>
      <c r="F36" s="213"/>
    </row>
    <row r="37" spans="1:6">
      <c r="A37" t="s">
        <v>223</v>
      </c>
      <c r="B37">
        <v>1014</v>
      </c>
    </row>
    <row r="38" spans="1:6" ht="15.75" thickBot="1">
      <c r="A38" t="s">
        <v>177</v>
      </c>
    </row>
    <row r="39" spans="1:6" ht="15.75" thickBot="1">
      <c r="A39" t="s">
        <v>224</v>
      </c>
      <c r="B39" t="s">
        <v>225</v>
      </c>
      <c r="D39" s="139" t="s">
        <v>228</v>
      </c>
      <c r="E39" s="139" t="s">
        <v>158</v>
      </c>
      <c r="F39" s="140" t="s">
        <v>229</v>
      </c>
    </row>
    <row r="40" spans="1:6" ht="15.75" thickBot="1">
      <c r="A40" t="s">
        <v>226</v>
      </c>
      <c r="D40" s="195" t="s">
        <v>230</v>
      </c>
      <c r="E40" s="196"/>
      <c r="F40" s="197"/>
    </row>
    <row r="41" spans="1:6">
      <c r="A41" t="s">
        <v>227</v>
      </c>
      <c r="D41" s="87">
        <f>E19</f>
        <v>787000</v>
      </c>
      <c r="E41" s="87">
        <f>K27</f>
        <v>314875</v>
      </c>
      <c r="F41" s="87">
        <f>C34</f>
        <v>188925</v>
      </c>
    </row>
    <row r="42" spans="1:6" ht="15.75" thickBot="1"/>
    <row r="43" spans="1:6" ht="15.75" thickBot="1">
      <c r="C43" s="86" t="s">
        <v>231</v>
      </c>
      <c r="D43" s="87">
        <f>D41+E41+F41</f>
        <v>1290800</v>
      </c>
    </row>
    <row r="44" spans="1:6" ht="15.75" thickBot="1">
      <c r="C44" s="141" t="s">
        <v>232</v>
      </c>
      <c r="D44" s="87">
        <f>D43/50</f>
        <v>25816</v>
      </c>
    </row>
    <row r="46" spans="1:6">
      <c r="C46" t="s">
        <v>233</v>
      </c>
    </row>
    <row r="47" spans="1:6">
      <c r="C47" t="s">
        <v>234</v>
      </c>
    </row>
  </sheetData>
  <mergeCells count="9">
    <mergeCell ref="B32:F32"/>
    <mergeCell ref="B36:F36"/>
    <mergeCell ref="D40:F40"/>
    <mergeCell ref="B2:F2"/>
    <mergeCell ref="B3:F3"/>
    <mergeCell ref="B9:F9"/>
    <mergeCell ref="B13:F13"/>
    <mergeCell ref="B21:F21"/>
    <mergeCell ref="C28:E3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50"/>
  <sheetViews>
    <sheetView topLeftCell="A34" workbookViewId="0">
      <selection activeCell="E3" sqref="E3"/>
    </sheetView>
  </sheetViews>
  <sheetFormatPr baseColWidth="10" defaultRowHeight="15"/>
  <cols>
    <col min="1" max="1" width="27.28515625" customWidth="1"/>
    <col min="2" max="2" width="13.140625" bestFit="1" customWidth="1"/>
    <col min="3" max="3" width="13" bestFit="1" customWidth="1"/>
    <col min="4" max="4" width="23.85546875" customWidth="1"/>
    <col min="5" max="5" width="28" customWidth="1"/>
    <col min="8" max="8" width="12" bestFit="1" customWidth="1"/>
  </cols>
  <sheetData>
    <row r="2" spans="1:2">
      <c r="A2" t="s">
        <v>235</v>
      </c>
    </row>
    <row r="3" spans="1:2">
      <c r="A3" t="s">
        <v>236</v>
      </c>
    </row>
    <row r="4" spans="1:2">
      <c r="A4" t="s">
        <v>237</v>
      </c>
    </row>
    <row r="5" spans="1:2">
      <c r="A5" t="s">
        <v>238</v>
      </c>
    </row>
    <row r="6" spans="1:2">
      <c r="A6" t="s">
        <v>239</v>
      </c>
    </row>
    <row r="7" spans="1:2">
      <c r="A7" t="s">
        <v>240</v>
      </c>
      <c r="B7" s="83">
        <v>120000</v>
      </c>
    </row>
    <row r="8" spans="1:2">
      <c r="A8" t="s">
        <v>243</v>
      </c>
      <c r="B8" s="83"/>
    </row>
    <row r="9" spans="1:2">
      <c r="A9" t="s">
        <v>228</v>
      </c>
      <c r="B9" s="83">
        <v>80000</v>
      </c>
    </row>
    <row r="10" spans="1:2">
      <c r="A10" t="s">
        <v>158</v>
      </c>
      <c r="B10" s="83">
        <v>28000</v>
      </c>
    </row>
    <row r="11" spans="1:2">
      <c r="A11" t="s">
        <v>229</v>
      </c>
      <c r="B11" s="83">
        <v>12000</v>
      </c>
    </row>
    <row r="13" spans="1:2">
      <c r="A13" t="s">
        <v>242</v>
      </c>
    </row>
    <row r="15" spans="1:2">
      <c r="A15" t="s">
        <v>241</v>
      </c>
    </row>
    <row r="16" spans="1:2">
      <c r="A16" t="s">
        <v>244</v>
      </c>
      <c r="B16" s="83">
        <v>14400</v>
      </c>
    </row>
    <row r="17" spans="1:8">
      <c r="A17" t="s">
        <v>158</v>
      </c>
      <c r="B17" s="83">
        <v>9600</v>
      </c>
    </row>
    <row r="19" spans="1:8">
      <c r="A19" t="s">
        <v>245</v>
      </c>
    </row>
    <row r="21" spans="1:8">
      <c r="A21" t="s">
        <v>246</v>
      </c>
    </row>
    <row r="22" spans="1:8">
      <c r="A22" t="s">
        <v>247</v>
      </c>
      <c r="B22" s="83">
        <v>7200</v>
      </c>
    </row>
    <row r="23" spans="1:8">
      <c r="A23" t="s">
        <v>158</v>
      </c>
      <c r="B23" s="83">
        <v>12000</v>
      </c>
    </row>
    <row r="25" spans="1:8">
      <c r="A25" t="s">
        <v>248</v>
      </c>
      <c r="F25" t="s">
        <v>258</v>
      </c>
    </row>
    <row r="26" spans="1:8">
      <c r="F26" t="s">
        <v>259</v>
      </c>
      <c r="H26" s="83">
        <f>C29</f>
        <v>60000</v>
      </c>
    </row>
    <row r="27" spans="1:8">
      <c r="A27" t="s">
        <v>249</v>
      </c>
      <c r="F27" t="s">
        <v>260</v>
      </c>
      <c r="H27" s="83">
        <f>C31*60%</f>
        <v>7200</v>
      </c>
    </row>
    <row r="28" spans="1:8">
      <c r="A28" s="143" t="s">
        <v>250</v>
      </c>
      <c r="B28" t="s">
        <v>251</v>
      </c>
      <c r="C28" t="s">
        <v>89</v>
      </c>
      <c r="H28" s="83">
        <f>H26+H27</f>
        <v>67200</v>
      </c>
    </row>
    <row r="29" spans="1:8">
      <c r="A29" t="s">
        <v>252</v>
      </c>
      <c r="B29" s="83">
        <f>C32-C30</f>
        <v>72000</v>
      </c>
      <c r="C29" s="83">
        <v>60000</v>
      </c>
    </row>
    <row r="30" spans="1:8">
      <c r="A30" t="s">
        <v>253</v>
      </c>
      <c r="B30" s="83"/>
      <c r="C30" s="83">
        <v>6000</v>
      </c>
    </row>
    <row r="31" spans="1:8">
      <c r="A31" t="s">
        <v>254</v>
      </c>
      <c r="B31" s="83"/>
      <c r="C31" s="83">
        <v>12000</v>
      </c>
    </row>
    <row r="32" spans="1:8">
      <c r="B32" s="83"/>
      <c r="C32" s="83">
        <f>C29+C30+C31</f>
        <v>78000</v>
      </c>
    </row>
    <row r="33" spans="1:8">
      <c r="A33" t="s">
        <v>255</v>
      </c>
      <c r="B33" s="87">
        <f>H28</f>
        <v>67200</v>
      </c>
    </row>
    <row r="34" spans="1:8">
      <c r="A34" t="s">
        <v>256</v>
      </c>
      <c r="C34" s="85"/>
      <c r="D34" s="85" t="s">
        <v>232</v>
      </c>
      <c r="E34" s="85"/>
      <c r="F34" s="85" t="s">
        <v>262</v>
      </c>
      <c r="G34" s="85" t="s">
        <v>266</v>
      </c>
      <c r="H34" s="85" t="s">
        <v>267</v>
      </c>
    </row>
    <row r="35" spans="1:8">
      <c r="A35" t="s">
        <v>140</v>
      </c>
      <c r="C35" s="83">
        <f>B9</f>
        <v>80000</v>
      </c>
      <c r="D35" s="90">
        <f>C35/$B$33</f>
        <v>1.1904761904761905</v>
      </c>
      <c r="E35" t="s">
        <v>263</v>
      </c>
      <c r="F35" s="87">
        <f>H27</f>
        <v>7200</v>
      </c>
      <c r="G35" s="90">
        <f>D35</f>
        <v>1.1904761904761905</v>
      </c>
      <c r="H35" s="87">
        <f>F35*G35</f>
        <v>8571.4285714285706</v>
      </c>
    </row>
    <row r="36" spans="1:8">
      <c r="A36" t="s">
        <v>158</v>
      </c>
      <c r="C36" s="83">
        <f>B10</f>
        <v>28000</v>
      </c>
      <c r="D36" s="90">
        <f t="shared" ref="D36:D37" si="0">C36/$B$33</f>
        <v>0.41666666666666669</v>
      </c>
      <c r="E36" t="s">
        <v>264</v>
      </c>
      <c r="F36" s="87">
        <f>H27</f>
        <v>7200</v>
      </c>
      <c r="G36" s="90">
        <f>D36</f>
        <v>0.41666666666666669</v>
      </c>
      <c r="H36" s="87">
        <f t="shared" ref="H36:H37" si="1">F36*G36</f>
        <v>3000</v>
      </c>
    </row>
    <row r="37" spans="1:8">
      <c r="A37" t="s">
        <v>229</v>
      </c>
      <c r="C37" s="83">
        <f>B11</f>
        <v>12000</v>
      </c>
      <c r="D37" s="90">
        <f t="shared" si="0"/>
        <v>0.17857142857142858</v>
      </c>
      <c r="E37" t="s">
        <v>265</v>
      </c>
      <c r="F37" s="87">
        <f>H27</f>
        <v>7200</v>
      </c>
      <c r="G37" s="90">
        <f>D37</f>
        <v>0.17857142857142858</v>
      </c>
      <c r="H37" s="87">
        <f t="shared" si="1"/>
        <v>1285.7142857142858</v>
      </c>
    </row>
    <row r="38" spans="1:8">
      <c r="A38" t="s">
        <v>257</v>
      </c>
      <c r="C38" s="142">
        <f>SUM(C35:C37)</f>
        <v>120000</v>
      </c>
      <c r="D38" s="97">
        <f>C38/$B$33</f>
        <v>1.7857142857142858</v>
      </c>
      <c r="H38" s="144">
        <f>SUM(H35:H37)</f>
        <v>12857.142857142857</v>
      </c>
    </row>
    <row r="39" spans="1:8">
      <c r="D39" s="90">
        <f>SUM(D35:D38)</f>
        <v>3.5714285714285716</v>
      </c>
    </row>
    <row r="41" spans="1:8">
      <c r="A41" s="143" t="s">
        <v>261</v>
      </c>
      <c r="D41" t="s">
        <v>259</v>
      </c>
      <c r="F41" s="83">
        <f>B42</f>
        <v>36000</v>
      </c>
    </row>
    <row r="42" spans="1:8">
      <c r="A42" t="s">
        <v>89</v>
      </c>
      <c r="B42" s="83">
        <v>36000</v>
      </c>
      <c r="D42" t="s">
        <v>260</v>
      </c>
      <c r="F42" s="83">
        <f>B43*40%</f>
        <v>9600</v>
      </c>
    </row>
    <row r="43" spans="1:8">
      <c r="A43" t="s">
        <v>268</v>
      </c>
      <c r="B43" s="83">
        <v>24000</v>
      </c>
      <c r="F43" s="83">
        <f>F41+F42</f>
        <v>45600</v>
      </c>
    </row>
    <row r="44" spans="1:8">
      <c r="B44" s="87">
        <f>B42+B43</f>
        <v>60000</v>
      </c>
    </row>
    <row r="45" spans="1:8">
      <c r="A45" t="s">
        <v>255</v>
      </c>
      <c r="B45" s="87">
        <f>F43</f>
        <v>45600</v>
      </c>
    </row>
    <row r="46" spans="1:8">
      <c r="C46" s="85" t="s">
        <v>232</v>
      </c>
      <c r="D46" s="85"/>
      <c r="E46" s="85" t="s">
        <v>270</v>
      </c>
      <c r="F46" s="85" t="s">
        <v>266</v>
      </c>
      <c r="G46" s="85" t="s">
        <v>267</v>
      </c>
    </row>
    <row r="47" spans="1:8">
      <c r="A47" t="s">
        <v>247</v>
      </c>
      <c r="B47" s="83">
        <v>7200</v>
      </c>
      <c r="C47" s="90">
        <f>B47/$B$45</f>
        <v>0.15789473684210525</v>
      </c>
      <c r="D47" t="s">
        <v>247</v>
      </c>
      <c r="E47" s="87">
        <f>F43</f>
        <v>45600</v>
      </c>
      <c r="F47" s="90">
        <f>C47</f>
        <v>0.15789473684210525</v>
      </c>
      <c r="G47" s="87">
        <f>E47*F47</f>
        <v>7200</v>
      </c>
    </row>
    <row r="48" spans="1:8">
      <c r="A48" t="s">
        <v>158</v>
      </c>
      <c r="B48" s="83">
        <v>12000</v>
      </c>
      <c r="C48" s="90">
        <f t="shared" ref="C48" si="2">B48/$B$45</f>
        <v>0.26315789473684209</v>
      </c>
      <c r="D48" t="s">
        <v>158</v>
      </c>
      <c r="E48" s="87">
        <f>F43</f>
        <v>45600</v>
      </c>
      <c r="F48" s="90">
        <f>C48</f>
        <v>0.26315789473684209</v>
      </c>
      <c r="G48" s="87">
        <f>E48*F48</f>
        <v>12000</v>
      </c>
    </row>
    <row r="49" spans="1:7">
      <c r="A49" t="s">
        <v>269</v>
      </c>
      <c r="B49" s="144">
        <f>B47+B48</f>
        <v>19200</v>
      </c>
      <c r="C49" s="90">
        <f>B49/$B$45</f>
        <v>0.42105263157894735</v>
      </c>
      <c r="G49" s="87">
        <f>G47+G48</f>
        <v>19200</v>
      </c>
    </row>
    <row r="50" spans="1:7">
      <c r="B50" s="85"/>
      <c r="C50" s="90">
        <f>SUM(C47:C49)</f>
        <v>0.84210526315789469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8"/>
  <sheetViews>
    <sheetView topLeftCell="B5" workbookViewId="0">
      <selection activeCell="G15" sqref="G15"/>
    </sheetView>
  </sheetViews>
  <sheetFormatPr baseColWidth="10" defaultRowHeight="15"/>
  <cols>
    <col min="1" max="1" width="24.140625" customWidth="1"/>
    <col min="8" max="8" width="23.28515625" customWidth="1"/>
    <col min="9" max="9" width="13" bestFit="1" customWidth="1"/>
    <col min="11" max="11" width="23.85546875" customWidth="1"/>
    <col min="13" max="13" width="13.42578125" customWidth="1"/>
    <col min="14" max="14" width="13.140625" customWidth="1"/>
  </cols>
  <sheetData>
    <row r="1" spans="1:14" ht="15.75" thickBot="1">
      <c r="D1" s="214" t="s">
        <v>274</v>
      </c>
      <c r="E1" s="215"/>
      <c r="F1" s="215"/>
      <c r="G1" s="215"/>
      <c r="H1" s="215"/>
      <c r="I1" s="215"/>
      <c r="J1" s="215"/>
      <c r="K1" s="216"/>
    </row>
    <row r="2" spans="1:14">
      <c r="A2" t="s">
        <v>271</v>
      </c>
    </row>
    <row r="3" spans="1:14" ht="15.75" thickBot="1">
      <c r="A3" t="s">
        <v>239</v>
      </c>
    </row>
    <row r="4" spans="1:14" ht="15.75" thickBot="1">
      <c r="A4" s="145" t="s">
        <v>240</v>
      </c>
      <c r="B4" s="83">
        <v>120000</v>
      </c>
    </row>
    <row r="5" spans="1:14" ht="15.75" thickBot="1">
      <c r="A5" t="s">
        <v>243</v>
      </c>
      <c r="B5" s="83"/>
      <c r="H5" s="229" t="s">
        <v>275</v>
      </c>
      <c r="I5" s="230"/>
      <c r="J5" s="230"/>
      <c r="K5" s="230"/>
      <c r="L5" s="230"/>
      <c r="M5" s="230"/>
      <c r="N5" s="231"/>
    </row>
    <row r="6" spans="1:14" ht="15.75" thickBot="1">
      <c r="A6" t="s">
        <v>228</v>
      </c>
      <c r="B6" s="83">
        <v>80000</v>
      </c>
      <c r="I6" s="226" t="s">
        <v>276</v>
      </c>
      <c r="J6" s="227"/>
      <c r="K6" s="227"/>
      <c r="L6" s="227"/>
      <c r="M6" s="228"/>
    </row>
    <row r="7" spans="1:14" ht="15.75" thickBot="1">
      <c r="A7" t="s">
        <v>158</v>
      </c>
      <c r="B7" s="83">
        <v>28000</v>
      </c>
      <c r="H7" t="s">
        <v>277</v>
      </c>
      <c r="I7" s="83">
        <v>60000</v>
      </c>
    </row>
    <row r="8" spans="1:14" ht="15.75" thickBot="1">
      <c r="A8" t="s">
        <v>229</v>
      </c>
      <c r="B8" s="83">
        <v>12000</v>
      </c>
      <c r="H8" t="s">
        <v>278</v>
      </c>
      <c r="I8" s="83">
        <f>I11-I9</f>
        <v>72000</v>
      </c>
      <c r="K8" s="195" t="s">
        <v>282</v>
      </c>
      <c r="L8" s="196"/>
      <c r="M8" s="197"/>
    </row>
    <row r="9" spans="1:14">
      <c r="H9" t="s">
        <v>279</v>
      </c>
      <c r="I9" s="83">
        <v>6000</v>
      </c>
      <c r="M9" t="s">
        <v>232</v>
      </c>
      <c r="N9" t="s">
        <v>267</v>
      </c>
    </row>
    <row r="10" spans="1:14">
      <c r="A10" s="190" t="s">
        <v>272</v>
      </c>
      <c r="B10" s="190"/>
      <c r="C10" s="190"/>
      <c r="D10" s="190"/>
      <c r="E10" s="190"/>
      <c r="F10" s="190"/>
      <c r="H10" t="s">
        <v>280</v>
      </c>
      <c r="I10" s="83">
        <v>12000</v>
      </c>
      <c r="K10" t="s">
        <v>228</v>
      </c>
      <c r="L10" s="83">
        <v>80000</v>
      </c>
      <c r="M10" s="90">
        <f>L10/$I$14</f>
        <v>1.1904761904761905</v>
      </c>
      <c r="N10" s="147">
        <f>$I$13*M10</f>
        <v>8571.4285714285706</v>
      </c>
    </row>
    <row r="11" spans="1:14">
      <c r="A11" s="190"/>
      <c r="B11" s="190"/>
      <c r="C11" s="190"/>
      <c r="D11" s="190"/>
      <c r="E11" s="190"/>
      <c r="F11" s="190"/>
      <c r="H11" t="s">
        <v>281</v>
      </c>
      <c r="I11" s="142">
        <f>I7+I9+I10</f>
        <v>78000</v>
      </c>
      <c r="K11" t="s">
        <v>158</v>
      </c>
      <c r="L11" s="83">
        <v>28000</v>
      </c>
      <c r="M11" s="90">
        <f>L11/$I$14</f>
        <v>0.41666666666666669</v>
      </c>
      <c r="N11" s="147">
        <f t="shared" ref="N11:N13" si="0">$I$13*M11</f>
        <v>3000</v>
      </c>
    </row>
    <row r="12" spans="1:14">
      <c r="A12" s="190"/>
      <c r="B12" s="190"/>
      <c r="C12" s="190"/>
      <c r="D12" s="190"/>
      <c r="E12" s="190"/>
      <c r="F12" s="190"/>
      <c r="K12" t="s">
        <v>229</v>
      </c>
      <c r="L12" s="83">
        <v>12000</v>
      </c>
      <c r="M12" s="90">
        <f>L12/$I$14</f>
        <v>0.17857142857142858</v>
      </c>
      <c r="N12" s="147">
        <f t="shared" si="0"/>
        <v>1285.7142857142858</v>
      </c>
    </row>
    <row r="13" spans="1:14">
      <c r="A13" s="190"/>
      <c r="B13" s="190"/>
      <c r="C13" s="190"/>
      <c r="D13" s="190"/>
      <c r="E13" s="190"/>
      <c r="F13" s="190"/>
      <c r="H13" t="s">
        <v>255</v>
      </c>
      <c r="I13" s="87">
        <f>I10*60%</f>
        <v>7200</v>
      </c>
      <c r="K13" s="85" t="s">
        <v>284</v>
      </c>
      <c r="L13" s="144">
        <f>SUM(L10:L12)</f>
        <v>120000</v>
      </c>
      <c r="M13" s="146">
        <f>SUM(M10:M12)</f>
        <v>1.7857142857142858</v>
      </c>
      <c r="N13" s="148">
        <f t="shared" si="0"/>
        <v>12857.142857142859</v>
      </c>
    </row>
    <row r="14" spans="1:14" ht="15.75" thickBot="1">
      <c r="H14" t="s">
        <v>283</v>
      </c>
      <c r="I14" s="87">
        <f>I7+I13</f>
        <v>67200</v>
      </c>
    </row>
    <row r="15" spans="1:14" ht="15.75" thickBot="1">
      <c r="A15" s="145" t="s">
        <v>241</v>
      </c>
    </row>
    <row r="16" spans="1:14" ht="15.75" thickBot="1">
      <c r="A16" t="s">
        <v>244</v>
      </c>
      <c r="B16" s="83">
        <v>14400</v>
      </c>
      <c r="H16" s="149" t="s">
        <v>285</v>
      </c>
      <c r="I16" s="150">
        <f>I7*M13</f>
        <v>107142.85714285714</v>
      </c>
    </row>
    <row r="17" spans="1:14" ht="15.75" thickBot="1">
      <c r="A17" t="s">
        <v>158</v>
      </c>
      <c r="B17" s="83">
        <v>9600</v>
      </c>
    </row>
    <row r="18" spans="1:14" ht="15.75" thickBot="1">
      <c r="I18" s="226" t="s">
        <v>286</v>
      </c>
      <c r="J18" s="227"/>
      <c r="K18" s="227"/>
      <c r="L18" s="227"/>
      <c r="M18" s="228"/>
    </row>
    <row r="19" spans="1:14" ht="15.75" thickBot="1">
      <c r="A19" s="198" t="s">
        <v>273</v>
      </c>
      <c r="B19" s="198"/>
      <c r="C19" s="198"/>
      <c r="D19" s="198"/>
      <c r="E19" s="198"/>
      <c r="H19" t="s">
        <v>277</v>
      </c>
      <c r="I19" s="83">
        <v>36000</v>
      </c>
    </row>
    <row r="20" spans="1:14" ht="15.75" thickBot="1">
      <c r="A20" s="198"/>
      <c r="B20" s="198"/>
      <c r="C20" s="198"/>
      <c r="D20" s="198"/>
      <c r="E20" s="198"/>
      <c r="H20" t="s">
        <v>280</v>
      </c>
      <c r="I20" s="83">
        <v>24000</v>
      </c>
      <c r="K20" s="195" t="s">
        <v>282</v>
      </c>
      <c r="L20" s="196"/>
      <c r="M20" s="197"/>
    </row>
    <row r="21" spans="1:14" ht="15.75" thickBot="1">
      <c r="H21" t="s">
        <v>281</v>
      </c>
      <c r="I21" s="142">
        <f>SUM(I19:I20)</f>
        <v>60000</v>
      </c>
      <c r="M21" t="s">
        <v>232</v>
      </c>
      <c r="N21" t="s">
        <v>267</v>
      </c>
    </row>
    <row r="22" spans="1:14" ht="15.75" thickBot="1">
      <c r="A22" s="145" t="s">
        <v>246</v>
      </c>
      <c r="H22" t="s">
        <v>255</v>
      </c>
      <c r="I22" s="83">
        <f>I20*40%</f>
        <v>9600</v>
      </c>
      <c r="K22" t="s">
        <v>244</v>
      </c>
      <c r="L22" s="83">
        <v>14400</v>
      </c>
      <c r="M22" s="90">
        <f>L22/$I$23</f>
        <v>0.31578947368421051</v>
      </c>
      <c r="N22" s="147">
        <f>$I$22*M22</f>
        <v>3031.5789473684208</v>
      </c>
    </row>
    <row r="23" spans="1:14">
      <c r="A23" t="s">
        <v>247</v>
      </c>
      <c r="B23" s="83">
        <v>7200</v>
      </c>
      <c r="H23" t="s">
        <v>283</v>
      </c>
      <c r="I23" s="83">
        <f>I19+I22</f>
        <v>45600</v>
      </c>
      <c r="K23" t="s">
        <v>158</v>
      </c>
      <c r="L23" s="83">
        <v>9600</v>
      </c>
      <c r="M23" s="90">
        <f>L23/$I$23</f>
        <v>0.21052631578947367</v>
      </c>
      <c r="N23" s="147">
        <f>$I$22*M23</f>
        <v>2021.0526315789473</v>
      </c>
    </row>
    <row r="24" spans="1:14" ht="15.75" thickBot="1">
      <c r="A24" t="s">
        <v>158</v>
      </c>
      <c r="B24" s="83">
        <v>12000</v>
      </c>
      <c r="K24" s="85" t="s">
        <v>281</v>
      </c>
      <c r="L24" s="144">
        <f>SUM(L22:L23)</f>
        <v>24000</v>
      </c>
      <c r="M24" s="97">
        <f>SUM(M22:M23)</f>
        <v>0.52631578947368418</v>
      </c>
      <c r="N24" s="148">
        <f>$I$22*M24</f>
        <v>5052.6315789473683</v>
      </c>
    </row>
    <row r="25" spans="1:14" ht="15.75" thickBot="1">
      <c r="H25" s="149" t="s">
        <v>285</v>
      </c>
      <c r="I25" s="150">
        <f>I19*M25</f>
        <v>83233.082706766931</v>
      </c>
      <c r="M25" s="151">
        <f>M24+M13</f>
        <v>2.3120300751879701</v>
      </c>
    </row>
    <row r="26" spans="1:14" ht="15.75" thickBot="1">
      <c r="A26" t="s">
        <v>248</v>
      </c>
    </row>
    <row r="27" spans="1:14" ht="15.75" thickBot="1">
      <c r="I27" s="226" t="s">
        <v>287</v>
      </c>
      <c r="J27" s="227"/>
      <c r="K27" s="227"/>
      <c r="L27" s="227"/>
      <c r="M27" s="228"/>
    </row>
    <row r="28" spans="1:14" ht="15.75" thickBot="1">
      <c r="H28" t="s">
        <v>277</v>
      </c>
      <c r="I28" s="83">
        <v>20000</v>
      </c>
    </row>
    <row r="29" spans="1:14" ht="15.75" thickBot="1">
      <c r="H29" t="s">
        <v>280</v>
      </c>
      <c r="I29" s="83">
        <v>16000</v>
      </c>
      <c r="K29" s="195" t="s">
        <v>282</v>
      </c>
      <c r="L29" s="196"/>
      <c r="M29" s="197"/>
    </row>
    <row r="30" spans="1:14">
      <c r="H30" t="s">
        <v>284</v>
      </c>
      <c r="I30" s="144">
        <f>I28+I29</f>
        <v>36000</v>
      </c>
      <c r="M30" t="s">
        <v>288</v>
      </c>
      <c r="N30" t="s">
        <v>267</v>
      </c>
    </row>
    <row r="31" spans="1:14">
      <c r="K31" t="s">
        <v>247</v>
      </c>
      <c r="L31" s="83">
        <v>7200</v>
      </c>
      <c r="M31" s="90">
        <f>L31/$I$33</f>
        <v>0.2</v>
      </c>
      <c r="N31" s="147">
        <f>$I$32*M31</f>
        <v>3200</v>
      </c>
    </row>
    <row r="32" spans="1:14">
      <c r="H32" t="s">
        <v>255</v>
      </c>
      <c r="I32" s="83">
        <f>I29</f>
        <v>16000</v>
      </c>
      <c r="K32" t="s">
        <v>158</v>
      </c>
      <c r="L32" s="83">
        <v>12000</v>
      </c>
      <c r="M32" s="90">
        <f>L32/$I$33</f>
        <v>0.33333333333333331</v>
      </c>
      <c r="N32" s="147">
        <f t="shared" ref="N32:N33" si="1">$I$32*M32</f>
        <v>5333.333333333333</v>
      </c>
    </row>
    <row r="33" spans="8:14" ht="15.75" thickBot="1">
      <c r="H33" t="s">
        <v>283</v>
      </c>
      <c r="I33" s="83">
        <f>I28+I32</f>
        <v>36000</v>
      </c>
      <c r="K33" s="85" t="s">
        <v>281</v>
      </c>
      <c r="L33" s="144">
        <f>SUM(L31:L32)</f>
        <v>19200</v>
      </c>
      <c r="M33" s="90">
        <f>L33/$I$33</f>
        <v>0.53333333333333333</v>
      </c>
      <c r="N33" s="148">
        <f t="shared" si="1"/>
        <v>8533.3333333333339</v>
      </c>
    </row>
    <row r="34" spans="8:14" ht="15.75" thickBot="1">
      <c r="M34" s="151">
        <f>M33+M25</f>
        <v>2.8453634085213033</v>
      </c>
    </row>
    <row r="35" spans="8:14" ht="15.75" thickBot="1"/>
    <row r="36" spans="8:14" ht="15.75" thickBot="1">
      <c r="H36" s="149" t="s">
        <v>285</v>
      </c>
      <c r="I36" s="150">
        <f>I28*M34</f>
        <v>56907.268170426069</v>
      </c>
    </row>
    <row r="37" spans="8:14" ht="15.75" thickBot="1">
      <c r="H37" s="149" t="s">
        <v>231</v>
      </c>
      <c r="I37" s="150">
        <f>I36+I25+I16</f>
        <v>247283.20802005014</v>
      </c>
    </row>
    <row r="38" spans="8:14" ht="15.75" thickBot="1">
      <c r="H38" s="149" t="s">
        <v>289</v>
      </c>
      <c r="I38" s="152">
        <f>M34</f>
        <v>2.8453634085213033</v>
      </c>
    </row>
  </sheetData>
  <mergeCells count="10">
    <mergeCell ref="I27:M27"/>
    <mergeCell ref="K29:M29"/>
    <mergeCell ref="A10:F13"/>
    <mergeCell ref="A19:E20"/>
    <mergeCell ref="D1:K1"/>
    <mergeCell ref="H5:N5"/>
    <mergeCell ref="I6:M6"/>
    <mergeCell ref="K8:M8"/>
    <mergeCell ref="I18:M18"/>
    <mergeCell ref="K20:M20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47"/>
  <sheetViews>
    <sheetView tabSelected="1" workbookViewId="0">
      <selection activeCell="L7" sqref="L7"/>
    </sheetView>
  </sheetViews>
  <sheetFormatPr baseColWidth="10" defaultRowHeight="15"/>
  <cols>
    <col min="1" max="1" width="26.28515625" customWidth="1"/>
    <col min="2" max="2" width="15.5703125" bestFit="1" customWidth="1"/>
    <col min="3" max="3" width="15.85546875" customWidth="1"/>
    <col min="4" max="4" width="18.85546875" customWidth="1"/>
    <col min="5" max="5" width="13" bestFit="1" customWidth="1"/>
    <col min="9" max="9" width="12" bestFit="1" customWidth="1"/>
  </cols>
  <sheetData>
    <row r="1" spans="1:6">
      <c r="A1" s="232" t="s">
        <v>291</v>
      </c>
      <c r="B1" s="232"/>
      <c r="C1" s="232"/>
      <c r="D1" s="232"/>
      <c r="E1" s="232"/>
    </row>
    <row r="2" spans="1:6">
      <c r="A2" s="232" t="s">
        <v>290</v>
      </c>
      <c r="B2" s="232"/>
      <c r="C2" s="232"/>
      <c r="D2" s="232"/>
      <c r="E2" s="232"/>
    </row>
    <row r="3" spans="1:6">
      <c r="A3" s="232" t="s">
        <v>292</v>
      </c>
      <c r="B3" s="232"/>
      <c r="C3" s="232"/>
      <c r="D3" s="232"/>
      <c r="E3" s="232"/>
    </row>
    <row r="4" spans="1:6">
      <c r="A4" s="154" t="s">
        <v>293</v>
      </c>
      <c r="B4" s="154" t="s">
        <v>187</v>
      </c>
      <c r="C4" s="154" t="s">
        <v>294</v>
      </c>
      <c r="D4" s="154" t="s">
        <v>295</v>
      </c>
      <c r="E4" s="155" t="s">
        <v>189</v>
      </c>
    </row>
    <row r="5" spans="1:6">
      <c r="A5" t="s">
        <v>140</v>
      </c>
      <c r="B5">
        <v>5</v>
      </c>
      <c r="C5" t="s">
        <v>298</v>
      </c>
      <c r="D5" s="83">
        <v>2500</v>
      </c>
      <c r="E5" s="87">
        <f>C10*D5</f>
        <v>12500000</v>
      </c>
    </row>
    <row r="6" spans="1:6">
      <c r="A6" t="s">
        <v>296</v>
      </c>
      <c r="B6">
        <v>5</v>
      </c>
      <c r="C6" t="s">
        <v>299</v>
      </c>
      <c r="D6" s="83">
        <v>200</v>
      </c>
      <c r="E6" s="87">
        <f>C10*D6</f>
        <v>1000000</v>
      </c>
    </row>
    <row r="7" spans="1:6">
      <c r="A7" t="s">
        <v>297</v>
      </c>
      <c r="B7">
        <v>1</v>
      </c>
      <c r="C7" t="s">
        <v>89</v>
      </c>
      <c r="D7" s="83">
        <v>1000</v>
      </c>
      <c r="E7" s="87">
        <f>B10*D7</f>
        <v>1000000</v>
      </c>
    </row>
    <row r="8" spans="1:6">
      <c r="A8" t="s">
        <v>229</v>
      </c>
      <c r="B8">
        <v>5</v>
      </c>
      <c r="C8" t="s">
        <v>299</v>
      </c>
      <c r="D8" s="83">
        <v>100</v>
      </c>
      <c r="E8" s="87">
        <f>C10*D8</f>
        <v>500000</v>
      </c>
    </row>
    <row r="9" spans="1:6">
      <c r="E9" s="87">
        <f>SUM(E5:E8)</f>
        <v>15000000</v>
      </c>
    </row>
    <row r="10" spans="1:6">
      <c r="A10" t="s">
        <v>300</v>
      </c>
      <c r="B10">
        <v>1000</v>
      </c>
      <c r="C10">
        <f>B5*B10</f>
        <v>5000</v>
      </c>
      <c r="E10" s="144">
        <f>E9-I38</f>
        <v>14888311.6</v>
      </c>
      <c r="F10" t="s">
        <v>317</v>
      </c>
    </row>
    <row r="12" spans="1:6">
      <c r="A12" s="232" t="s">
        <v>301</v>
      </c>
      <c r="B12" s="232"/>
      <c r="C12" s="232"/>
      <c r="D12" s="232"/>
      <c r="E12" s="232"/>
    </row>
    <row r="13" spans="1:6">
      <c r="A13" s="154" t="s">
        <v>293</v>
      </c>
      <c r="B13" s="154" t="s">
        <v>187</v>
      </c>
      <c r="C13" s="154" t="s">
        <v>302</v>
      </c>
      <c r="D13" s="153" t="s">
        <v>303</v>
      </c>
    </row>
    <row r="14" spans="1:6">
      <c r="A14" t="s">
        <v>140</v>
      </c>
      <c r="B14" s="83">
        <v>5050</v>
      </c>
      <c r="C14" s="83">
        <v>2450</v>
      </c>
      <c r="D14" s="83">
        <f>B14*C14</f>
        <v>12372500</v>
      </c>
    </row>
    <row r="15" spans="1:6">
      <c r="A15" t="s">
        <v>296</v>
      </c>
      <c r="B15" s="83">
        <v>4980</v>
      </c>
      <c r="C15" s="83">
        <v>210</v>
      </c>
      <c r="D15" s="83">
        <f>B15*C15</f>
        <v>1045800</v>
      </c>
    </row>
    <row r="16" spans="1:6">
      <c r="A16" t="s">
        <v>297</v>
      </c>
      <c r="B16" s="83">
        <v>1000</v>
      </c>
      <c r="C16" s="83">
        <v>950</v>
      </c>
      <c r="D16" s="83">
        <f t="shared" ref="D15:D16" si="0">B16*C16</f>
        <v>950000</v>
      </c>
    </row>
    <row r="17" spans="1:9">
      <c r="A17" t="s">
        <v>229</v>
      </c>
      <c r="B17" s="83">
        <v>4980</v>
      </c>
      <c r="C17" s="83">
        <v>104.42</v>
      </c>
      <c r="D17" s="83">
        <f>B17*C17</f>
        <v>520011.60000000003</v>
      </c>
    </row>
    <row r="18" spans="1:9">
      <c r="C18" s="153" t="s">
        <v>284</v>
      </c>
      <c r="D18" s="87">
        <f>SUM(D14:D17)</f>
        <v>14888311.6</v>
      </c>
    </row>
    <row r="20" spans="1:9">
      <c r="A20" s="232" t="s">
        <v>304</v>
      </c>
      <c r="B20" s="232"/>
      <c r="C20" s="232"/>
      <c r="D20" s="232"/>
      <c r="E20" s="232"/>
    </row>
    <row r="21" spans="1:9">
      <c r="A21" t="s">
        <v>305</v>
      </c>
      <c r="B21" s="87">
        <f>B14</f>
        <v>5050</v>
      </c>
      <c r="C21" s="87">
        <f>C14</f>
        <v>2450</v>
      </c>
      <c r="D21" s="87">
        <f>D14</f>
        <v>12372500</v>
      </c>
    </row>
    <row r="22" spans="1:9">
      <c r="A22" t="s">
        <v>306</v>
      </c>
      <c r="B22" s="87">
        <f>B5*B10</f>
        <v>5000</v>
      </c>
      <c r="C22" s="87">
        <f>D5</f>
        <v>2500</v>
      </c>
      <c r="D22" s="83">
        <f>B22*C22</f>
        <v>12500000</v>
      </c>
      <c r="E22" s="233" t="s">
        <v>309</v>
      </c>
      <c r="F22" s="233"/>
      <c r="G22" s="233"/>
    </row>
    <row r="23" spans="1:9">
      <c r="A23" t="s">
        <v>307</v>
      </c>
      <c r="B23" s="87">
        <f>B21-B22</f>
        <v>50</v>
      </c>
      <c r="C23" s="87">
        <f>C22</f>
        <v>2500</v>
      </c>
      <c r="D23" s="87">
        <f>B23*C23</f>
        <v>125000</v>
      </c>
      <c r="E23" s="233"/>
      <c r="F23" s="233"/>
      <c r="G23" s="233"/>
    </row>
    <row r="24" spans="1:9">
      <c r="A24" t="s">
        <v>308</v>
      </c>
      <c r="B24" s="87">
        <f>D5</f>
        <v>2500</v>
      </c>
      <c r="C24" s="87">
        <f>B14</f>
        <v>5050</v>
      </c>
      <c r="D24" s="156">
        <f>-(D21-D22)</f>
        <v>127500</v>
      </c>
      <c r="E24" s="233"/>
      <c r="F24" s="233"/>
      <c r="G24" s="233"/>
    </row>
    <row r="25" spans="1:9">
      <c r="B25" s="83">
        <f>B24*C24</f>
        <v>12625000</v>
      </c>
      <c r="C25" s="87">
        <f>B25-D21</f>
        <v>252500</v>
      </c>
    </row>
    <row r="27" spans="1:9">
      <c r="A27" s="232" t="s">
        <v>310</v>
      </c>
      <c r="B27" s="232"/>
      <c r="C27" s="232"/>
      <c r="D27" s="232"/>
      <c r="E27" s="232"/>
    </row>
    <row r="28" spans="1:9">
      <c r="A28" t="s">
        <v>310</v>
      </c>
      <c r="B28" s="87">
        <f>B15</f>
        <v>4980</v>
      </c>
      <c r="C28" s="87">
        <f>C15</f>
        <v>210</v>
      </c>
      <c r="D28" s="83">
        <f>B28*C28</f>
        <v>1045800</v>
      </c>
      <c r="I28" s="85" t="s">
        <v>315</v>
      </c>
    </row>
    <row r="29" spans="1:9">
      <c r="A29" t="s">
        <v>311</v>
      </c>
      <c r="B29">
        <f>B6*B10</f>
        <v>5000</v>
      </c>
      <c r="C29" s="87">
        <f>D6</f>
        <v>200</v>
      </c>
      <c r="D29" s="87">
        <f>B29*C29</f>
        <v>1000000</v>
      </c>
      <c r="E29" s="233" t="s">
        <v>314</v>
      </c>
      <c r="F29" s="233"/>
      <c r="G29" s="233"/>
    </row>
    <row r="30" spans="1:9">
      <c r="A30" t="s">
        <v>312</v>
      </c>
      <c r="B30" s="87">
        <f>B28</f>
        <v>4980</v>
      </c>
      <c r="C30" s="87">
        <f>C29</f>
        <v>200</v>
      </c>
      <c r="D30" s="83">
        <f>B30*C30</f>
        <v>996000</v>
      </c>
      <c r="E30" s="233"/>
      <c r="F30" s="233"/>
      <c r="G30" s="233"/>
    </row>
    <row r="31" spans="1:9">
      <c r="A31" t="s">
        <v>307</v>
      </c>
      <c r="B31" s="87">
        <f>B29-B28</f>
        <v>20</v>
      </c>
      <c r="C31" s="87">
        <f>C30</f>
        <v>200</v>
      </c>
      <c r="D31">
        <f>B31*C31</f>
        <v>4000</v>
      </c>
      <c r="E31" s="233"/>
      <c r="F31" s="233"/>
      <c r="G31" s="233"/>
    </row>
    <row r="32" spans="1:9">
      <c r="A32" t="s">
        <v>308</v>
      </c>
      <c r="B32" s="87">
        <f>D30-D28</f>
        <v>-49800</v>
      </c>
      <c r="C32" s="87"/>
    </row>
    <row r="33" spans="1:13">
      <c r="A33" t="s">
        <v>313</v>
      </c>
      <c r="B33" s="144">
        <f>B32+D31</f>
        <v>-45800</v>
      </c>
      <c r="I33" s="232" t="s">
        <v>316</v>
      </c>
      <c r="J33" s="232"/>
      <c r="K33" s="232"/>
      <c r="L33" s="232"/>
      <c r="M33" s="232"/>
    </row>
    <row r="34" spans="1:13">
      <c r="I34" s="87">
        <f>D24</f>
        <v>127500</v>
      </c>
    </row>
    <row r="35" spans="1:13">
      <c r="A35" s="232" t="s">
        <v>297</v>
      </c>
      <c r="B35" s="232"/>
      <c r="C35" s="232"/>
      <c r="D35" s="232"/>
      <c r="E35" s="232"/>
      <c r="I35" s="87">
        <f>B33</f>
        <v>-45800</v>
      </c>
    </row>
    <row r="36" spans="1:13">
      <c r="B36">
        <f>B7*B10</f>
        <v>1000</v>
      </c>
      <c r="C36" s="87">
        <f>C16</f>
        <v>950</v>
      </c>
      <c r="D36" s="87">
        <f>B36*C36</f>
        <v>950000</v>
      </c>
      <c r="I36" s="87">
        <f>B40</f>
        <v>50000</v>
      </c>
    </row>
    <row r="37" spans="1:13">
      <c r="B37">
        <f>B36</f>
        <v>1000</v>
      </c>
      <c r="C37" s="87">
        <f>D7</f>
        <v>1000</v>
      </c>
      <c r="D37" s="87">
        <f>B37*C37</f>
        <v>1000000</v>
      </c>
      <c r="E37" s="233" t="s">
        <v>309</v>
      </c>
      <c r="F37" s="233"/>
      <c r="G37" s="233"/>
      <c r="I37" s="89">
        <f>B47</f>
        <v>-20011.600000000035</v>
      </c>
    </row>
    <row r="38" spans="1:13">
      <c r="B38" s="87">
        <f>B16</f>
        <v>1000</v>
      </c>
      <c r="C38" s="87">
        <f>D7</f>
        <v>1000</v>
      </c>
      <c r="D38">
        <f>B38*C38</f>
        <v>1000000</v>
      </c>
      <c r="E38" s="233"/>
      <c r="F38" s="233"/>
      <c r="G38" s="233"/>
      <c r="I38" s="144">
        <f>SUM(I34:I37)</f>
        <v>111688.39999999997</v>
      </c>
    </row>
    <row r="39" spans="1:13">
      <c r="B39" s="87">
        <f>B38-B37</f>
        <v>0</v>
      </c>
      <c r="C39">
        <f>B10</f>
        <v>1000</v>
      </c>
      <c r="D39" s="87">
        <f>B39*C39</f>
        <v>0</v>
      </c>
      <c r="E39" s="233"/>
      <c r="F39" s="233"/>
      <c r="G39" s="233"/>
    </row>
    <row r="40" spans="1:13">
      <c r="B40" s="87">
        <f>D37-D36</f>
        <v>50000</v>
      </c>
    </row>
    <row r="42" spans="1:13">
      <c r="A42" s="232" t="s">
        <v>229</v>
      </c>
      <c r="B42" s="232"/>
      <c r="C42" s="232"/>
      <c r="D42" s="232"/>
      <c r="E42" s="232"/>
    </row>
    <row r="43" spans="1:13">
      <c r="B43" s="87">
        <f>B17</f>
        <v>4980</v>
      </c>
      <c r="C43" s="87">
        <f>C17</f>
        <v>104.42</v>
      </c>
      <c r="D43" s="95">
        <f>B43*C43</f>
        <v>520011.60000000003</v>
      </c>
    </row>
    <row r="44" spans="1:13">
      <c r="B44">
        <f>B8*B10</f>
        <v>5000</v>
      </c>
      <c r="C44" s="87">
        <f>D8</f>
        <v>100</v>
      </c>
      <c r="D44" s="87">
        <f>B44*C44</f>
        <v>500000</v>
      </c>
      <c r="E44" s="233" t="s">
        <v>314</v>
      </c>
      <c r="F44" s="233"/>
      <c r="G44" s="233"/>
    </row>
    <row r="45" spans="1:13">
      <c r="B45" s="87">
        <f>B43</f>
        <v>4980</v>
      </c>
      <c r="C45" s="87">
        <f>C44</f>
        <v>100</v>
      </c>
      <c r="D45" s="83">
        <f>B45*C45</f>
        <v>498000</v>
      </c>
      <c r="E45" s="233"/>
      <c r="F45" s="233"/>
      <c r="G45" s="233"/>
    </row>
    <row r="46" spans="1:13">
      <c r="B46" s="87">
        <f>B44-B43</f>
        <v>20</v>
      </c>
      <c r="C46" s="87">
        <f>C45</f>
        <v>100</v>
      </c>
      <c r="D46">
        <f>C46*B46</f>
        <v>2000</v>
      </c>
      <c r="E46" s="233"/>
      <c r="F46" s="233"/>
      <c r="G46" s="233"/>
    </row>
    <row r="47" spans="1:13">
      <c r="B47" s="89">
        <f>D44-D43</f>
        <v>-20011.600000000035</v>
      </c>
    </row>
  </sheetData>
  <mergeCells count="13">
    <mergeCell ref="E22:G24"/>
    <mergeCell ref="A27:E27"/>
    <mergeCell ref="E29:G31"/>
    <mergeCell ref="A1:E1"/>
    <mergeCell ref="A2:E2"/>
    <mergeCell ref="A3:E3"/>
    <mergeCell ref="A12:E12"/>
    <mergeCell ref="A20:E20"/>
    <mergeCell ref="A35:E35"/>
    <mergeCell ref="E37:G39"/>
    <mergeCell ref="A42:E42"/>
    <mergeCell ref="E44:G46"/>
    <mergeCell ref="I33:M3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Calculo Nómina</vt:lpstr>
      <vt:lpstr>Liquidación</vt:lpstr>
      <vt:lpstr>Ejercicio</vt:lpstr>
      <vt:lpstr>Ejercicio 1</vt:lpstr>
      <vt:lpstr>Hoja1</vt:lpstr>
      <vt:lpstr>19-03</vt:lpstr>
      <vt:lpstr>21-03</vt:lpstr>
      <vt:lpstr>ENTREGABLE</vt:lpstr>
      <vt:lpstr>COSTEO ESTÁNDAR</vt:lpstr>
      <vt:lpstr>COSTEO ABC</vt:lpstr>
      <vt:lpstr>EJERCICIOS ESTUDIO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Tesorería UNAC</dc:creator>
  <cp:lastModifiedBy>hp</cp:lastModifiedBy>
  <dcterms:created xsi:type="dcterms:W3CDTF">2022-07-15T14:37:15Z</dcterms:created>
  <dcterms:modified xsi:type="dcterms:W3CDTF">2024-04-10T00:56:53Z</dcterms:modified>
</cp:coreProperties>
</file>