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W\Desktop\"/>
    </mc:Choice>
  </mc:AlternateContent>
  <bookViews>
    <workbookView xWindow="0" yWindow="1680" windowWidth="15360" windowHeight="8835" tabRatio="783" activeTab="11"/>
  </bookViews>
  <sheets>
    <sheet name="Table 7.1" sheetId="13" r:id="rId1"/>
    <sheet name="Figure 7-2 &amp; 7-3" sheetId="14" r:id="rId2"/>
    <sheet name="Regression-1" sheetId="16" r:id="rId3"/>
    <sheet name="Figure7-4" sheetId="15" r:id="rId4"/>
    <sheet name="Figure7-5,6" sheetId="18" r:id="rId5"/>
    <sheet name="Figure 7-7" sheetId="6" r:id="rId6"/>
    <sheet name="Figure 7-8" sheetId="7" r:id="rId7"/>
    <sheet name="Figure 7-9" sheetId="8" r:id="rId8"/>
    <sheet name="holts-regression" sheetId="9" r:id="rId9"/>
    <sheet name="deseasonalized" sheetId="11" r:id="rId10"/>
    <sheet name="winters-regression" sheetId="12" r:id="rId11"/>
    <sheet name="Figure 7-10" sheetId="10" r:id="rId12"/>
    <sheet name="Table 7-2" sheetId="17" r:id="rId13"/>
  </sheets>
  <definedNames>
    <definedName name="_xlnm.Print_Area" localSheetId="9">deseasonalized!$A$1:$F$29</definedName>
    <definedName name="_xlnm.Print_Area" localSheetId="11">'Figure 7-10'!$A$1:$M$34</definedName>
    <definedName name="_xlnm.Print_Area" localSheetId="7">'Figure 7-9'!$A$1:$L$34</definedName>
    <definedName name="_xlnm.Print_Area" localSheetId="3">'Figure7-4'!$A$1:$F$20</definedName>
    <definedName name="_xlnm.Print_Area" localSheetId="8">'holts-regression'!$A$1:$I$30</definedName>
    <definedName name="solver_adj" localSheetId="11" hidden="1">'Figure 7-10'!$B$20:$B$22</definedName>
    <definedName name="solver_adj" localSheetId="6" hidden="1">'Figure 7-8'!$B$20</definedName>
    <definedName name="solver_adj" localSheetId="7" hidden="1">'Figure 7-9'!$B$20:$B$21</definedName>
    <definedName name="solver_adj" localSheetId="4" hidden="1">'Figure7-5,6'!$B$14</definedName>
    <definedName name="solver_cvg" localSheetId="11" hidden="1">0.0001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drv" localSheetId="11" hidden="1">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eng" localSheetId="4" hidden="1">1</definedName>
    <definedName name="solver_est" localSheetId="11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itr" localSheetId="11" hidden="1">100</definedName>
    <definedName name="solver_itr" localSheetId="6" hidden="1">100</definedName>
    <definedName name="solver_itr" localSheetId="7" hidden="1">100</definedName>
    <definedName name="solver_itr" localSheetId="4" hidden="1">2147483647</definedName>
    <definedName name="solver_lhs1" localSheetId="11" hidden="1">'Figure 7-10'!$B$20:$B$22</definedName>
    <definedName name="solver_lhs1" localSheetId="6" hidden="1">'Figure 7-8'!$B$20</definedName>
    <definedName name="solver_lhs1" localSheetId="7" hidden="1">'Figure 7-9'!$B$20:$B$21</definedName>
    <definedName name="solver_lhs1" localSheetId="4" hidden="1">'Figure7-5,6'!$B$14</definedName>
    <definedName name="solver_lin" localSheetId="11" hidden="1">2</definedName>
    <definedName name="solver_lin" localSheetId="6" hidden="1">2</definedName>
    <definedName name="solver_lin" localSheetId="7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11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od" localSheetId="4" hidden="1">2147483647</definedName>
    <definedName name="solver_num" localSheetId="11" hidden="1">1</definedName>
    <definedName name="solver_num" localSheetId="6" hidden="1">1</definedName>
    <definedName name="solver_num" localSheetId="7" hidden="1">1</definedName>
    <definedName name="solver_num" localSheetId="4" hidden="1">1</definedName>
    <definedName name="solver_nwt" localSheetId="11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opt" localSheetId="11" hidden="1">'Figure 7-10'!$J$14</definedName>
    <definedName name="solver_opt" localSheetId="6" hidden="1">'Figure 7-8'!$H$14</definedName>
    <definedName name="solver_opt" localSheetId="7" hidden="1">'Figure 7-9'!$I$14</definedName>
    <definedName name="solver_opt" localSheetId="4" hidden="1">'Figure7-5,6'!$G$13</definedName>
    <definedName name="solver_pre" localSheetId="11" hidden="1">0.000001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rbv" localSheetId="4" hidden="1">1</definedName>
    <definedName name="solver_rel1" localSheetId="11" hidden="1">1</definedName>
    <definedName name="solver_rel1" localSheetId="6" hidden="1">1</definedName>
    <definedName name="solver_rel1" localSheetId="7" hidden="1">1</definedName>
    <definedName name="solver_rel1" localSheetId="4" hidden="1">1</definedName>
    <definedName name="solver_rhs1" localSheetId="11" hidden="1">1</definedName>
    <definedName name="solver_rhs1" localSheetId="6" hidden="1">1</definedName>
    <definedName name="solver_rhs1" localSheetId="7" hidden="1">1</definedName>
    <definedName name="solver_rhs1" localSheetId="4" hidden="1">1</definedName>
    <definedName name="solver_rlx" localSheetId="4" hidden="1">2</definedName>
    <definedName name="solver_rsd" localSheetId="4" hidden="1">0</definedName>
    <definedName name="solver_scl" localSheetId="11" hidden="1">2</definedName>
    <definedName name="solver_scl" localSheetId="6" hidden="1">2</definedName>
    <definedName name="solver_scl" localSheetId="7" hidden="1">2</definedName>
    <definedName name="solver_scl" localSheetId="4" hidden="1">1</definedName>
    <definedName name="solver_sho" localSheetId="11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11" hidden="1">100</definedName>
    <definedName name="solver_tim" localSheetId="6" hidden="1">100</definedName>
    <definedName name="solver_tim" localSheetId="7" hidden="1">100</definedName>
    <definedName name="solver_tim" localSheetId="4" hidden="1">2147483647</definedName>
    <definedName name="solver_tol" localSheetId="11" hidden="1">0.05</definedName>
    <definedName name="solver_tol" localSheetId="6" hidden="1">0.05</definedName>
    <definedName name="solver_tol" localSheetId="7" hidden="1">0.05</definedName>
    <definedName name="solver_tol" localSheetId="4" hidden="1">0.01</definedName>
    <definedName name="solver_typ" localSheetId="11" hidden="1">2</definedName>
    <definedName name="solver_typ" localSheetId="6" hidden="1">2</definedName>
    <definedName name="solver_typ" localSheetId="7" hidden="1">2</definedName>
    <definedName name="solver_typ" localSheetId="4" hidden="1">2</definedName>
    <definedName name="solver_val" localSheetId="11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B13" i="18" l="1"/>
  <c r="D3" i="18"/>
  <c r="E3" i="18" s="1"/>
  <c r="C3" i="18"/>
  <c r="C4" i="18" s="1"/>
  <c r="D5" i="18" s="1"/>
  <c r="E5" i="18" s="1"/>
  <c r="D4" i="18" l="1"/>
  <c r="E4" i="18" s="1"/>
  <c r="F4" i="18" s="1"/>
  <c r="G3" i="18"/>
  <c r="F3" i="18"/>
  <c r="G5" i="18"/>
  <c r="H5" i="18" s="1"/>
  <c r="F5" i="18"/>
  <c r="C5" i="18"/>
  <c r="G4" i="18" l="1"/>
  <c r="H4" i="18" s="1"/>
  <c r="H3" i="18"/>
  <c r="D6" i="18"/>
  <c r="E6" i="18" s="1"/>
  <c r="C6" i="18"/>
  <c r="C7" i="18" l="1"/>
  <c r="D7" i="18"/>
  <c r="E7" i="18" s="1"/>
  <c r="G6" i="18"/>
  <c r="F6" i="18"/>
  <c r="H6" i="18" l="1"/>
  <c r="G7" i="18"/>
  <c r="H7" i="18" s="1"/>
  <c r="F7" i="18"/>
  <c r="D8" i="18"/>
  <c r="E8" i="18" s="1"/>
  <c r="C8" i="18"/>
  <c r="D9" i="18" l="1"/>
  <c r="E9" i="18" s="1"/>
  <c r="C9" i="18"/>
  <c r="G8" i="18"/>
  <c r="H8" i="18" s="1"/>
  <c r="F8" i="18"/>
  <c r="D10" i="18" l="1"/>
  <c r="E10" i="18" s="1"/>
  <c r="C10" i="18"/>
  <c r="G9" i="18"/>
  <c r="H9" i="18" s="1"/>
  <c r="F9" i="18"/>
  <c r="G10" i="18" l="1"/>
  <c r="H10" i="18" s="1"/>
  <c r="F10" i="18"/>
  <c r="C11" i="18"/>
  <c r="D11" i="18"/>
  <c r="E11" i="18" s="1"/>
  <c r="G11" i="18" l="1"/>
  <c r="H11" i="18" s="1"/>
  <c r="F11" i="18"/>
  <c r="D12" i="18"/>
  <c r="E12" i="18" s="1"/>
  <c r="C12" i="18"/>
  <c r="G12" i="18" l="1"/>
  <c r="F12" i="18"/>
  <c r="F13" i="18" s="1"/>
  <c r="E13" i="18"/>
  <c r="H12" i="18" l="1"/>
  <c r="H13" i="18" s="1"/>
  <c r="G13" i="18"/>
  <c r="D4" i="11"/>
  <c r="E4" i="11" s="1"/>
  <c r="C6" i="11"/>
  <c r="D5" i="11"/>
  <c r="E5" i="11" s="1"/>
  <c r="D9" i="11"/>
  <c r="E9" i="11" s="1"/>
  <c r="D13" i="11"/>
  <c r="E13" i="11" s="1"/>
  <c r="D6" i="11"/>
  <c r="E6" i="11" s="1"/>
  <c r="D10" i="11"/>
  <c r="E10" i="11" s="1"/>
  <c r="D14" i="11"/>
  <c r="E14" i="11" s="1"/>
  <c r="D7" i="11"/>
  <c r="E7" i="11" s="1"/>
  <c r="D11" i="11"/>
  <c r="E11" i="11" s="1"/>
  <c r="D15" i="11"/>
  <c r="E15" i="11" s="1"/>
  <c r="D8" i="11"/>
  <c r="E8" i="11" s="1"/>
  <c r="D12" i="11"/>
  <c r="E12" i="11" s="1"/>
  <c r="C7" i="11"/>
  <c r="C8" i="11"/>
  <c r="C9" i="11"/>
  <c r="C10" i="11"/>
  <c r="C11" i="11"/>
  <c r="C12" i="11"/>
  <c r="C13" i="11"/>
  <c r="F3" i="10"/>
  <c r="G3" i="10" s="1"/>
  <c r="C3" i="10"/>
  <c r="D3" i="10" s="1"/>
  <c r="F4" i="10" s="1"/>
  <c r="G4" i="10" s="1"/>
  <c r="H4" i="10" s="1"/>
  <c r="K4" i="10" s="1"/>
  <c r="C5" i="6"/>
  <c r="D6" i="6" s="1"/>
  <c r="E6" i="6" s="1"/>
  <c r="F6" i="6" s="1"/>
  <c r="C6" i="6"/>
  <c r="D7" i="6" s="1"/>
  <c r="E7" i="6"/>
  <c r="F7" i="6" s="1"/>
  <c r="I7" i="6" s="1"/>
  <c r="C7" i="6"/>
  <c r="D8" i="6" s="1"/>
  <c r="E8" i="6" s="1"/>
  <c r="F8" i="6" s="1"/>
  <c r="I8" i="6" s="1"/>
  <c r="C8" i="6"/>
  <c r="D9" i="6" s="1"/>
  <c r="E9" i="6" s="1"/>
  <c r="F9" i="6" s="1"/>
  <c r="I9" i="6" s="1"/>
  <c r="C9" i="6"/>
  <c r="D10" i="6" s="1"/>
  <c r="E10" i="6" s="1"/>
  <c r="F10" i="6" s="1"/>
  <c r="I10" i="6" s="1"/>
  <c r="C10" i="6"/>
  <c r="D11" i="6" s="1"/>
  <c r="E11" i="6" s="1"/>
  <c r="F11" i="6" s="1"/>
  <c r="I11" i="6" s="1"/>
  <c r="C11" i="6"/>
  <c r="D12" i="6" s="1"/>
  <c r="E12" i="6" s="1"/>
  <c r="F12" i="6" s="1"/>
  <c r="I12" i="6" s="1"/>
  <c r="C12" i="6"/>
  <c r="D13" i="6" s="1"/>
  <c r="E13" i="6" s="1"/>
  <c r="F13" i="6" s="1"/>
  <c r="I13" i="6" s="1"/>
  <c r="C2" i="7"/>
  <c r="D3" i="7" s="1"/>
  <c r="E3" i="7" s="1"/>
  <c r="C3" i="7"/>
  <c r="D4" i="7" s="1"/>
  <c r="E4" i="7" s="1"/>
  <c r="E3" i="8"/>
  <c r="F3" i="8" s="1"/>
  <c r="H4" i="8" s="1"/>
  <c r="C3" i="8"/>
  <c r="D3" i="8"/>
  <c r="E4" i="8" s="1"/>
  <c r="F4" i="8" s="1"/>
  <c r="G4" i="8" s="1"/>
  <c r="J4" i="8" s="1"/>
  <c r="C4" i="8"/>
  <c r="C5" i="14"/>
  <c r="C6" i="14"/>
  <c r="C7" i="14"/>
  <c r="C8" i="14"/>
  <c r="C9" i="14"/>
  <c r="C10" i="14"/>
  <c r="C11" i="14"/>
  <c r="C4" i="14"/>
  <c r="C3" i="15"/>
  <c r="D3" i="15" s="1"/>
  <c r="C7" i="15"/>
  <c r="D7" i="15" s="1"/>
  <c r="C11" i="15"/>
  <c r="D11" i="15" s="1"/>
  <c r="C4" i="15"/>
  <c r="C8" i="15"/>
  <c r="C12" i="15"/>
  <c r="C5" i="15"/>
  <c r="D5" i="15" s="1"/>
  <c r="C9" i="15"/>
  <c r="D9" i="15" s="1"/>
  <c r="C13" i="15"/>
  <c r="D13" i="15" s="1"/>
  <c r="C6" i="15"/>
  <c r="C2" i="15"/>
  <c r="D2" i="15" s="1"/>
  <c r="C10" i="15"/>
  <c r="C13" i="6"/>
  <c r="D16" i="6" s="1"/>
  <c r="F3" i="7" l="1"/>
  <c r="G3" i="7"/>
  <c r="C4" i="7"/>
  <c r="H3" i="10"/>
  <c r="I3" i="10"/>
  <c r="H11" i="6"/>
  <c r="K11" i="6" s="1"/>
  <c r="I6" i="6"/>
  <c r="J6" i="6" s="1"/>
  <c r="G6" i="6"/>
  <c r="H9" i="6"/>
  <c r="K9" i="6" s="1"/>
  <c r="H7" i="6"/>
  <c r="K7" i="6" s="1"/>
  <c r="G10" i="6"/>
  <c r="G4" i="7"/>
  <c r="F4" i="7"/>
  <c r="I4" i="7" s="1"/>
  <c r="D15" i="6"/>
  <c r="D14" i="6"/>
  <c r="D17" i="6"/>
  <c r="F5" i="11"/>
  <c r="F4" i="11"/>
  <c r="F7" i="11"/>
  <c r="D6" i="15"/>
  <c r="D12" i="15"/>
  <c r="D4" i="15"/>
  <c r="H3" i="8"/>
  <c r="H3" i="7"/>
  <c r="K3" i="7" s="1"/>
  <c r="I3" i="7"/>
  <c r="G7" i="6"/>
  <c r="G9" i="6"/>
  <c r="G11" i="6"/>
  <c r="G13" i="6"/>
  <c r="D10" i="15"/>
  <c r="D8" i="15"/>
  <c r="D4" i="8"/>
  <c r="E5" i="8" s="1"/>
  <c r="F5" i="8" s="1"/>
  <c r="J4" i="10"/>
  <c r="M4" i="10" s="1"/>
  <c r="K3" i="10"/>
  <c r="J3" i="10"/>
  <c r="M3" i="10" s="1"/>
  <c r="E5" i="15"/>
  <c r="E3" i="15"/>
  <c r="G12" i="6"/>
  <c r="G8" i="6"/>
  <c r="G3" i="8"/>
  <c r="H12" i="6"/>
  <c r="K12" i="6" s="1"/>
  <c r="H10" i="6"/>
  <c r="K10" i="6" s="1"/>
  <c r="H8" i="6"/>
  <c r="K8" i="6" s="1"/>
  <c r="H6" i="6"/>
  <c r="K6" i="6" s="1"/>
  <c r="H13" i="6"/>
  <c r="F6" i="11"/>
  <c r="I4" i="10"/>
  <c r="E7" i="10"/>
  <c r="C4" i="10"/>
  <c r="J11" i="6" l="1"/>
  <c r="C5" i="8"/>
  <c r="D5" i="8" s="1"/>
  <c r="J12" i="6"/>
  <c r="J13" i="6"/>
  <c r="C5" i="17" s="1"/>
  <c r="J8" i="6"/>
  <c r="H4" i="7"/>
  <c r="K4" i="7" s="1"/>
  <c r="C5" i="7"/>
  <c r="D5" i="7"/>
  <c r="E5" i="7" s="1"/>
  <c r="J7" i="6"/>
  <c r="J10" i="6"/>
  <c r="J9" i="6"/>
  <c r="E8" i="10"/>
  <c r="D4" i="10"/>
  <c r="F5" i="10" s="1"/>
  <c r="G5" i="10" s="1"/>
  <c r="C5" i="10"/>
  <c r="E5" i="17"/>
  <c r="J3" i="8"/>
  <c r="I4" i="8"/>
  <c r="L4" i="8" s="1"/>
  <c r="I3" i="8"/>
  <c r="L3" i="8" s="1"/>
  <c r="F7" i="15"/>
  <c r="G7" i="15" s="1"/>
  <c r="F11" i="15"/>
  <c r="G11" i="15" s="1"/>
  <c r="C18" i="15"/>
  <c r="F3" i="15"/>
  <c r="G3" i="15" s="1"/>
  <c r="L3" i="10"/>
  <c r="L4" i="10"/>
  <c r="B5" i="17"/>
  <c r="K13" i="6"/>
  <c r="D5" i="17" s="1"/>
  <c r="F9" i="15"/>
  <c r="G9" i="15" s="1"/>
  <c r="F13" i="15"/>
  <c r="G13" i="15" s="1"/>
  <c r="C20" i="15"/>
  <c r="F5" i="15"/>
  <c r="G5" i="15" s="1"/>
  <c r="G5" i="8"/>
  <c r="J5" i="8" s="1"/>
  <c r="J4" i="7"/>
  <c r="J3" i="7"/>
  <c r="H5" i="8"/>
  <c r="E4" i="15"/>
  <c r="E2" i="15"/>
  <c r="E6" i="8" l="1"/>
  <c r="F6" i="8" s="1"/>
  <c r="C6" i="8"/>
  <c r="F5" i="7"/>
  <c r="G5" i="7"/>
  <c r="D6" i="7"/>
  <c r="E6" i="7" s="1"/>
  <c r="F6" i="7" s="1"/>
  <c r="I6" i="7" s="1"/>
  <c r="C6" i="7"/>
  <c r="H5" i="10"/>
  <c r="I5" i="10"/>
  <c r="F2" i="15"/>
  <c r="G2" i="15" s="1"/>
  <c r="C17" i="15"/>
  <c r="F6" i="15"/>
  <c r="G6" i="15" s="1"/>
  <c r="F10" i="15"/>
  <c r="G10" i="15" s="1"/>
  <c r="D6" i="8"/>
  <c r="C7" i="8" s="1"/>
  <c r="G6" i="8"/>
  <c r="J6" i="8" s="1"/>
  <c r="H6" i="8"/>
  <c r="D5" i="10"/>
  <c r="F6" i="10" s="1"/>
  <c r="G6" i="10" s="1"/>
  <c r="H6" i="10" s="1"/>
  <c r="K6" i="10" s="1"/>
  <c r="E9" i="10"/>
  <c r="C19" i="15"/>
  <c r="F12" i="15"/>
  <c r="G12" i="15" s="1"/>
  <c r="F4" i="15"/>
  <c r="G4" i="15" s="1"/>
  <c r="F8" i="15"/>
  <c r="G8" i="15" s="1"/>
  <c r="K4" i="8"/>
  <c r="K6" i="8"/>
  <c r="K3" i="8"/>
  <c r="K5" i="8"/>
  <c r="I5" i="8"/>
  <c r="L5" i="8" s="1"/>
  <c r="G6" i="7" l="1"/>
  <c r="E7" i="8"/>
  <c r="F7" i="8" s="1"/>
  <c r="H7" i="8" s="1"/>
  <c r="I5" i="7"/>
  <c r="H6" i="7"/>
  <c r="K6" i="7" s="1"/>
  <c r="H5" i="7"/>
  <c r="K5" i="7" s="1"/>
  <c r="D7" i="7"/>
  <c r="E7" i="7" s="1"/>
  <c r="F7" i="7" s="1"/>
  <c r="I7" i="7" s="1"/>
  <c r="C7" i="7"/>
  <c r="C6" i="10"/>
  <c r="E10" i="10" s="1"/>
  <c r="I6" i="8"/>
  <c r="L6" i="8" s="1"/>
  <c r="D7" i="8"/>
  <c r="E8" i="8" s="1"/>
  <c r="F8" i="8" s="1"/>
  <c r="K5" i="10"/>
  <c r="J6" i="10"/>
  <c r="M6" i="10" s="1"/>
  <c r="J5" i="10"/>
  <c r="M5" i="10" s="1"/>
  <c r="I6" i="10"/>
  <c r="D6" i="10" l="1"/>
  <c r="F7" i="10" s="1"/>
  <c r="G7" i="10" s="1"/>
  <c r="I7" i="10" s="1"/>
  <c r="G7" i="8"/>
  <c r="I7" i="8" s="1"/>
  <c r="L7" i="8" s="1"/>
  <c r="D8" i="7"/>
  <c r="E8" i="7" s="1"/>
  <c r="C8" i="7"/>
  <c r="H7" i="7"/>
  <c r="K7" i="7" s="1"/>
  <c r="J6" i="7"/>
  <c r="J5" i="7"/>
  <c r="G7" i="7"/>
  <c r="J7" i="7"/>
  <c r="H7" i="10"/>
  <c r="G8" i="8"/>
  <c r="J8" i="8" s="1"/>
  <c r="H8" i="8"/>
  <c r="J7" i="8"/>
  <c r="L5" i="10"/>
  <c r="L6" i="10"/>
  <c r="C8" i="8"/>
  <c r="C7" i="10" l="1"/>
  <c r="I8" i="8"/>
  <c r="L8" i="8" s="1"/>
  <c r="D9" i="7"/>
  <c r="E9" i="7" s="1"/>
  <c r="F9" i="7" s="1"/>
  <c r="I9" i="7" s="1"/>
  <c r="C9" i="7"/>
  <c r="F8" i="7"/>
  <c r="G8" i="7"/>
  <c r="K7" i="10"/>
  <c r="J7" i="10"/>
  <c r="M7" i="10" s="1"/>
  <c r="D8" i="8"/>
  <c r="C9" i="8" s="1"/>
  <c r="K7" i="8"/>
  <c r="K8" i="8"/>
  <c r="E11" i="10" l="1"/>
  <c r="D7" i="10"/>
  <c r="C8" i="10" s="1"/>
  <c r="F8" i="10"/>
  <c r="G8" i="10" s="1"/>
  <c r="E9" i="8"/>
  <c r="F9" i="8" s="1"/>
  <c r="G9" i="8" s="1"/>
  <c r="I8" i="7"/>
  <c r="J8" i="7" s="1"/>
  <c r="H8" i="7"/>
  <c r="K8" i="7" s="1"/>
  <c r="C10" i="7"/>
  <c r="D10" i="7"/>
  <c r="E10" i="7" s="1"/>
  <c r="G9" i="7"/>
  <c r="H9" i="7"/>
  <c r="K9" i="7" s="1"/>
  <c r="J9" i="7"/>
  <c r="D9" i="8"/>
  <c r="E10" i="8" s="1"/>
  <c r="F10" i="8" s="1"/>
  <c r="L7" i="10"/>
  <c r="H9" i="8"/>
  <c r="E12" i="10" l="1"/>
  <c r="D8" i="10"/>
  <c r="C9" i="10" s="1"/>
  <c r="F9" i="10"/>
  <c r="G9" i="10" s="1"/>
  <c r="H8" i="10"/>
  <c r="I8" i="10"/>
  <c r="F10" i="7"/>
  <c r="G10" i="7"/>
  <c r="D11" i="7"/>
  <c r="E11" i="7" s="1"/>
  <c r="F11" i="7" s="1"/>
  <c r="C11" i="7"/>
  <c r="G10" i="8"/>
  <c r="J10" i="8" s="1"/>
  <c r="H10" i="8"/>
  <c r="J9" i="8"/>
  <c r="I9" i="8"/>
  <c r="L9" i="8" s="1"/>
  <c r="C10" i="8"/>
  <c r="K8" i="10" l="1"/>
  <c r="L8" i="10" s="1"/>
  <c r="J8" i="10"/>
  <c r="M8" i="10" s="1"/>
  <c r="E13" i="10"/>
  <c r="D9" i="10"/>
  <c r="F10" i="10" s="1"/>
  <c r="G10" i="10" s="1"/>
  <c r="H10" i="10" s="1"/>
  <c r="K10" i="10" s="1"/>
  <c r="C10" i="10"/>
  <c r="I9" i="10"/>
  <c r="H9" i="10"/>
  <c r="K9" i="10" s="1"/>
  <c r="C12" i="7"/>
  <c r="D12" i="7"/>
  <c r="E12" i="7" s="1"/>
  <c r="F12" i="7" s="1"/>
  <c r="I12" i="7" s="1"/>
  <c r="H11" i="7"/>
  <c r="K11" i="7" s="1"/>
  <c r="I11" i="7"/>
  <c r="G11" i="7"/>
  <c r="I10" i="7"/>
  <c r="J10" i="7" s="1"/>
  <c r="H10" i="7"/>
  <c r="K10" i="7" s="1"/>
  <c r="I10" i="8"/>
  <c r="L10" i="8" s="1"/>
  <c r="D10" i="8"/>
  <c r="C11" i="8" s="1"/>
  <c r="K10" i="8"/>
  <c r="K9" i="8"/>
  <c r="E11" i="8" l="1"/>
  <c r="F11" i="8" s="1"/>
  <c r="J12" i="7"/>
  <c r="J9" i="10"/>
  <c r="M9" i="10" s="1"/>
  <c r="J11" i="7"/>
  <c r="I10" i="10"/>
  <c r="J10" i="10"/>
  <c r="M10" i="10" s="1"/>
  <c r="E14" i="10"/>
  <c r="D10" i="10"/>
  <c r="F11" i="10" s="1"/>
  <c r="G11" i="10" s="1"/>
  <c r="C13" i="7"/>
  <c r="D13" i="7"/>
  <c r="E13" i="7" s="1"/>
  <c r="F13" i="7" s="1"/>
  <c r="I13" i="7" s="1"/>
  <c r="H12" i="7"/>
  <c r="K12" i="7" s="1"/>
  <c r="G12" i="7"/>
  <c r="D11" i="8"/>
  <c r="E12" i="8" s="1"/>
  <c r="F12" i="8" s="1"/>
  <c r="G11" i="8"/>
  <c r="H11" i="8"/>
  <c r="L10" i="10"/>
  <c r="L9" i="10"/>
  <c r="H11" i="10" l="1"/>
  <c r="I11" i="10"/>
  <c r="C11" i="10"/>
  <c r="H13" i="7"/>
  <c r="K13" i="7" s="1"/>
  <c r="D14" i="7"/>
  <c r="E14" i="7" s="1"/>
  <c r="F14" i="7" s="1"/>
  <c r="I14" i="7" s="1"/>
  <c r="J14" i="7" s="1"/>
  <c r="C6" i="17" s="1"/>
  <c r="C14" i="7"/>
  <c r="H14" i="7"/>
  <c r="B6" i="17" s="1"/>
  <c r="G13" i="7"/>
  <c r="J13" i="7"/>
  <c r="G12" i="8"/>
  <c r="J12" i="8" s="1"/>
  <c r="H12" i="8"/>
  <c r="J11" i="8"/>
  <c r="I11" i="8"/>
  <c r="L11" i="8" s="1"/>
  <c r="C12" i="8"/>
  <c r="K11" i="10" l="1"/>
  <c r="L11" i="10" s="1"/>
  <c r="J11" i="10"/>
  <c r="M11" i="10" s="1"/>
  <c r="D11" i="10"/>
  <c r="F12" i="10" s="1"/>
  <c r="G12" i="10" s="1"/>
  <c r="E15" i="10"/>
  <c r="C12" i="10"/>
  <c r="K14" i="7"/>
  <c r="D6" i="17" s="1"/>
  <c r="H15" i="7"/>
  <c r="G14" i="7"/>
  <c r="G15" i="7" s="1"/>
  <c r="D17" i="7"/>
  <c r="D18" i="7"/>
  <c r="D15" i="7"/>
  <c r="D16" i="7"/>
  <c r="I12" i="8"/>
  <c r="L12" i="8" s="1"/>
  <c r="E6" i="17"/>
  <c r="D12" i="8"/>
  <c r="C13" i="8" s="1"/>
  <c r="K12" i="8"/>
  <c r="K11" i="8"/>
  <c r="E16" i="10" l="1"/>
  <c r="D12" i="10"/>
  <c r="C13" i="10" s="1"/>
  <c r="H12" i="10"/>
  <c r="I12" i="10"/>
  <c r="E13" i="8"/>
  <c r="F13" i="8" s="1"/>
  <c r="G13" i="8" s="1"/>
  <c r="D13" i="8"/>
  <c r="E14" i="8" s="1"/>
  <c r="F14" i="8" s="1"/>
  <c r="F13" i="10" l="1"/>
  <c r="G13" i="10" s="1"/>
  <c r="I13" i="10" s="1"/>
  <c r="H13" i="8"/>
  <c r="E17" i="10"/>
  <c r="D13" i="10"/>
  <c r="F14" i="10" s="1"/>
  <c r="G14" i="10" s="1"/>
  <c r="H14" i="10" s="1"/>
  <c r="K14" i="10" s="1"/>
  <c r="C14" i="10"/>
  <c r="K12" i="10"/>
  <c r="J12" i="10"/>
  <c r="M12" i="10" s="1"/>
  <c r="H13" i="10"/>
  <c r="K13" i="10" s="1"/>
  <c r="C14" i="8"/>
  <c r="G14" i="8"/>
  <c r="H14" i="8"/>
  <c r="J13" i="8"/>
  <c r="I13" i="8"/>
  <c r="L13" i="8" s="1"/>
  <c r="D14" i="8"/>
  <c r="E16" i="8" s="1"/>
  <c r="L14" i="10" l="1"/>
  <c r="C8" i="17" s="1"/>
  <c r="I14" i="10"/>
  <c r="F17" i="10"/>
  <c r="J14" i="10"/>
  <c r="J13" i="10"/>
  <c r="M13" i="10" s="1"/>
  <c r="L13" i="10"/>
  <c r="L12" i="10"/>
  <c r="E18" i="10"/>
  <c r="D14" i="10"/>
  <c r="F15" i="10"/>
  <c r="F16" i="10"/>
  <c r="E17" i="8"/>
  <c r="E18" i="8"/>
  <c r="K13" i="8"/>
  <c r="J14" i="8"/>
  <c r="K14" i="8" s="1"/>
  <c r="C7" i="17" s="1"/>
  <c r="I14" i="8"/>
  <c r="E15" i="8"/>
  <c r="M14" i="10" l="1"/>
  <c r="B8" i="17"/>
  <c r="F18" i="10"/>
  <c r="B7" i="17"/>
  <c r="L14" i="8"/>
  <c r="D8" i="17" l="1"/>
  <c r="E8" i="17"/>
  <c r="E7" i="17"/>
  <c r="D7" i="17"/>
</calcChain>
</file>

<file path=xl/sharedStrings.xml><?xml version="1.0" encoding="utf-8"?>
<sst xmlns="http://schemas.openxmlformats.org/spreadsheetml/2006/main" count="205" uniqueCount="119">
  <si>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</si>
  <si>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</si>
  <si>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</si>
  <si>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</si>
  <si>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</si>
  <si>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</si>
  <si>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</si>
  <si>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</si>
  <si>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</si>
  <si>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</si>
  <si>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</si>
  <si>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</si>
  <si>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</si>
  <si>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</si>
  <si>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</si>
  <si>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</si>
  <si>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</si>
  <si>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</si>
  <si>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</si>
  <si>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</si>
  <si>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</si>
  <si>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</si>
  <si>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</si>
  <si>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</si>
  <si>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r>
      <t xml:space="preserve">Period </t>
    </r>
    <r>
      <rPr>
        <i/>
        <sz val="10"/>
        <rFont val="Arial"/>
        <family val="2"/>
      </rPr>
      <t>t</t>
    </r>
  </si>
  <si>
    <t>% Error</t>
  </si>
  <si>
    <r>
      <t>Demand D</t>
    </r>
    <r>
      <rPr>
        <vertAlign val="subscript"/>
        <sz val="10"/>
        <rFont val="Arial"/>
        <family val="2"/>
      </rPr>
      <t>t</t>
    </r>
  </si>
  <si>
    <t xml:space="preserve">Deseasonalized Demand </t>
  </si>
  <si>
    <r>
      <t>Level L</t>
    </r>
    <r>
      <rPr>
        <vertAlign val="subscript"/>
        <sz val="10"/>
        <rFont val="Arial"/>
        <family val="2"/>
      </rPr>
      <t>t</t>
    </r>
  </si>
  <si>
    <r>
      <t>Forecast F</t>
    </r>
    <r>
      <rPr>
        <vertAlign val="subscript"/>
        <sz val="10"/>
        <rFont val="Arial"/>
        <family val="2"/>
      </rPr>
      <t>t</t>
    </r>
  </si>
  <si>
    <r>
      <t>Error E</t>
    </r>
    <r>
      <rPr>
        <vertAlign val="subscript"/>
        <sz val="10"/>
        <rFont val="Arial"/>
        <family val="2"/>
      </rPr>
      <t>t</t>
    </r>
  </si>
  <si>
    <r>
      <t>Absolute Error A</t>
    </r>
    <r>
      <rPr>
        <vertAlign val="subscript"/>
        <sz val="10"/>
        <rFont val="Arial"/>
        <family val="2"/>
      </rPr>
      <t>t</t>
    </r>
  </si>
  <si>
    <r>
      <t>Mean Squared Error MSE</t>
    </r>
    <r>
      <rPr>
        <vertAlign val="subscript"/>
        <sz val="10"/>
        <rFont val="Arial"/>
        <family val="2"/>
      </rPr>
      <t>t</t>
    </r>
  </si>
  <si>
    <r>
      <t>MAD</t>
    </r>
    <r>
      <rPr>
        <vertAlign val="subscript"/>
        <sz val="10"/>
        <rFont val="Arial"/>
        <family val="2"/>
      </rPr>
      <t>t</t>
    </r>
  </si>
  <si>
    <r>
      <t>MAPE</t>
    </r>
    <r>
      <rPr>
        <vertAlign val="subscript"/>
        <sz val="10"/>
        <rFont val="Arial"/>
        <family val="2"/>
      </rPr>
      <t>t</t>
    </r>
  </si>
  <si>
    <r>
      <t>TS</t>
    </r>
    <r>
      <rPr>
        <vertAlign val="subscript"/>
        <sz val="10"/>
        <rFont val="Arial"/>
        <family val="2"/>
      </rPr>
      <t>t</t>
    </r>
  </si>
  <si>
    <r>
      <t>Trend T</t>
    </r>
    <r>
      <rPr>
        <vertAlign val="subscript"/>
        <sz val="10"/>
        <rFont val="Arial"/>
        <family val="2"/>
      </rPr>
      <t>t</t>
    </r>
  </si>
  <si>
    <r>
      <t>Seasonal Factor S</t>
    </r>
    <r>
      <rPr>
        <vertAlign val="subscript"/>
        <sz val="10"/>
        <rFont val="Arial"/>
        <family val="2"/>
      </rPr>
      <t>t</t>
    </r>
  </si>
  <si>
    <t>Year, Qtr</t>
  </si>
  <si>
    <t>D =</t>
  </si>
  <si>
    <t>Demand</t>
  </si>
  <si>
    <t>periodicity</t>
  </si>
  <si>
    <t>where:</t>
  </si>
  <si>
    <t>p =</t>
  </si>
  <si>
    <t>t =</t>
  </si>
  <si>
    <t>period</t>
  </si>
  <si>
    <t>REGRESSION SUMMARY OUTPUT</t>
  </si>
  <si>
    <r>
      <t xml:space="preserve">Demand
</t>
    </r>
    <r>
      <rPr>
        <i/>
        <sz val="10"/>
        <rFont val="Arial"/>
        <family val="2"/>
      </rPr>
      <t xml:space="preserve"> D</t>
    </r>
    <r>
      <rPr>
        <i/>
        <vertAlign val="subscript"/>
        <sz val="10"/>
        <rFont val="Arial"/>
        <family val="2"/>
      </rPr>
      <t>t</t>
    </r>
  </si>
  <si>
    <r>
      <t xml:space="preserve">Period
</t>
    </r>
    <r>
      <rPr>
        <i/>
        <sz val="10"/>
        <rFont val="Arial"/>
        <family val="2"/>
      </rPr>
      <t xml:space="preserve"> t</t>
    </r>
  </si>
  <si>
    <t>Forecasted Data</t>
  </si>
  <si>
    <t xml:space="preserve">Forecasted Demand
</t>
  </si>
  <si>
    <r>
      <t xml:space="preserve">Period
</t>
    </r>
    <r>
      <rPr>
        <i/>
        <sz val="10"/>
        <rFont val="Arial"/>
        <family val="2"/>
      </rPr>
      <t>t</t>
    </r>
  </si>
  <si>
    <t>00,2</t>
  </si>
  <si>
    <t>00,3</t>
  </si>
  <si>
    <t>00,4</t>
  </si>
  <si>
    <t>01,1</t>
  </si>
  <si>
    <t>01,2</t>
  </si>
  <si>
    <t>01,3</t>
  </si>
  <si>
    <t>01,4</t>
  </si>
  <si>
    <t>02,1</t>
  </si>
  <si>
    <r>
      <t xml:space="preserve">Period
 </t>
    </r>
    <r>
      <rPr>
        <b/>
        <i/>
        <sz val="10"/>
        <rFont val="Arial"/>
        <family val="2"/>
      </rPr>
      <t>t</t>
    </r>
  </si>
  <si>
    <r>
      <t>Demand
 D</t>
    </r>
    <r>
      <rPr>
        <b/>
        <vertAlign val="subscript"/>
        <sz val="10"/>
        <rFont val="Arial"/>
        <family val="2"/>
      </rPr>
      <t>t</t>
    </r>
  </si>
  <si>
    <r>
      <t>Level
 L</t>
    </r>
    <r>
      <rPr>
        <b/>
        <vertAlign val="subscript"/>
        <sz val="10"/>
        <rFont val="Arial"/>
        <family val="2"/>
      </rPr>
      <t>t</t>
    </r>
  </si>
  <si>
    <r>
      <t>Forecast
 F</t>
    </r>
    <r>
      <rPr>
        <b/>
        <vertAlign val="subscript"/>
        <sz val="10"/>
        <rFont val="Arial"/>
        <family val="2"/>
      </rPr>
      <t>t</t>
    </r>
  </si>
  <si>
    <r>
      <t>Error
 E</t>
    </r>
    <r>
      <rPr>
        <b/>
        <vertAlign val="subscript"/>
        <sz val="10"/>
        <rFont val="Arial"/>
        <family val="2"/>
      </rPr>
      <t>t</t>
    </r>
  </si>
  <si>
    <r>
      <t>Absolute
Error
 A</t>
    </r>
    <r>
      <rPr>
        <b/>
        <vertAlign val="subscript"/>
        <sz val="10"/>
        <rFont val="Arial"/>
        <family val="2"/>
      </rPr>
      <t>t</t>
    </r>
  </si>
  <si>
    <r>
      <t>Mean Squared
Error
 MSE</t>
    </r>
    <r>
      <rPr>
        <b/>
        <vertAlign val="subscript"/>
        <sz val="10"/>
        <rFont val="Arial"/>
        <family val="2"/>
      </rPr>
      <t>t</t>
    </r>
  </si>
  <si>
    <r>
      <t>MAD</t>
    </r>
    <r>
      <rPr>
        <b/>
        <vertAlign val="subscript"/>
        <sz val="10"/>
        <rFont val="Arial"/>
        <family val="2"/>
      </rPr>
      <t>t</t>
    </r>
  </si>
  <si>
    <r>
      <t>MAPE</t>
    </r>
    <r>
      <rPr>
        <b/>
        <vertAlign val="subscript"/>
        <sz val="10"/>
        <rFont val="Arial"/>
        <family val="2"/>
      </rPr>
      <t>t</t>
    </r>
  </si>
  <si>
    <r>
      <t>TS</t>
    </r>
    <r>
      <rPr>
        <b/>
        <vertAlign val="subscript"/>
        <sz val="10"/>
        <rFont val="Arial"/>
        <family val="2"/>
      </rPr>
      <t>t</t>
    </r>
  </si>
  <si>
    <t>Forecasts Using Trend-Corrected Exponential Smoothing (Holt's Model)</t>
  </si>
  <si>
    <t>HOLT'S MODEL REGRESSION SUMMARY OUTPUT</t>
  </si>
  <si>
    <t>Forecasts Using Trend and Seasonality Corrected Exponential Smoothing)</t>
  </si>
  <si>
    <t>WINTER'S MODEL REGRESSION SUMMARY OUTPUT</t>
  </si>
  <si>
    <t>Deseasonalizing Demand</t>
  </si>
  <si>
    <t>Period
 t</t>
  </si>
  <si>
    <r>
      <t>Demand
 D</t>
    </r>
    <r>
      <rPr>
        <b/>
        <i/>
        <vertAlign val="subscript"/>
        <sz val="10"/>
        <rFont val="Arial"/>
        <family val="2"/>
      </rPr>
      <t>t</t>
    </r>
  </si>
  <si>
    <r>
      <t>Mean Squared
Error MSE</t>
    </r>
    <r>
      <rPr>
        <vertAlign val="subscript"/>
        <sz val="10"/>
        <rFont val="Arial"/>
        <family val="2"/>
      </rPr>
      <t>t</t>
    </r>
  </si>
  <si>
    <t>Forecasting Method</t>
  </si>
  <si>
    <t>MAD</t>
  </si>
  <si>
    <t>MAPE(%)</t>
  </si>
  <si>
    <t>TS Range</t>
  </si>
  <si>
    <t>Min</t>
  </si>
  <si>
    <t>Max</t>
  </si>
  <si>
    <t>Four-period moving average</t>
  </si>
  <si>
    <t>Simple exponential smoothing</t>
  </si>
  <si>
    <t>Holt's model</t>
  </si>
  <si>
    <t>Winter's model</t>
  </si>
  <si>
    <t>Forecast</t>
  </si>
  <si>
    <t>Error</t>
  </si>
  <si>
    <t>Table 7.1 Quarterly Demand for Tahoe Salt</t>
  </si>
  <si>
    <t>Equation 7.2  Deseasonalizing Demand</t>
  </si>
  <si>
    <t xml:space="preserve">Deseasonalized
Demand
(Eqn 7.4)           </t>
  </si>
  <si>
    <t>02,2</t>
  </si>
  <si>
    <t>02,3</t>
  </si>
  <si>
    <t>02,4</t>
  </si>
  <si>
    <t>03,1</t>
  </si>
  <si>
    <t>03,2</t>
  </si>
  <si>
    <t>03,3</t>
  </si>
  <si>
    <t>03,4</t>
  </si>
  <si>
    <t>04,1</t>
  </si>
  <si>
    <t>Seasonal Factor
(Eqn 7.5)</t>
  </si>
  <si>
    <t xml:space="preserve">Estimate
(Eqn 7.6)   </t>
  </si>
  <si>
    <t>Tahoe Salt Forecasts Using Four-Period Moving Average</t>
  </si>
  <si>
    <t>Tahoe Salt Forecasts Using Simple Exponential Smoothing</t>
  </si>
  <si>
    <t xml:space="preserve">Deseasonalized
Demand 
(Eqn 7.2)           </t>
  </si>
  <si>
    <t xml:space="preserve">Deseasonalized
Demand 
(Eqn 7.3)           </t>
  </si>
  <si>
    <t>Forecast Errors for Tahoe Salt Forecasting</t>
  </si>
  <si>
    <r>
      <t xml:space="preserve">Period </t>
    </r>
    <r>
      <rPr>
        <b/>
        <i/>
        <sz val="11"/>
        <color theme="1"/>
        <rFont val="Calibri"/>
        <family val="2"/>
        <scheme val="minor"/>
      </rPr>
      <t>t</t>
    </r>
  </si>
  <si>
    <r>
      <t xml:space="preserve">Demand </t>
    </r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</si>
  <si>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Level </t>
    </r>
    <r>
      <rPr>
        <b/>
        <i/>
        <sz val="11"/>
        <color theme="1"/>
        <rFont val="Calibri"/>
        <family val="2"/>
        <scheme val="minor"/>
      </rPr>
      <t>L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</si>
  <si>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Forecast 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</si>
  <si>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 xml:space="preserve">Error 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</si>
  <si>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Squared Error</t>
  </si>
  <si>
    <r>
      <t xml:space="preserve">Absolute Errror </t>
    </r>
    <r>
      <rPr>
        <b/>
        <i/>
        <sz val="11"/>
        <color theme="1"/>
        <rFont val="Calibri"/>
        <family val="2"/>
        <scheme val="minor"/>
      </rPr>
      <t>A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</si>
  <si>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α =</t>
  </si>
  <si>
    <t>α</t>
  </si>
  <si>
    <t>β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</si>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</sst>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19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3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2" xfId="0" applyNumberFormat="1" applyBorder="1"/>
    <xf numFmtId="0" fontId="7" fillId="0" borderId="0" xfId="0" applyFont="1"/>
    <xf numFmtId="3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165" fontId="5" fillId="2" borderId="4" xfId="1" applyNumberFormat="1" applyFont="1" applyFill="1" applyBorder="1" applyAlignment="1"/>
    <xf numFmtId="165" fontId="5" fillId="3" borderId="8" xfId="1" applyNumberFormat="1" applyFont="1" applyFill="1" applyBorder="1" applyAlignment="1"/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horizontal="left" wrapText="1"/>
    </xf>
    <xf numFmtId="0" fontId="5" fillId="0" borderId="13" xfId="0" applyFont="1" applyBorder="1" applyAlignment="1">
      <alignment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6" xfId="0" applyBorder="1"/>
    <xf numFmtId="2" fontId="0" fillId="0" borderId="8" xfId="0" applyNumberFormat="1" applyBorder="1" applyAlignment="1">
      <alignment horizontal="center"/>
    </xf>
    <xf numFmtId="0" fontId="10" fillId="0" borderId="0" xfId="0" applyFont="1"/>
    <xf numFmtId="0" fontId="5" fillId="0" borderId="16" xfId="0" applyFont="1" applyBorder="1"/>
    <xf numFmtId="0" fontId="5" fillId="0" borderId="17" xfId="0" applyFont="1" applyBorder="1" applyAlignment="1">
      <alignment horizontal="center" wrapText="1"/>
    </xf>
    <xf numFmtId="3" fontId="0" fillId="0" borderId="6" xfId="0" applyNumberFormat="1" applyBorder="1" applyAlignment="1">
      <alignment horizontal="center"/>
    </xf>
    <xf numFmtId="0" fontId="0" fillId="0" borderId="8" xfId="0" applyBorder="1"/>
    <xf numFmtId="3" fontId="0" fillId="0" borderId="9" xfId="0" applyNumberFormat="1" applyBorder="1" applyAlignment="1">
      <alignment horizontal="center"/>
    </xf>
    <xf numFmtId="0" fontId="5" fillId="0" borderId="18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8" fillId="0" borderId="0" xfId="0" applyFont="1"/>
    <xf numFmtId="0" fontId="0" fillId="0" borderId="19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0" fillId="0" borderId="20" xfId="0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horizontal="center"/>
    </xf>
    <xf numFmtId="165" fontId="0" fillId="4" borderId="4" xfId="1" applyNumberFormat="1" applyFon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165" fontId="0" fillId="4" borderId="8" xfId="1" applyNumberFormat="1" applyFont="1" applyFill="1" applyBorder="1" applyAlignment="1">
      <alignment horizontal="center"/>
    </xf>
    <xf numFmtId="4" fontId="0" fillId="4" borderId="9" xfId="0" applyNumberFormat="1" applyFill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3" fontId="0" fillId="4" borderId="22" xfId="0" applyNumberFormat="1" applyFill="1" applyBorder="1" applyAlignment="1">
      <alignment horizontal="center"/>
    </xf>
    <xf numFmtId="3" fontId="0" fillId="4" borderId="23" xfId="0" applyNumberFormat="1" applyFill="1" applyBorder="1" applyAlignment="1">
      <alignment horizontal="center"/>
    </xf>
    <xf numFmtId="165" fontId="0" fillId="4" borderId="23" xfId="1" applyNumberFormat="1" applyFont="1" applyFill="1" applyBorder="1" applyAlignment="1">
      <alignment horizontal="center"/>
    </xf>
    <xf numFmtId="4" fontId="0" fillId="4" borderId="24" xfId="0" applyNumberFormat="1" applyFill="1" applyBorder="1" applyAlignment="1">
      <alignment horizontal="center"/>
    </xf>
    <xf numFmtId="0" fontId="0" fillId="0" borderId="25" xfId="0" applyBorder="1"/>
    <xf numFmtId="0" fontId="0" fillId="0" borderId="23" xfId="0" applyFill="1" applyBorder="1" applyAlignment="1">
      <alignment horizontal="center"/>
    </xf>
    <xf numFmtId="0" fontId="0" fillId="0" borderId="23" xfId="0" applyBorder="1"/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29" xfId="0" applyBorder="1"/>
    <xf numFmtId="4" fontId="0" fillId="4" borderId="4" xfId="0" applyNumberFormat="1" applyFill="1" applyBorder="1" applyAlignment="1">
      <alignment horizontal="center"/>
    </xf>
    <xf numFmtId="4" fontId="0" fillId="4" borderId="23" xfId="0" applyNumberFormat="1" applyFill="1" applyBorder="1" applyAlignment="1">
      <alignment horizontal="center"/>
    </xf>
    <xf numFmtId="165" fontId="10" fillId="5" borderId="0" xfId="1" applyNumberFormat="1" applyFont="1" applyFill="1" applyBorder="1" applyAlignment="1"/>
    <xf numFmtId="165" fontId="10" fillId="2" borderId="1" xfId="1" applyNumberFormat="1" applyFont="1" applyFill="1" applyBorder="1" applyAlignment="1"/>
    <xf numFmtId="4" fontId="0" fillId="0" borderId="4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4" fontId="0" fillId="4" borderId="12" xfId="0" applyNumberFormat="1" applyFill="1" applyBorder="1" applyAlignment="1">
      <alignment horizontal="center"/>
    </xf>
    <xf numFmtId="0" fontId="0" fillId="0" borderId="31" xfId="0" applyBorder="1"/>
    <xf numFmtId="0" fontId="0" fillId="0" borderId="33" xfId="0" applyBorder="1"/>
    <xf numFmtId="0" fontId="0" fillId="0" borderId="16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7" xfId="0" applyNumberFormat="1" applyBorder="1"/>
    <xf numFmtId="2" fontId="0" fillId="0" borderId="6" xfId="0" applyNumberFormat="1" applyBorder="1"/>
    <xf numFmtId="1" fontId="0" fillId="0" borderId="6" xfId="0" applyNumberFormat="1" applyBorder="1"/>
    <xf numFmtId="1" fontId="0" fillId="0" borderId="9" xfId="0" applyNumberFormat="1" applyBorder="1"/>
    <xf numFmtId="0" fontId="12" fillId="0" borderId="0" xfId="0" applyFont="1"/>
    <xf numFmtId="3" fontId="0" fillId="0" borderId="6" xfId="1" applyNumberFormat="1" applyFont="1" applyBorder="1" applyAlignment="1">
      <alignment horizontal="center"/>
    </xf>
    <xf numFmtId="3" fontId="0" fillId="2" borderId="4" xfId="0" applyNumberFormat="1" applyFill="1" applyBorder="1" applyAlignment="1"/>
    <xf numFmtId="3" fontId="0" fillId="3" borderId="8" xfId="0" applyNumberFormat="1" applyFill="1" applyBorder="1" applyAlignment="1"/>
    <xf numFmtId="0" fontId="0" fillId="0" borderId="5" xfId="0" applyBorder="1"/>
    <xf numFmtId="0" fontId="0" fillId="0" borderId="7" xfId="0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0" xfId="0" applyBorder="1"/>
    <xf numFmtId="1" fontId="0" fillId="0" borderId="11" xfId="1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3" fontId="0" fillId="0" borderId="19" xfId="0" applyNumberFormat="1" applyBorder="1"/>
    <xf numFmtId="0" fontId="0" fillId="0" borderId="19" xfId="0" applyBorder="1"/>
    <xf numFmtId="3" fontId="0" fillId="0" borderId="34" xfId="0" applyNumberFormat="1" applyBorder="1"/>
    <xf numFmtId="0" fontId="5" fillId="0" borderId="35" xfId="0" applyFont="1" applyBorder="1"/>
    <xf numFmtId="3" fontId="0" fillId="0" borderId="36" xfId="0" applyNumberFormat="1" applyBorder="1"/>
    <xf numFmtId="3" fontId="0" fillId="0" borderId="37" xfId="0" applyNumberFormat="1" applyBorder="1"/>
    <xf numFmtId="3" fontId="0" fillId="0" borderId="38" xfId="0" applyNumberFormat="1" applyBorder="1"/>
    <xf numFmtId="3" fontId="0" fillId="0" borderId="28" xfId="0" applyNumberFormat="1" applyBorder="1"/>
    <xf numFmtId="3" fontId="0" fillId="0" borderId="30" xfId="0" applyNumberFormat="1" applyBorder="1"/>
    <xf numFmtId="3" fontId="0" fillId="0" borderId="32" xfId="0" applyNumberFormat="1" applyBorder="1"/>
    <xf numFmtId="0" fontId="5" fillId="0" borderId="39" xfId="0" applyFont="1" applyBorder="1"/>
    <xf numFmtId="165" fontId="0" fillId="0" borderId="4" xfId="1" applyNumberFormat="1" applyFont="1" applyBorder="1" applyAlignment="1">
      <alignment horizontal="center"/>
    </xf>
    <xf numFmtId="164" fontId="0" fillId="0" borderId="29" xfId="0" applyNumberFormat="1" applyBorder="1"/>
    <xf numFmtId="164" fontId="0" fillId="0" borderId="40" xfId="0" applyNumberFormat="1" applyBorder="1"/>
    <xf numFmtId="0" fontId="14" fillId="0" borderId="14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6" fontId="0" fillId="0" borderId="6" xfId="2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9" xfId="2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1" fontId="0" fillId="0" borderId="46" xfId="0" applyNumberFormat="1" applyBorder="1" applyAlignment="1">
      <alignment horizontal="center"/>
    </xf>
    <xf numFmtId="165" fontId="0" fillId="0" borderId="46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0" fontId="1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26" xfId="0" applyFont="1" applyBorder="1"/>
    <xf numFmtId="0" fontId="18" fillId="0" borderId="28" xfId="0" applyFont="1" applyBorder="1"/>
    <xf numFmtId="0" fontId="18" fillId="0" borderId="27" xfId="0" applyFont="1" applyBorder="1"/>
    <xf numFmtId="0" fontId="18" fillId="0" borderId="32" xfId="0" applyFont="1" applyBorder="1"/>
    <xf numFmtId="0" fontId="10" fillId="0" borderId="26" xfId="0" applyFont="1" applyBorder="1" applyAlignment="1">
      <alignment horizontal="left"/>
    </xf>
    <xf numFmtId="0" fontId="10" fillId="0" borderId="4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7.1 Quarterly Demand at Tahoe Salt</a:t>
            </a:r>
          </a:p>
        </c:rich>
      </c:tx>
      <c:layout>
        <c:manualLayout>
          <c:xMode val="edge"/>
          <c:yMode val="edge"/>
          <c:x val="0.23269252619114913"/>
          <c:y val="4.13533834586466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0784941016508"/>
          <c:y val="0.17293233082706766"/>
          <c:w val="0.80576998738918593"/>
          <c:h val="0.56390977443609025"/>
        </c:manualLayout>
      </c:layout>
      <c:lineChart>
        <c:grouping val="standard"/>
        <c:varyColors val="0"/>
        <c:ser>
          <c:idx val="0"/>
          <c:order val="0"/>
          <c:tx>
            <c:strRef>
              <c:f>'Table 7.1'!$C$2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'Table 7.1'!$A$3:$A$14</c:f>
              <c:strCache>
                <c:ptCount val="12"/>
                <c:pt idx="0">
                  <c:v>00,2</c:v>
                </c:pt>
                <c:pt idx="1">
                  <c:v>00,3</c:v>
                </c:pt>
                <c:pt idx="2">
                  <c:v>00,4</c:v>
                </c:pt>
                <c:pt idx="3">
                  <c:v>01,1</c:v>
                </c:pt>
                <c:pt idx="4">
                  <c:v>01,2</c:v>
                </c:pt>
                <c:pt idx="5">
                  <c:v>01,3</c:v>
                </c:pt>
                <c:pt idx="6">
                  <c:v>01,4</c:v>
                </c:pt>
                <c:pt idx="7">
                  <c:v>02,1</c:v>
                </c:pt>
                <c:pt idx="8">
                  <c:v>02,2</c:v>
                </c:pt>
                <c:pt idx="9">
                  <c:v>02,3</c:v>
                </c:pt>
                <c:pt idx="10">
                  <c:v>02,4</c:v>
                </c:pt>
                <c:pt idx="11">
                  <c:v>03,1</c:v>
                </c:pt>
              </c:strCache>
            </c:strRef>
          </c:cat>
          <c:val>
            <c:numRef>
              <c:f>'Table 7.1'!$C$3:$C$14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B7E-A893-CB9EEACE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87904"/>
        <c:axId val="251390208"/>
      </c:lineChart>
      <c:catAx>
        <c:axId val="2513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Year, Quarter</a:t>
                </a:r>
              </a:p>
            </c:rich>
          </c:tx>
          <c:layout>
            <c:manualLayout>
              <c:xMode val="edge"/>
              <c:yMode val="edge"/>
              <c:x val="0.4365388714495112"/>
              <c:y val="0.87218045112781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39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3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4.2307732034754388E-2"/>
              <c:y val="0.360902255639097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387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7.3 Deseasonalized Demand for Tahoe Salt</a:t>
            </a:r>
          </a:p>
        </c:rich>
      </c:tx>
      <c:layout>
        <c:manualLayout>
          <c:xMode val="edge"/>
          <c:yMode val="edge"/>
          <c:x val="0.12865521567223986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909661134071"/>
          <c:y val="0.1682853214923439"/>
          <c:w val="0.78362722273091556"/>
          <c:h val="0.55663606339775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7-2 &amp; 7-3'!$B$1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'Figure 7-2 &amp; 7-3'!$A$2:$A$13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7-2 &amp; 7-3'!$B$2:$B$13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B53-A171-184BB4089F49}"/>
            </c:ext>
          </c:extLst>
        </c:ser>
        <c:ser>
          <c:idx val="1"/>
          <c:order val="1"/>
          <c:tx>
            <c:strRef>
              <c:f>'Figure 7-2 &amp; 7-3'!$C$1</c:f>
              <c:strCache>
                <c:ptCount val="1"/>
                <c:pt idx="0">
                  <c:v>Deseasonalized Demand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'Figure 7-2 &amp; 7-3'!$A$2:$A$13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7-2 &amp; 7-3'!$C$2:$C$13</c:f>
              <c:numCache>
                <c:formatCode>General</c:formatCode>
                <c:ptCount val="12"/>
                <c:pt idx="2" formatCode="#,##0">
                  <c:v>19750</c:v>
                </c:pt>
                <c:pt idx="3" formatCode="#,##0">
                  <c:v>20625</c:v>
                </c:pt>
                <c:pt idx="4" formatCode="#,##0">
                  <c:v>21250</c:v>
                </c:pt>
                <c:pt idx="5" formatCode="#,##0">
                  <c:v>21750</c:v>
                </c:pt>
                <c:pt idx="6" formatCode="#,##0">
                  <c:v>22500</c:v>
                </c:pt>
                <c:pt idx="7" formatCode="#,##0">
                  <c:v>22125</c:v>
                </c:pt>
                <c:pt idx="8" formatCode="#,##0">
                  <c:v>22625</c:v>
                </c:pt>
                <c:pt idx="9" formatCode="#,##0">
                  <c:v>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3-4B53-A171-184BB408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16448"/>
        <c:axId val="250218368"/>
      </c:scatterChart>
      <c:valAx>
        <c:axId val="250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Period, t</a:t>
                </a:r>
              </a:p>
            </c:rich>
          </c:tx>
          <c:layout>
            <c:manualLayout>
              <c:xMode val="edge"/>
              <c:yMode val="edge"/>
              <c:x val="0.51267154123938008"/>
              <c:y val="0.81230030181881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218368"/>
        <c:crosses val="autoZero"/>
        <c:crossBetween val="midCat"/>
      </c:valAx>
      <c:valAx>
        <c:axId val="2502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1.3645250147055744E-2"/>
              <c:y val="0.362460692445048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216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009775161761318"/>
          <c:y val="0.89320670638244082"/>
          <c:w val="0.73099554359227203"/>
          <c:h val="8.41426607461719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88"/>
          <c:y val="9.4545454545454544E-2"/>
          <c:w val="0.64969450101832993"/>
          <c:h val="0.74181818181818182"/>
        </c:manualLayout>
      </c:layout>
      <c:lineChart>
        <c:grouping val="standard"/>
        <c:varyColors val="0"/>
        <c:ser>
          <c:idx val="0"/>
          <c:order val="0"/>
          <c:tx>
            <c:strRef>
              <c:f>'Figure7-4'!$B$1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'Figure7-4'!$B$2:$B$13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Figure7.4!#REF!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DC-489B-9C96-2359BB4902D4}"/>
            </c:ext>
          </c:extLst>
        </c:ser>
        <c:ser>
          <c:idx val="1"/>
          <c:order val="1"/>
          <c:tx>
            <c:strRef>
              <c:f>'Figure7-4'!$F$1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'Figure7-4'!$F$2:$F$13</c:f>
              <c:numCache>
                <c:formatCode>#,##0</c:formatCode>
                <c:ptCount val="12"/>
                <c:pt idx="0">
                  <c:v>8912.6099999999988</c:v>
                </c:pt>
                <c:pt idx="1">
                  <c:v>13251.160000000002</c:v>
                </c:pt>
                <c:pt idx="2">
                  <c:v>23412.87</c:v>
                </c:pt>
                <c:pt idx="3">
                  <c:v>34293.449999999997</c:v>
                </c:pt>
                <c:pt idx="4">
                  <c:v>9897.73</c:v>
                </c:pt>
                <c:pt idx="5">
                  <c:v>14676.44</c:v>
                </c:pt>
                <c:pt idx="6">
                  <c:v>25865.19</c:v>
                </c:pt>
                <c:pt idx="7">
                  <c:v>37793.769999999997</c:v>
                </c:pt>
                <c:pt idx="8">
                  <c:v>10882.849999999999</c:v>
                </c:pt>
                <c:pt idx="9">
                  <c:v>16101.720000000001</c:v>
                </c:pt>
                <c:pt idx="10">
                  <c:v>28317.51</c:v>
                </c:pt>
                <c:pt idx="11">
                  <c:v>41294.089999999997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Figure7.4!#REF!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1DC-489B-9C96-2359BB49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80800"/>
        <c:axId val="251724544"/>
      </c:lineChart>
      <c:catAx>
        <c:axId val="2519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72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72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8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51731160896134"/>
          <c:y val="0.33090909090909093"/>
          <c:w val="0.17718940936863545"/>
          <c:h val="0.27272727272727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88"/>
          <c:y val="9.4545454545454544E-2"/>
          <c:w val="0.54989816700610994"/>
          <c:h val="0.74181818181818182"/>
        </c:manualLayout>
      </c:layout>
      <c:lineChart>
        <c:grouping val="standard"/>
        <c:varyColors val="0"/>
        <c:ser>
          <c:idx val="0"/>
          <c:order val="0"/>
          <c:tx>
            <c:strRef>
              <c:f>'Figure7-4'!$B$1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'Figure7-4'!$A$2:$A$13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'Figure7-4'!$B$2:$B$13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B8-9ABC-A13B124D65BF}"/>
            </c:ext>
          </c:extLst>
        </c:ser>
        <c:ser>
          <c:idx val="1"/>
          <c:order val="1"/>
          <c:tx>
            <c:strRef>
              <c:f>'Figure7-4'!$C$1</c:f>
              <c:strCache>
                <c:ptCount val="1"/>
                <c:pt idx="0">
                  <c:v>Deseasonalized
Demand
(Eqn 7.4)          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'Figure7-4'!$A$2:$A$13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'Figure7-4'!$C$2:$C$13</c:f>
              <c:numCache>
                <c:formatCode>#,##0</c:formatCode>
                <c:ptCount val="12"/>
                <c:pt idx="0">
                  <c:v>18963</c:v>
                </c:pt>
                <c:pt idx="1">
                  <c:v>19487</c:v>
                </c:pt>
                <c:pt idx="2">
                  <c:v>20011</c:v>
                </c:pt>
                <c:pt idx="3">
                  <c:v>20535</c:v>
                </c:pt>
                <c:pt idx="4">
                  <c:v>21059</c:v>
                </c:pt>
                <c:pt idx="5">
                  <c:v>21583</c:v>
                </c:pt>
                <c:pt idx="6">
                  <c:v>22107</c:v>
                </c:pt>
                <c:pt idx="7">
                  <c:v>22631</c:v>
                </c:pt>
                <c:pt idx="8">
                  <c:v>23155</c:v>
                </c:pt>
                <c:pt idx="9">
                  <c:v>23679</c:v>
                </c:pt>
                <c:pt idx="10">
                  <c:v>24203</c:v>
                </c:pt>
                <c:pt idx="11">
                  <c:v>24727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B8-9ABC-A13B124D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4752"/>
        <c:axId val="251761024"/>
      </c:lineChart>
      <c:catAx>
        <c:axId val="2517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76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76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75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72097759674135"/>
          <c:y val="0.27272727272727271"/>
          <c:w val="0.27698574338085541"/>
          <c:h val="0.38909090909090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478260869565"/>
          <c:y val="0.12264150943396226"/>
          <c:w val="0.64229249011857703"/>
          <c:h val="0.66509433962264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7-7'!$B$1</c:f>
              <c:strCache>
                <c:ptCount val="1"/>
                <c:pt idx="0">
                  <c:v>Demand
 Dt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'Figure 7-7'!$A$2:$A$13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7-7'!$B$2:$B$13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9-4BFD-96CF-7AD65C99BC7D}"/>
            </c:ext>
          </c:extLst>
        </c:ser>
        <c:ser>
          <c:idx val="1"/>
          <c:order val="1"/>
          <c:tx>
            <c:strRef>
              <c:f>'Figure 7-7'!$D$1</c:f>
              <c:strCache>
                <c:ptCount val="1"/>
                <c:pt idx="0">
                  <c:v>Forecast
 Ft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'Figure 7-7'!$A$2:$A$13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'Figure 7-7'!$D$2:$D$13</c:f>
              <c:numCache>
                <c:formatCode>#,##0</c:formatCode>
                <c:ptCount val="12"/>
                <c:pt idx="4">
                  <c:v>19500</c:v>
                </c:pt>
                <c:pt idx="5">
                  <c:v>20000</c:v>
                </c:pt>
                <c:pt idx="6">
                  <c:v>21250</c:v>
                </c:pt>
                <c:pt idx="7">
                  <c:v>21250</c:v>
                </c:pt>
                <c:pt idx="8">
                  <c:v>22250</c:v>
                </c:pt>
                <c:pt idx="9">
                  <c:v>22750</c:v>
                </c:pt>
                <c:pt idx="10">
                  <c:v>21500</c:v>
                </c:pt>
                <c:pt idx="11">
                  <c:v>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9-4BFD-96CF-7AD65C99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27168"/>
        <c:axId val="255549440"/>
      </c:scatterChart>
      <c:valAx>
        <c:axId val="2555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49440"/>
        <c:crosses val="autoZero"/>
        <c:crossBetween val="midCat"/>
      </c:valAx>
      <c:valAx>
        <c:axId val="25554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27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25296442687744"/>
          <c:y val="0.27830188679245282"/>
          <c:w val="0.17193675889328064"/>
          <c:h val="0.35377358490566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6506314912364"/>
          <c:y val="0.12206628734910206"/>
          <c:w val="0.63941430697701085"/>
          <c:h val="0.6666697232143266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'Figure 7-8'!$A$3:$A$14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 7-8'!$B$3:$B$14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9-4ED3-9411-68043F96921C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'Figure 7-8'!$A$3:$A$14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'Figure 7-8'!$D$3:$D$14</c:f>
              <c:numCache>
                <c:formatCode>#,##0</c:formatCode>
                <c:ptCount val="12"/>
                <c:pt idx="0">
                  <c:v>22083.333333333332</c:v>
                </c:pt>
                <c:pt idx="1">
                  <c:v>20675</c:v>
                </c:pt>
                <c:pt idx="2">
                  <c:v>19907.5</c:v>
                </c:pt>
                <c:pt idx="3">
                  <c:v>20216.75</c:v>
                </c:pt>
                <c:pt idx="4">
                  <c:v>21595.075000000001</c:v>
                </c:pt>
                <c:pt idx="5">
                  <c:v>20435.567500000001</c:v>
                </c:pt>
                <c:pt idx="6">
                  <c:v>20192.010750000001</c:v>
                </c:pt>
                <c:pt idx="7">
                  <c:v>20472.809675</c:v>
                </c:pt>
                <c:pt idx="8">
                  <c:v>22225.528707500001</c:v>
                </c:pt>
                <c:pt idx="9">
                  <c:v>21202.975836750004</c:v>
                </c:pt>
                <c:pt idx="10">
                  <c:v>20382.678253075002</c:v>
                </c:pt>
                <c:pt idx="11">
                  <c:v>21544.410427767503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9-4ED3-9411-68043F96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78976"/>
        <c:axId val="256080512"/>
      </c:lineChart>
      <c:catAx>
        <c:axId val="2560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8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08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7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8402139843217"/>
          <c:y val="0.35680914763583682"/>
          <c:w val="0.18239031051475391"/>
          <c:h val="0.20187885984659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&amp;C&amp;A</c:oddHeader>
    </c:headerFooter>
    <c:pageMargins b="1" l="0.75" r="0.75" t="1" header="0.5" footer="0.5"/>
    <c:pageSetup orientation="landscape" horizontalDpi="-3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2028559675618"/>
          <c:y val="0.12206628734910206"/>
          <c:w val="0.61488030685891648"/>
          <c:h val="0.6666697232143266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 7-9'!$B$3:$B$14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0-42AC-92B7-302C68472114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'Figure 7-9'!$E$3:$E$14</c:f>
              <c:numCache>
                <c:formatCode>#,##0</c:formatCode>
                <c:ptCount val="12"/>
                <c:pt idx="0">
                  <c:v>13564</c:v>
                </c:pt>
                <c:pt idx="1">
                  <c:v>14445.32</c:v>
                </c:pt>
                <c:pt idx="2">
                  <c:v>15709.6016</c:v>
                </c:pt>
                <c:pt idx="3">
                  <c:v>17993.263007999998</c:v>
                </c:pt>
                <c:pt idx="4">
                  <c:v>21468.69301504</c:v>
                </c:pt>
                <c:pt idx="5">
                  <c:v>21967.206161075199</c:v>
                </c:pt>
                <c:pt idx="6">
                  <c:v>23136.523869285375</c:v>
                </c:pt>
                <c:pt idx="7">
                  <c:v>24686.179329288825</c:v>
                </c:pt>
                <c:pt idx="8">
                  <c:v>27847.145656706154</c:v>
                </c:pt>
                <c:pt idx="9">
                  <c:v>27775.072438247626</c:v>
                </c:pt>
                <c:pt idx="10">
                  <c:v>27514.705092869997</c:v>
                </c:pt>
                <c:pt idx="11">
                  <c:v>29270.080380172734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0-42AC-92B7-302C684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29664"/>
        <c:axId val="255731200"/>
      </c:lineChart>
      <c:catAx>
        <c:axId val="2557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3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7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729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37064005513202"/>
          <c:y val="0.35680914763583682"/>
          <c:w val="0.19912493923189109"/>
          <c:h val="0.20187885984659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9411764705883"/>
          <c:y val="0.12264150943396226"/>
          <c:w val="0.48470588235294115"/>
          <c:h val="0.66509433962264153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deseasonalized!$B$4:$B$15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F64-9362-4A6BAB4B9BF2}"/>
            </c:ext>
          </c:extLst>
        </c:ser>
        <c:ser>
          <c:idx val="1"/>
          <c:order val="1"/>
          <c:tx>
            <c:v>Deseasonlized Demand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deseasonalized!$D$4:$D$15</c:f>
              <c:numCache>
                <c:formatCode>#,##0</c:formatCode>
                <c:ptCount val="12"/>
                <c:pt idx="0">
                  <c:v>18962.7976190476</c:v>
                </c:pt>
                <c:pt idx="1">
                  <c:v>19486.607142857127</c:v>
                </c:pt>
                <c:pt idx="2">
                  <c:v>20010.416666666653</c:v>
                </c:pt>
                <c:pt idx="3">
                  <c:v>20534.22619047618</c:v>
                </c:pt>
                <c:pt idx="4">
                  <c:v>21058.035714285706</c:v>
                </c:pt>
                <c:pt idx="5">
                  <c:v>21581.845238095233</c:v>
                </c:pt>
                <c:pt idx="6">
                  <c:v>22105.65476190476</c:v>
                </c:pt>
                <c:pt idx="7">
                  <c:v>22629.464285714286</c:v>
                </c:pt>
                <c:pt idx="8">
                  <c:v>23153.273809523813</c:v>
                </c:pt>
                <c:pt idx="9">
                  <c:v>23677.083333333339</c:v>
                </c:pt>
                <c:pt idx="10">
                  <c:v>24200.892857142866</c:v>
                </c:pt>
                <c:pt idx="11">
                  <c:v>24724.702380952389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F64-9362-4A6BAB4B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49600"/>
        <c:axId val="255851136"/>
      </c:lineChart>
      <c:catAx>
        <c:axId val="255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51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585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849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88235294117648"/>
          <c:y val="0.27830188679245282"/>
          <c:w val="0.31529411764705884"/>
          <c:h val="0.35377358490566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3584905660377"/>
          <c:y val="0.11250045776553452"/>
          <c:w val="0.64716981132075468"/>
          <c:h val="0.68333611383509862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 7-10'!$B$3:$B$14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4-42AA-A102-631BF611205F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'Figure 7-10'!$F$3:$F$18</c:f>
              <c:numCache>
                <c:formatCode>#,##0</c:formatCode>
                <c:ptCount val="16"/>
                <c:pt idx="0">
                  <c:v>8912.6099999999988</c:v>
                </c:pt>
                <c:pt idx="1">
                  <c:v>13178.539544680852</c:v>
                </c:pt>
                <c:pt idx="2">
                  <c:v>23259.665399815083</c:v>
                </c:pt>
                <c:pt idx="3">
                  <c:v>34035.982753876378</c:v>
                </c:pt>
                <c:pt idx="4">
                  <c:v>9723.00402054201</c:v>
                </c:pt>
                <c:pt idx="5">
                  <c:v>14557.711929112967</c:v>
                </c:pt>
                <c:pt idx="6">
                  <c:v>25980.944066311135</c:v>
                </c:pt>
                <c:pt idx="7">
                  <c:v>37787.178515891763</c:v>
                </c:pt>
                <c:pt idx="8">
                  <c:v>10809.608834917286</c:v>
                </c:pt>
                <c:pt idx="9">
                  <c:v>16544.158590271429</c:v>
                </c:pt>
                <c:pt idx="10">
                  <c:v>27848.868389989319</c:v>
                </c:pt>
                <c:pt idx="11">
                  <c:v>41441.600328893306</c:v>
                </c:pt>
                <c:pt idx="12">
                  <c:v>11940.319821319024</c:v>
                </c:pt>
                <c:pt idx="13">
                  <c:v>17579.341982710503</c:v>
                </c:pt>
                <c:pt idx="14">
                  <c:v>30930.455104254335</c:v>
                </c:pt>
                <c:pt idx="15">
                  <c:v>44928.113994395775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4-42AA-A102-631BF611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41344"/>
        <c:axId val="256042880"/>
      </c:lineChart>
      <c:catAx>
        <c:axId val="2560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4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04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041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6037735849061"/>
          <c:y val="0.35833479140133218"/>
          <c:w val="0.17924528301886791"/>
          <c:h val="0.19583413018444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19050</xdr:rowOff>
    </xdr:from>
    <xdr:to>
      <xdr:col>8</xdr:col>
      <xdr:colOff>47625</xdr:colOff>
      <xdr:row>29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38100</xdr:rowOff>
    </xdr:from>
    <xdr:to>
      <xdr:col>4</xdr:col>
      <xdr:colOff>885825</xdr:colOff>
      <xdr:row>28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647700</xdr:colOff>
          <xdr:row>2</xdr:row>
          <xdr:rowOff>228600</xdr:rowOff>
        </xdr:from>
        <xdr:to>
          <xdr:col>2</xdr:col>
          <xdr:colOff>838200</xdr:colOff>
          <xdr:row>2</xdr:row>
          <xdr:rowOff>457200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657225</xdr:colOff>
          <xdr:row>2</xdr:row>
          <xdr:rowOff>295275</xdr:rowOff>
        </xdr:from>
        <xdr:to>
          <xdr:col>4</xdr:col>
          <xdr:colOff>819150</xdr:colOff>
          <xdr:row>2</xdr:row>
          <xdr:rowOff>523875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581025</xdr:colOff>
          <xdr:row>2</xdr:row>
          <xdr:rowOff>247650</xdr:rowOff>
        </xdr:from>
        <xdr:to>
          <xdr:col>5</xdr:col>
          <xdr:colOff>742950</xdr:colOff>
          <xdr:row>2</xdr:row>
          <xdr:rowOff>476250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704850</xdr:colOff>
          <xdr:row>2</xdr:row>
          <xdr:rowOff>285750</xdr:rowOff>
        </xdr:from>
        <xdr:to>
          <xdr:col>3</xdr:col>
          <xdr:colOff>895350</xdr:colOff>
          <xdr:row>2</xdr:row>
          <xdr:rowOff>514350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23</xdr:row>
      <xdr:rowOff>19050</xdr:rowOff>
    </xdr:from>
    <xdr:to>
      <xdr:col>2</xdr:col>
      <xdr:colOff>419100</xdr:colOff>
      <xdr:row>25</xdr:row>
      <xdr:rowOff>152400</xdr:rowOff>
    </xdr:to>
    <xdr:sp macro="" textlink="">
      <xdr:nvSpPr>
        <xdr:cNvPr id="11265" name="Oval 1"/>
        <xdr:cNvSpPr>
          <a:spLocks noChangeArrowheads="1"/>
        </xdr:cNvSpPr>
      </xdr:nvSpPr>
      <xdr:spPr bwMode="auto">
        <a:xfrm>
          <a:off x="419100" y="3800475"/>
          <a:ext cx="1657350" cy="45720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baseline="0">
              <a:effectLst/>
              <a:latin typeface="+mn-lt"/>
              <a:ea typeface="+mn-ea"/>
              <a:cs typeface="+mn-cs"/>
            </a:rPr>
            <a:t>T</a:t>
          </a:r>
          <a:r>
            <a:rPr lang="en-US" sz="1000" b="0" i="1" baseline="-25000">
              <a:effectLst/>
              <a:latin typeface="+mn-lt"/>
              <a:ea typeface="+mn-ea"/>
              <a:cs typeface="+mn-cs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initial estimate of trend</a:t>
          </a:r>
        </a:p>
      </xdr:txBody>
    </xdr:sp>
    <xdr:clientData/>
  </xdr:twoCellAnchor>
  <xdr:twoCellAnchor>
    <xdr:from>
      <xdr:col>2</xdr:col>
      <xdr:colOff>333375</xdr:colOff>
      <xdr:row>20</xdr:row>
      <xdr:rowOff>19050</xdr:rowOff>
    </xdr:from>
    <xdr:to>
      <xdr:col>4</xdr:col>
      <xdr:colOff>409575</xdr:colOff>
      <xdr:row>22</xdr:row>
      <xdr:rowOff>152400</xdr:rowOff>
    </xdr:to>
    <xdr:sp macro="" textlink="">
      <xdr:nvSpPr>
        <xdr:cNvPr id="11266" name="Oval 2"/>
        <xdr:cNvSpPr>
          <a:spLocks noChangeArrowheads="1"/>
        </xdr:cNvSpPr>
      </xdr:nvSpPr>
      <xdr:spPr bwMode="auto">
        <a:xfrm>
          <a:off x="1990725" y="3314700"/>
          <a:ext cx="1562100" cy="45720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L</a:t>
          </a:r>
          <a:r>
            <a:rPr lang="en-US" sz="1000" b="0" i="1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, initial estimate of level</a:t>
          </a:r>
        </a:p>
      </xdr:txBody>
    </xdr:sp>
    <xdr:clientData/>
  </xdr:twoCellAnchor>
  <xdr:twoCellAnchor>
    <xdr:from>
      <xdr:col>1</xdr:col>
      <xdr:colOff>666750</xdr:colOff>
      <xdr:row>16</xdr:row>
      <xdr:rowOff>104775</xdr:rowOff>
    </xdr:from>
    <xdr:to>
      <xdr:col>2</xdr:col>
      <xdr:colOff>447675</xdr:colOff>
      <xdr:row>20</xdr:row>
      <xdr:rowOff>114300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 flipH="1" flipV="1">
          <a:off x="1638300" y="2743200"/>
          <a:ext cx="466725" cy="666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</xdr:col>
      <xdr:colOff>381000</xdr:colOff>
      <xdr:row>17</xdr:row>
      <xdr:rowOff>95250</xdr:rowOff>
    </xdr:from>
    <xdr:to>
      <xdr:col>1</xdr:col>
      <xdr:colOff>447675</xdr:colOff>
      <xdr:row>23</xdr:row>
      <xdr:rowOff>9525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H="1" flipV="1">
          <a:off x="1352550" y="2895600"/>
          <a:ext cx="66675" cy="895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19</xdr:row>
      <xdr:rowOff>19050</xdr:rowOff>
    </xdr:from>
    <xdr:to>
      <xdr:col>8</xdr:col>
      <xdr:colOff>1114425</xdr:colOff>
      <xdr:row>33</xdr:row>
      <xdr:rowOff>28575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66675</xdr:rowOff>
    </xdr:from>
    <xdr:to>
      <xdr:col>5</xdr:col>
      <xdr:colOff>571500</xdr:colOff>
      <xdr:row>44</xdr:row>
      <xdr:rowOff>95250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15</xdr:row>
      <xdr:rowOff>28575</xdr:rowOff>
    </xdr:from>
    <xdr:to>
      <xdr:col>4</xdr:col>
      <xdr:colOff>323850</xdr:colOff>
      <xdr:row>22</xdr:row>
      <xdr:rowOff>9525</xdr:rowOff>
    </xdr:to>
    <xdr:pic>
      <xdr:nvPicPr>
        <xdr:cNvPr id="7172" name="Picture 4" descr="equation 11,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0" y="2905125"/>
          <a:ext cx="4010025" cy="11144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18</xdr:row>
      <xdr:rowOff>123825</xdr:rowOff>
    </xdr:from>
    <xdr:to>
      <xdr:col>4</xdr:col>
      <xdr:colOff>314325</xdr:colOff>
      <xdr:row>20</xdr:row>
      <xdr:rowOff>133350</xdr:rowOff>
    </xdr:to>
    <xdr:sp macro="" textlink="">
      <xdr:nvSpPr>
        <xdr:cNvPr id="9218" name="Oval 2"/>
        <xdr:cNvSpPr>
          <a:spLocks noChangeArrowheads="1"/>
        </xdr:cNvSpPr>
      </xdr:nvSpPr>
      <xdr:spPr bwMode="auto">
        <a:xfrm>
          <a:off x="1695450" y="3095625"/>
          <a:ext cx="1695450" cy="33337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Initial Level, L</a:t>
          </a:r>
        </a:p>
      </xdr:txBody>
    </xdr:sp>
    <xdr:clientData/>
  </xdr:twoCellAnchor>
  <xdr:twoCellAnchor>
    <xdr:from>
      <xdr:col>1</xdr:col>
      <xdr:colOff>762000</xdr:colOff>
      <xdr:row>16</xdr:row>
      <xdr:rowOff>114300</xdr:rowOff>
    </xdr:from>
    <xdr:to>
      <xdr:col>2</xdr:col>
      <xdr:colOff>133350</xdr:colOff>
      <xdr:row>19</xdr:row>
      <xdr:rowOff>57150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 flipH="1" flipV="1">
          <a:off x="1581150" y="2752725"/>
          <a:ext cx="1524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114300</xdr:colOff>
      <xdr:row>19</xdr:row>
      <xdr:rowOff>133350</xdr:rowOff>
    </xdr:from>
    <xdr:to>
      <xdr:col>1</xdr:col>
      <xdr:colOff>409575</xdr:colOff>
      <xdr:row>21</xdr:row>
      <xdr:rowOff>142875</xdr:rowOff>
    </xdr:to>
    <xdr:sp macro="" textlink="">
      <xdr:nvSpPr>
        <xdr:cNvPr id="9220" name="Oval 4"/>
        <xdr:cNvSpPr>
          <a:spLocks noChangeArrowheads="1"/>
        </xdr:cNvSpPr>
      </xdr:nvSpPr>
      <xdr:spPr bwMode="auto">
        <a:xfrm>
          <a:off x="114300" y="3267075"/>
          <a:ext cx="1114425" cy="333375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Trend, T</a:t>
          </a:r>
        </a:p>
      </xdr:txBody>
    </xdr:sp>
    <xdr:clientData/>
  </xdr:twoCellAnchor>
  <xdr:twoCellAnchor>
    <xdr:from>
      <xdr:col>1</xdr:col>
      <xdr:colOff>28575</xdr:colOff>
      <xdr:row>17</xdr:row>
      <xdr:rowOff>104775</xdr:rowOff>
    </xdr:from>
    <xdr:to>
      <xdr:col>1</xdr:col>
      <xdr:colOff>504825</xdr:colOff>
      <xdr:row>19</xdr:row>
      <xdr:rowOff>123825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847725" y="2905125"/>
          <a:ext cx="47625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27</xdr:row>
      <xdr:rowOff>123825</xdr:rowOff>
    </xdr:from>
    <xdr:to>
      <xdr:col>9</xdr:col>
      <xdr:colOff>361950</xdr:colOff>
      <xdr:row>43</xdr:row>
      <xdr:rowOff>152400</xdr:rowOff>
    </xdr:to>
    <xdr:graphicFrame macro="">
      <xdr:nvGraphicFramePr>
        <xdr:cNvPr id="82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13</xdr:row>
      <xdr:rowOff>76200</xdr:rowOff>
    </xdr:from>
    <xdr:to>
      <xdr:col>9</xdr:col>
      <xdr:colOff>352425</xdr:colOff>
      <xdr:row>27</xdr:row>
      <xdr:rowOff>76200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647700</xdr:colOff>
          <xdr:row>0</xdr:row>
          <xdr:rowOff>228600</xdr:rowOff>
        </xdr:from>
        <xdr:to>
          <xdr:col>2</xdr:col>
          <xdr:colOff>838200</xdr:colOff>
          <xdr:row>0</xdr:row>
          <xdr:rowOff>457200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0</xdr:row>
          <xdr:rowOff>295275</xdr:rowOff>
        </xdr:from>
        <xdr:to>
          <xdr:col>3</xdr:col>
          <xdr:colOff>819150</xdr:colOff>
          <xdr:row>0</xdr:row>
          <xdr:rowOff>523875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0</xdr:row>
          <xdr:rowOff>247650</xdr:rowOff>
        </xdr:from>
        <xdr:to>
          <xdr:col>4</xdr:col>
          <xdr:colOff>742950</xdr:colOff>
          <xdr:row>0</xdr:row>
          <xdr:rowOff>476250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247650</xdr:colOff>
          <xdr:row>15</xdr:row>
          <xdr:rowOff>276225</xdr:rowOff>
        </xdr:from>
        <xdr:to>
          <xdr:col>2</xdr:col>
          <xdr:colOff>504825</xdr:colOff>
          <xdr:row>16</xdr:row>
          <xdr:rowOff>19050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13</xdr:row>
      <xdr:rowOff>95250</xdr:rowOff>
    </xdr:from>
    <xdr:ext cx="3686137" cy="1297919"/>
    <xdr:sp macro="" textlink="">
      <xdr:nvSpPr>
        <xdr:cNvPr id="2" name="TextBox 1"/>
        <xdr:cNvSpPr txBox="1"/>
      </xdr:nvSpPr>
      <xdr:spPr>
        <a:xfrm>
          <a:off x="1181100" y="2828925"/>
          <a:ext cx="3686137" cy="1297919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Select smoothing constant by Minimizing MSE (Figure 7-5)</a:t>
          </a:r>
          <a:endParaRPr lang="en-US" sz="1100" b="0"/>
        </a:p>
        <a:p>
          <a:r>
            <a:rPr lang="en-US" sz="1100" b="0"/>
            <a:t>Use Data | Analysis</a:t>
          </a:r>
          <a:r>
            <a:rPr lang="en-US" sz="1100" b="0" baseline="0"/>
            <a:t> | Solver  with Target Cell set to be F13.</a:t>
          </a:r>
        </a:p>
        <a:p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Select smoothing constant by Minimizing MAD (Figure 7-6)</a:t>
          </a:r>
          <a:endParaRPr lang="en-US" sz="11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tx1"/>
              </a:solidFill>
              <a:latin typeface="+mn-lt"/>
              <a:ea typeface="+mn-ea"/>
              <a:cs typeface="+mn-cs"/>
            </a:rPr>
            <a:t>Use Data | Analysis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| Solver  with Target Cell set to be G13.</a:t>
          </a:r>
        </a:p>
        <a:p>
          <a:endParaRPr lang="en-US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Optimal smoothing constant is given in Cell B14</a:t>
          </a:r>
          <a:endParaRPr lang="en-US"/>
        </a:p>
        <a:p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</xdr:rowOff>
    </xdr:from>
    <xdr:to>
      <xdr:col>7</xdr:col>
      <xdr:colOff>285750</xdr:colOff>
      <xdr:row>30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28575</xdr:rowOff>
    </xdr:from>
    <xdr:to>
      <xdr:col>6</xdr:col>
      <xdr:colOff>447675</xdr:colOff>
      <xdr:row>32</xdr:row>
      <xdr:rowOff>114300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6</xdr:col>
      <xdr:colOff>933450</xdr:colOff>
      <xdr:row>33</xdr:row>
      <xdr:rowOff>114300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20</xdr:row>
      <xdr:rowOff>19050</xdr:rowOff>
    </xdr:from>
    <xdr:to>
      <xdr:col>4</xdr:col>
      <xdr:colOff>542925</xdr:colOff>
      <xdr:row>24</xdr:row>
      <xdr:rowOff>66675</xdr:rowOff>
    </xdr:to>
    <xdr:sp macro="" textlink="">
      <xdr:nvSpPr>
        <xdr:cNvPr id="10241" name="Oval 1"/>
        <xdr:cNvSpPr>
          <a:spLocks noChangeArrowheads="1"/>
        </xdr:cNvSpPr>
      </xdr:nvSpPr>
      <xdr:spPr bwMode="auto">
        <a:xfrm>
          <a:off x="1571625" y="3314700"/>
          <a:ext cx="2000250" cy="6953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L</a:t>
          </a:r>
          <a:r>
            <a:rPr lang="en-US" sz="1000" b="0" i="1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, estimate of demand and level at t=0</a:t>
          </a:r>
        </a:p>
      </xdr:txBody>
    </xdr:sp>
    <xdr:clientData/>
  </xdr:twoCellAnchor>
  <xdr:twoCellAnchor>
    <xdr:from>
      <xdr:col>1</xdr:col>
      <xdr:colOff>695325</xdr:colOff>
      <xdr:row>16</xdr:row>
      <xdr:rowOff>66675</xdr:rowOff>
    </xdr:from>
    <xdr:to>
      <xdr:col>2</xdr:col>
      <xdr:colOff>447675</xdr:colOff>
      <xdr:row>21</xdr:row>
      <xdr:rowOff>9525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H="1" flipV="1">
          <a:off x="1304925" y="2705100"/>
          <a:ext cx="457200" cy="762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  <xdr:twoCellAnchor>
    <xdr:from>
      <xdr:col>1</xdr:col>
      <xdr:colOff>114300</xdr:colOff>
      <xdr:row>26</xdr:row>
      <xdr:rowOff>85725</xdr:rowOff>
    </xdr:from>
    <xdr:to>
      <xdr:col>3</xdr:col>
      <xdr:colOff>495300</xdr:colOff>
      <xdr:row>29</xdr:row>
      <xdr:rowOff>85725</xdr:rowOff>
    </xdr:to>
    <xdr:sp macro="" textlink="">
      <xdr:nvSpPr>
        <xdr:cNvPr id="10243" name="Oval 3"/>
        <xdr:cNvSpPr>
          <a:spLocks noChangeArrowheads="1"/>
        </xdr:cNvSpPr>
      </xdr:nvSpPr>
      <xdr:spPr bwMode="auto">
        <a:xfrm>
          <a:off x="723900" y="4352925"/>
          <a:ext cx="1981200" cy="485775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1" baseline="0">
              <a:effectLst/>
              <a:latin typeface="+mn-lt"/>
              <a:ea typeface="+mn-ea"/>
              <a:cs typeface="+mn-cs"/>
            </a:rPr>
            <a:t>T</a:t>
          </a:r>
          <a:r>
            <a:rPr lang="en-US" sz="1000" b="0" i="1" baseline="-25000">
              <a:effectLst/>
              <a:latin typeface="+mn-lt"/>
              <a:ea typeface="+mn-ea"/>
              <a:cs typeface="+mn-cs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estimate of trend at t=0 </a:t>
          </a:r>
        </a:p>
      </xdr:txBody>
    </xdr:sp>
    <xdr:clientData/>
  </xdr:twoCellAnchor>
  <xdr:twoCellAnchor>
    <xdr:from>
      <xdr:col>1</xdr:col>
      <xdr:colOff>257175</xdr:colOff>
      <xdr:row>17</xdr:row>
      <xdr:rowOff>114300</xdr:rowOff>
    </xdr:from>
    <xdr:to>
      <xdr:col>1</xdr:col>
      <xdr:colOff>561975</xdr:colOff>
      <xdr:row>26</xdr:row>
      <xdr:rowOff>133350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H="1" flipV="1">
          <a:off x="866775" y="2914650"/>
          <a:ext cx="304800" cy="1485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2.w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4.wmf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GridLines="0" zoomScaleNormal="100" workbookViewId="0">
      <selection activeCell="E39" sqref="E39"/>
    </sheetView>
  </sheetViews>
  <sheetFormatPr defaultRowHeight="12.75" x14ac:dyDescent="0.2"/>
  <cols>
    <col min="3" max="3" width="9.85546875" customWidth="1"/>
  </cols>
  <sheetData>
    <row r="1" spans="1:3" ht="16.5" thickBot="1" x14ac:dyDescent="0.3">
      <c r="A1" s="24" t="s">
        <v>90</v>
      </c>
      <c r="B1" s="24"/>
    </row>
    <row r="2" spans="1:3" ht="29.25" thickBot="1" x14ac:dyDescent="0.35">
      <c r="A2" s="40" t="s">
        <v>38</v>
      </c>
      <c r="B2" s="41" t="s">
        <v>48</v>
      </c>
      <c r="C2" s="41" t="s">
        <v>47</v>
      </c>
    </row>
    <row r="3" spans="1:3" x14ac:dyDescent="0.2">
      <c r="A3" s="21" t="s">
        <v>52</v>
      </c>
      <c r="B3" s="22">
        <v>1</v>
      </c>
      <c r="C3" s="23">
        <v>8000</v>
      </c>
    </row>
    <row r="4" spans="1:3" x14ac:dyDescent="0.2">
      <c r="A4" s="16" t="s">
        <v>53</v>
      </c>
      <c r="B4" s="15">
        <v>2</v>
      </c>
      <c r="C4" s="17">
        <v>13000</v>
      </c>
    </row>
    <row r="5" spans="1:3" x14ac:dyDescent="0.2">
      <c r="A5" s="21" t="s">
        <v>54</v>
      </c>
      <c r="B5" s="15">
        <v>3</v>
      </c>
      <c r="C5" s="17">
        <v>23000</v>
      </c>
    </row>
    <row r="6" spans="1:3" x14ac:dyDescent="0.2">
      <c r="A6" s="16" t="s">
        <v>55</v>
      </c>
      <c r="B6" s="15">
        <v>4</v>
      </c>
      <c r="C6" s="17">
        <v>34000</v>
      </c>
    </row>
    <row r="7" spans="1:3" x14ac:dyDescent="0.2">
      <c r="A7" s="21" t="s">
        <v>56</v>
      </c>
      <c r="B7" s="15">
        <v>5</v>
      </c>
      <c r="C7" s="17">
        <v>10000</v>
      </c>
    </row>
    <row r="8" spans="1:3" x14ac:dyDescent="0.2">
      <c r="A8" s="16" t="s">
        <v>57</v>
      </c>
      <c r="B8" s="15">
        <v>6</v>
      </c>
      <c r="C8" s="17">
        <v>18000</v>
      </c>
    </row>
    <row r="9" spans="1:3" x14ac:dyDescent="0.2">
      <c r="A9" s="21" t="s">
        <v>58</v>
      </c>
      <c r="B9" s="15">
        <v>7</v>
      </c>
      <c r="C9" s="17">
        <v>23000</v>
      </c>
    </row>
    <row r="10" spans="1:3" x14ac:dyDescent="0.2">
      <c r="A10" s="16" t="s">
        <v>59</v>
      </c>
      <c r="B10" s="15">
        <v>8</v>
      </c>
      <c r="C10" s="17">
        <v>38000</v>
      </c>
    </row>
    <row r="11" spans="1:3" x14ac:dyDescent="0.2">
      <c r="A11" s="21" t="s">
        <v>93</v>
      </c>
      <c r="B11" s="15">
        <v>9</v>
      </c>
      <c r="C11" s="17">
        <v>12000</v>
      </c>
    </row>
    <row r="12" spans="1:3" x14ac:dyDescent="0.2">
      <c r="A12" s="16" t="s">
        <v>94</v>
      </c>
      <c r="B12" s="15">
        <v>10</v>
      </c>
      <c r="C12" s="17">
        <v>13000</v>
      </c>
    </row>
    <row r="13" spans="1:3" x14ac:dyDescent="0.2">
      <c r="A13" s="21" t="s">
        <v>95</v>
      </c>
      <c r="B13" s="15">
        <v>11</v>
      </c>
      <c r="C13" s="17">
        <v>32000</v>
      </c>
    </row>
    <row r="14" spans="1:3" ht="13.5" thickBot="1" x14ac:dyDescent="0.25">
      <c r="A14" s="18" t="s">
        <v>96</v>
      </c>
      <c r="B14" s="19">
        <v>12</v>
      </c>
      <c r="C14" s="20">
        <v>41000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J19"/>
  <sheetViews>
    <sheetView zoomScaleNormal="100" workbookViewId="0">
      <selection activeCell="E11" sqref="E11"/>
    </sheetView>
  </sheetViews>
  <sheetFormatPr defaultRowHeight="12.75" x14ac:dyDescent="0.2"/>
  <cols>
    <col min="3" max="3" width="15" customWidth="1"/>
    <col min="4" max="4" width="16.42578125" customWidth="1"/>
    <col min="5" max="5" width="15.140625" customWidth="1"/>
    <col min="6" max="6" width="13.140625" customWidth="1"/>
  </cols>
  <sheetData>
    <row r="1" spans="1:10" ht="15" x14ac:dyDescent="0.25">
      <c r="A1" s="109" t="s">
        <v>72</v>
      </c>
    </row>
    <row r="2" spans="1:10" ht="15.75" thickBot="1" x14ac:dyDescent="0.3">
      <c r="A2" s="109" t="s">
        <v>74</v>
      </c>
    </row>
    <row r="3" spans="1:10" ht="41.25" customHeight="1" thickBot="1" x14ac:dyDescent="0.35">
      <c r="A3" s="41" t="s">
        <v>48</v>
      </c>
      <c r="B3" s="41" t="s">
        <v>47</v>
      </c>
      <c r="C3" s="42" t="s">
        <v>105</v>
      </c>
      <c r="D3" s="42" t="s">
        <v>106</v>
      </c>
      <c r="E3" s="42" t="s">
        <v>101</v>
      </c>
      <c r="F3" s="43" t="s">
        <v>102</v>
      </c>
    </row>
    <row r="4" spans="1:10" x14ac:dyDescent="0.2">
      <c r="A4" s="102">
        <v>1</v>
      </c>
      <c r="B4" s="103">
        <v>8000</v>
      </c>
      <c r="C4" s="103"/>
      <c r="D4" s="103">
        <f>('winters-regression'!$B$17+'winters-regression'!$B$18*deseasonalized!A4)</f>
        <v>18962.7976190476</v>
      </c>
      <c r="E4" s="104">
        <f>B4/D4</f>
        <v>0.42187867849015187</v>
      </c>
      <c r="F4" s="105">
        <f>(E4+E8+E12)/3</f>
        <v>0.47168067193938795</v>
      </c>
      <c r="G4" s="7"/>
      <c r="H4" s="7"/>
      <c r="I4" s="7"/>
      <c r="J4" s="8"/>
    </row>
    <row r="5" spans="1:10" x14ac:dyDescent="0.2">
      <c r="A5" s="16">
        <v>2</v>
      </c>
      <c r="B5" s="25">
        <v>13000</v>
      </c>
      <c r="C5" s="25"/>
      <c r="D5" s="25">
        <f>('winters-regression'!$B$17+'winters-regression'!$B$18*deseasonalized!A5)</f>
        <v>19486.607142857127</v>
      </c>
      <c r="E5" s="37">
        <f t="shared" ref="E5:E15" si="0">B5/D5</f>
        <v>0.66712485681557898</v>
      </c>
      <c r="F5" s="106">
        <f>(E5+E9+E13)/3</f>
        <v>0.68340443601506262</v>
      </c>
      <c r="G5" s="7"/>
      <c r="H5" s="7"/>
      <c r="I5" s="7"/>
      <c r="J5" s="8"/>
    </row>
    <row r="6" spans="1:10" x14ac:dyDescent="0.2">
      <c r="A6" s="16">
        <v>3</v>
      </c>
      <c r="B6" s="25">
        <v>23000</v>
      </c>
      <c r="C6" s="25">
        <f>(B4+B8+2*SUM(B5:B7))/8</f>
        <v>19750</v>
      </c>
      <c r="D6" s="25">
        <f>('winters-regression'!$B$17+'winters-regression'!$B$18*deseasonalized!A6)</f>
        <v>20010.416666666653</v>
      </c>
      <c r="E6" s="37">
        <f t="shared" si="0"/>
        <v>1.1494013534617395</v>
      </c>
      <c r="F6" s="106">
        <f>(E6+E10+E14)/3</f>
        <v>1.1707081255011917</v>
      </c>
      <c r="G6" s="7"/>
      <c r="H6" s="7"/>
      <c r="I6" s="7"/>
      <c r="J6" s="8"/>
    </row>
    <row r="7" spans="1:10" x14ac:dyDescent="0.2">
      <c r="A7" s="16">
        <v>4</v>
      </c>
      <c r="B7" s="25">
        <v>34000</v>
      </c>
      <c r="C7" s="25">
        <f t="shared" ref="C7:C13" si="1">(B5+B9+2*SUM(B6:B8))/8</f>
        <v>20625</v>
      </c>
      <c r="D7" s="25">
        <f>('winters-regression'!$B$17+'winters-regression'!$B$18*deseasonalized!A7)</f>
        <v>20534.22619047618</v>
      </c>
      <c r="E7" s="37">
        <f t="shared" si="0"/>
        <v>1.6557721574027111</v>
      </c>
      <c r="F7" s="106">
        <f>(E7+E11+E15)/3</f>
        <v>1.6644198124048515</v>
      </c>
      <c r="G7" s="7"/>
      <c r="H7" s="7"/>
      <c r="I7" s="7"/>
      <c r="J7" s="8"/>
    </row>
    <row r="8" spans="1:10" x14ac:dyDescent="0.2">
      <c r="A8" s="16">
        <v>5</v>
      </c>
      <c r="B8" s="25">
        <v>10000</v>
      </c>
      <c r="C8" s="25">
        <f t="shared" si="1"/>
        <v>21250</v>
      </c>
      <c r="D8" s="25">
        <f>('winters-regression'!$B$17+'winters-regression'!$B$18*deseasonalized!A8)</f>
        <v>21058.035714285706</v>
      </c>
      <c r="E8" s="37">
        <f t="shared" si="0"/>
        <v>0.47487810048759821</v>
      </c>
      <c r="F8" s="107"/>
      <c r="G8" s="7"/>
      <c r="H8" s="7"/>
      <c r="I8" s="7"/>
      <c r="J8" s="8"/>
    </row>
    <row r="9" spans="1:10" x14ac:dyDescent="0.2">
      <c r="A9" s="16">
        <v>6</v>
      </c>
      <c r="B9" s="25">
        <v>18000</v>
      </c>
      <c r="C9" s="25">
        <f t="shared" si="1"/>
        <v>21750</v>
      </c>
      <c r="D9" s="25">
        <f>('winters-regression'!$B$17+'winters-regression'!$B$18*deseasonalized!A9)</f>
        <v>21581.845238095233</v>
      </c>
      <c r="E9" s="37">
        <f t="shared" si="0"/>
        <v>0.83403433772322988</v>
      </c>
      <c r="F9" s="107"/>
      <c r="G9" s="7"/>
      <c r="H9" s="7"/>
      <c r="I9" s="7"/>
      <c r="J9" s="8"/>
    </row>
    <row r="10" spans="1:10" x14ac:dyDescent="0.2">
      <c r="A10" s="16">
        <v>7</v>
      </c>
      <c r="B10" s="25">
        <v>23000</v>
      </c>
      <c r="C10" s="25">
        <f t="shared" si="1"/>
        <v>22500</v>
      </c>
      <c r="D10" s="25">
        <f>('winters-regression'!$B$17+'winters-regression'!$B$18*deseasonalized!A10)</f>
        <v>22105.65476190476</v>
      </c>
      <c r="E10" s="37">
        <f t="shared" si="0"/>
        <v>1.0404577583305286</v>
      </c>
      <c r="F10" s="107"/>
      <c r="G10" s="7"/>
      <c r="H10" s="7"/>
      <c r="I10" s="7"/>
      <c r="J10" s="8"/>
    </row>
    <row r="11" spans="1:10" x14ac:dyDescent="0.2">
      <c r="A11" s="16">
        <v>8</v>
      </c>
      <c r="B11" s="25">
        <v>38000</v>
      </c>
      <c r="C11" s="25">
        <f t="shared" si="1"/>
        <v>22125</v>
      </c>
      <c r="D11" s="25">
        <f>('winters-regression'!$B$17+'winters-regression'!$B$18*deseasonalized!A11)</f>
        <v>22629.464285714286</v>
      </c>
      <c r="E11" s="37">
        <f t="shared" si="0"/>
        <v>1.6792266719274018</v>
      </c>
      <c r="F11" s="107"/>
      <c r="G11" s="7"/>
      <c r="H11" s="7"/>
      <c r="I11" s="7"/>
      <c r="J11" s="8"/>
    </row>
    <row r="12" spans="1:10" x14ac:dyDescent="0.2">
      <c r="A12" s="16">
        <v>9</v>
      </c>
      <c r="B12" s="25">
        <v>12000</v>
      </c>
      <c r="C12" s="25">
        <f t="shared" si="1"/>
        <v>22625</v>
      </c>
      <c r="D12" s="25">
        <f>('winters-regression'!$B$17+'winters-regression'!$B$18*deseasonalized!A12)</f>
        <v>23153.273809523813</v>
      </c>
      <c r="E12" s="37">
        <f t="shared" si="0"/>
        <v>0.51828523684041383</v>
      </c>
      <c r="F12" s="107"/>
      <c r="G12" s="7"/>
      <c r="H12" s="7"/>
      <c r="I12" s="7"/>
      <c r="J12" s="8"/>
    </row>
    <row r="13" spans="1:10" x14ac:dyDescent="0.2">
      <c r="A13" s="16">
        <v>10</v>
      </c>
      <c r="B13" s="25">
        <v>13000</v>
      </c>
      <c r="C13" s="25">
        <f t="shared" si="1"/>
        <v>24125</v>
      </c>
      <c r="D13" s="25">
        <f>('winters-regression'!$B$17+'winters-regression'!$B$18*deseasonalized!A13)</f>
        <v>23677.083333333339</v>
      </c>
      <c r="E13" s="37">
        <f t="shared" si="0"/>
        <v>0.54905411350637912</v>
      </c>
      <c r="F13" s="107"/>
      <c r="G13" s="7"/>
      <c r="H13" s="7"/>
      <c r="I13" s="7"/>
      <c r="J13" s="8"/>
    </row>
    <row r="14" spans="1:10" x14ac:dyDescent="0.2">
      <c r="A14" s="16">
        <v>11</v>
      </c>
      <c r="B14" s="25">
        <v>32000</v>
      </c>
      <c r="C14" s="25"/>
      <c r="D14" s="25">
        <f>('winters-regression'!$B$17+'winters-regression'!$B$18*deseasonalized!A14)</f>
        <v>24200.892857142866</v>
      </c>
      <c r="E14" s="37">
        <f t="shared" si="0"/>
        <v>1.3222652647113073</v>
      </c>
      <c r="F14" s="107"/>
      <c r="G14" s="7"/>
      <c r="H14" s="7"/>
      <c r="I14" s="7"/>
      <c r="J14" s="8"/>
    </row>
    <row r="15" spans="1:10" ht="13.5" thickBot="1" x14ac:dyDescent="0.25">
      <c r="A15" s="18">
        <v>12</v>
      </c>
      <c r="B15" s="27">
        <v>41000</v>
      </c>
      <c r="C15" s="27"/>
      <c r="D15" s="27">
        <f>('winters-regression'!$B$17+'winters-regression'!$B$18*deseasonalized!A15)</f>
        <v>24724.702380952389</v>
      </c>
      <c r="E15" s="47">
        <f t="shared" si="0"/>
        <v>1.6582606078844413</v>
      </c>
      <c r="F15" s="108"/>
      <c r="G15" s="7"/>
      <c r="H15" s="7"/>
      <c r="I15" s="7"/>
      <c r="J15" s="8"/>
    </row>
    <row r="16" spans="1:10" x14ac:dyDescent="0.2">
      <c r="B16" s="10"/>
      <c r="D16" s="9"/>
      <c r="E16" s="10"/>
      <c r="F16" s="7"/>
    </row>
    <row r="17" spans="4:4" x14ac:dyDescent="0.2">
      <c r="D17" s="9"/>
    </row>
    <row r="18" spans="4:4" x14ac:dyDescent="0.2">
      <c r="D18" s="9"/>
    </row>
    <row r="19" spans="4:4" x14ac:dyDescent="0.2">
      <c r="D19" s="9"/>
    </row>
  </sheetData>
  <phoneticPr fontId="0" type="noConversion"/>
  <pageMargins left="0.75" right="0.75" top="1" bottom="1" header="0.5" footer="0.5"/>
  <pageSetup orientation="portrait" horizontalDpi="4294967293" r:id="rId1"/>
  <headerFooter alignWithMargins="0">
    <oddHeader>&amp;C&amp;A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2</xdr:col>
                <xdr:colOff>647700</xdr:colOff>
                <xdr:row>2</xdr:row>
                <xdr:rowOff>228600</xdr:rowOff>
              </from>
              <to>
                <xdr:col>2</xdr:col>
                <xdr:colOff>838200</xdr:colOff>
                <xdr:row>2</xdr:row>
                <xdr:rowOff>457200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4</xdr:col>
                <xdr:colOff>657225</xdr:colOff>
                <xdr:row>2</xdr:row>
                <xdr:rowOff>295275</xdr:rowOff>
              </from>
              <to>
                <xdr:col>4</xdr:col>
                <xdr:colOff>819150</xdr:colOff>
                <xdr:row>2</xdr:row>
                <xdr:rowOff>523875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5</xdr:col>
                <xdr:colOff>581025</xdr:colOff>
                <xdr:row>2</xdr:row>
                <xdr:rowOff>247650</xdr:rowOff>
              </from>
              <to>
                <xdr:col>5</xdr:col>
                <xdr:colOff>742950</xdr:colOff>
                <xdr:row>2</xdr:row>
                <xdr:rowOff>476250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5">
            <anchor moveWithCells="1" sizeWithCells="1">
              <from>
                <xdr:col>3</xdr:col>
                <xdr:colOff>704850</xdr:colOff>
                <xdr:row>2</xdr:row>
                <xdr:rowOff>285750</xdr:rowOff>
              </from>
              <to>
                <xdr:col>3</xdr:col>
                <xdr:colOff>895350</xdr:colOff>
                <xdr:row>2</xdr:row>
                <xdr:rowOff>514350</xdr:rowOff>
              </to>
            </anchor>
          </objectPr>
        </oleObject>
      </mc:Choice>
      <mc:Fallback>
        <oleObject progId="Equation.3" shapeId="1032" r:id="rId10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"/>
  <sheetViews>
    <sheetView zoomScaleNormal="100" workbookViewId="0">
      <selection activeCell="C35" sqref="C35"/>
    </sheetView>
  </sheetViews>
  <sheetFormatPr defaultRowHeight="12.75" x14ac:dyDescent="0.2"/>
  <cols>
    <col min="1" max="1" width="14.5703125" customWidth="1"/>
    <col min="2" max="2" width="10.28515625" customWidth="1"/>
    <col min="3" max="4" width="11.140625" bestFit="1" customWidth="1"/>
    <col min="5" max="9" width="9.28515625" bestFit="1" customWidth="1"/>
  </cols>
  <sheetData>
    <row r="1" spans="1:9" x14ac:dyDescent="0.2">
      <c r="A1" s="48" t="s">
        <v>73</v>
      </c>
    </row>
    <row r="2" spans="1:9" ht="13.5" thickBot="1" x14ac:dyDescent="0.25">
      <c r="H2" s="5"/>
    </row>
    <row r="3" spans="1:9" x14ac:dyDescent="0.2">
      <c r="A3" s="4" t="s">
        <v>0</v>
      </c>
      <c r="B3" s="4"/>
      <c r="H3" s="5"/>
    </row>
    <row r="4" spans="1:9" x14ac:dyDescent="0.2">
      <c r="A4" s="1" t="s">
        <v>1</v>
      </c>
      <c r="B4" s="1">
        <v>0.95806523657865916</v>
      </c>
      <c r="H4" s="5"/>
    </row>
    <row r="5" spans="1:9" x14ac:dyDescent="0.2">
      <c r="A5" s="1" t="s">
        <v>2</v>
      </c>
      <c r="B5" s="1">
        <v>0.91788899754052211</v>
      </c>
      <c r="H5" s="5"/>
    </row>
    <row r="6" spans="1:9" x14ac:dyDescent="0.2">
      <c r="A6" s="1" t="s">
        <v>3</v>
      </c>
      <c r="B6" s="1">
        <v>0.90420383046394248</v>
      </c>
    </row>
    <row r="7" spans="1:9" x14ac:dyDescent="0.2">
      <c r="A7" s="1" t="s">
        <v>4</v>
      </c>
      <c r="B7" s="1">
        <v>414.50331244966674</v>
      </c>
    </row>
    <row r="8" spans="1:9" ht="13.5" thickBot="1" x14ac:dyDescent="0.25">
      <c r="A8" s="2" t="s">
        <v>5</v>
      </c>
      <c r="B8" s="2">
        <v>8</v>
      </c>
    </row>
    <row r="10" spans="1:9" ht="13.5" thickBot="1" x14ac:dyDescent="0.25">
      <c r="A10" t="s">
        <v>6</v>
      </c>
    </row>
    <row r="11" spans="1:9" x14ac:dyDescent="0.2">
      <c r="A11" s="3"/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</row>
    <row r="12" spans="1:9" x14ac:dyDescent="0.2">
      <c r="A12" s="1" t="s">
        <v>7</v>
      </c>
      <c r="B12" s="1">
        <v>1</v>
      </c>
      <c r="C12" s="1">
        <v>11523809.523809524</v>
      </c>
      <c r="D12" s="1">
        <v>11523809.523809524</v>
      </c>
      <c r="E12" s="1">
        <v>67.071815229159157</v>
      </c>
      <c r="F12" s="1">
        <v>1.7860862469554794E-4</v>
      </c>
    </row>
    <row r="13" spans="1:9" x14ac:dyDescent="0.2">
      <c r="A13" s="1" t="s">
        <v>8</v>
      </c>
      <c r="B13" s="1">
        <v>6</v>
      </c>
      <c r="C13" s="1">
        <v>1030877.9761904762</v>
      </c>
      <c r="D13" s="1">
        <v>171812.99603174604</v>
      </c>
      <c r="E13" s="1"/>
      <c r="F13" s="1"/>
    </row>
    <row r="14" spans="1:9" ht="13.5" thickBot="1" x14ac:dyDescent="0.25">
      <c r="A14" s="2" t="s">
        <v>9</v>
      </c>
      <c r="B14" s="2">
        <v>7</v>
      </c>
      <c r="C14" s="2">
        <v>12554687.5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16</v>
      </c>
      <c r="C16" s="3" t="s">
        <v>4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">
      <c r="A17" s="1" t="s">
        <v>10</v>
      </c>
      <c r="B17" s="94">
        <v>18438.988095238074</v>
      </c>
      <c r="C17" s="1">
        <v>440.80870787753844</v>
      </c>
      <c r="D17" s="1">
        <v>41.829908905430763</v>
      </c>
      <c r="E17" s="1">
        <v>1.2487616471728868E-8</v>
      </c>
      <c r="F17" s="1">
        <v>17360.367255038629</v>
      </c>
      <c r="G17" s="1">
        <v>19517.608935437518</v>
      </c>
      <c r="H17" s="1">
        <v>17360.367255038629</v>
      </c>
      <c r="I17" s="1">
        <v>19517.608935437518</v>
      </c>
    </row>
    <row r="18" spans="1:9" ht="13.5" thickBot="1" x14ac:dyDescent="0.25">
      <c r="A18" s="2" t="s">
        <v>23</v>
      </c>
      <c r="B18" s="95">
        <v>523.80952380952647</v>
      </c>
      <c r="C18" s="2">
        <v>63.959249681367233</v>
      </c>
      <c r="D18" s="2">
        <v>8.18973841030102</v>
      </c>
      <c r="E18" s="2">
        <v>1.7860862469554271E-4</v>
      </c>
      <c r="F18" s="2">
        <v>367.30676332184578</v>
      </c>
      <c r="G18" s="2">
        <v>680.31228429720716</v>
      </c>
      <c r="H18" s="2">
        <v>367.30676332184578</v>
      </c>
      <c r="I18" s="2">
        <v>680.31228429720716</v>
      </c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&amp;C&amp;A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9"/>
  <sheetViews>
    <sheetView tabSelected="1" zoomScaleNormal="100" workbookViewId="0">
      <selection activeCell="C40" sqref="C40"/>
    </sheetView>
  </sheetViews>
  <sheetFormatPr defaultRowHeight="12.75" x14ac:dyDescent="0.2"/>
  <cols>
    <col min="1" max="1" width="9.5703125" customWidth="1"/>
    <col min="3" max="4" width="7.5703125" customWidth="1"/>
    <col min="5" max="5" width="16.42578125" customWidth="1"/>
    <col min="6" max="6" width="10.140625" customWidth="1"/>
    <col min="7" max="7" width="7.42578125" customWidth="1"/>
    <col min="8" max="8" width="14.42578125" customWidth="1"/>
    <col min="9" max="9" width="21.85546875" customWidth="1"/>
    <col min="10" max="10" width="6.5703125" customWidth="1"/>
    <col min="11" max="11" width="7.5703125" customWidth="1"/>
    <col min="12" max="12" width="7.42578125" customWidth="1"/>
    <col min="13" max="13" width="5.28515625" customWidth="1"/>
  </cols>
  <sheetData>
    <row r="1" spans="1:13" ht="29.25" thickBot="1" x14ac:dyDescent="0.35">
      <c r="A1" s="81" t="s">
        <v>24</v>
      </c>
      <c r="B1" s="76" t="s">
        <v>26</v>
      </c>
      <c r="C1" s="77" t="s">
        <v>28</v>
      </c>
      <c r="D1" s="78" t="s">
        <v>36</v>
      </c>
      <c r="E1" s="78" t="s">
        <v>37</v>
      </c>
      <c r="F1" s="78" t="s">
        <v>29</v>
      </c>
      <c r="G1" s="78" t="s">
        <v>30</v>
      </c>
      <c r="H1" s="78" t="s">
        <v>31</v>
      </c>
      <c r="I1" s="78" t="s">
        <v>77</v>
      </c>
      <c r="J1" s="79" t="s">
        <v>33</v>
      </c>
      <c r="K1" s="79" t="s">
        <v>25</v>
      </c>
      <c r="L1" s="79" t="s">
        <v>34</v>
      </c>
      <c r="M1" s="80" t="s">
        <v>35</v>
      </c>
    </row>
    <row r="2" spans="1:13" x14ac:dyDescent="0.2">
      <c r="A2" s="21"/>
      <c r="B2" s="63"/>
      <c r="C2" s="64">
        <v>18439</v>
      </c>
      <c r="D2" s="65">
        <v>524</v>
      </c>
      <c r="E2" s="65"/>
      <c r="F2" s="65"/>
      <c r="G2" s="65"/>
      <c r="H2" s="65"/>
      <c r="I2" s="65"/>
      <c r="J2" s="65"/>
      <c r="K2" s="65"/>
      <c r="L2" s="65"/>
      <c r="M2" s="99"/>
    </row>
    <row r="3" spans="1:13" x14ac:dyDescent="0.2">
      <c r="A3" s="21">
        <v>1</v>
      </c>
      <c r="B3" s="98">
        <v>8000</v>
      </c>
      <c r="C3" s="67">
        <f t="shared" ref="C3:C14" si="0">$B$20*(B3/E3)+(1-$B$20)*(C2+D2)</f>
        <v>18865.913829787234</v>
      </c>
      <c r="D3" s="68">
        <f t="shared" ref="D3:D14" si="1">$B$21*(C3-C2)+(1-$B$21)*D2</f>
        <v>514.29138297872339</v>
      </c>
      <c r="E3" s="92">
        <v>0.47</v>
      </c>
      <c r="F3" s="68">
        <f>(C2+D2)*E3</f>
        <v>8912.6099999999988</v>
      </c>
      <c r="G3" s="68">
        <f t="shared" ref="G3:G14" si="2">F3-B3</f>
        <v>912.60999999999876</v>
      </c>
      <c r="H3" s="68">
        <f t="shared" ref="H3:H14" si="3">ABS(G3)</f>
        <v>912.60999999999876</v>
      </c>
      <c r="I3" s="68">
        <f>SUMSQ($G$3:G3)/A3</f>
        <v>832857.01209999772</v>
      </c>
      <c r="J3" s="70">
        <f>SUM($H$3:H3)/A3</f>
        <v>912.60999999999876</v>
      </c>
      <c r="K3" s="68">
        <f>100*H3/B3</f>
        <v>11.407624999999985</v>
      </c>
      <c r="L3" s="92">
        <f>AVERAGE($K$3:K3)</f>
        <v>11.407624999999985</v>
      </c>
      <c r="M3" s="71">
        <f>SUM($G$3:G3)/J3</f>
        <v>1</v>
      </c>
    </row>
    <row r="4" spans="1:13" x14ac:dyDescent="0.2">
      <c r="A4" s="16">
        <v>2</v>
      </c>
      <c r="B4" s="98">
        <v>13000</v>
      </c>
      <c r="C4" s="67">
        <f t="shared" si="0"/>
        <v>19367.077305068837</v>
      </c>
      <c r="D4" s="68">
        <f t="shared" si="1"/>
        <v>512.97859220901137</v>
      </c>
      <c r="E4" s="92">
        <v>0.68</v>
      </c>
      <c r="F4" s="68">
        <f t="shared" ref="F4:F14" si="4">(C3+D3)*E4</f>
        <v>13178.539544680852</v>
      </c>
      <c r="G4" s="68">
        <f t="shared" si="2"/>
        <v>178.53954468085249</v>
      </c>
      <c r="H4" s="68">
        <f t="shared" si="3"/>
        <v>178.53954468085249</v>
      </c>
      <c r="I4" s="68">
        <f>SUMSQ($G$3:G4)/A4</f>
        <v>432366.69055742194</v>
      </c>
      <c r="J4" s="70">
        <f>SUM($H$3:H4)/A4</f>
        <v>545.57477234042562</v>
      </c>
      <c r="K4" s="68">
        <f t="shared" ref="K4:K14" si="5">100*H4/B4</f>
        <v>1.3733811129296345</v>
      </c>
      <c r="L4" s="92">
        <f>AVERAGE($K$3:K4)</f>
        <v>6.3905030564648095</v>
      </c>
      <c r="M4" s="71">
        <f>SUM($G$3:G4)/J4</f>
        <v>2</v>
      </c>
    </row>
    <row r="5" spans="1:13" x14ac:dyDescent="0.2">
      <c r="A5" s="16">
        <v>3</v>
      </c>
      <c r="B5" s="98">
        <v>23000</v>
      </c>
      <c r="C5" s="67">
        <f t="shared" si="0"/>
        <v>19868.959085319941</v>
      </c>
      <c r="D5" s="68">
        <f t="shared" si="1"/>
        <v>511.86891101322067</v>
      </c>
      <c r="E5" s="92">
        <v>1.17</v>
      </c>
      <c r="F5" s="68">
        <f t="shared" si="4"/>
        <v>23259.665399815083</v>
      </c>
      <c r="G5" s="68">
        <f t="shared" si="2"/>
        <v>259.66539981508322</v>
      </c>
      <c r="H5" s="68">
        <f t="shared" si="3"/>
        <v>259.66539981508322</v>
      </c>
      <c r="I5" s="68">
        <f>SUMSQ($G$3:G5)/A5</f>
        <v>310719.83365865698</v>
      </c>
      <c r="J5" s="70">
        <f>SUM($H$3:H5)/A5</f>
        <v>450.27164816531149</v>
      </c>
      <c r="K5" s="68">
        <f t="shared" si="5"/>
        <v>1.1289799991960141</v>
      </c>
      <c r="L5" s="92">
        <f>AVERAGE($K$3:K5)</f>
        <v>4.6366620373752108</v>
      </c>
      <c r="M5" s="71">
        <f>SUM($G$3:G5)/J5</f>
        <v>3</v>
      </c>
    </row>
    <row r="6" spans="1:13" x14ac:dyDescent="0.2">
      <c r="A6" s="16">
        <v>4</v>
      </c>
      <c r="B6" s="98">
        <v>34000</v>
      </c>
      <c r="C6" s="67">
        <f t="shared" si="0"/>
        <v>20379.750668372792</v>
      </c>
      <c r="D6" s="68">
        <f t="shared" si="1"/>
        <v>511.76117821718373</v>
      </c>
      <c r="E6" s="92">
        <v>1.67</v>
      </c>
      <c r="F6" s="68">
        <f t="shared" si="4"/>
        <v>34035.982753876378</v>
      </c>
      <c r="G6" s="68">
        <f t="shared" si="2"/>
        <v>35.98275387637841</v>
      </c>
      <c r="H6" s="68">
        <f t="shared" si="3"/>
        <v>35.98275387637841</v>
      </c>
      <c r="I6" s="68">
        <f>SUMSQ($G$3:G6)/A6</f>
        <v>233363.56488812473</v>
      </c>
      <c r="J6" s="70">
        <f>SUM($H$3:H6)/A6</f>
        <v>346.69942459307822</v>
      </c>
      <c r="K6" s="68">
        <f t="shared" si="5"/>
        <v>0.1058316290481718</v>
      </c>
      <c r="L6" s="92">
        <f>AVERAGE($K$3:K6)</f>
        <v>3.5039544352934513</v>
      </c>
      <c r="M6" s="71">
        <f>SUM($G$3:G6)/J6</f>
        <v>4</v>
      </c>
    </row>
    <row r="7" spans="1:13" x14ac:dyDescent="0.2">
      <c r="A7" s="16">
        <v>5</v>
      </c>
      <c r="B7" s="98">
        <v>10000</v>
      </c>
      <c r="C7" s="67">
        <f t="shared" si="0"/>
        <v>20921.270472494471</v>
      </c>
      <c r="D7" s="68">
        <f t="shared" si="1"/>
        <v>514.73704080763321</v>
      </c>
      <c r="E7" s="92">
        <f t="shared" ref="E7:E18" si="6">$B$22*(B3/C3)+(1-$B$22)*E3</f>
        <v>0.46540451892327028</v>
      </c>
      <c r="F7" s="68">
        <f t="shared" si="4"/>
        <v>9723.00402054201</v>
      </c>
      <c r="G7" s="68">
        <f t="shared" si="2"/>
        <v>-276.99597945798996</v>
      </c>
      <c r="H7" s="68">
        <f t="shared" si="3"/>
        <v>276.99597945798996</v>
      </c>
      <c r="I7" s="68">
        <f>SUMSQ($G$3:G7)/A7</f>
        <v>202036.20643767802</v>
      </c>
      <c r="J7" s="70">
        <f>SUM($H$3:H7)/A7</f>
        <v>332.75873556606058</v>
      </c>
      <c r="K7" s="68">
        <f t="shared" si="5"/>
        <v>2.7699597945798997</v>
      </c>
      <c r="L7" s="92">
        <f>AVERAGE($K$3:K7)</f>
        <v>3.3571555071507411</v>
      </c>
      <c r="M7" s="71">
        <f>SUM($G$3:G7)/J7</f>
        <v>3.3351542733398825</v>
      </c>
    </row>
    <row r="8" spans="1:13" x14ac:dyDescent="0.2">
      <c r="A8" s="16">
        <v>6</v>
      </c>
      <c r="B8" s="98">
        <v>18000</v>
      </c>
      <c r="C8" s="67">
        <f t="shared" si="0"/>
        <v>21689.443332439725</v>
      </c>
      <c r="D8" s="68">
        <f t="shared" si="1"/>
        <v>540.08062272139534</v>
      </c>
      <c r="E8" s="92">
        <f t="shared" si="6"/>
        <v>0.6791242221798619</v>
      </c>
      <c r="F8" s="68">
        <f t="shared" si="4"/>
        <v>14557.711929112967</v>
      </c>
      <c r="G8" s="68">
        <f t="shared" si="2"/>
        <v>-3442.2880708870325</v>
      </c>
      <c r="H8" s="68">
        <f t="shared" si="3"/>
        <v>3442.2880708870325</v>
      </c>
      <c r="I8" s="68">
        <f>SUMSQ($G$3:G8)/A8</f>
        <v>2143254.6991932592</v>
      </c>
      <c r="J8" s="70">
        <f>SUM($H$3:H8)/A8</f>
        <v>851.01362478622252</v>
      </c>
      <c r="K8" s="68">
        <f t="shared" si="5"/>
        <v>19.123822616039071</v>
      </c>
      <c r="L8" s="92">
        <f>AVERAGE($K$3:K8)</f>
        <v>5.9849333586321292</v>
      </c>
      <c r="M8" s="71">
        <f>SUM($G$3:G8)/J8</f>
        <v>-2.740833147716804</v>
      </c>
    </row>
    <row r="9" spans="1:13" x14ac:dyDescent="0.2">
      <c r="A9" s="16">
        <v>7</v>
      </c>
      <c r="B9" s="98">
        <v>23000</v>
      </c>
      <c r="C9" s="67">
        <f t="shared" si="0"/>
        <v>22101.997858800012</v>
      </c>
      <c r="D9" s="68">
        <f t="shared" si="1"/>
        <v>527.32801308528451</v>
      </c>
      <c r="E9" s="92">
        <f t="shared" si="6"/>
        <v>1.1687584546892211</v>
      </c>
      <c r="F9" s="68">
        <f t="shared" si="4"/>
        <v>25980.944066311135</v>
      </c>
      <c r="G9" s="68">
        <f t="shared" si="2"/>
        <v>2980.9440663111345</v>
      </c>
      <c r="H9" s="68">
        <f t="shared" si="3"/>
        <v>2980.9440663111345</v>
      </c>
      <c r="I9" s="68">
        <f>SUMSQ($G$3:G9)/A9</f>
        <v>3106507.9602335882</v>
      </c>
      <c r="J9" s="70">
        <f>SUM($H$3:H9)/A9</f>
        <v>1155.2894021469242</v>
      </c>
      <c r="K9" s="68">
        <f t="shared" si="5"/>
        <v>12.960626375265802</v>
      </c>
      <c r="L9" s="92">
        <f>AVERAGE($K$3:K9)</f>
        <v>6.9814609324369394</v>
      </c>
      <c r="M9" s="71">
        <f>SUM($G$3:G9)/J9</f>
        <v>0.56129460993355251</v>
      </c>
    </row>
    <row r="10" spans="1:13" x14ac:dyDescent="0.2">
      <c r="A10" s="16">
        <v>8</v>
      </c>
      <c r="B10" s="98">
        <v>38000</v>
      </c>
      <c r="C10" s="67">
        <f t="shared" si="0"/>
        <v>22635.698412659141</v>
      </c>
      <c r="D10" s="68">
        <f t="shared" si="1"/>
        <v>527.96526716266897</v>
      </c>
      <c r="E10" s="92">
        <f t="shared" si="6"/>
        <v>1.6698322667595946</v>
      </c>
      <c r="F10" s="68">
        <f t="shared" si="4"/>
        <v>37787.178515891763</v>
      </c>
      <c r="G10" s="68">
        <f t="shared" si="2"/>
        <v>-212.8214841082372</v>
      </c>
      <c r="H10" s="68">
        <f t="shared" si="3"/>
        <v>212.8214841082372</v>
      </c>
      <c r="I10" s="68">
        <f>SUMSQ($G$3:G10)/A10</f>
        <v>2723856.0882166438</v>
      </c>
      <c r="J10" s="70">
        <f>SUM($H$3:H10)/A10</f>
        <v>1037.4809123920884</v>
      </c>
      <c r="K10" s="68">
        <f t="shared" si="5"/>
        <v>0.56005653712694003</v>
      </c>
      <c r="L10" s="92">
        <f>AVERAGE($K$3:K10)</f>
        <v>6.1787853830231896</v>
      </c>
      <c r="M10" s="71">
        <f>SUM($G$3:G10)/J10</f>
        <v>0.41989806754685677</v>
      </c>
    </row>
    <row r="11" spans="1:13" x14ac:dyDescent="0.2">
      <c r="A11" s="16">
        <v>9</v>
      </c>
      <c r="B11" s="98">
        <v>12000</v>
      </c>
      <c r="C11" s="67">
        <f t="shared" si="0"/>
        <v>23291.206780670833</v>
      </c>
      <c r="D11" s="68">
        <f t="shared" si="1"/>
        <v>540.71957724757124</v>
      </c>
      <c r="E11" s="92">
        <f t="shared" si="6"/>
        <v>0.4666623114690483</v>
      </c>
      <c r="F11" s="68">
        <f t="shared" si="4"/>
        <v>10809.608834917286</v>
      </c>
      <c r="G11" s="68">
        <f t="shared" si="2"/>
        <v>-1190.391165082714</v>
      </c>
      <c r="H11" s="68">
        <f t="shared" si="3"/>
        <v>1190.391165082714</v>
      </c>
      <c r="I11" s="68">
        <f>SUMSQ($G$3:G11)/A11</f>
        <v>2578653.3146266812</v>
      </c>
      <c r="J11" s="70">
        <f>SUM($H$3:H11)/A11</f>
        <v>1054.4709404688247</v>
      </c>
      <c r="K11" s="68">
        <f t="shared" si="5"/>
        <v>9.9199263756892826</v>
      </c>
      <c r="L11" s="92">
        <f>AVERAGE($K$3:K11)</f>
        <v>6.5944677155416445</v>
      </c>
      <c r="M11" s="71">
        <f>SUM($G$3:G11)/J11</f>
        <v>-0.71576646248492848</v>
      </c>
    </row>
    <row r="12" spans="1:13" x14ac:dyDescent="0.2">
      <c r="A12" s="16">
        <v>10</v>
      </c>
      <c r="B12" s="98">
        <v>13000</v>
      </c>
      <c r="C12" s="67">
        <f t="shared" si="0"/>
        <v>23576.657629493009</v>
      </c>
      <c r="D12" s="68">
        <f t="shared" si="1"/>
        <v>515.1927044050318</v>
      </c>
      <c r="E12" s="92">
        <f t="shared" si="6"/>
        <v>0.69420148173521279</v>
      </c>
      <c r="F12" s="68">
        <f t="shared" si="4"/>
        <v>16544.158590271429</v>
      </c>
      <c r="G12" s="68">
        <f t="shared" si="2"/>
        <v>3544.1585902714287</v>
      </c>
      <c r="H12" s="68">
        <f t="shared" si="3"/>
        <v>3544.1585902714287</v>
      </c>
      <c r="I12" s="68">
        <f>SUMSQ($G$3:G12)/A12</f>
        <v>3576893.9944634894</v>
      </c>
      <c r="J12" s="70">
        <f>SUM($H$3:H12)/A12</f>
        <v>1303.4397054490851</v>
      </c>
      <c r="K12" s="68">
        <f t="shared" si="5"/>
        <v>27.262758386703297</v>
      </c>
      <c r="L12" s="92">
        <f>AVERAGE($K$3:K12)</f>
        <v>8.6612967826578107</v>
      </c>
      <c r="M12" s="71">
        <f>SUM($G$3:G12)/J12</f>
        <v>2.1400327485480779</v>
      </c>
    </row>
    <row r="13" spans="1:13" x14ac:dyDescent="0.2">
      <c r="A13" s="16">
        <v>11</v>
      </c>
      <c r="B13" s="98">
        <v>32000</v>
      </c>
      <c r="C13" s="67">
        <f t="shared" si="0"/>
        <v>24271.405998537972</v>
      </c>
      <c r="D13" s="68">
        <f t="shared" si="1"/>
        <v>533.14827086902483</v>
      </c>
      <c r="E13" s="92">
        <f t="shared" si="6"/>
        <v>1.1559456000274511</v>
      </c>
      <c r="F13" s="68">
        <f t="shared" si="4"/>
        <v>27848.868389989319</v>
      </c>
      <c r="G13" s="68">
        <f t="shared" si="2"/>
        <v>-4151.1316100106815</v>
      </c>
      <c r="H13" s="68">
        <f t="shared" si="3"/>
        <v>4151.1316100106815</v>
      </c>
      <c r="I13" s="68">
        <f>SUMSQ($G$3:G13)/A13</f>
        <v>4818257.5989331603</v>
      </c>
      <c r="J13" s="70">
        <f>SUM($H$3:H13)/A13</f>
        <v>1562.3207876819572</v>
      </c>
      <c r="K13" s="68">
        <f t="shared" si="5"/>
        <v>12.972286281283379</v>
      </c>
      <c r="L13" s="92">
        <f>AVERAGE($K$3:K13)</f>
        <v>9.0532049188964976</v>
      </c>
      <c r="M13" s="71">
        <f>SUM($G$3:G13)/J13</f>
        <v>-0.8716058605430187</v>
      </c>
    </row>
    <row r="14" spans="1:13" ht="13.5" thickBot="1" x14ac:dyDescent="0.25">
      <c r="A14" s="16">
        <v>12</v>
      </c>
      <c r="B14" s="29">
        <v>41000</v>
      </c>
      <c r="C14" s="82">
        <f t="shared" si="0"/>
        <v>24791.338443719171</v>
      </c>
      <c r="D14" s="83">
        <f t="shared" si="1"/>
        <v>531.82668830024227</v>
      </c>
      <c r="E14" s="93">
        <f t="shared" si="6"/>
        <v>1.6707254594776499</v>
      </c>
      <c r="F14" s="83">
        <f t="shared" si="4"/>
        <v>41441.600328893306</v>
      </c>
      <c r="G14" s="83">
        <f t="shared" si="2"/>
        <v>441.60032889330614</v>
      </c>
      <c r="H14" s="83">
        <f t="shared" si="3"/>
        <v>441.60032889330614</v>
      </c>
      <c r="I14" s="83">
        <f>SUMSQ($G$3:G14)/A14</f>
        <v>4432987.0365619538</v>
      </c>
      <c r="J14" s="84">
        <f>SUM($H$3:H14)/A14</f>
        <v>1468.9274161162364</v>
      </c>
      <c r="K14" s="83">
        <f t="shared" si="5"/>
        <v>1.0770739729105028</v>
      </c>
      <c r="L14" s="93">
        <f>AVERAGE($K$3:K14)</f>
        <v>8.3885273400643303</v>
      </c>
      <c r="M14" s="85">
        <f>SUM($G$3:G14)/J14</f>
        <v>-0.62639420818439073</v>
      </c>
    </row>
    <row r="15" spans="1:13" x14ac:dyDescent="0.2">
      <c r="A15" s="16">
        <v>13</v>
      </c>
      <c r="B15" s="56"/>
      <c r="C15" s="36"/>
      <c r="D15" s="36"/>
      <c r="E15" s="96">
        <f t="shared" si="6"/>
        <v>0.47151767004912448</v>
      </c>
      <c r="F15" s="25">
        <f>($C$14+$D$14)*E15</f>
        <v>11940.319821319024</v>
      </c>
      <c r="G15" s="36"/>
      <c r="H15" s="36"/>
      <c r="I15" s="36"/>
      <c r="J15" s="36"/>
      <c r="K15" s="36"/>
      <c r="L15" s="36"/>
      <c r="M15" s="46"/>
    </row>
    <row r="16" spans="1:13" x14ac:dyDescent="0.2">
      <c r="A16" s="16">
        <v>14</v>
      </c>
      <c r="B16" s="56"/>
      <c r="C16" s="36"/>
      <c r="D16" s="36"/>
      <c r="E16" s="96">
        <f t="shared" si="6"/>
        <v>0.67992061667931958</v>
      </c>
      <c r="F16" s="25">
        <f>E16*($C$14+2*$D$14)</f>
        <v>17579.341982710503</v>
      </c>
      <c r="G16" s="36"/>
      <c r="H16" s="36"/>
      <c r="I16" s="36"/>
      <c r="J16" s="36"/>
      <c r="K16" s="36"/>
      <c r="L16" s="36"/>
      <c r="M16" s="46"/>
    </row>
    <row r="17" spans="1:13" x14ac:dyDescent="0.2">
      <c r="A17" s="16">
        <v>15</v>
      </c>
      <c r="B17" s="56"/>
      <c r="C17" s="36"/>
      <c r="D17" s="36"/>
      <c r="E17" s="96">
        <f t="shared" si="6"/>
        <v>1.172193422793663</v>
      </c>
      <c r="F17" s="25">
        <f>E17*($C$14+3*$D$14)</f>
        <v>30930.455104254335</v>
      </c>
      <c r="G17" s="36"/>
      <c r="H17" s="36"/>
      <c r="I17" s="36"/>
      <c r="J17" s="36"/>
      <c r="K17" s="36"/>
      <c r="L17" s="36"/>
      <c r="M17" s="46"/>
    </row>
    <row r="18" spans="1:13" ht="13.5" thickBot="1" x14ac:dyDescent="0.25">
      <c r="A18" s="18">
        <v>16</v>
      </c>
      <c r="B18" s="87"/>
      <c r="C18" s="88"/>
      <c r="D18" s="88"/>
      <c r="E18" s="97">
        <f t="shared" si="6"/>
        <v>1.6690332543012292</v>
      </c>
      <c r="F18" s="89">
        <f>E18*($C$14+4*$D$14)</f>
        <v>44928.113994395775</v>
      </c>
      <c r="G18" s="88"/>
      <c r="H18" s="88"/>
      <c r="I18" s="88"/>
      <c r="J18" s="88"/>
      <c r="K18" s="88"/>
      <c r="L18" s="88"/>
      <c r="M18" s="90"/>
    </row>
    <row r="19" spans="1:13" ht="13.5" thickBot="1" x14ac:dyDescent="0.25"/>
    <row r="20" spans="1:13" ht="15.75" x14ac:dyDescent="0.25">
      <c r="A20" s="159" t="s">
        <v>116</v>
      </c>
      <c r="B20" s="91">
        <v>0.05</v>
      </c>
      <c r="D20" s="5"/>
      <c r="E20" s="5"/>
      <c r="F20" s="6"/>
    </row>
    <row r="21" spans="1:13" ht="16.5" thickBot="1" x14ac:dyDescent="0.3">
      <c r="A21" s="160" t="s">
        <v>117</v>
      </c>
      <c r="B21" s="100">
        <v>0.1</v>
      </c>
      <c r="D21" s="5"/>
      <c r="E21" s="5"/>
      <c r="F21" s="6"/>
    </row>
    <row r="22" spans="1:13" ht="16.5" thickBot="1" x14ac:dyDescent="0.3">
      <c r="A22" s="161" t="s">
        <v>118</v>
      </c>
      <c r="B22" s="101">
        <v>0.1</v>
      </c>
      <c r="C22" s="5"/>
      <c r="D22" s="5"/>
      <c r="E22" s="5"/>
      <c r="F22" s="6"/>
    </row>
    <row r="23" spans="1:13" x14ac:dyDescent="0.2">
      <c r="C23" s="5"/>
      <c r="D23" s="5"/>
      <c r="E23" s="5"/>
      <c r="F23" s="6"/>
    </row>
    <row r="24" spans="1:13" x14ac:dyDescent="0.2">
      <c r="C24" s="5"/>
      <c r="D24" s="5"/>
      <c r="E24" s="5"/>
      <c r="F24" s="6"/>
    </row>
    <row r="25" spans="1:13" x14ac:dyDescent="0.2">
      <c r="C25" s="5"/>
      <c r="D25" s="5"/>
      <c r="E25" s="5"/>
      <c r="F25" s="6"/>
    </row>
    <row r="26" spans="1:13" x14ac:dyDescent="0.2">
      <c r="C26" s="5"/>
      <c r="D26" s="5"/>
      <c r="E26" s="5"/>
      <c r="F26" s="6"/>
    </row>
    <row r="27" spans="1:13" x14ac:dyDescent="0.2">
      <c r="C27" s="5"/>
      <c r="D27" s="5"/>
      <c r="E27" s="5"/>
      <c r="F27" s="6"/>
    </row>
    <row r="28" spans="1:13" x14ac:dyDescent="0.2">
      <c r="C28" s="5"/>
      <c r="D28" s="5"/>
      <c r="E28" s="5"/>
      <c r="F28" s="6"/>
    </row>
    <row r="29" spans="1:13" x14ac:dyDescent="0.2">
      <c r="C29" s="5"/>
      <c r="D29" s="5"/>
      <c r="E29" s="5"/>
      <c r="F29" s="6"/>
    </row>
    <row r="30" spans="1:13" x14ac:dyDescent="0.2">
      <c r="C30" s="5"/>
      <c r="D30" s="5"/>
      <c r="E30" s="5"/>
      <c r="F30" s="6"/>
    </row>
    <row r="31" spans="1:13" x14ac:dyDescent="0.2">
      <c r="C31" s="5"/>
      <c r="D31" s="5"/>
      <c r="E31" s="5"/>
      <c r="F31" s="6"/>
    </row>
    <row r="32" spans="1:13" x14ac:dyDescent="0.2">
      <c r="B32" s="5"/>
      <c r="C32" s="5"/>
      <c r="D32" s="5"/>
      <c r="E32" s="5"/>
    </row>
    <row r="35" spans="1:5" ht="15.75" x14ac:dyDescent="0.25">
      <c r="A35" s="59" t="s">
        <v>72</v>
      </c>
    </row>
    <row r="36" spans="1:5" x14ac:dyDescent="0.2">
      <c r="C36" s="5"/>
      <c r="D36" s="5"/>
      <c r="E36" s="5"/>
    </row>
    <row r="37" spans="1:5" x14ac:dyDescent="0.2">
      <c r="C37" s="5"/>
      <c r="D37" s="5"/>
      <c r="E37" s="5"/>
    </row>
    <row r="38" spans="1:5" x14ac:dyDescent="0.2">
      <c r="C38" s="5"/>
      <c r="D38" s="5"/>
      <c r="E38" s="5"/>
    </row>
    <row r="39" spans="1:5" x14ac:dyDescent="0.2">
      <c r="C39" s="5"/>
      <c r="D39" s="5"/>
      <c r="E39" s="5"/>
    </row>
  </sheetData>
  <phoneticPr fontId="0" type="noConversion"/>
  <pageMargins left="0.75" right="0.75" top="1" bottom="1" header="0.5" footer="0.5"/>
  <pageSetup scale="87" orientation="landscape" horizontalDpi="4294967292" verticalDpi="300" r:id="rId1"/>
  <headerFooter alignWithMargins="0">
    <oddHeader>&amp;C&amp;A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6" sqref="D6"/>
    </sheetView>
  </sheetViews>
  <sheetFormatPr defaultRowHeight="12.75" x14ac:dyDescent="0.2"/>
  <cols>
    <col min="1" max="1" width="26.28515625" customWidth="1"/>
  </cols>
  <sheetData>
    <row r="1" spans="1:5" x14ac:dyDescent="0.2">
      <c r="A1" s="11" t="s">
        <v>107</v>
      </c>
    </row>
    <row r="2" spans="1:5" ht="13.5" thickBot="1" x14ac:dyDescent="0.25"/>
    <row r="3" spans="1:5" x14ac:dyDescent="0.2">
      <c r="A3" s="171" t="s">
        <v>78</v>
      </c>
      <c r="B3" s="169" t="s">
        <v>79</v>
      </c>
      <c r="C3" s="167" t="s">
        <v>80</v>
      </c>
      <c r="D3" s="165" t="s">
        <v>81</v>
      </c>
      <c r="E3" s="166"/>
    </row>
    <row r="4" spans="1:5" ht="13.5" thickBot="1" x14ac:dyDescent="0.25">
      <c r="A4" s="172"/>
      <c r="B4" s="170"/>
      <c r="C4" s="168"/>
      <c r="D4" s="122" t="s">
        <v>82</v>
      </c>
      <c r="E4" s="123" t="s">
        <v>83</v>
      </c>
    </row>
    <row r="5" spans="1:5" x14ac:dyDescent="0.2">
      <c r="A5" s="120" t="s">
        <v>84</v>
      </c>
      <c r="B5" s="29">
        <f>'Figure 7-7'!H13</f>
        <v>9718.75</v>
      </c>
      <c r="C5" s="121">
        <f>'Figure 7-7'!J13</f>
        <v>49.137636441260007</v>
      </c>
      <c r="D5" s="119">
        <f>MIN('Figure 7-7'!$K$6:$K$13)</f>
        <v>-1.517684887459807</v>
      </c>
      <c r="E5" s="44">
        <f>MAX('Figure 7-7'!K6:K13)</f>
        <v>2.2075471698113205</v>
      </c>
    </row>
    <row r="6" spans="1:5" x14ac:dyDescent="0.2">
      <c r="A6" s="113" t="s">
        <v>85</v>
      </c>
      <c r="B6" s="25">
        <f>'Figure 7-8'!H14</f>
        <v>10208.443439311735</v>
      </c>
      <c r="C6" s="117">
        <f>'Figure 7-8'!J14</f>
        <v>59.07905056767239</v>
      </c>
      <c r="D6" s="96">
        <f>MIN('Figure 7-8'!K3:K14)</f>
        <v>-1.3779143314254894</v>
      </c>
      <c r="E6" s="45">
        <f>MAX('Figure 7-8'!K3:K14)</f>
        <v>2.2533449582508966</v>
      </c>
    </row>
    <row r="7" spans="1:5" x14ac:dyDescent="0.2">
      <c r="A7" s="113" t="s">
        <v>86</v>
      </c>
      <c r="B7" s="25">
        <f>'Figure 7-9'!I14</f>
        <v>8835.8443108352349</v>
      </c>
      <c r="C7" s="117">
        <f>'Figure 7-9'!K14</f>
        <v>51.678403538498316</v>
      </c>
      <c r="D7" s="96">
        <f>MIN('Figure 7-9'!L3:L14)</f>
        <v>-2.1497486500911616</v>
      </c>
      <c r="E7" s="45">
        <f>MAX('Figure 7-9'!L3:L14)</f>
        <v>2</v>
      </c>
    </row>
    <row r="8" spans="1:5" ht="13.5" thickBot="1" x14ac:dyDescent="0.25">
      <c r="A8" s="114" t="s">
        <v>87</v>
      </c>
      <c r="B8" s="27">
        <f>'Figure 7-10'!J14</f>
        <v>1468.9274161162364</v>
      </c>
      <c r="C8" s="118">
        <f>'Figure 7-10'!L14</f>
        <v>8.3885273400643303</v>
      </c>
      <c r="D8" s="115">
        <f>MIN('Figure 7-10'!M3:M14)</f>
        <v>-2.740833147716804</v>
      </c>
      <c r="E8" s="116">
        <f>MAX('Figure 7-10'!M3:M14)</f>
        <v>4</v>
      </c>
    </row>
  </sheetData>
  <mergeCells count="4">
    <mergeCell ref="D3:E3"/>
    <mergeCell ref="C3:C4"/>
    <mergeCell ref="B3:B4"/>
    <mergeCell ref="A3:A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showGridLines="0" workbookViewId="0">
      <selection activeCell="L18" sqref="L18"/>
    </sheetView>
  </sheetViews>
  <sheetFormatPr defaultRowHeight="12.75" x14ac:dyDescent="0.2"/>
  <cols>
    <col min="2" max="2" width="11.28515625" customWidth="1"/>
    <col min="3" max="3" width="14.5703125" customWidth="1"/>
    <col min="4" max="4" width="21.7109375" customWidth="1"/>
  </cols>
  <sheetData>
    <row r="1" spans="1:9" s="12" customFormat="1" ht="27.75" thickBot="1" x14ac:dyDescent="0.3">
      <c r="A1" s="81" t="s">
        <v>75</v>
      </c>
      <c r="B1" s="41" t="s">
        <v>76</v>
      </c>
      <c r="C1" s="31" t="s">
        <v>27</v>
      </c>
    </row>
    <row r="2" spans="1:9" x14ac:dyDescent="0.2">
      <c r="A2" s="21">
        <v>1</v>
      </c>
      <c r="B2" s="29">
        <v>8000</v>
      </c>
      <c r="C2" s="30"/>
      <c r="D2" s="9"/>
      <c r="E2" s="6"/>
      <c r="F2" s="8"/>
      <c r="G2" s="7"/>
      <c r="H2" s="7"/>
      <c r="I2" s="8"/>
    </row>
    <row r="3" spans="1:9" x14ac:dyDescent="0.2">
      <c r="A3" s="16">
        <v>2</v>
      </c>
      <c r="B3" s="25">
        <v>13000</v>
      </c>
      <c r="C3" s="26"/>
      <c r="D3" s="9"/>
      <c r="E3" s="6"/>
      <c r="F3" s="8"/>
      <c r="G3" s="7"/>
      <c r="H3" s="7"/>
      <c r="I3" s="8"/>
    </row>
    <row r="4" spans="1:9" x14ac:dyDescent="0.2">
      <c r="A4" s="16">
        <v>3</v>
      </c>
      <c r="B4" s="25">
        <v>23000</v>
      </c>
      <c r="C4" s="110">
        <f t="shared" ref="C4:C11" si="0">(B2+B6+2*SUM(B3:B5))/8</f>
        <v>19750</v>
      </c>
      <c r="D4" s="9"/>
      <c r="E4" s="6"/>
      <c r="F4" s="8"/>
      <c r="G4" s="7"/>
      <c r="H4" s="7"/>
      <c r="I4" s="8"/>
    </row>
    <row r="5" spans="1:9" x14ac:dyDescent="0.2">
      <c r="A5" s="16">
        <v>4</v>
      </c>
      <c r="B5" s="25">
        <v>34000</v>
      </c>
      <c r="C5" s="110">
        <f t="shared" si="0"/>
        <v>20625</v>
      </c>
      <c r="D5" s="9"/>
      <c r="E5" s="6"/>
      <c r="F5" s="8"/>
      <c r="G5" s="7"/>
      <c r="H5" s="7"/>
      <c r="I5" s="8"/>
    </row>
    <row r="6" spans="1:9" x14ac:dyDescent="0.2">
      <c r="A6" s="16">
        <v>5</v>
      </c>
      <c r="B6" s="25">
        <v>10000</v>
      </c>
      <c r="C6" s="110">
        <f t="shared" si="0"/>
        <v>21250</v>
      </c>
      <c r="D6" s="9"/>
      <c r="E6" s="6"/>
      <c r="F6" s="7"/>
      <c r="G6" s="7"/>
      <c r="H6" s="7"/>
      <c r="I6" s="8"/>
    </row>
    <row r="7" spans="1:9" x14ac:dyDescent="0.2">
      <c r="A7" s="16">
        <v>6</v>
      </c>
      <c r="B7" s="25">
        <v>18000</v>
      </c>
      <c r="C7" s="110">
        <f t="shared" si="0"/>
        <v>21750</v>
      </c>
      <c r="D7" s="9"/>
      <c r="E7" s="6"/>
      <c r="F7" s="7"/>
      <c r="G7" s="7"/>
      <c r="H7" s="7"/>
      <c r="I7" s="8"/>
    </row>
    <row r="8" spans="1:9" x14ac:dyDescent="0.2">
      <c r="A8" s="16">
        <v>7</v>
      </c>
      <c r="B8" s="25">
        <v>23000</v>
      </c>
      <c r="C8" s="110">
        <f t="shared" si="0"/>
        <v>22500</v>
      </c>
      <c r="D8" s="9"/>
      <c r="E8" s="6"/>
      <c r="F8" s="7"/>
      <c r="G8" s="7"/>
      <c r="H8" s="7"/>
      <c r="I8" s="8"/>
    </row>
    <row r="9" spans="1:9" x14ac:dyDescent="0.2">
      <c r="A9" s="16">
        <v>8</v>
      </c>
      <c r="B9" s="25">
        <v>38000</v>
      </c>
      <c r="C9" s="110">
        <f t="shared" si="0"/>
        <v>22125</v>
      </c>
      <c r="D9" s="9"/>
      <c r="E9" s="6"/>
      <c r="F9" s="7"/>
      <c r="G9" s="7"/>
      <c r="H9" s="7"/>
      <c r="I9" s="8"/>
    </row>
    <row r="10" spans="1:9" x14ac:dyDescent="0.2">
      <c r="A10" s="16">
        <v>9</v>
      </c>
      <c r="B10" s="25">
        <v>12000</v>
      </c>
      <c r="C10" s="110">
        <f t="shared" si="0"/>
        <v>22625</v>
      </c>
      <c r="D10" s="9"/>
      <c r="E10" s="6"/>
      <c r="F10" s="7"/>
      <c r="G10" s="7"/>
      <c r="H10" s="7"/>
      <c r="I10" s="8"/>
    </row>
    <row r="11" spans="1:9" x14ac:dyDescent="0.2">
      <c r="A11" s="16">
        <v>10</v>
      </c>
      <c r="B11" s="25">
        <v>13000</v>
      </c>
      <c r="C11" s="110">
        <f t="shared" si="0"/>
        <v>24125</v>
      </c>
      <c r="D11" s="9"/>
      <c r="E11" s="6"/>
      <c r="F11" s="7"/>
      <c r="G11" s="7"/>
      <c r="H11" s="7"/>
      <c r="I11" s="8"/>
    </row>
    <row r="12" spans="1:9" x14ac:dyDescent="0.2">
      <c r="A12" s="16">
        <v>11</v>
      </c>
      <c r="B12" s="25">
        <v>32000</v>
      </c>
      <c r="C12" s="26"/>
      <c r="D12" s="9"/>
      <c r="E12" s="6"/>
      <c r="F12" s="7"/>
      <c r="G12" s="7"/>
      <c r="H12" s="7"/>
      <c r="I12" s="8"/>
    </row>
    <row r="13" spans="1:9" ht="13.5" thickBot="1" x14ac:dyDescent="0.25">
      <c r="A13" s="18">
        <v>12</v>
      </c>
      <c r="B13" s="27">
        <v>41000</v>
      </c>
      <c r="C13" s="28"/>
      <c r="D13" s="9"/>
      <c r="E13" s="6"/>
      <c r="F13" s="7"/>
      <c r="G13" s="7"/>
      <c r="H13" s="7"/>
      <c r="I13" s="8"/>
    </row>
    <row r="14" spans="1:9" x14ac:dyDescent="0.2">
      <c r="D14" s="9"/>
      <c r="F14" s="7"/>
      <c r="G14" s="5"/>
    </row>
    <row r="15" spans="1:9" ht="15.75" x14ac:dyDescent="0.25">
      <c r="A15" s="24" t="s">
        <v>91</v>
      </c>
      <c r="D15" s="9"/>
      <c r="F15" s="7"/>
      <c r="G15" s="5"/>
    </row>
    <row r="16" spans="1:9" x14ac:dyDescent="0.2">
      <c r="D16" s="9"/>
      <c r="F16" s="7"/>
      <c r="G16" s="5"/>
    </row>
    <row r="17" spans="1:7" x14ac:dyDescent="0.2">
      <c r="D17" s="9"/>
      <c r="F17" s="7"/>
      <c r="G17" s="5"/>
    </row>
    <row r="18" spans="1:7" x14ac:dyDescent="0.2">
      <c r="D18" s="9"/>
      <c r="F18" s="7"/>
      <c r="G18" s="5"/>
    </row>
    <row r="19" spans="1:7" x14ac:dyDescent="0.2">
      <c r="D19" s="9"/>
      <c r="F19" s="7"/>
      <c r="G19" s="5"/>
    </row>
    <row r="20" spans="1:7" x14ac:dyDescent="0.2">
      <c r="D20" s="9"/>
      <c r="F20" s="7"/>
      <c r="G20" s="5"/>
    </row>
    <row r="21" spans="1:7" x14ac:dyDescent="0.2">
      <c r="D21" s="9"/>
      <c r="F21" s="7"/>
      <c r="G21" s="5"/>
    </row>
    <row r="22" spans="1:7" x14ac:dyDescent="0.2">
      <c r="D22" s="9"/>
      <c r="F22" s="7"/>
      <c r="G22" s="5"/>
    </row>
    <row r="23" spans="1:7" x14ac:dyDescent="0.2">
      <c r="A23" t="s">
        <v>42</v>
      </c>
      <c r="D23" s="9"/>
      <c r="F23" s="7"/>
      <c r="G23" s="5"/>
    </row>
    <row r="24" spans="1:7" x14ac:dyDescent="0.2">
      <c r="A24" s="32" t="s">
        <v>39</v>
      </c>
      <c r="B24" t="s">
        <v>40</v>
      </c>
      <c r="F24" s="7"/>
      <c r="G24" s="5"/>
    </row>
    <row r="25" spans="1:7" x14ac:dyDescent="0.2">
      <c r="A25" s="32" t="s">
        <v>43</v>
      </c>
      <c r="B25" t="s">
        <v>41</v>
      </c>
      <c r="D25" s="9"/>
      <c r="F25" s="7"/>
      <c r="G25" s="5"/>
    </row>
    <row r="26" spans="1:7" x14ac:dyDescent="0.2">
      <c r="A26" s="32" t="s">
        <v>44</v>
      </c>
      <c r="B26" s="33" t="s">
        <v>45</v>
      </c>
      <c r="D26" s="9"/>
      <c r="F26" s="7"/>
      <c r="G26" s="5"/>
    </row>
    <row r="27" spans="1:7" x14ac:dyDescent="0.2">
      <c r="D27" s="9"/>
      <c r="G27" s="5"/>
    </row>
    <row r="28" spans="1:7" x14ac:dyDescent="0.2">
      <c r="D28" s="9"/>
      <c r="G28" s="5"/>
    </row>
    <row r="29" spans="1:7" x14ac:dyDescent="0.2">
      <c r="D29" s="9"/>
      <c r="G29" s="5"/>
    </row>
    <row r="30" spans="1:7" x14ac:dyDescent="0.2">
      <c r="A30" s="11"/>
    </row>
  </sheetData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8"/>
  <sheetViews>
    <sheetView showGridLines="0" workbookViewId="0">
      <selection activeCell="B17" sqref="B17"/>
    </sheetView>
  </sheetViews>
  <sheetFormatPr defaultRowHeight="12.75" x14ac:dyDescent="0.2"/>
  <cols>
    <col min="1" max="1" width="12.28515625" customWidth="1"/>
    <col min="2" max="2" width="11.7109375" customWidth="1"/>
    <col min="3" max="3" width="13" customWidth="1"/>
    <col min="6" max="6" width="12.5703125" customWidth="1"/>
    <col min="7" max="7" width="9.85546875" customWidth="1"/>
    <col min="8" max="8" width="11.140625" customWidth="1"/>
    <col min="9" max="9" width="11.42578125" customWidth="1"/>
  </cols>
  <sheetData>
    <row r="1" spans="1:9" x14ac:dyDescent="0.2">
      <c r="A1" s="48" t="s">
        <v>46</v>
      </c>
    </row>
    <row r="2" spans="1:9" ht="13.5" thickBot="1" x14ac:dyDescent="0.25"/>
    <row r="3" spans="1:9" x14ac:dyDescent="0.2">
      <c r="A3" s="4" t="s">
        <v>0</v>
      </c>
      <c r="B3" s="4"/>
    </row>
    <row r="4" spans="1:9" x14ac:dyDescent="0.2">
      <c r="A4" s="1" t="s">
        <v>1</v>
      </c>
      <c r="B4" s="1">
        <v>0.95806523657865916</v>
      </c>
    </row>
    <row r="5" spans="1:9" x14ac:dyDescent="0.2">
      <c r="A5" s="1" t="s">
        <v>2</v>
      </c>
      <c r="B5" s="1">
        <v>0.91788899754052211</v>
      </c>
    </row>
    <row r="6" spans="1:9" x14ac:dyDescent="0.2">
      <c r="A6" s="1" t="s">
        <v>3</v>
      </c>
      <c r="B6" s="1">
        <v>0.90420383046394248</v>
      </c>
    </row>
    <row r="7" spans="1:9" x14ac:dyDescent="0.2">
      <c r="A7" s="1" t="s">
        <v>4</v>
      </c>
      <c r="B7" s="1">
        <v>414.50331244966674</v>
      </c>
    </row>
    <row r="8" spans="1:9" ht="13.5" thickBot="1" x14ac:dyDescent="0.25">
      <c r="A8" s="2" t="s">
        <v>5</v>
      </c>
      <c r="B8" s="2">
        <v>8</v>
      </c>
    </row>
    <row r="10" spans="1:9" ht="13.5" thickBot="1" x14ac:dyDescent="0.25">
      <c r="A10" t="s">
        <v>6</v>
      </c>
    </row>
    <row r="11" spans="1:9" x14ac:dyDescent="0.2">
      <c r="A11" s="3"/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</row>
    <row r="12" spans="1:9" x14ac:dyDescent="0.2">
      <c r="A12" s="1" t="s">
        <v>7</v>
      </c>
      <c r="B12" s="1">
        <v>1</v>
      </c>
      <c r="C12" s="1">
        <v>11523809.523809524</v>
      </c>
      <c r="D12" s="1">
        <v>11523809.523809524</v>
      </c>
      <c r="E12" s="1">
        <v>67.071815229159157</v>
      </c>
      <c r="F12" s="1">
        <v>1.7860862469554794E-4</v>
      </c>
    </row>
    <row r="13" spans="1:9" x14ac:dyDescent="0.2">
      <c r="A13" s="1" t="s">
        <v>8</v>
      </c>
      <c r="B13" s="1">
        <v>6</v>
      </c>
      <c r="C13" s="1">
        <v>1030877.9761904762</v>
      </c>
      <c r="D13" s="1">
        <v>171812.99603174604</v>
      </c>
      <c r="E13" s="1"/>
      <c r="F13" s="1"/>
    </row>
    <row r="14" spans="1:9" ht="13.5" thickBot="1" x14ac:dyDescent="0.25">
      <c r="A14" s="2" t="s">
        <v>9</v>
      </c>
      <c r="B14" s="2">
        <v>7</v>
      </c>
      <c r="C14" s="2">
        <v>12554687.5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16</v>
      </c>
      <c r="C16" s="3" t="s">
        <v>4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">
      <c r="A17" s="1" t="s">
        <v>10</v>
      </c>
      <c r="B17" s="34">
        <v>18438.988095238074</v>
      </c>
      <c r="C17" s="1">
        <v>440.80870787753844</v>
      </c>
      <c r="D17" s="1">
        <v>41.829908905430763</v>
      </c>
      <c r="E17" s="1">
        <v>1.2487616471728868E-8</v>
      </c>
      <c r="F17" s="1">
        <v>17360.367255038629</v>
      </c>
      <c r="G17" s="1">
        <v>19517.608935437518</v>
      </c>
      <c r="H17" s="1">
        <v>17360.367255038629</v>
      </c>
      <c r="I17" s="1">
        <v>19517.608935437518</v>
      </c>
    </row>
    <row r="18" spans="1:9" ht="13.5" thickBot="1" x14ac:dyDescent="0.25">
      <c r="A18" s="2" t="s">
        <v>23</v>
      </c>
      <c r="B18" s="35">
        <v>523.80952380952647</v>
      </c>
      <c r="C18" s="2">
        <v>63.959249681367233</v>
      </c>
      <c r="D18" s="2">
        <v>8.18973841030102</v>
      </c>
      <c r="E18" s="2">
        <v>1.7860862469554271E-4</v>
      </c>
      <c r="F18" s="2">
        <v>367.30676332184578</v>
      </c>
      <c r="G18" s="2">
        <v>680.31228429720716</v>
      </c>
      <c r="H18" s="2">
        <v>367.30676332184578</v>
      </c>
      <c r="I18" s="2">
        <v>680.31228429720716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9"/>
  <sheetViews>
    <sheetView showGridLines="0" zoomScaleNormal="100" workbookViewId="0">
      <selection activeCell="D2" sqref="D2"/>
    </sheetView>
  </sheetViews>
  <sheetFormatPr defaultRowHeight="12.75" x14ac:dyDescent="0.2"/>
  <cols>
    <col min="2" max="2" width="8.7109375" customWidth="1"/>
    <col min="3" max="3" width="12.7109375" customWidth="1"/>
    <col min="4" max="4" width="15.140625" customWidth="1"/>
    <col min="5" max="5" width="15.5703125" customWidth="1"/>
    <col min="6" max="6" width="11.5703125" customWidth="1"/>
    <col min="7" max="7" width="9.7109375" customWidth="1"/>
    <col min="8" max="8" width="7.140625" customWidth="1"/>
  </cols>
  <sheetData>
    <row r="1" spans="1:9" s="12" customFormat="1" ht="42.75" customHeight="1" thickBot="1" x14ac:dyDescent="0.35">
      <c r="A1" s="41" t="s">
        <v>48</v>
      </c>
      <c r="B1" s="41" t="s">
        <v>47</v>
      </c>
      <c r="C1" s="42" t="s">
        <v>92</v>
      </c>
      <c r="D1" s="42" t="s">
        <v>101</v>
      </c>
      <c r="E1" s="43" t="s">
        <v>102</v>
      </c>
      <c r="F1" s="136" t="s">
        <v>88</v>
      </c>
      <c r="G1" s="129" t="s">
        <v>89</v>
      </c>
    </row>
    <row r="2" spans="1:9" x14ac:dyDescent="0.2">
      <c r="A2" s="22">
        <v>1</v>
      </c>
      <c r="B2" s="29">
        <v>8000</v>
      </c>
      <c r="C2" s="29">
        <f t="shared" ref="C2:C13" si="0">18439+524*A2</f>
        <v>18963</v>
      </c>
      <c r="D2" s="39">
        <f t="shared" ref="D2:D13" si="1">B2/C2</f>
        <v>0.42187417602699995</v>
      </c>
      <c r="E2" s="124">
        <f>ROUND((D2+D6+D10)/3,2)</f>
        <v>0.47</v>
      </c>
      <c r="F2" s="133">
        <f>C2*$E$2</f>
        <v>8912.6099999999988</v>
      </c>
      <c r="G2" s="130">
        <f>F2-B2</f>
        <v>912.60999999999876</v>
      </c>
      <c r="I2" s="8"/>
    </row>
    <row r="3" spans="1:9" x14ac:dyDescent="0.2">
      <c r="A3" s="15">
        <v>2</v>
      </c>
      <c r="B3" s="25">
        <v>13000</v>
      </c>
      <c r="C3" s="25">
        <f t="shared" si="0"/>
        <v>19487</v>
      </c>
      <c r="D3" s="37">
        <f t="shared" si="1"/>
        <v>0.66711140760507004</v>
      </c>
      <c r="E3" s="125">
        <f>ROUND((D3+D7+D11)/3,2)</f>
        <v>0.68</v>
      </c>
      <c r="F3" s="134">
        <f>C3*$E$3</f>
        <v>13251.160000000002</v>
      </c>
      <c r="G3" s="131">
        <f t="shared" ref="G3:G13" si="2">F3-B3</f>
        <v>251.16000000000167</v>
      </c>
      <c r="I3" s="8"/>
    </row>
    <row r="4" spans="1:9" x14ac:dyDescent="0.2">
      <c r="A4" s="15">
        <v>3</v>
      </c>
      <c r="B4" s="25">
        <v>23000</v>
      </c>
      <c r="C4" s="25">
        <f t="shared" si="0"/>
        <v>20011</v>
      </c>
      <c r="D4" s="37">
        <f t="shared" si="1"/>
        <v>1.1493678476837739</v>
      </c>
      <c r="E4" s="125">
        <f>ROUND((D4+D8+D12)/3,2)</f>
        <v>1.17</v>
      </c>
      <c r="F4" s="134">
        <f>C4*$E$4</f>
        <v>23412.87</v>
      </c>
      <c r="G4" s="131">
        <f t="shared" si="2"/>
        <v>412.86999999999898</v>
      </c>
      <c r="I4" s="8"/>
    </row>
    <row r="5" spans="1:9" x14ac:dyDescent="0.2">
      <c r="A5" s="15">
        <v>4</v>
      </c>
      <c r="B5" s="25">
        <v>34000</v>
      </c>
      <c r="C5" s="25">
        <f t="shared" si="0"/>
        <v>20535</v>
      </c>
      <c r="D5" s="37">
        <f t="shared" si="1"/>
        <v>1.6557097638178719</v>
      </c>
      <c r="E5" s="125">
        <f>ROUNDUP((D5+D9+D13)/3,2)</f>
        <v>1.67</v>
      </c>
      <c r="F5" s="134">
        <f>C5*$E$5</f>
        <v>34293.449999999997</v>
      </c>
      <c r="G5" s="131">
        <f t="shared" si="2"/>
        <v>293.44999999999709</v>
      </c>
      <c r="I5" s="8"/>
    </row>
    <row r="6" spans="1:9" x14ac:dyDescent="0.2">
      <c r="A6" s="15">
        <v>5</v>
      </c>
      <c r="B6" s="25">
        <v>10000</v>
      </c>
      <c r="C6" s="25">
        <f t="shared" si="0"/>
        <v>21059</v>
      </c>
      <c r="D6" s="37">
        <f t="shared" si="1"/>
        <v>0.47485635595232445</v>
      </c>
      <c r="E6" s="126"/>
      <c r="F6" s="134">
        <f>C6*$E$2</f>
        <v>9897.73</v>
      </c>
      <c r="G6" s="131">
        <f t="shared" si="2"/>
        <v>-102.27000000000044</v>
      </c>
      <c r="I6" s="8"/>
    </row>
    <row r="7" spans="1:9" x14ac:dyDescent="0.2">
      <c r="A7" s="15">
        <v>6</v>
      </c>
      <c r="B7" s="25">
        <v>18000</v>
      </c>
      <c r="C7" s="25">
        <f t="shared" si="0"/>
        <v>21583</v>
      </c>
      <c r="D7" s="37">
        <f t="shared" si="1"/>
        <v>0.83398971412685907</v>
      </c>
      <c r="E7" s="126"/>
      <c r="F7" s="134">
        <f>C7*$E$3</f>
        <v>14676.44</v>
      </c>
      <c r="G7" s="131">
        <f t="shared" si="2"/>
        <v>-3323.5599999999995</v>
      </c>
      <c r="I7" s="8"/>
    </row>
    <row r="8" spans="1:9" x14ac:dyDescent="0.2">
      <c r="A8" s="15">
        <v>7</v>
      </c>
      <c r="B8" s="25">
        <v>23000</v>
      </c>
      <c r="C8" s="25">
        <f t="shared" si="0"/>
        <v>22107</v>
      </c>
      <c r="D8" s="37">
        <f t="shared" si="1"/>
        <v>1.0403944451983536</v>
      </c>
      <c r="E8" s="126"/>
      <c r="F8" s="134">
        <f>C8*$E$4</f>
        <v>25865.19</v>
      </c>
      <c r="G8" s="131">
        <f t="shared" si="2"/>
        <v>2865.1899999999987</v>
      </c>
      <c r="I8" s="8"/>
    </row>
    <row r="9" spans="1:9" x14ac:dyDescent="0.2">
      <c r="A9" s="15">
        <v>8</v>
      </c>
      <c r="B9" s="25">
        <v>38000</v>
      </c>
      <c r="C9" s="25">
        <f t="shared" si="0"/>
        <v>22631</v>
      </c>
      <c r="D9" s="37">
        <f t="shared" si="1"/>
        <v>1.6791127214882242</v>
      </c>
      <c r="E9" s="126"/>
      <c r="F9" s="134">
        <f>C9*$E$5</f>
        <v>37793.769999999997</v>
      </c>
      <c r="G9" s="131">
        <f t="shared" si="2"/>
        <v>-206.2300000000032</v>
      </c>
      <c r="I9" s="8"/>
    </row>
    <row r="10" spans="1:9" x14ac:dyDescent="0.2">
      <c r="A10" s="15">
        <v>9</v>
      </c>
      <c r="B10" s="25">
        <v>12000</v>
      </c>
      <c r="C10" s="25">
        <f t="shared" si="0"/>
        <v>23155</v>
      </c>
      <c r="D10" s="37">
        <f t="shared" si="1"/>
        <v>0.51824659900669401</v>
      </c>
      <c r="E10" s="126"/>
      <c r="F10" s="134">
        <f>C10*$E$2</f>
        <v>10882.849999999999</v>
      </c>
      <c r="G10" s="131">
        <f t="shared" si="2"/>
        <v>-1117.1500000000015</v>
      </c>
      <c r="I10" s="8"/>
    </row>
    <row r="11" spans="1:9" x14ac:dyDescent="0.2">
      <c r="A11" s="15">
        <v>10</v>
      </c>
      <c r="B11" s="25">
        <v>13000</v>
      </c>
      <c r="C11" s="25">
        <f t="shared" si="0"/>
        <v>23679</v>
      </c>
      <c r="D11" s="37">
        <f t="shared" si="1"/>
        <v>0.54900967101651255</v>
      </c>
      <c r="E11" s="126"/>
      <c r="F11" s="134">
        <f>C11*$E$3</f>
        <v>16101.720000000001</v>
      </c>
      <c r="G11" s="131">
        <f t="shared" si="2"/>
        <v>3101.7200000000012</v>
      </c>
      <c r="I11" s="8"/>
    </row>
    <row r="12" spans="1:9" x14ac:dyDescent="0.2">
      <c r="A12" s="15">
        <v>11</v>
      </c>
      <c r="B12" s="25">
        <v>32000</v>
      </c>
      <c r="C12" s="25">
        <f t="shared" si="0"/>
        <v>24203</v>
      </c>
      <c r="D12" s="37">
        <f t="shared" si="1"/>
        <v>1.3221501466760319</v>
      </c>
      <c r="E12" s="127"/>
      <c r="F12" s="134">
        <f>C12*$E$4</f>
        <v>28317.51</v>
      </c>
      <c r="G12" s="131">
        <f t="shared" si="2"/>
        <v>-3682.4900000000016</v>
      </c>
      <c r="I12" s="8"/>
    </row>
    <row r="13" spans="1:9" ht="13.5" thickBot="1" x14ac:dyDescent="0.25">
      <c r="A13" s="19">
        <v>12</v>
      </c>
      <c r="B13" s="27">
        <v>41000</v>
      </c>
      <c r="C13" s="27">
        <f t="shared" si="0"/>
        <v>24727</v>
      </c>
      <c r="D13" s="47">
        <f t="shared" si="1"/>
        <v>1.6581065232337122</v>
      </c>
      <c r="E13" s="128"/>
      <c r="F13" s="135">
        <f>C13*$E$5</f>
        <v>41294.089999999997</v>
      </c>
      <c r="G13" s="132">
        <f t="shared" si="2"/>
        <v>294.08999999999651</v>
      </c>
      <c r="I13" s="8"/>
    </row>
    <row r="14" spans="1:9" ht="13.5" thickBot="1" x14ac:dyDescent="0.25">
      <c r="C14" s="9"/>
      <c r="E14" s="7"/>
    </row>
    <row r="15" spans="1:9" ht="13.5" thickBot="1" x14ac:dyDescent="0.25">
      <c r="A15" s="162" t="s">
        <v>49</v>
      </c>
      <c r="B15" s="163"/>
      <c r="C15" s="164"/>
    </row>
    <row r="16" spans="1:9" ht="38.25" customHeight="1" x14ac:dyDescent="0.2">
      <c r="A16" s="49" t="s">
        <v>38</v>
      </c>
      <c r="B16" s="54" t="s">
        <v>51</v>
      </c>
      <c r="C16" s="50" t="s">
        <v>50</v>
      </c>
    </row>
    <row r="17" spans="1:3" x14ac:dyDescent="0.2">
      <c r="A17" s="55" t="s">
        <v>97</v>
      </c>
      <c r="B17" s="56">
        <v>13</v>
      </c>
      <c r="C17" s="51">
        <f>((18439+(524*B17)))*E2</f>
        <v>11867.97</v>
      </c>
    </row>
    <row r="18" spans="1:3" x14ac:dyDescent="0.2">
      <c r="A18" s="55" t="s">
        <v>98</v>
      </c>
      <c r="B18" s="56">
        <v>14</v>
      </c>
      <c r="C18" s="51">
        <f>((18439+(524*B18)))*E3</f>
        <v>17527</v>
      </c>
    </row>
    <row r="19" spans="1:3" x14ac:dyDescent="0.2">
      <c r="A19" s="55" t="s">
        <v>99</v>
      </c>
      <c r="B19" s="56">
        <v>15</v>
      </c>
      <c r="C19" s="51">
        <f>((18439+(524*B19)))*E4</f>
        <v>30769.829999999998</v>
      </c>
    </row>
    <row r="20" spans="1:3" ht="13.5" thickBot="1" x14ac:dyDescent="0.25">
      <c r="A20" s="57" t="s">
        <v>100</v>
      </c>
      <c r="B20" s="58">
        <v>16</v>
      </c>
      <c r="C20" s="53">
        <f>((18439+(524*B20)))*E5</f>
        <v>44794.409999999996</v>
      </c>
    </row>
    <row r="21" spans="1:3" x14ac:dyDescent="0.2">
      <c r="B21" s="13"/>
    </row>
    <row r="22" spans="1:3" x14ac:dyDescent="0.2">
      <c r="B22" s="13"/>
    </row>
    <row r="29" spans="1:3" x14ac:dyDescent="0.2">
      <c r="A29" s="11"/>
    </row>
  </sheetData>
  <mergeCells count="1">
    <mergeCell ref="A15:C15"/>
  </mergeCells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8194" r:id="rId4">
          <objectPr defaultSize="0" autoPict="0" r:id="rId5">
            <anchor moveWithCells="1" sizeWithCells="1">
              <from>
                <xdr:col>2</xdr:col>
                <xdr:colOff>647700</xdr:colOff>
                <xdr:row>0</xdr:row>
                <xdr:rowOff>228600</xdr:rowOff>
              </from>
              <to>
                <xdr:col>2</xdr:col>
                <xdr:colOff>838200</xdr:colOff>
                <xdr:row>0</xdr:row>
                <xdr:rowOff>457200</xdr:rowOff>
              </to>
            </anchor>
          </objectPr>
        </oleObject>
      </mc:Choice>
      <mc:Fallback>
        <oleObject progId="Equation.3" shapeId="8194" r:id="rId4"/>
      </mc:Fallback>
    </mc:AlternateContent>
    <mc:AlternateContent xmlns:mc="http://schemas.openxmlformats.org/markup-compatibility/2006">
      <mc:Choice Requires="x14">
        <oleObject progId="Equation.3" shapeId="8195" r:id="rId6">
          <objectPr defaultSize="0" autoPict="0" r:id="rId7">
            <anchor moveWithCells="1" sizeWithCells="1">
              <from>
                <xdr:col>3</xdr:col>
                <xdr:colOff>657225</xdr:colOff>
                <xdr:row>0</xdr:row>
                <xdr:rowOff>295275</xdr:rowOff>
              </from>
              <to>
                <xdr:col>3</xdr:col>
                <xdr:colOff>819150</xdr:colOff>
                <xdr:row>0</xdr:row>
                <xdr:rowOff>523875</xdr:rowOff>
              </to>
            </anchor>
          </objectPr>
        </oleObject>
      </mc:Choice>
      <mc:Fallback>
        <oleObject progId="Equation.3" shapeId="8195" r:id="rId6"/>
      </mc:Fallback>
    </mc:AlternateContent>
    <mc:AlternateContent xmlns:mc="http://schemas.openxmlformats.org/markup-compatibility/2006">
      <mc:Choice Requires="x14">
        <oleObject progId="Equation.3" shapeId="8199" r:id="rId8">
          <objectPr defaultSize="0" autoPict="0" r:id="rId9">
            <anchor moveWithCells="1" sizeWithCells="1">
              <from>
                <xdr:col>4</xdr:col>
                <xdr:colOff>581025</xdr:colOff>
                <xdr:row>0</xdr:row>
                <xdr:rowOff>247650</xdr:rowOff>
              </from>
              <to>
                <xdr:col>4</xdr:col>
                <xdr:colOff>742950</xdr:colOff>
                <xdr:row>0</xdr:row>
                <xdr:rowOff>476250</xdr:rowOff>
              </to>
            </anchor>
          </objectPr>
        </oleObject>
      </mc:Choice>
      <mc:Fallback>
        <oleObject progId="Equation.3" shapeId="8199" r:id="rId8"/>
      </mc:Fallback>
    </mc:AlternateContent>
    <mc:AlternateContent xmlns:mc="http://schemas.openxmlformats.org/markup-compatibility/2006">
      <mc:Choice Requires="x14">
        <oleObject progId="Equation.3" shapeId="8200" r:id="rId10">
          <objectPr defaultSize="0" autoPict="0" r:id="rId11">
            <anchor moveWithCells="1" sizeWithCells="1">
              <from>
                <xdr:col>2</xdr:col>
                <xdr:colOff>247650</xdr:colOff>
                <xdr:row>15</xdr:row>
                <xdr:rowOff>276225</xdr:rowOff>
              </from>
              <to>
                <xdr:col>2</xdr:col>
                <xdr:colOff>504825</xdr:colOff>
                <xdr:row>16</xdr:row>
                <xdr:rowOff>19050</xdr:rowOff>
              </to>
            </anchor>
          </objectPr>
        </oleObject>
      </mc:Choice>
      <mc:Fallback>
        <oleObject progId="Equation.3" shapeId="820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5" sqref="B15"/>
    </sheetView>
  </sheetViews>
  <sheetFormatPr defaultRowHeight="12.75" x14ac:dyDescent="0.2"/>
  <sheetData>
    <row r="1" spans="1:8" ht="33.75" thickBot="1" x14ac:dyDescent="0.4">
      <c r="A1" s="140" t="s">
        <v>108</v>
      </c>
      <c r="B1" s="141" t="s">
        <v>109</v>
      </c>
      <c r="C1" s="141" t="s">
        <v>110</v>
      </c>
      <c r="D1" s="141" t="s">
        <v>111</v>
      </c>
      <c r="E1" s="141" t="s">
        <v>112</v>
      </c>
      <c r="F1" s="141" t="s">
        <v>113</v>
      </c>
      <c r="G1" s="141" t="s">
        <v>114</v>
      </c>
      <c r="H1" s="142" t="s">
        <v>25</v>
      </c>
    </row>
    <row r="2" spans="1:8" x14ac:dyDescent="0.2">
      <c r="A2" s="102">
        <v>0</v>
      </c>
      <c r="B2" s="143"/>
      <c r="C2" s="143">
        <v>2017.9</v>
      </c>
      <c r="D2" s="143"/>
      <c r="E2" s="143"/>
      <c r="F2" s="143"/>
      <c r="G2" s="143"/>
      <c r="H2" s="144"/>
    </row>
    <row r="3" spans="1:8" x14ac:dyDescent="0.2">
      <c r="A3" s="16">
        <v>1</v>
      </c>
      <c r="B3" s="15">
        <v>2024</v>
      </c>
      <c r="C3" s="145">
        <f t="shared" ref="C3:C12" si="0">(1-$B$14)*C2+$B$14*B3</f>
        <v>2019.8495550699295</v>
      </c>
      <c r="D3" s="145">
        <f>C2</f>
        <v>2017.9</v>
      </c>
      <c r="E3" s="145">
        <f>D3-B3</f>
        <v>-6.0999999999999091</v>
      </c>
      <c r="F3" s="146">
        <f>E3^2</f>
        <v>37.209999999998892</v>
      </c>
      <c r="G3" s="145">
        <f>ABS(E3)</f>
        <v>6.0999999999999091</v>
      </c>
      <c r="H3" s="147">
        <f>G3/B3</f>
        <v>3.0138339920948169E-3</v>
      </c>
    </row>
    <row r="4" spans="1:8" x14ac:dyDescent="0.2">
      <c r="A4" s="16">
        <v>2</v>
      </c>
      <c r="B4" s="15">
        <v>2076</v>
      </c>
      <c r="C4" s="145">
        <f t="shared" si="0"/>
        <v>2037.7951918883236</v>
      </c>
      <c r="D4" s="145">
        <f>C3</f>
        <v>2019.8495550699295</v>
      </c>
      <c r="E4" s="145">
        <f t="shared" ref="E4:E12" si="1">D4-B4</f>
        <v>-56.150444930070535</v>
      </c>
      <c r="F4" s="146">
        <f t="shared" ref="F4:F12" si="2">E4^2</f>
        <v>3152.8724658448837</v>
      </c>
      <c r="G4" s="145">
        <f t="shared" ref="G4:G12" si="3">ABS(E4)</f>
        <v>56.150444930070535</v>
      </c>
      <c r="H4" s="147">
        <f t="shared" ref="H4:H12" si="4">G4/B4</f>
        <v>2.70474204865465E-2</v>
      </c>
    </row>
    <row r="5" spans="1:8" x14ac:dyDescent="0.2">
      <c r="A5" s="16">
        <v>3</v>
      </c>
      <c r="B5" s="15">
        <v>1992</v>
      </c>
      <c r="C5" s="145">
        <f t="shared" si="0"/>
        <v>2023.1590855728705</v>
      </c>
      <c r="D5" s="145">
        <f t="shared" ref="D5:D12" si="5">C4</f>
        <v>2037.7951918883236</v>
      </c>
      <c r="E5" s="145">
        <f t="shared" si="1"/>
        <v>45.795191888323643</v>
      </c>
      <c r="F5" s="146">
        <f t="shared" si="2"/>
        <v>2097.1996000883837</v>
      </c>
      <c r="G5" s="145">
        <f t="shared" si="3"/>
        <v>45.795191888323643</v>
      </c>
      <c r="H5" s="147">
        <f t="shared" si="4"/>
        <v>2.2989554160805042E-2</v>
      </c>
    </row>
    <row r="6" spans="1:8" x14ac:dyDescent="0.2">
      <c r="A6" s="16">
        <v>4</v>
      </c>
      <c r="B6" s="15">
        <v>2075</v>
      </c>
      <c r="C6" s="145">
        <f t="shared" si="0"/>
        <v>2039.7273999255228</v>
      </c>
      <c r="D6" s="145">
        <f t="shared" si="5"/>
        <v>2023.1590855728705</v>
      </c>
      <c r="E6" s="145">
        <f t="shared" si="1"/>
        <v>-51.840914427129519</v>
      </c>
      <c r="F6" s="146">
        <f t="shared" si="2"/>
        <v>2687.4804086409654</v>
      </c>
      <c r="G6" s="145">
        <f t="shared" si="3"/>
        <v>51.840914427129519</v>
      </c>
      <c r="H6" s="147">
        <f t="shared" si="4"/>
        <v>2.4983573217893743E-2</v>
      </c>
    </row>
    <row r="7" spans="1:8" x14ac:dyDescent="0.2">
      <c r="A7" s="16">
        <v>5</v>
      </c>
      <c r="B7" s="15">
        <v>2070</v>
      </c>
      <c r="C7" s="145">
        <f t="shared" si="0"/>
        <v>2049.4024984427588</v>
      </c>
      <c r="D7" s="145">
        <f t="shared" si="5"/>
        <v>2039.7273999255228</v>
      </c>
      <c r="E7" s="145">
        <f t="shared" si="1"/>
        <v>-30.272600074477168</v>
      </c>
      <c r="F7" s="146">
        <f t="shared" si="2"/>
        <v>916.43031526923505</v>
      </c>
      <c r="G7" s="145">
        <f t="shared" si="3"/>
        <v>30.272600074477168</v>
      </c>
      <c r="H7" s="147">
        <f t="shared" si="4"/>
        <v>1.4624444480423753E-2</v>
      </c>
    </row>
    <row r="8" spans="1:8" x14ac:dyDescent="0.2">
      <c r="A8" s="16">
        <v>6</v>
      </c>
      <c r="B8" s="15">
        <v>2046</v>
      </c>
      <c r="C8" s="145">
        <f t="shared" si="0"/>
        <v>2048.3150626903807</v>
      </c>
      <c r="D8" s="145">
        <f t="shared" si="5"/>
        <v>2049.4024984427588</v>
      </c>
      <c r="E8" s="145">
        <f t="shared" si="1"/>
        <v>3.4024984427587697</v>
      </c>
      <c r="F8" s="146">
        <f t="shared" si="2"/>
        <v>11.576995652975853</v>
      </c>
      <c r="G8" s="145">
        <f t="shared" si="3"/>
        <v>3.4024984427587697</v>
      </c>
      <c r="H8" s="147">
        <f t="shared" si="4"/>
        <v>1.6630002164021358E-3</v>
      </c>
    </row>
    <row r="9" spans="1:8" x14ac:dyDescent="0.2">
      <c r="A9" s="16">
        <v>7</v>
      </c>
      <c r="B9" s="15">
        <v>2027</v>
      </c>
      <c r="C9" s="145">
        <f t="shared" si="0"/>
        <v>2041.5027858815461</v>
      </c>
      <c r="D9" s="145">
        <f t="shared" si="5"/>
        <v>2048.3150626903807</v>
      </c>
      <c r="E9" s="145">
        <f t="shared" si="1"/>
        <v>21.315062690380728</v>
      </c>
      <c r="F9" s="146">
        <f t="shared" si="2"/>
        <v>454.33189749486053</v>
      </c>
      <c r="G9" s="145">
        <f t="shared" si="3"/>
        <v>21.315062690380728</v>
      </c>
      <c r="H9" s="147">
        <f t="shared" si="4"/>
        <v>1.0515571134869624E-2</v>
      </c>
    </row>
    <row r="10" spans="1:8" x14ac:dyDescent="0.2">
      <c r="A10" s="16">
        <v>8</v>
      </c>
      <c r="B10" s="15">
        <v>1972</v>
      </c>
      <c r="C10" s="145">
        <f t="shared" si="0"/>
        <v>2019.2897516865337</v>
      </c>
      <c r="D10" s="145">
        <f t="shared" si="5"/>
        <v>2041.5027858815461</v>
      </c>
      <c r="E10" s="145">
        <f t="shared" si="1"/>
        <v>69.50278588154606</v>
      </c>
      <c r="F10" s="146">
        <f t="shared" si="2"/>
        <v>4830.6372452960386</v>
      </c>
      <c r="G10" s="145">
        <f t="shared" si="3"/>
        <v>69.50278588154606</v>
      </c>
      <c r="H10" s="147">
        <f t="shared" si="4"/>
        <v>3.5244820426747495E-2</v>
      </c>
    </row>
    <row r="11" spans="1:8" x14ac:dyDescent="0.2">
      <c r="A11" s="16">
        <v>9</v>
      </c>
      <c r="B11" s="15">
        <v>1912</v>
      </c>
      <c r="C11" s="145">
        <f t="shared" si="0"/>
        <v>1985.0000337599872</v>
      </c>
      <c r="D11" s="145">
        <f t="shared" si="5"/>
        <v>2019.2897516865337</v>
      </c>
      <c r="E11" s="145">
        <f t="shared" si="1"/>
        <v>107.28975168653369</v>
      </c>
      <c r="F11" s="146">
        <f t="shared" si="2"/>
        <v>11511.09081695806</v>
      </c>
      <c r="G11" s="145">
        <f t="shared" si="3"/>
        <v>107.28975168653369</v>
      </c>
      <c r="H11" s="147">
        <f t="shared" si="4"/>
        <v>5.611388686534189E-2</v>
      </c>
    </row>
    <row r="12" spans="1:8" ht="13.5" thickBot="1" x14ac:dyDescent="0.25">
      <c r="A12" s="18">
        <v>10</v>
      </c>
      <c r="B12" s="19">
        <v>1985</v>
      </c>
      <c r="C12" s="148">
        <f t="shared" si="0"/>
        <v>1985.0000229703228</v>
      </c>
      <c r="D12" s="148">
        <f t="shared" si="5"/>
        <v>1985.0000337599872</v>
      </c>
      <c r="E12" s="148">
        <f t="shared" si="1"/>
        <v>3.3759987218218157E-5</v>
      </c>
      <c r="F12" s="149">
        <f t="shared" si="2"/>
        <v>1.1397367369742533E-9</v>
      </c>
      <c r="G12" s="148">
        <f t="shared" si="3"/>
        <v>3.3759987218218157E-5</v>
      </c>
      <c r="H12" s="150">
        <f t="shared" si="4"/>
        <v>1.7007550235878166E-8</v>
      </c>
    </row>
    <row r="13" spans="1:8" ht="13.5" thickBot="1" x14ac:dyDescent="0.25">
      <c r="A13" s="151"/>
      <c r="B13" s="151">
        <f>AVERAGE(B3:B12)</f>
        <v>2017.9</v>
      </c>
      <c r="C13" s="151"/>
      <c r="D13" s="151"/>
      <c r="E13" s="152">
        <f>SUM(E3:E12)</f>
        <v>102.94136491785298</v>
      </c>
      <c r="F13" s="153">
        <f t="shared" ref="F13:G13" si="6">AVERAGE(F3:F12)</f>
        <v>2569.8829745246539</v>
      </c>
      <c r="G13" s="154">
        <f t="shared" si="6"/>
        <v>39.166928378120723</v>
      </c>
      <c r="H13" s="155">
        <f>AVERAGE(H3:H12)</f>
        <v>1.9619612198867521E-2</v>
      </c>
    </row>
    <row r="14" spans="1:8" ht="15.75" thickTop="1" x14ac:dyDescent="0.25">
      <c r="A14" s="156" t="s">
        <v>115</v>
      </c>
      <c r="B14" s="157">
        <v>0.31959919179168189</v>
      </c>
      <c r="C14" s="10"/>
      <c r="D14" s="10"/>
      <c r="E14" s="10"/>
      <c r="F14" s="10"/>
      <c r="G14" s="10"/>
      <c r="H1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8"/>
  <sheetViews>
    <sheetView showGridLines="0" zoomScaleNormal="100" workbookViewId="0">
      <selection activeCell="E38" sqref="E38"/>
    </sheetView>
  </sheetViews>
  <sheetFormatPr defaultRowHeight="12.75" x14ac:dyDescent="0.2"/>
  <cols>
    <col min="1" max="1" width="6.85546875" customWidth="1"/>
    <col min="2" max="2" width="8.28515625" customWidth="1"/>
    <col min="3" max="3" width="8" bestFit="1" customWidth="1"/>
    <col min="4" max="4" width="8.85546875" customWidth="1"/>
    <col min="5" max="5" width="8.7109375" bestFit="1" customWidth="1"/>
    <col min="6" max="6" width="13" bestFit="1" customWidth="1"/>
    <col min="7" max="7" width="14.28515625" customWidth="1"/>
    <col min="8" max="8" width="6.85546875" bestFit="1" customWidth="1"/>
    <col min="9" max="9" width="7.42578125" bestFit="1" customWidth="1"/>
    <col min="10" max="10" width="6.85546875" customWidth="1"/>
    <col min="11" max="11" width="6.28515625" bestFit="1" customWidth="1"/>
  </cols>
  <sheetData>
    <row r="1" spans="1:12" ht="42.75" customHeight="1" thickBot="1" x14ac:dyDescent="0.3">
      <c r="A1" s="76" t="s">
        <v>60</v>
      </c>
      <c r="B1" s="77" t="s">
        <v>61</v>
      </c>
      <c r="C1" s="78" t="s">
        <v>62</v>
      </c>
      <c r="D1" s="78" t="s">
        <v>63</v>
      </c>
      <c r="E1" s="78" t="s">
        <v>64</v>
      </c>
      <c r="F1" s="78" t="s">
        <v>65</v>
      </c>
      <c r="G1" s="78" t="s">
        <v>66</v>
      </c>
      <c r="H1" s="79" t="s">
        <v>67</v>
      </c>
      <c r="I1" s="79" t="s">
        <v>25</v>
      </c>
      <c r="J1" s="79" t="s">
        <v>68</v>
      </c>
      <c r="K1" s="80" t="s">
        <v>69</v>
      </c>
      <c r="L1" s="48"/>
    </row>
    <row r="2" spans="1:12" x14ac:dyDescent="0.2">
      <c r="A2" s="63">
        <v>1</v>
      </c>
      <c r="B2" s="64">
        <v>8000</v>
      </c>
      <c r="C2" s="65"/>
      <c r="D2" s="65"/>
      <c r="E2" s="65"/>
      <c r="F2" s="65"/>
      <c r="G2" s="65"/>
      <c r="H2" s="65"/>
      <c r="I2" s="65"/>
      <c r="J2" s="65"/>
      <c r="K2" s="66"/>
    </row>
    <row r="3" spans="1:12" x14ac:dyDescent="0.2">
      <c r="A3" s="60">
        <v>2</v>
      </c>
      <c r="B3" s="67">
        <v>13000</v>
      </c>
      <c r="C3" s="68"/>
      <c r="D3" s="68"/>
      <c r="E3" s="68"/>
      <c r="F3" s="68"/>
      <c r="G3" s="68"/>
      <c r="H3" s="68"/>
      <c r="I3" s="68"/>
      <c r="J3" s="68"/>
      <c r="K3" s="69"/>
    </row>
    <row r="4" spans="1:12" x14ac:dyDescent="0.2">
      <c r="A4" s="60">
        <v>3</v>
      </c>
      <c r="B4" s="67">
        <v>23000</v>
      </c>
      <c r="C4" s="68"/>
      <c r="D4" s="68"/>
      <c r="E4" s="68"/>
      <c r="F4" s="68"/>
      <c r="G4" s="68"/>
      <c r="H4" s="68"/>
      <c r="I4" s="68"/>
      <c r="J4" s="68"/>
      <c r="K4" s="69"/>
    </row>
    <row r="5" spans="1:12" x14ac:dyDescent="0.2">
      <c r="A5" s="60">
        <v>4</v>
      </c>
      <c r="B5" s="67">
        <v>34000</v>
      </c>
      <c r="C5" s="68">
        <f>AVERAGE(B2:B5)</f>
        <v>19500</v>
      </c>
      <c r="D5" s="68"/>
      <c r="E5" s="68"/>
      <c r="F5" s="68"/>
      <c r="G5" s="68"/>
      <c r="H5" s="68"/>
      <c r="I5" s="68"/>
      <c r="J5" s="68"/>
      <c r="K5" s="69"/>
    </row>
    <row r="6" spans="1:12" x14ac:dyDescent="0.2">
      <c r="A6" s="60">
        <v>5</v>
      </c>
      <c r="B6" s="67">
        <v>10000</v>
      </c>
      <c r="C6" s="68">
        <f>AVERAGE(B3:B6)</f>
        <v>20000</v>
      </c>
      <c r="D6" s="68">
        <f>C5</f>
        <v>19500</v>
      </c>
      <c r="E6" s="68">
        <f>D6-B6</f>
        <v>9500</v>
      </c>
      <c r="F6" s="68">
        <f>ABS(E6)</f>
        <v>9500</v>
      </c>
      <c r="G6" s="68">
        <f>SUMSQ($F$6:F6)/(A6-4)</f>
        <v>90250000</v>
      </c>
      <c r="H6" s="68">
        <f>SUM($F$6:F6)/(A6-4)</f>
        <v>9500</v>
      </c>
      <c r="I6" s="70">
        <f>100*F6/B6</f>
        <v>95</v>
      </c>
      <c r="J6" s="68">
        <f>AVERAGE($I$6:I6)</f>
        <v>95</v>
      </c>
      <c r="K6" s="71">
        <f>SUM($E$6:E6)/H6</f>
        <v>1</v>
      </c>
    </row>
    <row r="7" spans="1:12" x14ac:dyDescent="0.2">
      <c r="A7" s="60">
        <v>6</v>
      </c>
      <c r="B7" s="67">
        <v>18000</v>
      </c>
      <c r="C7" s="68">
        <f t="shared" ref="C7:C13" si="0">AVERAGE(B4:B7)</f>
        <v>21250</v>
      </c>
      <c r="D7" s="68">
        <f t="shared" ref="D7:D13" si="1">C6</f>
        <v>20000</v>
      </c>
      <c r="E7" s="68">
        <f t="shared" ref="E7:E13" si="2">D7-B7</f>
        <v>2000</v>
      </c>
      <c r="F7" s="68">
        <f t="shared" ref="F7:F13" si="3">ABS(E7)</f>
        <v>2000</v>
      </c>
      <c r="G7" s="68">
        <f>SUMSQ($F$6:F7)/(A7-4)</f>
        <v>47125000</v>
      </c>
      <c r="H7" s="68">
        <f>SUM($F$6:F7)/(A7-4)</f>
        <v>5750</v>
      </c>
      <c r="I7" s="70">
        <f t="shared" ref="I7:I13" si="4">100*F7/B7</f>
        <v>11.111111111111111</v>
      </c>
      <c r="J7" s="68">
        <f>AVERAGE($I$6:I7)</f>
        <v>53.055555555555557</v>
      </c>
      <c r="K7" s="71">
        <f>SUM($E$6:E7)/H7</f>
        <v>2</v>
      </c>
    </row>
    <row r="8" spans="1:12" x14ac:dyDescent="0.2">
      <c r="A8" s="60">
        <v>7</v>
      </c>
      <c r="B8" s="67">
        <v>23000</v>
      </c>
      <c r="C8" s="68">
        <f t="shared" si="0"/>
        <v>21250</v>
      </c>
      <c r="D8" s="68">
        <f t="shared" si="1"/>
        <v>21250</v>
      </c>
      <c r="E8" s="68">
        <f t="shared" si="2"/>
        <v>-1750</v>
      </c>
      <c r="F8" s="68">
        <f t="shared" si="3"/>
        <v>1750</v>
      </c>
      <c r="G8" s="68">
        <f>SUMSQ($F$6:F8)/(A8-4)</f>
        <v>32437500</v>
      </c>
      <c r="H8" s="68">
        <f>SUM($F$6:F8)/(A8-4)</f>
        <v>4416.666666666667</v>
      </c>
      <c r="I8" s="70">
        <f t="shared" si="4"/>
        <v>7.6086956521739131</v>
      </c>
      <c r="J8" s="68">
        <f>AVERAGE($I$6:I8)</f>
        <v>37.906602254428343</v>
      </c>
      <c r="K8" s="71">
        <f>SUM($E$6:E8)/H8</f>
        <v>2.2075471698113205</v>
      </c>
    </row>
    <row r="9" spans="1:12" x14ac:dyDescent="0.2">
      <c r="A9" s="60">
        <v>8</v>
      </c>
      <c r="B9" s="67">
        <v>38000</v>
      </c>
      <c r="C9" s="68">
        <f t="shared" si="0"/>
        <v>22250</v>
      </c>
      <c r="D9" s="68">
        <f t="shared" si="1"/>
        <v>21250</v>
      </c>
      <c r="E9" s="68">
        <f t="shared" si="2"/>
        <v>-16750</v>
      </c>
      <c r="F9" s="68">
        <f t="shared" si="3"/>
        <v>16750</v>
      </c>
      <c r="G9" s="68">
        <f>SUMSQ($F$6:F9)/(A9-4)</f>
        <v>94468750</v>
      </c>
      <c r="H9" s="68">
        <f>SUM($F$6:F9)/(A9-4)</f>
        <v>7500</v>
      </c>
      <c r="I9" s="70">
        <f t="shared" si="4"/>
        <v>44.078947368421055</v>
      </c>
      <c r="J9" s="68">
        <f>AVERAGE($I$6:I9)</f>
        <v>39.449688532926515</v>
      </c>
      <c r="K9" s="71">
        <f>SUM($E$6:E9)/H9</f>
        <v>-0.93333333333333335</v>
      </c>
    </row>
    <row r="10" spans="1:12" x14ac:dyDescent="0.2">
      <c r="A10" s="60">
        <v>9</v>
      </c>
      <c r="B10" s="67">
        <v>12000</v>
      </c>
      <c r="C10" s="68">
        <f t="shared" si="0"/>
        <v>22750</v>
      </c>
      <c r="D10" s="68">
        <f t="shared" si="1"/>
        <v>22250</v>
      </c>
      <c r="E10" s="68">
        <f t="shared" si="2"/>
        <v>10250</v>
      </c>
      <c r="F10" s="68">
        <f t="shared" si="3"/>
        <v>10250</v>
      </c>
      <c r="G10" s="68">
        <f>SUMSQ($F$6:F10)/(A10-4)</f>
        <v>96587500</v>
      </c>
      <c r="H10" s="68">
        <f>SUM($F$6:F10)/(A10-4)</f>
        <v>8050</v>
      </c>
      <c r="I10" s="70">
        <f t="shared" si="4"/>
        <v>85.416666666666671</v>
      </c>
      <c r="J10" s="68">
        <f>AVERAGE($I$6:I10)</f>
        <v>48.643084159674551</v>
      </c>
      <c r="K10" s="71">
        <f>SUM($E$6:E10)/H10</f>
        <v>0.40372670807453415</v>
      </c>
    </row>
    <row r="11" spans="1:12" x14ac:dyDescent="0.2">
      <c r="A11" s="60">
        <v>10</v>
      </c>
      <c r="B11" s="67">
        <v>13000</v>
      </c>
      <c r="C11" s="68">
        <f t="shared" si="0"/>
        <v>21500</v>
      </c>
      <c r="D11" s="68">
        <f t="shared" si="1"/>
        <v>22750</v>
      </c>
      <c r="E11" s="68">
        <f t="shared" si="2"/>
        <v>9750</v>
      </c>
      <c r="F11" s="68">
        <f t="shared" si="3"/>
        <v>9750</v>
      </c>
      <c r="G11" s="68">
        <f>SUMSQ($F$6:F11)/(A11-4)</f>
        <v>96333333.333333328</v>
      </c>
      <c r="H11" s="68">
        <f>SUM($F$6:F11)/(A11-4)</f>
        <v>8333.3333333333339</v>
      </c>
      <c r="I11" s="70">
        <f t="shared" si="4"/>
        <v>75</v>
      </c>
      <c r="J11" s="68">
        <f>AVERAGE($I$6:I11)</f>
        <v>53.03590346639546</v>
      </c>
      <c r="K11" s="71">
        <f>SUM($E$6:E11)/H11</f>
        <v>1.5599999999999998</v>
      </c>
    </row>
    <row r="12" spans="1:12" x14ac:dyDescent="0.2">
      <c r="A12" s="60">
        <v>11</v>
      </c>
      <c r="B12" s="67">
        <v>32000</v>
      </c>
      <c r="C12" s="68">
        <f t="shared" si="0"/>
        <v>23750</v>
      </c>
      <c r="D12" s="68">
        <f t="shared" si="1"/>
        <v>21500</v>
      </c>
      <c r="E12" s="68">
        <f t="shared" si="2"/>
        <v>-10500</v>
      </c>
      <c r="F12" s="68">
        <f t="shared" si="3"/>
        <v>10500</v>
      </c>
      <c r="G12" s="68">
        <f>SUMSQ($F$6:F12)/(A12-4)</f>
        <v>98321428.571428567</v>
      </c>
      <c r="H12" s="68">
        <f>SUM($F$6:F12)/(A12-4)</f>
        <v>8642.8571428571431</v>
      </c>
      <c r="I12" s="70">
        <f t="shared" si="4"/>
        <v>32.8125</v>
      </c>
      <c r="J12" s="68">
        <f>AVERAGE($I$6:I12)</f>
        <v>50.146845828338961</v>
      </c>
      <c r="K12" s="71">
        <f>SUM($E$6:E12)/H12</f>
        <v>0.28925619834710742</v>
      </c>
    </row>
    <row r="13" spans="1:12" ht="13.5" thickBot="1" x14ac:dyDescent="0.25">
      <c r="A13" s="60">
        <v>12</v>
      </c>
      <c r="B13" s="72">
        <v>41000</v>
      </c>
      <c r="C13" s="73">
        <f t="shared" si="0"/>
        <v>24500</v>
      </c>
      <c r="D13" s="73">
        <f t="shared" si="1"/>
        <v>23750</v>
      </c>
      <c r="E13" s="73">
        <f t="shared" si="2"/>
        <v>-17250</v>
      </c>
      <c r="F13" s="73">
        <f t="shared" si="3"/>
        <v>17250</v>
      </c>
      <c r="G13" s="73">
        <f>SUMSQ($F$6:F13)/(A13-4)</f>
        <v>123226562.5</v>
      </c>
      <c r="H13" s="73">
        <f>SUM($F$6:F13)/(A13-4)</f>
        <v>9718.75</v>
      </c>
      <c r="I13" s="74">
        <f t="shared" si="4"/>
        <v>42.073170731707314</v>
      </c>
      <c r="J13" s="73">
        <f>AVERAGE($I$6:I13)</f>
        <v>49.137636441260007</v>
      </c>
      <c r="K13" s="75">
        <f>SUM($E$6:E13)/H13</f>
        <v>-1.517684887459807</v>
      </c>
    </row>
    <row r="14" spans="1:12" x14ac:dyDescent="0.2">
      <c r="A14" s="15">
        <v>13</v>
      </c>
      <c r="B14" s="38"/>
      <c r="C14" s="38"/>
      <c r="D14" s="29">
        <f>C13</f>
        <v>24500</v>
      </c>
      <c r="E14" s="38"/>
      <c r="F14" s="38"/>
      <c r="G14" s="38"/>
      <c r="H14" s="38"/>
      <c r="I14" s="38"/>
      <c r="J14" s="38"/>
      <c r="K14" s="61"/>
    </row>
    <row r="15" spans="1:12" x14ac:dyDescent="0.2">
      <c r="A15" s="56">
        <v>14</v>
      </c>
      <c r="B15" s="36"/>
      <c r="C15" s="36"/>
      <c r="D15" s="25">
        <f>$C$13</f>
        <v>24500</v>
      </c>
      <c r="E15" s="36"/>
      <c r="F15" s="36"/>
      <c r="G15" s="36"/>
      <c r="H15" s="36"/>
      <c r="I15" s="36"/>
      <c r="J15" s="36"/>
      <c r="K15" s="46"/>
    </row>
    <row r="16" spans="1:12" x14ac:dyDescent="0.2">
      <c r="A16" s="56">
        <v>15</v>
      </c>
      <c r="B16" s="36"/>
      <c r="C16" s="36"/>
      <c r="D16" s="25">
        <f>$C$13</f>
        <v>24500</v>
      </c>
      <c r="E16" s="36"/>
      <c r="F16" s="36"/>
      <c r="G16" s="36"/>
      <c r="H16" s="36"/>
      <c r="I16" s="36"/>
      <c r="J16" s="36"/>
      <c r="K16" s="46"/>
    </row>
    <row r="17" spans="1:11" ht="13.5" thickBot="1" x14ac:dyDescent="0.25">
      <c r="A17" s="58">
        <v>16</v>
      </c>
      <c r="B17" s="52"/>
      <c r="C17" s="52"/>
      <c r="D17" s="27">
        <f>$C$13</f>
        <v>24500</v>
      </c>
      <c r="E17" s="52"/>
      <c r="F17" s="52"/>
      <c r="G17" s="52"/>
      <c r="H17" s="52"/>
      <c r="I17" s="52"/>
      <c r="J17" s="52"/>
      <c r="K17" s="62"/>
    </row>
    <row r="19" spans="1:11" x14ac:dyDescent="0.2">
      <c r="C19" s="5"/>
      <c r="D19" s="6"/>
    </row>
    <row r="20" spans="1:11" x14ac:dyDescent="0.2">
      <c r="C20" s="5"/>
      <c r="D20" s="6"/>
    </row>
    <row r="21" spans="1:11" x14ac:dyDescent="0.2">
      <c r="C21" s="5"/>
      <c r="D21" s="6"/>
    </row>
    <row r="22" spans="1:11" x14ac:dyDescent="0.2">
      <c r="C22" s="5"/>
      <c r="D22" s="6"/>
    </row>
    <row r="23" spans="1:11" x14ac:dyDescent="0.2">
      <c r="C23" s="5"/>
      <c r="D23" s="6"/>
    </row>
    <row r="24" spans="1:11" x14ac:dyDescent="0.2">
      <c r="C24" s="5"/>
      <c r="D24" s="6"/>
    </row>
    <row r="25" spans="1:11" x14ac:dyDescent="0.2">
      <c r="C25" s="5"/>
      <c r="D25" s="6"/>
    </row>
    <row r="26" spans="1:11" x14ac:dyDescent="0.2">
      <c r="C26" s="5"/>
      <c r="D26" s="6"/>
    </row>
    <row r="27" spans="1:11" x14ac:dyDescent="0.2">
      <c r="C27" s="5"/>
      <c r="D27" s="6"/>
    </row>
    <row r="28" spans="1:11" x14ac:dyDescent="0.2">
      <c r="C28" s="5"/>
      <c r="D28" s="6"/>
    </row>
    <row r="29" spans="1:11" x14ac:dyDescent="0.2">
      <c r="C29" s="5"/>
      <c r="D29" s="6"/>
    </row>
    <row r="30" spans="1:11" x14ac:dyDescent="0.2">
      <c r="C30" s="5"/>
      <c r="D30" s="6"/>
    </row>
    <row r="31" spans="1:11" x14ac:dyDescent="0.2">
      <c r="B31" s="5"/>
      <c r="C31" s="5"/>
    </row>
    <row r="32" spans="1:11" ht="15.75" x14ac:dyDescent="0.25">
      <c r="A32" s="59" t="s">
        <v>103</v>
      </c>
    </row>
    <row r="35" spans="3:3" x14ac:dyDescent="0.2">
      <c r="C35" s="5"/>
    </row>
    <row r="36" spans="3:3" x14ac:dyDescent="0.2">
      <c r="C36" s="5"/>
    </row>
    <row r="37" spans="3:3" x14ac:dyDescent="0.2">
      <c r="C37" s="5"/>
    </row>
    <row r="38" spans="3:3" x14ac:dyDescent="0.2">
      <c r="C38" s="5"/>
    </row>
  </sheetData>
  <phoneticPr fontId="0" type="noConversion"/>
  <pageMargins left="0.75" right="0.75" top="1" bottom="1" header="0.5" footer="0.5"/>
  <pageSetup orientation="landscape" horizontalDpi="4294967292" verticalDpi="300" r:id="rId1"/>
  <headerFooter alignWithMargins="0">
    <oddHeader>&amp;C&amp;A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9"/>
  <sheetViews>
    <sheetView showGridLines="0" zoomScaleNormal="100" workbookViewId="0">
      <selection activeCell="H3" sqref="H3"/>
    </sheetView>
  </sheetViews>
  <sheetFormatPr defaultRowHeight="12.75" x14ac:dyDescent="0.2"/>
  <cols>
    <col min="2" max="2" width="9.42578125" customWidth="1"/>
    <col min="4" max="4" width="10.140625" customWidth="1"/>
    <col min="6" max="6" width="14.42578125" customWidth="1"/>
    <col min="7" max="7" width="22" customWidth="1"/>
    <col min="8" max="8" width="7" customWidth="1"/>
    <col min="9" max="9" width="7.5703125" customWidth="1"/>
    <col min="10" max="10" width="7.85546875" customWidth="1"/>
    <col min="11" max="11" width="5.28515625" customWidth="1"/>
  </cols>
  <sheetData>
    <row r="1" spans="1:11" ht="29.25" thickBot="1" x14ac:dyDescent="0.35">
      <c r="A1" s="76" t="s">
        <v>24</v>
      </c>
      <c r="B1" s="77" t="s">
        <v>26</v>
      </c>
      <c r="C1" s="78" t="s">
        <v>28</v>
      </c>
      <c r="D1" s="78" t="s">
        <v>29</v>
      </c>
      <c r="E1" s="78" t="s">
        <v>30</v>
      </c>
      <c r="F1" s="78" t="s">
        <v>31</v>
      </c>
      <c r="G1" s="78" t="s">
        <v>32</v>
      </c>
      <c r="H1" s="79" t="s">
        <v>33</v>
      </c>
      <c r="I1" s="79" t="s">
        <v>25</v>
      </c>
      <c r="J1" s="79" t="s">
        <v>34</v>
      </c>
      <c r="K1" s="80" t="s">
        <v>35</v>
      </c>
    </row>
    <row r="2" spans="1:11" x14ac:dyDescent="0.2">
      <c r="A2" s="63">
        <v>0</v>
      </c>
      <c r="B2" s="64"/>
      <c r="C2" s="65">
        <f>AVERAGE(B3:B14)</f>
        <v>22083.333333333332</v>
      </c>
      <c r="D2" s="65"/>
      <c r="E2" s="65"/>
      <c r="F2" s="65"/>
      <c r="G2" s="65"/>
      <c r="H2" s="65"/>
      <c r="I2" s="65"/>
      <c r="J2" s="65"/>
      <c r="K2" s="66"/>
    </row>
    <row r="3" spans="1:11" x14ac:dyDescent="0.2">
      <c r="A3" s="60">
        <v>1</v>
      </c>
      <c r="B3" s="67">
        <v>8000</v>
      </c>
      <c r="C3" s="68">
        <f t="shared" ref="C3:C14" si="0">$B$20*B3+(1-$B$20)*C2</f>
        <v>20675</v>
      </c>
      <c r="D3" s="68">
        <f>C2</f>
        <v>22083.333333333332</v>
      </c>
      <c r="E3" s="68">
        <f>D3-B3</f>
        <v>14083.333333333332</v>
      </c>
      <c r="F3" s="68">
        <f>ABS(E3)</f>
        <v>14083.333333333332</v>
      </c>
      <c r="G3" s="68">
        <f>SUMSQ($E$3:E3)/A3</f>
        <v>198340277.77777773</v>
      </c>
      <c r="H3" s="68">
        <f>SUM($F$3:F3)/A3</f>
        <v>14083.333333333332</v>
      </c>
      <c r="I3" s="68">
        <f>F3*100/B3</f>
        <v>176.04166666666666</v>
      </c>
      <c r="J3" s="68">
        <f>AVERAGE($I$3:I3)</f>
        <v>176.04166666666666</v>
      </c>
      <c r="K3" s="71">
        <f>SUM($E$3:E3)/H3</f>
        <v>1</v>
      </c>
    </row>
    <row r="4" spans="1:11" x14ac:dyDescent="0.2">
      <c r="A4" s="60">
        <v>2</v>
      </c>
      <c r="B4" s="67">
        <v>13000</v>
      </c>
      <c r="C4" s="68">
        <f t="shared" si="0"/>
        <v>19907.5</v>
      </c>
      <c r="D4" s="68">
        <f>C3</f>
        <v>20675</v>
      </c>
      <c r="E4" s="68">
        <f>D4-B4</f>
        <v>7675</v>
      </c>
      <c r="F4" s="68">
        <f>ABS(E4)</f>
        <v>7675</v>
      </c>
      <c r="G4" s="68">
        <f>SUMSQ($E$3:E4)/A4</f>
        <v>128622951.38888887</v>
      </c>
      <c r="H4" s="68">
        <f>SUM($F$3:F4)/A4</f>
        <v>10879.166666666666</v>
      </c>
      <c r="I4" s="68">
        <f t="shared" ref="I4:I14" si="1">F4*100/B4</f>
        <v>59.03846153846154</v>
      </c>
      <c r="J4" s="68">
        <f>AVERAGE($I$3:I4)</f>
        <v>117.5400641025641</v>
      </c>
      <c r="K4" s="71">
        <f>SUM($E$3:E4)/H4</f>
        <v>2</v>
      </c>
    </row>
    <row r="5" spans="1:11" x14ac:dyDescent="0.2">
      <c r="A5" s="60">
        <v>3</v>
      </c>
      <c r="B5" s="67">
        <v>23000</v>
      </c>
      <c r="C5" s="68">
        <f t="shared" si="0"/>
        <v>20216.75</v>
      </c>
      <c r="D5" s="68">
        <f>C4</f>
        <v>19907.5</v>
      </c>
      <c r="E5" s="68">
        <f>D5-B5</f>
        <v>-3092.5</v>
      </c>
      <c r="F5" s="68">
        <f>ABS(E5)</f>
        <v>3092.5</v>
      </c>
      <c r="G5" s="68">
        <f>SUMSQ($E$3:E5)/A5</f>
        <v>88936486.342592582</v>
      </c>
      <c r="H5" s="68">
        <f>SUM($F$3:F5)/A5</f>
        <v>8283.6111111111113</v>
      </c>
      <c r="I5" s="68">
        <f t="shared" si="1"/>
        <v>13.445652173913043</v>
      </c>
      <c r="J5" s="68">
        <f>AVERAGE($I$3:I5)</f>
        <v>82.841926793013741</v>
      </c>
      <c r="K5" s="71">
        <f>SUM($E$3:E5)/H5</f>
        <v>2.2533449582508966</v>
      </c>
    </row>
    <row r="6" spans="1:11" x14ac:dyDescent="0.2">
      <c r="A6" s="60">
        <v>4</v>
      </c>
      <c r="B6" s="67">
        <v>34000</v>
      </c>
      <c r="C6" s="68">
        <f t="shared" si="0"/>
        <v>21595.075000000001</v>
      </c>
      <c r="D6" s="68">
        <f>C5</f>
        <v>20216.75</v>
      </c>
      <c r="E6" s="68">
        <f>D6-B6</f>
        <v>-13783.25</v>
      </c>
      <c r="F6" s="68">
        <f>ABS(E6)</f>
        <v>13783.25</v>
      </c>
      <c r="G6" s="68">
        <f>SUMSQ($E$3:E6)/A6</f>
        <v>114196859.89756943</v>
      </c>
      <c r="H6" s="68">
        <f>SUM($F$3:F6)/A6</f>
        <v>9658.5208333333321</v>
      </c>
      <c r="I6" s="70">
        <f t="shared" si="1"/>
        <v>40.538970588235294</v>
      </c>
      <c r="J6" s="68">
        <f>AVERAGE($I$3:I6)</f>
        <v>72.266187741819138</v>
      </c>
      <c r="K6" s="71">
        <f>SUM($E$3:E6)/H6</f>
        <v>0.50552081603247556</v>
      </c>
    </row>
    <row r="7" spans="1:11" x14ac:dyDescent="0.2">
      <c r="A7" s="60">
        <v>5</v>
      </c>
      <c r="B7" s="67">
        <v>10000</v>
      </c>
      <c r="C7" s="68">
        <f t="shared" si="0"/>
        <v>20435.567500000001</v>
      </c>
      <c r="D7" s="68">
        <f t="shared" ref="D7:D14" si="2">C6</f>
        <v>21595.075000000001</v>
      </c>
      <c r="E7" s="68">
        <f t="shared" ref="E7:E14" si="3">D7-B7</f>
        <v>11595.075000000001</v>
      </c>
      <c r="F7" s="68">
        <f t="shared" ref="F7:F14" si="4">ABS(E7)</f>
        <v>11595.075000000001</v>
      </c>
      <c r="G7" s="68">
        <f>SUMSQ($E$3:E7)/A7</f>
        <v>118246640.76918054</v>
      </c>
      <c r="H7" s="68">
        <f>SUM($F$3:F7)/A7</f>
        <v>10045.831666666665</v>
      </c>
      <c r="I7" s="70">
        <f t="shared" si="1"/>
        <v>115.95075</v>
      </c>
      <c r="J7" s="68">
        <f>AVERAGE($I$3:I7)</f>
        <v>81.00310019345531</v>
      </c>
      <c r="K7" s="71">
        <f>SUM($E$3:E7)/H7</f>
        <v>1.6402483019905936</v>
      </c>
    </row>
    <row r="8" spans="1:11" x14ac:dyDescent="0.2">
      <c r="A8" s="60">
        <v>6</v>
      </c>
      <c r="B8" s="67">
        <v>18000</v>
      </c>
      <c r="C8" s="68">
        <f t="shared" si="0"/>
        <v>20192.010750000001</v>
      </c>
      <c r="D8" s="68">
        <f t="shared" si="2"/>
        <v>20435.567500000001</v>
      </c>
      <c r="E8" s="68">
        <f t="shared" si="3"/>
        <v>2435.567500000001</v>
      </c>
      <c r="F8" s="68">
        <f t="shared" si="4"/>
        <v>2435.567500000001</v>
      </c>
      <c r="G8" s="68">
        <f>SUMSQ($E$3:E8)/A8</f>
        <v>99527532.14882648</v>
      </c>
      <c r="H8" s="68">
        <f>SUM($F$3:F8)/A8</f>
        <v>8777.454305555555</v>
      </c>
      <c r="I8" s="70">
        <f t="shared" si="1"/>
        <v>13.530930555555562</v>
      </c>
      <c r="J8" s="68">
        <f>AVERAGE($I$3:I8)</f>
        <v>69.757738587138689</v>
      </c>
      <c r="K8" s="71">
        <f>SUM($E$3:E8)/H8</f>
        <v>2.154750702759284</v>
      </c>
    </row>
    <row r="9" spans="1:11" x14ac:dyDescent="0.2">
      <c r="A9" s="60">
        <v>7</v>
      </c>
      <c r="B9" s="67">
        <v>23000</v>
      </c>
      <c r="C9" s="68">
        <f t="shared" si="0"/>
        <v>20472.809675</v>
      </c>
      <c r="D9" s="68">
        <f t="shared" si="2"/>
        <v>20192.010750000001</v>
      </c>
      <c r="E9" s="68">
        <f t="shared" si="3"/>
        <v>-2807.9892499999987</v>
      </c>
      <c r="F9" s="68">
        <f t="shared" si="4"/>
        <v>2807.9892499999987</v>
      </c>
      <c r="G9" s="68">
        <f>SUMSQ($E$3:E9)/A9</f>
        <v>86435713.788724914</v>
      </c>
      <c r="H9" s="68">
        <f>SUM($F$3:F9)/A9</f>
        <v>7924.6735833333323</v>
      </c>
      <c r="I9" s="70">
        <f t="shared" si="1"/>
        <v>12.208648913043472</v>
      </c>
      <c r="J9" s="68">
        <f>AVERAGE($I$3:I9)</f>
        <v>61.53644006226795</v>
      </c>
      <c r="K9" s="71">
        <f>SUM($E$3:E9)/H9</f>
        <v>2.0322902153603954</v>
      </c>
    </row>
    <row r="10" spans="1:11" x14ac:dyDescent="0.2">
      <c r="A10" s="60">
        <v>8</v>
      </c>
      <c r="B10" s="67">
        <v>38000</v>
      </c>
      <c r="C10" s="68">
        <f t="shared" si="0"/>
        <v>22225.528707500001</v>
      </c>
      <c r="D10" s="68">
        <f t="shared" si="2"/>
        <v>20472.809675</v>
      </c>
      <c r="E10" s="68">
        <f t="shared" si="3"/>
        <v>-17527.190325</v>
      </c>
      <c r="F10" s="68">
        <f t="shared" si="4"/>
        <v>17527.190325</v>
      </c>
      <c r="G10" s="68">
        <f>SUMSQ($E$3:E10)/A10</f>
        <v>114031549.65123099</v>
      </c>
      <c r="H10" s="68">
        <f>SUM($F$3:F10)/A10</f>
        <v>9124.9881760416665</v>
      </c>
      <c r="I10" s="70">
        <f t="shared" si="1"/>
        <v>46.124185065789476</v>
      </c>
      <c r="J10" s="68">
        <f>AVERAGE($I$3:I10)</f>
        <v>59.609908187708143</v>
      </c>
      <c r="K10" s="71">
        <f>SUM($E$3:E10)/H10</f>
        <v>-0.15583074895374763</v>
      </c>
    </row>
    <row r="11" spans="1:11" x14ac:dyDescent="0.2">
      <c r="A11" s="60">
        <v>9</v>
      </c>
      <c r="B11" s="67">
        <v>12000</v>
      </c>
      <c r="C11" s="68">
        <f t="shared" si="0"/>
        <v>21202.975836750004</v>
      </c>
      <c r="D11" s="68">
        <f t="shared" si="2"/>
        <v>22225.528707500001</v>
      </c>
      <c r="E11" s="68">
        <f t="shared" si="3"/>
        <v>10225.528707500001</v>
      </c>
      <c r="F11" s="68">
        <f t="shared" si="4"/>
        <v>10225.528707500001</v>
      </c>
      <c r="G11" s="68">
        <f>SUMSQ($E$3:E11)/A11</f>
        <v>112979314.95086162</v>
      </c>
      <c r="H11" s="68">
        <f>SUM($F$3:F11)/A11</f>
        <v>9247.2704573148148</v>
      </c>
      <c r="I11" s="70">
        <f t="shared" si="1"/>
        <v>85.212739229166672</v>
      </c>
      <c r="J11" s="68">
        <f>AVERAGE($I$3:I11)</f>
        <v>62.454667192314645</v>
      </c>
      <c r="K11" s="71">
        <f>SUM($E$3:E11)/H11</f>
        <v>0.95201876126262708</v>
      </c>
    </row>
    <row r="12" spans="1:11" x14ac:dyDescent="0.2">
      <c r="A12" s="60">
        <v>10</v>
      </c>
      <c r="B12" s="67">
        <v>13000</v>
      </c>
      <c r="C12" s="68">
        <f t="shared" si="0"/>
        <v>20382.678253075002</v>
      </c>
      <c r="D12" s="68">
        <f t="shared" si="2"/>
        <v>21202.975836750004</v>
      </c>
      <c r="E12" s="68">
        <f t="shared" si="3"/>
        <v>8202.9758367500035</v>
      </c>
      <c r="F12" s="68">
        <f t="shared" si="4"/>
        <v>8202.9758367500035</v>
      </c>
      <c r="G12" s="68">
        <f>SUMSQ($E$3:E12)/A12</f>
        <v>108410264.71360591</v>
      </c>
      <c r="H12" s="68">
        <f>SUM($F$3:F12)/A12</f>
        <v>9142.8409952583352</v>
      </c>
      <c r="I12" s="70">
        <f t="shared" si="1"/>
        <v>63.099814128846184</v>
      </c>
      <c r="J12" s="68">
        <f>AVERAGE($I$3:I12)</f>
        <v>62.519181885967804</v>
      </c>
      <c r="K12" s="71">
        <f>SUM($E$3:E12)/H12</f>
        <v>1.860094779227079</v>
      </c>
    </row>
    <row r="13" spans="1:11" s="86" customFormat="1" x14ac:dyDescent="0.2">
      <c r="A13" s="60">
        <v>11</v>
      </c>
      <c r="B13" s="67">
        <v>32000</v>
      </c>
      <c r="C13" s="68">
        <f t="shared" si="0"/>
        <v>21544.410427767503</v>
      </c>
      <c r="D13" s="68">
        <f t="shared" si="2"/>
        <v>20382.678253075002</v>
      </c>
      <c r="E13" s="68">
        <f t="shared" si="3"/>
        <v>-11617.321746924998</v>
      </c>
      <c r="F13" s="68">
        <f t="shared" si="4"/>
        <v>11617.321746924998</v>
      </c>
      <c r="G13" s="68">
        <f>SUMSQ($E$3:E13)/A13</f>
        <v>110824073.79160322</v>
      </c>
      <c r="H13" s="68">
        <f>SUM($F$3:F13)/A13</f>
        <v>9367.7937908643944</v>
      </c>
      <c r="I13" s="70">
        <f t="shared" si="1"/>
        <v>36.304130459140616</v>
      </c>
      <c r="J13" s="68">
        <f>AVERAGE($I$3:I13)</f>
        <v>60.135995392619883</v>
      </c>
      <c r="K13" s="71">
        <f>SUM($E$3:E13)/H13</f>
        <v>0.57529330555012814</v>
      </c>
    </row>
    <row r="14" spans="1:11" ht="13.5" thickBot="1" x14ac:dyDescent="0.25">
      <c r="A14" s="22">
        <v>12</v>
      </c>
      <c r="B14" s="82">
        <v>41000</v>
      </c>
      <c r="C14" s="83">
        <f t="shared" si="0"/>
        <v>23489.969384990753</v>
      </c>
      <c r="D14" s="83">
        <f t="shared" si="2"/>
        <v>21544.410427767503</v>
      </c>
      <c r="E14" s="83">
        <f t="shared" si="3"/>
        <v>-19455.589572232497</v>
      </c>
      <c r="F14" s="83">
        <f t="shared" si="4"/>
        <v>19455.589572232497</v>
      </c>
      <c r="G14" s="83">
        <f>SUMSQ($E$3:E14)/A14</f>
        <v>133132064.77589977</v>
      </c>
      <c r="H14" s="83">
        <f>SUM($F$3:F14)/A14</f>
        <v>10208.443439311735</v>
      </c>
      <c r="I14" s="84">
        <f t="shared" si="1"/>
        <v>47.452657493249987</v>
      </c>
      <c r="J14" s="83">
        <f>AVERAGE($I$3:I14)</f>
        <v>59.07905056767239</v>
      </c>
      <c r="K14" s="85">
        <f>SUM($E$3:E14)/H14</f>
        <v>-1.3779143314254894</v>
      </c>
    </row>
    <row r="15" spans="1:11" x14ac:dyDescent="0.2">
      <c r="A15" s="56"/>
      <c r="B15" s="36"/>
      <c r="C15" s="36"/>
      <c r="D15" s="25">
        <f>$C$14</f>
        <v>23489.969384990753</v>
      </c>
      <c r="E15" s="36"/>
      <c r="F15" s="36"/>
      <c r="G15" s="137">
        <f>SQRT(G14)</f>
        <v>11538.286908198277</v>
      </c>
      <c r="H15" s="36">
        <f>1.25*H14</f>
        <v>12760.554299139669</v>
      </c>
      <c r="I15" s="36"/>
      <c r="J15" s="36"/>
      <c r="K15" s="46"/>
    </row>
    <row r="16" spans="1:11" x14ac:dyDescent="0.2">
      <c r="A16" s="56"/>
      <c r="B16" s="36"/>
      <c r="C16" s="36"/>
      <c r="D16" s="25">
        <f>$C$14</f>
        <v>23489.969384990753</v>
      </c>
      <c r="E16" s="36"/>
      <c r="F16" s="36"/>
      <c r="G16" s="36"/>
      <c r="H16" s="36"/>
      <c r="I16" s="36"/>
      <c r="J16" s="36"/>
      <c r="K16" s="46"/>
    </row>
    <row r="17" spans="1:11" s="86" customFormat="1" x14ac:dyDescent="0.2">
      <c r="A17" s="56"/>
      <c r="B17" s="36"/>
      <c r="C17" s="36"/>
      <c r="D17" s="25">
        <f>$C$14</f>
        <v>23489.969384990753</v>
      </c>
      <c r="E17" s="36"/>
      <c r="F17" s="36"/>
      <c r="G17" s="36"/>
      <c r="H17" s="36"/>
      <c r="I17" s="36"/>
      <c r="J17" s="36"/>
      <c r="K17" s="46"/>
    </row>
    <row r="18" spans="1:11" ht="13.5" thickBot="1" x14ac:dyDescent="0.25">
      <c r="A18" s="87"/>
      <c r="B18" s="88"/>
      <c r="C18" s="88"/>
      <c r="D18" s="89">
        <f>$C$14</f>
        <v>23489.969384990753</v>
      </c>
      <c r="E18" s="88"/>
      <c r="F18" s="88"/>
      <c r="G18" s="88"/>
      <c r="H18" s="88"/>
      <c r="I18" s="88"/>
      <c r="J18" s="88"/>
      <c r="K18" s="90"/>
    </row>
    <row r="19" spans="1:11" ht="7.5" customHeight="1" thickBot="1" x14ac:dyDescent="0.25"/>
    <row r="20" spans="1:11" ht="16.5" thickBot="1" x14ac:dyDescent="0.3">
      <c r="A20" s="158" t="s">
        <v>116</v>
      </c>
      <c r="B20" s="14">
        <v>0.1</v>
      </c>
      <c r="C20" s="5"/>
      <c r="D20" s="6"/>
    </row>
    <row r="21" spans="1:11" x14ac:dyDescent="0.2">
      <c r="C21" s="5"/>
      <c r="D21" s="6"/>
    </row>
    <row r="22" spans="1:11" x14ac:dyDescent="0.2">
      <c r="C22" s="5"/>
      <c r="D22" s="6"/>
    </row>
    <row r="23" spans="1:11" x14ac:dyDescent="0.2">
      <c r="C23" s="5"/>
      <c r="D23" s="6"/>
    </row>
    <row r="24" spans="1:11" x14ac:dyDescent="0.2">
      <c r="C24" s="5"/>
      <c r="D24" s="6"/>
    </row>
    <row r="25" spans="1:11" x14ac:dyDescent="0.2">
      <c r="C25" s="5"/>
      <c r="D25" s="6"/>
    </row>
    <row r="26" spans="1:11" x14ac:dyDescent="0.2">
      <c r="C26" s="5"/>
      <c r="D26" s="6"/>
    </row>
    <row r="27" spans="1:11" x14ac:dyDescent="0.2">
      <c r="C27" s="5"/>
      <c r="D27" s="6"/>
    </row>
    <row r="28" spans="1:11" x14ac:dyDescent="0.2">
      <c r="C28" s="5"/>
      <c r="D28" s="6"/>
    </row>
    <row r="29" spans="1:11" x14ac:dyDescent="0.2">
      <c r="C29" s="5"/>
      <c r="D29" s="6"/>
    </row>
    <row r="30" spans="1:11" x14ac:dyDescent="0.2">
      <c r="C30" s="5"/>
      <c r="D30" s="6"/>
    </row>
    <row r="31" spans="1:11" x14ac:dyDescent="0.2">
      <c r="C31" s="5"/>
      <c r="D31" s="6"/>
    </row>
    <row r="32" spans="1:11" x14ac:dyDescent="0.2">
      <c r="B32" s="5"/>
      <c r="C32" s="5"/>
    </row>
    <row r="34" spans="1:3" ht="15.75" x14ac:dyDescent="0.25">
      <c r="A34" s="59" t="s">
        <v>104</v>
      </c>
    </row>
    <row r="36" spans="1:3" x14ac:dyDescent="0.2">
      <c r="C36" s="5"/>
    </row>
    <row r="37" spans="1:3" x14ac:dyDescent="0.2">
      <c r="C37" s="5"/>
    </row>
    <row r="38" spans="1:3" x14ac:dyDescent="0.2">
      <c r="C38" s="5"/>
    </row>
    <row r="39" spans="1:3" x14ac:dyDescent="0.2">
      <c r="C39" s="5"/>
    </row>
  </sheetData>
  <phoneticPr fontId="0" type="noConversion"/>
  <pageMargins left="0.75" right="0.75" top="1" bottom="1" header="0.5" footer="0.5"/>
  <pageSetup orientation="landscape" horizontalDpi="4294967292" verticalDpi="300" r:id="rId1"/>
  <headerFooter alignWithMargins="0">
    <oddHeader>&amp;C&amp;A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9"/>
  <sheetViews>
    <sheetView showGridLines="0" zoomScaleNormal="100" workbookViewId="0">
      <selection activeCell="A20" sqref="A20:A21"/>
    </sheetView>
  </sheetViews>
  <sheetFormatPr defaultRowHeight="12.75" x14ac:dyDescent="0.2"/>
  <cols>
    <col min="1" max="1" width="8.140625" customWidth="1"/>
    <col min="2" max="2" width="9.85546875" customWidth="1"/>
    <col min="3" max="3" width="7.85546875" customWidth="1"/>
    <col min="4" max="4" width="7.140625" customWidth="1"/>
    <col min="5" max="5" width="10.140625" customWidth="1"/>
    <col min="6" max="6" width="8.140625" customWidth="1"/>
    <col min="7" max="7" width="14.42578125" customWidth="1"/>
    <col min="8" max="8" width="21.7109375" customWidth="1"/>
    <col min="9" max="9" width="6.7109375" customWidth="1"/>
    <col min="10" max="10" width="7" customWidth="1"/>
    <col min="11" max="11" width="7.42578125" customWidth="1"/>
    <col min="12" max="12" width="5.42578125" customWidth="1"/>
  </cols>
  <sheetData>
    <row r="1" spans="1:12" ht="29.25" thickBot="1" x14ac:dyDescent="0.35">
      <c r="A1" s="76" t="s">
        <v>24</v>
      </c>
      <c r="B1" s="77" t="s">
        <v>26</v>
      </c>
      <c r="C1" s="78" t="s">
        <v>28</v>
      </c>
      <c r="D1" s="78" t="s">
        <v>36</v>
      </c>
      <c r="E1" s="78" t="s">
        <v>29</v>
      </c>
      <c r="F1" s="78" t="s">
        <v>30</v>
      </c>
      <c r="G1" s="78" t="s">
        <v>31</v>
      </c>
      <c r="H1" s="79" t="s">
        <v>32</v>
      </c>
      <c r="I1" s="79" t="s">
        <v>33</v>
      </c>
      <c r="J1" s="79" t="s">
        <v>25</v>
      </c>
      <c r="K1" s="79" t="s">
        <v>34</v>
      </c>
      <c r="L1" s="80" t="s">
        <v>35</v>
      </c>
    </row>
    <row r="2" spans="1:12" x14ac:dyDescent="0.2">
      <c r="A2" s="63">
        <v>0</v>
      </c>
      <c r="B2" s="64"/>
      <c r="C2" s="65">
        <v>12015</v>
      </c>
      <c r="D2" s="65">
        <v>1549</v>
      </c>
      <c r="E2" s="65"/>
      <c r="F2" s="65"/>
      <c r="G2" s="65"/>
      <c r="H2" s="65"/>
      <c r="I2" s="65"/>
      <c r="J2" s="65"/>
      <c r="K2" s="65"/>
      <c r="L2" s="66"/>
    </row>
    <row r="3" spans="1:12" x14ac:dyDescent="0.2">
      <c r="A3" s="60">
        <v>1</v>
      </c>
      <c r="B3" s="67">
        <v>8000</v>
      </c>
      <c r="C3" s="68">
        <f t="shared" ref="C3:C14" si="0">$B$20*B3+(1-$B$20)*(C2+D2)</f>
        <v>13007.6</v>
      </c>
      <c r="D3" s="68">
        <f t="shared" ref="D3:D14" si="1">$B$21*(C3-C2)+(1-$B$21)*D2</f>
        <v>1437.7200000000003</v>
      </c>
      <c r="E3" s="68">
        <f>C2+D2</f>
        <v>13564</v>
      </c>
      <c r="F3" s="68">
        <f t="shared" ref="F3:F14" si="2">E3-B3</f>
        <v>5564</v>
      </c>
      <c r="G3" s="68">
        <f t="shared" ref="G3:G14" si="3">ABS(F3)</f>
        <v>5564</v>
      </c>
      <c r="H3" s="68">
        <f>SUMSQ($F$3:F3)/A3</f>
        <v>30958096</v>
      </c>
      <c r="I3" s="68">
        <f>SUM($G$3:G3)/A3</f>
        <v>5564</v>
      </c>
      <c r="J3" s="68">
        <f>100*G3/B3</f>
        <v>69.55</v>
      </c>
      <c r="K3" s="92">
        <f>AVERAGE($J$3:J3)</f>
        <v>69.55</v>
      </c>
      <c r="L3" s="71">
        <f>SUM($F$3:F3)/I3</f>
        <v>1</v>
      </c>
    </row>
    <row r="4" spans="1:12" x14ac:dyDescent="0.2">
      <c r="A4" s="60">
        <v>2</v>
      </c>
      <c r="B4" s="67">
        <v>13000</v>
      </c>
      <c r="C4" s="68">
        <f t="shared" si="0"/>
        <v>14300.788</v>
      </c>
      <c r="D4" s="68">
        <f t="shared" si="1"/>
        <v>1408.8136000000002</v>
      </c>
      <c r="E4" s="68">
        <f t="shared" ref="E4:E14" si="4">C3+D3</f>
        <v>14445.32</v>
      </c>
      <c r="F4" s="68">
        <f t="shared" si="2"/>
        <v>1445.3199999999997</v>
      </c>
      <c r="G4" s="68">
        <f t="shared" si="3"/>
        <v>1445.3199999999997</v>
      </c>
      <c r="H4" s="68">
        <f>SUMSQ($F$3:F4)/A4</f>
        <v>16523522.951199999</v>
      </c>
      <c r="I4" s="68">
        <f>SUM($G$3:G4)/A4</f>
        <v>3504.66</v>
      </c>
      <c r="J4" s="68">
        <f t="shared" ref="J4:J14" si="5">100*G4/B4</f>
        <v>11.117846153846152</v>
      </c>
      <c r="K4" s="92">
        <f>AVERAGE($J$3:J4)</f>
        <v>40.333923076923071</v>
      </c>
      <c r="L4" s="71">
        <f>SUM($F$3:F4)/I4</f>
        <v>2</v>
      </c>
    </row>
    <row r="5" spans="1:12" x14ac:dyDescent="0.2">
      <c r="A5" s="60">
        <v>3</v>
      </c>
      <c r="B5" s="67">
        <v>23000</v>
      </c>
      <c r="C5" s="68">
        <f t="shared" si="0"/>
        <v>16438.641439999999</v>
      </c>
      <c r="D5" s="68">
        <f t="shared" si="1"/>
        <v>1554.621568</v>
      </c>
      <c r="E5" s="68">
        <f t="shared" si="4"/>
        <v>15709.6016</v>
      </c>
      <c r="F5" s="68">
        <f t="shared" si="2"/>
        <v>-7290.3984</v>
      </c>
      <c r="G5" s="68">
        <f t="shared" si="3"/>
        <v>7290.3984</v>
      </c>
      <c r="H5" s="68">
        <f>SUMSQ($F$3:F5)/A5</f>
        <v>28732318.244374186</v>
      </c>
      <c r="I5" s="68">
        <f>SUM($G$3:G5)/A5</f>
        <v>4766.5727999999999</v>
      </c>
      <c r="J5" s="68">
        <f t="shared" si="5"/>
        <v>31.697384347826084</v>
      </c>
      <c r="K5" s="92">
        <f>AVERAGE($J$3:J5)</f>
        <v>37.455076833890743</v>
      </c>
      <c r="L5" s="71">
        <f>SUM($F$3:F5)/I5</f>
        <v>-5.8968657732448845E-2</v>
      </c>
    </row>
    <row r="6" spans="1:12" x14ac:dyDescent="0.2">
      <c r="A6" s="60">
        <v>4</v>
      </c>
      <c r="B6" s="67">
        <v>34000</v>
      </c>
      <c r="C6" s="68">
        <f t="shared" si="0"/>
        <v>19593.936707199999</v>
      </c>
      <c r="D6" s="68">
        <f t="shared" si="1"/>
        <v>1874.7563078399999</v>
      </c>
      <c r="E6" s="68">
        <f t="shared" si="4"/>
        <v>17993.263007999998</v>
      </c>
      <c r="F6" s="68">
        <f t="shared" si="2"/>
        <v>-16006.736992000002</v>
      </c>
      <c r="G6" s="68">
        <f t="shared" si="3"/>
        <v>16006.736992000002</v>
      </c>
      <c r="H6" s="68">
        <f>SUMSQ($F$3:F6)/A6</f>
        <v>85603145.966045946</v>
      </c>
      <c r="I6" s="70">
        <f>SUM($G$3:G6)/A6</f>
        <v>7576.6138480000009</v>
      </c>
      <c r="J6" s="68">
        <f t="shared" si="5"/>
        <v>47.078638211764712</v>
      </c>
      <c r="K6" s="92">
        <f>AVERAGE($J$3:J6)</f>
        <v>39.860967178359232</v>
      </c>
      <c r="L6" s="71">
        <f>SUM($F$3:F6)/I6</f>
        <v>-2.1497486500911616</v>
      </c>
    </row>
    <row r="7" spans="1:12" x14ac:dyDescent="0.2">
      <c r="A7" s="60">
        <v>5</v>
      </c>
      <c r="B7" s="67">
        <v>10000</v>
      </c>
      <c r="C7" s="68">
        <f t="shared" si="0"/>
        <v>20321.823713536</v>
      </c>
      <c r="D7" s="68">
        <f t="shared" si="1"/>
        <v>1645.3824475392003</v>
      </c>
      <c r="E7" s="68">
        <f t="shared" si="4"/>
        <v>21468.69301504</v>
      </c>
      <c r="F7" s="68">
        <f t="shared" si="2"/>
        <v>11468.69301504</v>
      </c>
      <c r="G7" s="68">
        <f t="shared" si="3"/>
        <v>11468.69301504</v>
      </c>
      <c r="H7" s="68">
        <f>SUMSQ($F$3:F7)/A7</f>
        <v>94788700.667482212</v>
      </c>
      <c r="I7" s="70">
        <f>SUM($G$3:G7)/A7</f>
        <v>8355.0296814080011</v>
      </c>
      <c r="J7" s="68">
        <f t="shared" si="5"/>
        <v>114.6869301504</v>
      </c>
      <c r="K7" s="92">
        <f>AVERAGE($J$3:J7)</f>
        <v>54.82615977276739</v>
      </c>
      <c r="L7" s="71">
        <f>SUM($F$3:F7)/I7</f>
        <v>-0.57679296911221467</v>
      </c>
    </row>
    <row r="8" spans="1:12" x14ac:dyDescent="0.2">
      <c r="A8" s="60">
        <v>6</v>
      </c>
      <c r="B8" s="67">
        <v>18000</v>
      </c>
      <c r="C8" s="68">
        <f t="shared" si="0"/>
        <v>21570.48554496768</v>
      </c>
      <c r="D8" s="68">
        <f t="shared" si="1"/>
        <v>1566.0383243176962</v>
      </c>
      <c r="E8" s="68">
        <f t="shared" si="4"/>
        <v>21967.206161075199</v>
      </c>
      <c r="F8" s="68">
        <f t="shared" si="2"/>
        <v>3967.2061610751989</v>
      </c>
      <c r="G8" s="68">
        <f t="shared" si="3"/>
        <v>3967.2061610751989</v>
      </c>
      <c r="H8" s="68">
        <f>SUMSQ($F$3:F8)/A8</f>
        <v>81613704.676980674</v>
      </c>
      <c r="I8" s="70">
        <f>SUM($G$3:G8)/A8</f>
        <v>7623.7257613525335</v>
      </c>
      <c r="J8" s="68">
        <f t="shared" si="5"/>
        <v>22.040034228195548</v>
      </c>
      <c r="K8" s="92">
        <f>AVERAGE($J$3:J8)</f>
        <v>49.361805515338752</v>
      </c>
      <c r="L8" s="71">
        <f>SUM($F$3:F8)/I8</f>
        <v>-0.11174539097451265</v>
      </c>
    </row>
    <row r="9" spans="1:12" x14ac:dyDescent="0.2">
      <c r="A9" s="60">
        <v>7</v>
      </c>
      <c r="B9" s="67">
        <v>23000</v>
      </c>
      <c r="C9" s="68">
        <f t="shared" si="0"/>
        <v>23122.871482356837</v>
      </c>
      <c r="D9" s="68">
        <f t="shared" si="1"/>
        <v>1563.3078469319885</v>
      </c>
      <c r="E9" s="68">
        <f t="shared" si="4"/>
        <v>23136.523869285375</v>
      </c>
      <c r="F9" s="68">
        <f t="shared" si="2"/>
        <v>136.52386928537453</v>
      </c>
      <c r="G9" s="68">
        <f t="shared" si="3"/>
        <v>136.52386928537453</v>
      </c>
      <c r="H9" s="68">
        <f>SUMSQ($F$3:F9)/A9</f>
        <v>69957266.689824089</v>
      </c>
      <c r="I9" s="70">
        <f>SUM($G$3:G9)/A9</f>
        <v>6554.1254910572252</v>
      </c>
      <c r="J9" s="68">
        <f t="shared" si="5"/>
        <v>0.59358204037119366</v>
      </c>
      <c r="K9" s="92">
        <f>AVERAGE($J$3:J9)</f>
        <v>42.394916447486246</v>
      </c>
      <c r="L9" s="71">
        <f>SUM($F$3:F9)/I9</f>
        <v>-0.10915145698316966</v>
      </c>
    </row>
    <row r="10" spans="1:12" x14ac:dyDescent="0.2">
      <c r="A10" s="60">
        <v>8</v>
      </c>
      <c r="B10" s="67">
        <v>38000</v>
      </c>
      <c r="C10" s="68">
        <f t="shared" si="0"/>
        <v>26017.561396359943</v>
      </c>
      <c r="D10" s="68">
        <f t="shared" si="1"/>
        <v>1829.584260346212</v>
      </c>
      <c r="E10" s="68">
        <f t="shared" si="4"/>
        <v>24686.179329288825</v>
      </c>
      <c r="F10" s="68">
        <f t="shared" si="2"/>
        <v>-13313.820670711175</v>
      </c>
      <c r="G10" s="68">
        <f t="shared" si="3"/>
        <v>13313.820670711175</v>
      </c>
      <c r="H10" s="68">
        <f>SUMSQ($F$3:F10)/A10</f>
        <v>83369835.960078105</v>
      </c>
      <c r="I10" s="70">
        <f>SUM($G$3:G10)/A10</f>
        <v>7399.087388513969</v>
      </c>
      <c r="J10" s="68">
        <f t="shared" si="5"/>
        <v>35.036370186082038</v>
      </c>
      <c r="K10" s="92">
        <f>AVERAGE($J$3:J10)</f>
        <v>41.475098164810717</v>
      </c>
      <c r="L10" s="71">
        <f>SUM($F$3:F10)/I10</f>
        <v>-1.8960734318517392</v>
      </c>
    </row>
    <row r="11" spans="1:12" x14ac:dyDescent="0.2">
      <c r="A11" s="60">
        <v>9</v>
      </c>
      <c r="B11" s="67">
        <v>12000</v>
      </c>
      <c r="C11" s="68">
        <f t="shared" si="0"/>
        <v>26262.431091035538</v>
      </c>
      <c r="D11" s="68">
        <f t="shared" si="1"/>
        <v>1512.6413472120887</v>
      </c>
      <c r="E11" s="68">
        <f t="shared" si="4"/>
        <v>27847.145656706154</v>
      </c>
      <c r="F11" s="68">
        <f t="shared" si="2"/>
        <v>15847.145656706154</v>
      </c>
      <c r="G11" s="68">
        <f t="shared" si="3"/>
        <v>15847.145656706154</v>
      </c>
      <c r="H11" s="68">
        <f>SUMSQ($F$3:F11)/A11</f>
        <v>102010079.23838729</v>
      </c>
      <c r="I11" s="70">
        <f>SUM($G$3:G11)/A11</f>
        <v>8337.760529424213</v>
      </c>
      <c r="J11" s="68">
        <f t="shared" si="5"/>
        <v>132.05954713921795</v>
      </c>
      <c r="K11" s="92">
        <f>AVERAGE($J$3:J11)</f>
        <v>51.540036939744851</v>
      </c>
      <c r="L11" s="71">
        <f>SUM($F$3:F11)/I11</f>
        <v>0.21803608210862024</v>
      </c>
    </row>
    <row r="12" spans="1:12" x14ac:dyDescent="0.2">
      <c r="A12" s="60">
        <v>10</v>
      </c>
      <c r="B12" s="67">
        <v>13000</v>
      </c>
      <c r="C12" s="68">
        <f t="shared" si="0"/>
        <v>26297.565194422863</v>
      </c>
      <c r="D12" s="68">
        <f t="shared" si="1"/>
        <v>1217.1398984471359</v>
      </c>
      <c r="E12" s="68">
        <f t="shared" si="4"/>
        <v>27775.072438247626</v>
      </c>
      <c r="F12" s="68">
        <f t="shared" si="2"/>
        <v>14775.072438247626</v>
      </c>
      <c r="G12" s="68">
        <f t="shared" si="3"/>
        <v>14775.072438247626</v>
      </c>
      <c r="H12" s="68">
        <f>SUMSQ($F$3:F12)/A12</f>
        <v>113639347.87009501</v>
      </c>
      <c r="I12" s="70">
        <f>SUM($G$3:G12)/A12</f>
        <v>8981.4917203065525</v>
      </c>
      <c r="J12" s="68">
        <f t="shared" si="5"/>
        <v>113.65440337113557</v>
      </c>
      <c r="K12" s="92">
        <f>AVERAGE($J$3:J12)</f>
        <v>57.751473582883932</v>
      </c>
      <c r="L12" s="71">
        <f>SUM($F$3:F12)/I12</f>
        <v>1.8474665004842681</v>
      </c>
    </row>
    <row r="13" spans="1:12" x14ac:dyDescent="0.2">
      <c r="A13" s="60">
        <v>11</v>
      </c>
      <c r="B13" s="67">
        <v>32000</v>
      </c>
      <c r="C13" s="68">
        <f t="shared" si="0"/>
        <v>27963.234583582998</v>
      </c>
      <c r="D13" s="68">
        <f t="shared" si="1"/>
        <v>1306.845796589736</v>
      </c>
      <c r="E13" s="68">
        <f t="shared" si="4"/>
        <v>27514.705092869997</v>
      </c>
      <c r="F13" s="68">
        <f t="shared" si="2"/>
        <v>-4485.2949071300027</v>
      </c>
      <c r="G13" s="68">
        <f t="shared" si="3"/>
        <v>4485.2949071300027</v>
      </c>
      <c r="H13" s="68">
        <f>SUMSQ($F$3:F13)/A13</f>
        <v>105137395.3731706</v>
      </c>
      <c r="I13" s="70">
        <f>SUM($G$3:G13)/A13</f>
        <v>8572.7465554723221</v>
      </c>
      <c r="J13" s="68">
        <f t="shared" si="5"/>
        <v>14.01654658478126</v>
      </c>
      <c r="K13" s="92">
        <f>AVERAGE($J$3:J13)</f>
        <v>53.775571128510961</v>
      </c>
      <c r="L13" s="71">
        <f>SUM($F$3:F13)/I13</f>
        <v>1.4123490169885335</v>
      </c>
    </row>
    <row r="14" spans="1:12" ht="13.5" thickBot="1" x14ac:dyDescent="0.25">
      <c r="A14" s="22">
        <v>12</v>
      </c>
      <c r="B14" s="82">
        <v>41000</v>
      </c>
      <c r="C14" s="83">
        <f t="shared" si="0"/>
        <v>30443.072342155461</v>
      </c>
      <c r="D14" s="83">
        <f t="shared" si="1"/>
        <v>1541.4441889862815</v>
      </c>
      <c r="E14" s="83">
        <f t="shared" si="4"/>
        <v>29270.080380172734</v>
      </c>
      <c r="F14" s="83">
        <f t="shared" si="2"/>
        <v>-11729.919619827266</v>
      </c>
      <c r="G14" s="83">
        <f t="shared" si="3"/>
        <v>11729.919619827266</v>
      </c>
      <c r="H14" s="83">
        <f>SUMSQ($F$3:F14)/A14</f>
        <v>107841863.61604042</v>
      </c>
      <c r="I14" s="84">
        <f>SUM($G$3:G14)/A14</f>
        <v>8835.8443108352349</v>
      </c>
      <c r="J14" s="83">
        <f t="shared" si="5"/>
        <v>28.609560048359185</v>
      </c>
      <c r="K14" s="93">
        <f>AVERAGE($J$3:J14)</f>
        <v>51.678403538498316</v>
      </c>
      <c r="L14" s="85">
        <f>SUM($F$3:F14)/I14</f>
        <v>4.2756587530931076E-2</v>
      </c>
    </row>
    <row r="15" spans="1:12" x14ac:dyDescent="0.2">
      <c r="A15" s="56"/>
      <c r="B15" s="36"/>
      <c r="C15" s="36"/>
      <c r="D15" s="25"/>
      <c r="E15" s="25">
        <f>$C$14+$D$14</f>
        <v>31984.516531141744</v>
      </c>
      <c r="F15" s="36"/>
      <c r="G15" s="36"/>
      <c r="H15" s="36"/>
      <c r="I15" s="36"/>
      <c r="J15" s="36"/>
      <c r="K15" s="36"/>
      <c r="L15" s="46"/>
    </row>
    <row r="16" spans="1:12" x14ac:dyDescent="0.2">
      <c r="A16" s="56"/>
      <c r="B16" s="36"/>
      <c r="C16" s="36"/>
      <c r="D16" s="25"/>
      <c r="E16" s="25">
        <f>$C$14+2*$D$14</f>
        <v>33525.960720128023</v>
      </c>
      <c r="F16" s="36"/>
      <c r="G16" s="36"/>
      <c r="H16" s="36"/>
      <c r="I16" s="36"/>
      <c r="J16" s="36"/>
      <c r="K16" s="36"/>
      <c r="L16" s="46"/>
    </row>
    <row r="17" spans="1:12" x14ac:dyDescent="0.2">
      <c r="A17" s="56"/>
      <c r="B17" s="36"/>
      <c r="C17" s="36"/>
      <c r="D17" s="25"/>
      <c r="E17" s="25">
        <f>$C$14+3*$D$14</f>
        <v>35067.40490911431</v>
      </c>
      <c r="F17" s="36"/>
      <c r="G17" s="36"/>
      <c r="H17" s="36"/>
      <c r="I17" s="36"/>
      <c r="J17" s="36"/>
      <c r="K17" s="36"/>
      <c r="L17" s="46"/>
    </row>
    <row r="18" spans="1:12" ht="13.5" thickBot="1" x14ac:dyDescent="0.25">
      <c r="A18" s="87"/>
      <c r="B18" s="88"/>
      <c r="C18" s="88"/>
      <c r="D18" s="89"/>
      <c r="E18" s="89">
        <f>$C$14+4*$D$14</f>
        <v>36608.849098100589</v>
      </c>
      <c r="F18" s="88"/>
      <c r="G18" s="88"/>
      <c r="H18" s="88"/>
      <c r="I18" s="88"/>
      <c r="J18" s="88"/>
      <c r="K18" s="88"/>
      <c r="L18" s="90"/>
    </row>
    <row r="19" spans="1:12" ht="6" customHeight="1" thickBot="1" x14ac:dyDescent="0.25"/>
    <row r="20" spans="1:12" ht="15.75" x14ac:dyDescent="0.25">
      <c r="A20" s="159" t="s">
        <v>116</v>
      </c>
      <c r="B20" s="138">
        <v>0.1</v>
      </c>
      <c r="C20" s="5"/>
      <c r="D20" s="5"/>
      <c r="E20" s="6"/>
    </row>
    <row r="21" spans="1:12" ht="16.5" thickBot="1" x14ac:dyDescent="0.3">
      <c r="A21" s="160" t="s">
        <v>117</v>
      </c>
      <c r="B21" s="139">
        <v>0.2</v>
      </c>
      <c r="C21" s="5"/>
      <c r="D21" s="5"/>
      <c r="E21" s="6"/>
    </row>
    <row r="22" spans="1:12" x14ac:dyDescent="0.2">
      <c r="C22" s="5"/>
      <c r="D22" s="5"/>
      <c r="E22" s="6"/>
    </row>
    <row r="23" spans="1:12" x14ac:dyDescent="0.2">
      <c r="C23" s="5"/>
      <c r="D23" s="5"/>
      <c r="E23" s="6"/>
    </row>
    <row r="24" spans="1:12" x14ac:dyDescent="0.2">
      <c r="C24" s="5"/>
      <c r="D24" s="5"/>
      <c r="E24" s="6"/>
    </row>
    <row r="25" spans="1:12" x14ac:dyDescent="0.2">
      <c r="C25" s="5"/>
      <c r="D25" s="5"/>
      <c r="E25" s="6"/>
    </row>
    <row r="26" spans="1:12" x14ac:dyDescent="0.2">
      <c r="C26" s="5"/>
      <c r="D26" s="5"/>
      <c r="E26" s="6"/>
    </row>
    <row r="27" spans="1:12" x14ac:dyDescent="0.2">
      <c r="C27" s="5"/>
      <c r="D27" s="5"/>
      <c r="E27" s="6"/>
    </row>
    <row r="28" spans="1:12" x14ac:dyDescent="0.2">
      <c r="C28" s="5"/>
      <c r="D28" s="5"/>
      <c r="E28" s="6"/>
    </row>
    <row r="29" spans="1:12" x14ac:dyDescent="0.2">
      <c r="C29" s="5"/>
      <c r="D29" s="5"/>
      <c r="E29" s="6"/>
    </row>
    <row r="30" spans="1:12" x14ac:dyDescent="0.2">
      <c r="C30" s="5"/>
      <c r="D30" s="5"/>
      <c r="E30" s="6"/>
    </row>
    <row r="31" spans="1:12" x14ac:dyDescent="0.2">
      <c r="C31" s="5"/>
      <c r="D31" s="5"/>
      <c r="E31" s="6"/>
    </row>
    <row r="32" spans="1:12" x14ac:dyDescent="0.2">
      <c r="B32" s="5"/>
      <c r="C32" s="5"/>
      <c r="D32" s="5"/>
    </row>
    <row r="35" spans="1:4" ht="15.75" x14ac:dyDescent="0.25">
      <c r="A35" s="59" t="s">
        <v>70</v>
      </c>
    </row>
    <row r="36" spans="1:4" x14ac:dyDescent="0.2">
      <c r="C36" s="5"/>
      <c r="D36" s="5"/>
    </row>
    <row r="37" spans="1:4" x14ac:dyDescent="0.2">
      <c r="C37" s="5"/>
      <c r="D37" s="5"/>
    </row>
    <row r="38" spans="1:4" x14ac:dyDescent="0.2">
      <c r="C38" s="5"/>
      <c r="D38" s="5"/>
    </row>
    <row r="39" spans="1:4" x14ac:dyDescent="0.2">
      <c r="C39" s="5"/>
      <c r="D39" s="5"/>
    </row>
  </sheetData>
  <phoneticPr fontId="0" type="noConversion"/>
  <pageMargins left="0.75" right="0.75" top="1" bottom="1" header="0.5" footer="0.5"/>
  <pageSetup scale="98" orientation="landscape" horizontalDpi="4294967292" verticalDpi="300" r:id="rId1"/>
  <headerFooter alignWithMargins="0">
    <oddHeader>&amp;C&amp;A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8"/>
  <sheetViews>
    <sheetView showGridLines="0" zoomScaleNormal="100" workbookViewId="0">
      <selection activeCell="B18" sqref="B18"/>
    </sheetView>
  </sheetViews>
  <sheetFormatPr defaultRowHeight="12.75" x14ac:dyDescent="0.2"/>
  <cols>
    <col min="2" max="2" width="10.5703125" customWidth="1"/>
    <col min="3" max="3" width="13.42578125" bestFit="1" customWidth="1"/>
    <col min="4" max="4" width="12.28515625" bestFit="1" customWidth="1"/>
    <col min="5" max="9" width="9.28515625" bestFit="1" customWidth="1"/>
  </cols>
  <sheetData>
    <row r="1" spans="1:9" x14ac:dyDescent="0.2">
      <c r="A1" s="48" t="s">
        <v>71</v>
      </c>
    </row>
    <row r="2" spans="1:9" ht="13.5" thickBot="1" x14ac:dyDescent="0.25"/>
    <row r="3" spans="1:9" x14ac:dyDescent="0.2">
      <c r="A3" s="4" t="s">
        <v>0</v>
      </c>
      <c r="B3" s="4"/>
    </row>
    <row r="4" spans="1:9" x14ac:dyDescent="0.2">
      <c r="A4" s="1" t="s">
        <v>1</v>
      </c>
      <c r="B4" s="1">
        <v>0.4813271965428314</v>
      </c>
    </row>
    <row r="5" spans="1:9" x14ac:dyDescent="0.2">
      <c r="A5" s="1" t="s">
        <v>2</v>
      </c>
      <c r="B5" s="1">
        <v>0.23167587013178143</v>
      </c>
    </row>
    <row r="6" spans="1:9" x14ac:dyDescent="0.2">
      <c r="A6" s="1" t="s">
        <v>3</v>
      </c>
      <c r="B6" s="1">
        <v>0.15484345714495956</v>
      </c>
    </row>
    <row r="7" spans="1:9" x14ac:dyDescent="0.2">
      <c r="A7" s="1" t="s">
        <v>4</v>
      </c>
      <c r="B7" s="1">
        <v>10666.883374838264</v>
      </c>
    </row>
    <row r="8" spans="1:9" ht="13.5" thickBot="1" x14ac:dyDescent="0.25">
      <c r="A8" s="2" t="s">
        <v>5</v>
      </c>
      <c r="B8" s="2">
        <v>12</v>
      </c>
    </row>
    <row r="10" spans="1:9" ht="13.5" thickBot="1" x14ac:dyDescent="0.25">
      <c r="A10" t="s">
        <v>6</v>
      </c>
    </row>
    <row r="11" spans="1:9" x14ac:dyDescent="0.2">
      <c r="A11" s="3"/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</row>
    <row r="12" spans="1:9" x14ac:dyDescent="0.2">
      <c r="A12" s="1" t="s">
        <v>7</v>
      </c>
      <c r="B12" s="1">
        <v>1</v>
      </c>
      <c r="C12" s="1">
        <v>343092657.34265733</v>
      </c>
      <c r="D12" s="1">
        <v>343092657.34265733</v>
      </c>
      <c r="E12" s="1">
        <v>3.0153402857660869</v>
      </c>
      <c r="F12" s="1">
        <v>0.11312702244665584</v>
      </c>
    </row>
    <row r="13" spans="1:9" x14ac:dyDescent="0.2">
      <c r="A13" s="1" t="s">
        <v>8</v>
      </c>
      <c r="B13" s="1">
        <v>10</v>
      </c>
      <c r="C13" s="1">
        <v>1137824009.3240094</v>
      </c>
      <c r="D13" s="1">
        <v>113782400.93240094</v>
      </c>
      <c r="E13" s="1"/>
      <c r="F13" s="1"/>
    </row>
    <row r="14" spans="1:9" ht="13.5" thickBot="1" x14ac:dyDescent="0.25">
      <c r="A14" s="2" t="s">
        <v>9</v>
      </c>
      <c r="B14" s="2">
        <v>11</v>
      </c>
      <c r="C14" s="2">
        <v>1480916666.6666667</v>
      </c>
      <c r="D14" s="2"/>
      <c r="E14" s="2"/>
      <c r="F14" s="2"/>
    </row>
    <row r="15" spans="1:9" ht="13.5" thickBot="1" x14ac:dyDescent="0.25"/>
    <row r="16" spans="1:9" x14ac:dyDescent="0.2">
      <c r="A16" s="3"/>
      <c r="B16" s="3" t="s">
        <v>16</v>
      </c>
      <c r="C16" s="3" t="s">
        <v>4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 x14ac:dyDescent="0.2">
      <c r="A17" s="1" t="s">
        <v>10</v>
      </c>
      <c r="B17" s="111">
        <v>12015.151515151498</v>
      </c>
      <c r="C17" s="1">
        <v>6565.0128935574921</v>
      </c>
      <c r="D17" s="1">
        <v>1.830179423858016</v>
      </c>
      <c r="E17" s="1">
        <v>9.7147266731838405E-2</v>
      </c>
      <c r="F17" s="1">
        <v>-2612.6113080642699</v>
      </c>
      <c r="G17" s="1">
        <v>26642.914338367264</v>
      </c>
      <c r="H17" s="1">
        <v>-2612.6113080642699</v>
      </c>
      <c r="I17" s="1">
        <v>26642.914338367264</v>
      </c>
    </row>
    <row r="18" spans="1:9" ht="13.5" thickBot="1" x14ac:dyDescent="0.25">
      <c r="A18" s="2" t="s">
        <v>23</v>
      </c>
      <c r="B18" s="112">
        <v>1548.951048951051</v>
      </c>
      <c r="C18" s="2">
        <v>892.00959938859694</v>
      </c>
      <c r="D18" s="2">
        <v>1.7364735200302062</v>
      </c>
      <c r="E18" s="2">
        <v>0.11312702244665533</v>
      </c>
      <c r="F18" s="2">
        <v>-438.57053972590825</v>
      </c>
      <c r="G18" s="2">
        <v>3536.4726376280105</v>
      </c>
      <c r="H18" s="2">
        <v>-438.57053972590825</v>
      </c>
      <c r="I18" s="2">
        <v>3536.4726376280105</v>
      </c>
    </row>
  </sheetData>
  <phoneticPr fontId="0" type="noConversion"/>
  <pageMargins left="0.75" right="0.75" top="1" bottom="1" header="0.5" footer="0.5"/>
  <pageSetup orientation="landscape" horizontalDpi="4294967293" verticalDpi="300" r:id="rId1"/>
  <headerFooter alignWithMargins="0"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Table 7.1</vt:lpstr>
      <vt:lpstr>Figure 7-2 &amp; 7-3</vt:lpstr>
      <vt:lpstr>Regression-1</vt:lpstr>
      <vt:lpstr>Figure7-4</vt:lpstr>
      <vt:lpstr>Figure7-5,6</vt:lpstr>
      <vt:lpstr>Figure 7-7</vt:lpstr>
      <vt:lpstr>Figure 7-8</vt:lpstr>
      <vt:lpstr>Figure 7-9</vt:lpstr>
      <vt:lpstr>holts-regression</vt:lpstr>
      <vt:lpstr>deseasonalized</vt:lpstr>
      <vt:lpstr>winters-regression</vt:lpstr>
      <vt:lpstr>Figure 7-10</vt:lpstr>
      <vt:lpstr>Table 7-2</vt:lpstr>
      <vt:lpstr>deseasonalized!Print_Area</vt:lpstr>
      <vt:lpstr>'Figure 7-10'!Print_Area</vt:lpstr>
      <vt:lpstr>'Figure 7-9'!Print_Area</vt:lpstr>
      <vt:lpstr>'Figure7-4'!Print_Area</vt:lpstr>
      <vt:lpstr>'holts-regression'!Print_Area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Tahoe Salt</dc:title>
  <dc:subject>Supply Chain Management - 6th Edition</dc:subject>
  <dc:creator>Chopra/Mabe</dc:creator>
  <cp:lastModifiedBy>GRW</cp:lastModifiedBy>
  <cp:lastPrinted>2001-09-14T15:50:25Z</cp:lastPrinted>
  <dcterms:created xsi:type="dcterms:W3CDTF">1998-03-03T19:47:06Z</dcterms:created>
  <dcterms:modified xsi:type="dcterms:W3CDTF">2016-02-26T16:15:45Z</dcterms:modified>
</cp:coreProperties>
</file>