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reau"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30" authorId="0">
      <text>
        <r>
          <rPr>
            <sz val="10"/>
            <rFont val="Arial"/>
            <family val="0"/>
            <charset val="1"/>
          </rPr>
          <t xml:space="preserve">calcul simplifié de l'énergie grise (énergie procédé) contenue dans les matériaux selon une méthode adaptée de la méthode suisse SNARC (base de donnée Ecoinvent). Les renouvellements ne sont pas pris en compte
</t>
        </r>
      </text>
    </comment>
    <comment ref="C18" authorId="0">
      <text>
        <r>
          <rPr>
            <sz val="10"/>
            <rFont val="Arial"/>
            <family val="0"/>
            <charset val="1"/>
          </rPr>
          <t xml:space="preserve">traditionnellement les calculs thermiques comptent les surfaces de l'intérieur pour leur affecter des coefficients U en partie courante. Les surfaces de parois non comptabilisées par cette approche rentrent dans les ponts thermiques</t>
        </r>
      </text>
    </comment>
    <comment ref="C20" authorId="0">
      <text>
        <r>
          <rPr>
            <sz val="10"/>
            <rFont val="Arial"/>
            <family val="0"/>
            <charset val="1"/>
          </rPr>
          <t xml:space="preserve">la surface dans œuvre SDO est la somme des surfaces de planchers de chaque niveau calculée à partir du nu intérieur des façades. Elle comprend les circulations verticales et horizontales, les paliers d'étage, l'emprise des ouvrages non porteurs (cloisons, gaines ...), les locaux techniques ... Elle ne comprend pas les balcons loggias, surfaces de parking ...
</t>
        </r>
      </text>
    </comment>
    <comment ref="C27" authorId="0">
      <text>
        <r>
          <rPr>
            <sz val="10"/>
            <rFont val="Arial"/>
            <family val="0"/>
            <charset val="1"/>
          </rPr>
          <t xml:space="preserve">Indice de compacité: surface totale de l'enveloppe thermique ramenée à la SDO
</t>
        </r>
      </text>
    </comment>
    <comment ref="C30" authorId="0">
      <text>
        <r>
          <rPr>
            <sz val="10"/>
            <rFont val="Arial"/>
            <family val="0"/>
            <charset val="1"/>
          </rPr>
          <t xml:space="preserve">INDICE D'OUVERTURE: c'est la surface totale des baies en tableau ramenée à la SDO. Il caractérise la qualité du compromis choisi pour les baies, entre déperditions, solarisation d'hiver, risque de surchauffe d'été. Un IOUV faible favorise économie de chauffage et confort d'été. Un IOUV fort favorise éclairage naturel et qualité d'usage
</t>
        </r>
      </text>
    </comment>
    <comment ref="C38" authorId="0">
      <text>
        <r>
          <rPr>
            <sz val="10"/>
            <rFont val="Arial"/>
            <family val="0"/>
            <charset val="1"/>
          </rPr>
          <t xml:space="preserve">le delta UBAT représente le supplément de UBAT du aux ponts thermiques
</t>
        </r>
      </text>
    </comment>
    <comment ref="C43" authorId="0">
      <text>
        <r>
          <rPr>
            <sz val="10"/>
            <rFont val="Arial"/>
            <family val="0"/>
            <charset val="1"/>
          </rPr>
          <t xml:space="preserve">COEFFICIENT UBAT de la RT 2005. C'est la somme des déperditions d'enveloppe ramenée à la surface de l'enveloppe. C'est une sorte de U moyen de paroi
</t>
        </r>
      </text>
    </comment>
    <comment ref="C46" authorId="0">
      <text>
        <r>
          <rPr>
            <sz val="10"/>
            <rFont val="Arial"/>
            <family val="0"/>
            <charset val="1"/>
          </rPr>
          <t xml:space="preserve">l'INDICE D'ISOLATION est la somme des déperditions d'enveloppe ramenée à la SDO.
C'est l'indicateur le plus pertinentdu poids de l'isolation sur les consommations
</t>
        </r>
      </text>
    </comment>
    <comment ref="C54" authorId="0">
      <text>
        <r>
          <rPr>
            <sz val="10"/>
            <rFont val="Arial"/>
            <family val="0"/>
            <charset val="1"/>
          </rPr>
          <t xml:space="preserve">le facteur d'ensoleillement d'hiver FEH représente la part du rayonnement solaire qui, en hiver, atteint la baie, compte-tenu des différents masques  fixes 
(bâtiments voisins, protections solaires fixes, casquettes, débords de toit, retour de bâtiment …) . Il ne comprend pas le facteur solaire du vitrage lui-même 
</t>
        </r>
      </text>
    </comment>
    <comment ref="C55" authorId="0">
      <text>
        <r>
          <rPr>
            <sz val="10"/>
            <rFont val="Arial"/>
            <family val="0"/>
            <charset val="1"/>
          </rPr>
          <t xml:space="preserve">le facteur d'ensoleillement d'hété FEE représente la part du rayonnement solaire qui, en été, atteint la baie, compte-tenu des différents masques  fixes 
(bâtiments voisins, protections solaires fixes, casquettes, débords de toit, retour de bâtiment …) . Il ne comprend pas le facteur solaire du vitrage lui-même 
</t>
        </r>
      </text>
    </comment>
    <comment ref="C56" authorId="0">
      <text>
        <r>
          <rPr>
            <sz val="10"/>
            <rFont val="Arial"/>
            <family val="0"/>
            <charset val="1"/>
          </rPr>
          <t xml:space="preserve">Le facteur solaire des protections mobiles FSP représente la part du rayonnement solaire qui traverse la seule protection solaire mobile, en position baissée. Il ne comprend pas le facteur solaire du vittrage lui-même.
</t>
        </r>
      </text>
    </comment>
    <comment ref="C57" authorId="0">
      <text>
        <r>
          <rPr>
            <sz val="10"/>
            <rFont val="Arial"/>
            <family val="0"/>
            <charset val="1"/>
          </rPr>
          <t xml:space="preserve">le rapport de clair représente la part transparente de la baie 
</t>
        </r>
      </text>
    </comment>
    <comment ref="C58" authorId="0">
      <text>
        <r>
          <rPr>
            <sz val="10"/>
            <rFont val="Arial"/>
            <family val="0"/>
            <charset val="1"/>
          </rPr>
          <t xml:space="preserve">part du rayonnement solaire qui traverse le vitrage
</t>
        </r>
      </text>
    </comment>
    <comment ref="C60" authorId="0">
      <text>
        <r>
          <rPr>
            <sz val="10"/>
            <rFont val="Arial"/>
            <family val="0"/>
            <charset val="1"/>
          </rPr>
          <t xml:space="preserve">INDICE SUD EQUIVALENT D'HIVER. Il s'agit de la surface de baies uniquement sud qui laisserait passer le même rayonnement solaire, en hiver, que la totalité des baies du bâtiment. Cet indice est pondéré par les masques, les protections solaires fixes, le rapport de clair et le facteur solaire du vitrage. Il est ramené à </t>
        </r>
        <r>
          <rPr>
            <b val="true"/>
            <sz val="8"/>
            <color rgb="FF000000"/>
            <rFont val="Tahoma"/>
            <family val="2"/>
            <charset val="1"/>
          </rPr>
          <t xml:space="preserve">la SDO.
C'est l'indicateur qui rend compte de la plus ou moins bonne exposition aux apports solaires</t>
        </r>
      </text>
    </comment>
    <comment ref="C65" authorId="0">
      <text>
        <r>
          <rPr>
            <sz val="10"/>
            <rFont val="Arial"/>
            <family val="0"/>
            <charset val="1"/>
          </rPr>
          <t xml:space="preserve">INDICE SUD EQUIVALENT D'ETE. Il s'agit de la surface de baies uniquement sud qui laisserait passer le même rayonnement solaire, en été, que la totalité des baies du bâtiment. Cet indice est pondéré par les masques, les protections solaires baissées, le rapport de clair et le facteur solaire du vitrage. Il est ramené à la SDO.
C'est l'indicatuer qui rend compte des surchauffes dues à l'exposition au soleil d'été</t>
        </r>
      </text>
    </comment>
    <comment ref="C69" authorId="0">
      <text>
        <r>
          <rPr>
            <sz val="10"/>
            <rFont val="Arial"/>
            <family val="0"/>
            <charset val="1"/>
          </rPr>
          <t xml:space="preserve"> 0° pour une vent ° pour un  vent normal à la paroi. 90° pour un vent parallèle. </t>
        </r>
      </text>
    </comment>
    <comment ref="C81" authorId="0">
      <text>
        <r>
          <rPr>
            <sz val="10"/>
            <rFont val="Arial"/>
            <family val="0"/>
            <charset val="1"/>
          </rPr>
          <t xml:space="preserve">INDICE DE SURCHAUFFE. Il s'agit d'un équivalent surchauffe (en °C) caractérisant la limitation de l'effet des apports par lkes divers dispositifs de rafraîchissement passif (protection solaire, inertie, surventilation, brasseurs d'air, puits provençal), </t>
        </r>
      </text>
    </comment>
    <comment ref="C88" authorId="0">
      <text>
        <r>
          <rPr>
            <sz val="10"/>
            <rFont val="Arial"/>
            <family val="0"/>
            <charset val="1"/>
          </rPr>
          <t xml:space="preserve">saisir O si l'alège est vitrée et N si elle ne l'est pas (alège pleine)
</t>
        </r>
      </text>
    </comment>
    <comment ref="C90" authorId="0">
      <text>
        <r>
          <rPr>
            <sz val="10"/>
            <rFont val="Arial"/>
            <family val="0"/>
            <charset val="1"/>
          </rPr>
          <t xml:space="preserve">le facteur de transmission lumineuse est la part du rayonnement lumineux qui passe à travers le vitrage
</t>
        </r>
      </text>
    </comment>
    <comment ref="C92" authorId="0">
      <text>
        <r>
          <rPr>
            <sz val="10"/>
            <rFont val="Arial"/>
            <family val="0"/>
            <charset val="1"/>
          </rPr>
          <t xml:space="preserve">AEN est l'autonomie en lumière naturelle (calcul simplifié) de la totalité du bâtiment (locaux éclairés en façade + locaux aveugles).
L'autonomie représente la part du temps annuel (sur une plage journalière de 8h à 18h) sur laquelle la lumière naturelle fournit plus de 300 lux en moyenne sur un local.
</t>
        </r>
      </text>
    </comment>
    <comment ref="C93" authorId="0">
      <text>
        <r>
          <rPr>
            <sz val="10"/>
            <rFont val="Arial"/>
            <family val="0"/>
            <charset val="1"/>
          </rPr>
          <t xml:space="preserve">Besoins pour l'éclairage :
</t>
        </r>
      </text>
    </comment>
    <comment ref="C97" authorId="0">
      <text>
        <r>
          <rPr>
            <sz val="10"/>
            <rFont val="Arial"/>
            <family val="0"/>
            <charset val="1"/>
          </rPr>
          <t xml:space="preserve">inscrire D si double flux avec récupération de chaleur, S si simple flux et H si hygroréglable
</t>
        </r>
      </text>
    </comment>
    <comment ref="C98" authorId="0">
      <text>
        <r>
          <rPr>
            <sz val="10"/>
            <rFont val="Arial"/>
            <family val="0"/>
            <charset val="1"/>
          </rPr>
          <t xml:space="preserve">saisir le niveau de perméabilité à l'air des façades visé
</t>
        </r>
      </text>
    </comment>
    <comment ref="C99" authorId="0">
      <text>
        <r>
          <rPr>
            <sz val="10"/>
            <rFont val="Arial"/>
            <family val="0"/>
            <charset val="1"/>
          </rPr>
          <t xml:space="preserve">équivalent, en taux de renouvellement d'air, du I4 de la RT 2005, évalué pour des locaux traversant en site protégé
</t>
        </r>
      </text>
    </comment>
    <comment ref="C100" authorId="0">
      <text>
        <r>
          <rPr>
            <sz val="10"/>
            <rFont val="Arial"/>
            <family val="0"/>
            <charset val="1"/>
          </rPr>
          <t xml:space="preserve">taux de renouvellement d'air neuf hygiénique équivalent (compte-tenu de l'efficacité de l'échangeur en double flux)
</t>
        </r>
      </text>
    </comment>
    <comment ref="C105" authorId="0">
      <text>
        <r>
          <rPr>
            <sz val="10"/>
            <rFont val="Arial"/>
            <family val="0"/>
            <charset val="1"/>
          </rPr>
          <t xml:space="preserve">besoins de chauffage BCH
</t>
        </r>
      </text>
    </comment>
    <comment ref="C110" authorId="0">
      <text>
        <r>
          <rPr>
            <sz val="10"/>
            <rFont val="Arial"/>
            <family val="0"/>
            <charset val="1"/>
          </rPr>
          <t xml:space="preserve">inscrire C pour les combustibles fossiles (gaz, fioul …), B pour le bois, P pour les pompes à chaleur et E pour le chauffage électrique direct
</t>
        </r>
      </text>
    </comment>
    <comment ref="C127" authorId="0">
      <text>
        <r>
          <rPr>
            <sz val="10"/>
            <rFont val="Arial"/>
            <family val="0"/>
            <charset val="1"/>
          </rPr>
          <t xml:space="preserve">il s'agit de toutes les consommations, collectives et privatives: chauffage, ECS, ventilation, auxiliaires, éclairage (consommations réelles), électroménager, prises ...
</t>
        </r>
      </text>
    </comment>
    <comment ref="C128" authorId="0">
      <text>
        <r>
          <rPr>
            <sz val="10"/>
            <rFont val="Arial"/>
            <family val="0"/>
            <charset val="1"/>
          </rPr>
          <t xml:space="preserve">il s'agit d'un calcul conventionnel ne prenant en compte que les usages réglementés et ramené à la SHON</t>
        </r>
      </text>
    </comment>
    <comment ref="D57" authorId="0">
      <text>
        <r>
          <rPr>
            <sz val="10"/>
            <rFont val="Arial"/>
            <family val="0"/>
            <charset val="1"/>
          </rPr>
          <t xml:space="preserve">Attention: garder une cohérence entre Uw et RCL adaptée au vitrage choisi</t>
        </r>
      </text>
    </comment>
    <comment ref="D58" authorId="0">
      <text>
        <r>
          <rPr>
            <sz val="10"/>
            <rFont val="Arial"/>
            <family val="0"/>
            <charset val="1"/>
          </rPr>
          <t xml:space="preserve">Attention: garder une cohérence entre Uw, FTL et FS adaptée au vitrage choisi</t>
        </r>
      </text>
    </comment>
    <comment ref="D90" authorId="0">
      <text>
        <r>
          <rPr>
            <sz val="10"/>
            <rFont val="Arial"/>
            <family val="0"/>
            <charset val="1"/>
          </rPr>
          <t xml:space="preserve">Attention: garder une cohérence entre Uw, FTL et FS adaptée au vitrage choisi
</t>
        </r>
      </text>
    </comment>
    <comment ref="E16" authorId="0">
      <text>
        <r>
          <rPr>
            <sz val="10"/>
            <rFont val="Arial"/>
            <family val="0"/>
            <charset val="1"/>
          </rPr>
          <t xml:space="preserve">il s'agit de la surface des murs, égale à la surface de façade réduite de la surface des baies
</t>
        </r>
      </text>
    </comment>
    <comment ref="K16" authorId="0">
      <text>
        <r>
          <rPr>
            <sz val="10"/>
            <rFont val="Arial"/>
            <family val="0"/>
            <charset val="1"/>
          </rPr>
          <t xml:space="preserve">la surface des baies se mesure en tableau
</t>
        </r>
      </text>
    </comment>
    <comment ref="K37" authorId="0">
      <text>
        <r>
          <rPr>
            <sz val="10"/>
            <rFont val="Arial"/>
            <family val="0"/>
            <charset val="1"/>
          </rPr>
          <t xml:space="preserve">Attention: garder une cohérence entre Uw, FS, FTL et RCL adaptée au vitrage choisi</t>
        </r>
      </text>
    </comment>
    <comment ref="AK73" authorId="0">
      <text>
        <r>
          <rPr>
            <sz val="10"/>
            <rFont val="Arial"/>
            <family val="0"/>
            <charset val="1"/>
          </rPr>
          <t xml:space="preserve"> calculé pour correspondre au niveau 3 d'EN et niveau 2 de gestion pour AEN au plus bas de la fourchette</t>
        </r>
      </text>
    </comment>
  </commentList>
</comments>
</file>

<file path=xl/sharedStrings.xml><?xml version="1.0" encoding="utf-8"?>
<sst xmlns="http://schemas.openxmlformats.org/spreadsheetml/2006/main" count="660" uniqueCount="419">
  <si>
    <t xml:space="preserve">BABY PAPOOSE version 12  (auteur TRIBU)</t>
  </si>
  <si>
    <r>
      <rPr>
        <b val="true"/>
        <sz val="10"/>
        <color rgb="FFFFFF00"/>
        <rFont val="Arial"/>
        <family val="2"/>
        <charset val="1"/>
      </rPr>
      <t xml:space="preserve">SAISIE </t>
    </r>
    <r>
      <rPr>
        <b val="true"/>
        <sz val="10"/>
        <color rgb="FF00FF00"/>
        <rFont val="Arial"/>
        <family val="2"/>
        <charset val="1"/>
      </rPr>
      <t xml:space="preserve">AFFICHAGE</t>
    </r>
    <r>
      <rPr>
        <b val="true"/>
        <sz val="10"/>
        <color rgb="FFFFFF00"/>
        <rFont val="Arial"/>
        <family val="2"/>
        <charset val="1"/>
      </rPr>
      <t xml:space="preserve"> </t>
    </r>
    <r>
      <rPr>
        <b val="true"/>
        <sz val="10"/>
        <color rgb="FFFFFFFF"/>
        <rFont val="Arial"/>
        <family val="2"/>
        <charset val="1"/>
      </rPr>
      <t xml:space="preserve">et</t>
    </r>
    <r>
      <rPr>
        <b val="true"/>
        <sz val="10"/>
        <color rgb="FFFFFF00"/>
        <rFont val="Arial"/>
        <family val="2"/>
        <charset val="1"/>
      </rPr>
      <t xml:space="preserve"> </t>
    </r>
    <r>
      <rPr>
        <b val="true"/>
        <sz val="10"/>
        <color rgb="FF993366"/>
        <rFont val="Arial"/>
        <family val="2"/>
        <charset val="1"/>
      </rPr>
      <t xml:space="preserve">EVA</t>
    </r>
    <r>
      <rPr>
        <b val="true"/>
        <sz val="10"/>
        <color rgb="FFFF9900"/>
        <rFont val="Arial"/>
        <family val="2"/>
        <charset val="1"/>
      </rPr>
      <t xml:space="preserve">LUA</t>
    </r>
    <r>
      <rPr>
        <b val="true"/>
        <sz val="10"/>
        <color rgb="FFFF0000"/>
        <rFont val="Arial"/>
        <family val="2"/>
        <charset val="1"/>
      </rPr>
      <t xml:space="preserve">TION</t>
    </r>
  </si>
  <si>
    <t xml:space="preserve">DONNEES POUR LA SAISIE</t>
  </si>
  <si>
    <r>
      <rPr>
        <b val="true"/>
        <sz val="10"/>
        <color rgb="FFFFFFFF"/>
        <rFont val="Arial"/>
        <family val="2"/>
        <charset val="1"/>
      </rPr>
      <t xml:space="preserve">partie masquée: </t>
    </r>
    <r>
      <rPr>
        <b val="true"/>
        <sz val="10"/>
        <color rgb="FFCCFFCC"/>
        <rFont val="Arial"/>
        <family val="2"/>
        <charset val="1"/>
      </rPr>
      <t xml:space="preserve">calculs et affichages intermédiaires (cases vertes)</t>
    </r>
    <r>
      <rPr>
        <b val="true"/>
        <sz val="10"/>
        <color rgb="FFFFFFFF"/>
        <rFont val="Arial"/>
        <family val="2"/>
        <charset val="1"/>
      </rPr>
      <t xml:space="preserve">, </t>
    </r>
    <r>
      <rPr>
        <b val="true"/>
        <sz val="10"/>
        <color rgb="FF00FFFF"/>
        <rFont val="Arial"/>
        <family val="2"/>
        <charset val="1"/>
      </rPr>
      <t xml:space="preserve">données modifiables (cases bleues)</t>
    </r>
  </si>
  <si>
    <t xml:space="preserve">ordre d'optimisation des indicateurs &gt;&gt;&gt;&gt;&gt;&gt;&gt;&gt;&gt;&gt;&gt;&gt;&gt;&gt;</t>
  </si>
  <si>
    <t xml:space="preserve">saisie obligatoire </t>
  </si>
  <si>
    <t xml:space="preserve">N</t>
  </si>
  <si>
    <t xml:space="preserve">affichages principaux</t>
  </si>
  <si>
    <t xml:space="preserve">Uparoi mur ITE LMI</t>
  </si>
  <si>
    <t xml:space="preserve">Uw fenêtres</t>
  </si>
  <si>
    <t xml:space="preserve">coefficients par orientation pour les apports et l'éclairage</t>
  </si>
  <si>
    <t xml:space="preserve">affichages secondaires</t>
  </si>
  <si>
    <t xml:space="preserve">40 cm</t>
  </si>
  <si>
    <t xml:space="preserve">DV</t>
  </si>
  <si>
    <t xml:space="preserve">TVPE</t>
  </si>
  <si>
    <t xml:space="preserve">E</t>
  </si>
  <si>
    <t xml:space="preserve">HOR</t>
  </si>
  <si>
    <t xml:space="preserve">NE</t>
  </si>
  <si>
    <t xml:space="preserve">NO</t>
  </si>
  <si>
    <t xml:space="preserve">O</t>
  </si>
  <si>
    <t xml:space="preserve">S</t>
  </si>
  <si>
    <t xml:space="preserve">SE</t>
  </si>
  <si>
    <t xml:space="preserve">SO</t>
  </si>
  <si>
    <t xml:space="preserve">échelle</t>
  </si>
  <si>
    <t xml:space="preserve">faible</t>
  </si>
  <si>
    <t xml:space="preserve">moy</t>
  </si>
  <si>
    <t xml:space="preserve">bon</t>
  </si>
  <si>
    <t xml:space="preserve">30 cm</t>
  </si>
  <si>
    <t xml:space="preserve">lame air</t>
  </si>
  <si>
    <t xml:space="preserve">lame gaz</t>
  </si>
  <si>
    <t xml:space="preserve">ahiver</t>
  </si>
  <si>
    <t xml:space="preserve">25 cm</t>
  </si>
  <si>
    <t xml:space="preserve">bois</t>
  </si>
  <si>
    <t xml:space="preserve">classique</t>
  </si>
  <si>
    <t xml:space="preserve">aété</t>
  </si>
  <si>
    <t xml:space="preserve">CLIMAT</t>
  </si>
  <si>
    <t xml:space="preserve">20 cm</t>
  </si>
  <si>
    <t xml:space="preserve">performant</t>
  </si>
  <si>
    <t xml:space="preserve">A</t>
  </si>
  <si>
    <t xml:space="preserve">climat</t>
  </si>
  <si>
    <t xml:space="preserve">Lyon</t>
  </si>
  <si>
    <t xml:space="preserve">15 cm</t>
  </si>
  <si>
    <t xml:space="preserve">alu RPT</t>
  </si>
  <si>
    <t xml:space="preserve">B</t>
  </si>
  <si>
    <t xml:space="preserve">kilo degrés heures DH</t>
  </si>
  <si>
    <t xml:space="preserve">kDH</t>
  </si>
  <si>
    <t xml:space="preserve">12 cm</t>
  </si>
  <si>
    <t xml:space="preserve">AEN(4)</t>
  </si>
  <si>
    <t xml:space="preserve">apports solaires</t>
  </si>
  <si>
    <t xml:space="preserve">kWh/m²SDO</t>
  </si>
  <si>
    <t xml:space="preserve">Uparoi toit ITE LMI</t>
  </si>
  <si>
    <t xml:space="preserve">zone ventée</t>
  </si>
  <si>
    <r>
      <rPr>
        <b val="true"/>
        <sz val="10"/>
        <color rgb="FFFF0000"/>
        <rFont val="Arial"/>
        <family val="2"/>
        <charset val="1"/>
      </rPr>
      <t xml:space="preserve">O</t>
    </r>
    <r>
      <rPr>
        <sz val="10"/>
        <rFont val="Arial"/>
        <family val="2"/>
        <charset val="1"/>
      </rPr>
      <t xml:space="preserve">ui  </t>
    </r>
    <r>
      <rPr>
        <b val="true"/>
        <sz val="10"/>
        <color rgb="FFFF0000"/>
        <rFont val="Arial"/>
        <family val="2"/>
        <charset val="1"/>
      </rPr>
      <t xml:space="preserve">N</t>
    </r>
    <r>
      <rPr>
        <sz val="10"/>
        <rFont val="Arial"/>
        <family val="2"/>
        <charset val="1"/>
      </rPr>
      <t xml:space="preserve">on</t>
    </r>
  </si>
  <si>
    <t xml:space="preserve">U portes</t>
  </si>
  <si>
    <t xml:space="preserve">orientation</t>
  </si>
  <si>
    <t xml:space="preserve">standard</t>
  </si>
  <si>
    <t xml:space="preserve">MSQ hiver</t>
  </si>
  <si>
    <t xml:space="preserve">MORPHOLOGIE</t>
  </si>
  <si>
    <t xml:space="preserve">perform.</t>
  </si>
  <si>
    <t xml:space="preserve">MSQ été</t>
  </si>
  <si>
    <t xml:space="preserve">FJ(Pmes) = IOUVloc x FB x CEFEN x HSP x Ploc/Pmes</t>
  </si>
  <si>
    <t xml:space="preserve">Uparoi terrasse PUR</t>
  </si>
  <si>
    <t xml:space="preserve">MSQ éclairage</t>
  </si>
  <si>
    <t xml:space="preserve">murs</t>
  </si>
  <si>
    <t xml:space="preserve">toitures</t>
  </si>
  <si>
    <t xml:space="preserve">sols</t>
  </si>
  <si>
    <t xml:space="preserve">fenêtres</t>
  </si>
  <si>
    <t xml:space="preserve">portes</t>
  </si>
  <si>
    <t xml:space="preserve">SENV</t>
  </si>
  <si>
    <t xml:space="preserve">% vitrage par orientation</t>
  </si>
  <si>
    <t xml:space="preserve">IOUVLOC = IOUVBAT x SDO / SLOCFAC</t>
  </si>
  <si>
    <t xml:space="preserve">VS</t>
  </si>
  <si>
    <t xml:space="preserve">TP</t>
  </si>
  <si>
    <t xml:space="preserve">Surf vitrage par orientation</t>
  </si>
  <si>
    <t xml:space="preserve">FB = (Mh + Mé)/2 x RCL x FTL </t>
  </si>
  <si>
    <t xml:space="preserve">surfaces de parois (m²)</t>
  </si>
  <si>
    <t xml:space="preserve">16 cm</t>
  </si>
  <si>
    <t xml:space="preserve">FS protection solaire</t>
  </si>
  <si>
    <t xml:space="preserve">CEFEN = %alège x CEFENalège + (1 - %alège) x CEFEN sansalège</t>
  </si>
  <si>
    <t xml:space="preserve">surface de façade (murs + baies)</t>
  </si>
  <si>
    <t xml:space="preserve">m²</t>
  </si>
  <si>
    <t xml:space="preserve">surface dans œuvre SDO</t>
  </si>
  <si>
    <t xml:space="preserve">Uparoi sol/VS lambda 0,039</t>
  </si>
  <si>
    <t xml:space="preserve">si FLJ &lt; 4  =&gt;  AEN (FLJ) = A Ln(FLJ) + B  sinon   AEN(FLJ) = AEN(4) + (FLJ-4)/(15-4)*(100-AEN(4))</t>
  </si>
  <si>
    <t xml:space="preserve">hauteur sous plafond HSP</t>
  </si>
  <si>
    <t xml:space="preserve">m</t>
  </si>
  <si>
    <t xml:space="preserve">ISSEh</t>
  </si>
  <si>
    <t xml:space="preserve">coefficient pour Clermont-Ferrand:</t>
  </si>
  <si>
    <t xml:space="preserve">nombre de niveaux</t>
  </si>
  <si>
    <t xml:space="preserve">ISSEé</t>
  </si>
  <si>
    <t xml:space="preserve">inertie faible: AREC/ATOT = 0,2029*X^-0,5413</t>
  </si>
  <si>
    <t xml:space="preserve">nombre de logements</t>
  </si>
  <si>
    <t xml:space="preserve">NC</t>
  </si>
  <si>
    <t xml:space="preserve">Surf éclairée:    Aeclfac</t>
  </si>
  <si>
    <t xml:space="preserve">Aecl</t>
  </si>
  <si>
    <t xml:space="preserve">inertie moyenne: AREC/ATOT = 0,6791 X ^-0,6897</t>
  </si>
  <si>
    <t xml:space="preserve">typologie de façade</t>
  </si>
  <si>
    <t xml:space="preserve">M</t>
  </si>
  <si>
    <r>
      <rPr>
        <b val="true"/>
        <sz val="10"/>
        <color rgb="FFFF0000"/>
        <rFont val="Arial"/>
        <family val="2"/>
        <charset val="1"/>
      </rPr>
      <t xml:space="preserve">M</t>
    </r>
    <r>
      <rPr>
        <sz val="10"/>
        <rFont val="Arial"/>
        <family val="2"/>
        <charset val="1"/>
      </rPr>
      <t xml:space="preserve">açonnée   à </t>
    </r>
    <r>
      <rPr>
        <b val="true"/>
        <sz val="10"/>
        <color rgb="FFFF0000"/>
        <rFont val="Arial"/>
        <family val="2"/>
        <charset val="1"/>
      </rPr>
      <t xml:space="preserve">O</t>
    </r>
    <r>
      <rPr>
        <sz val="10"/>
        <rFont val="Arial"/>
        <family val="2"/>
        <charset val="1"/>
      </rPr>
      <t xml:space="preserve">ssature</t>
    </r>
  </si>
  <si>
    <t xml:space="preserve">delta UBAT ponts thermiques</t>
  </si>
  <si>
    <t xml:space="preserve">Iouvloc</t>
  </si>
  <si>
    <t xml:space="preserve">E/O</t>
  </si>
  <si>
    <t xml:space="preserve">inertie</t>
  </si>
  <si>
    <r>
      <rPr>
        <b val="true"/>
        <sz val="10"/>
        <color rgb="FFFF0000"/>
        <rFont val="Arial"/>
        <family val="2"/>
        <charset val="1"/>
      </rPr>
      <t xml:space="preserve">M</t>
    </r>
    <r>
      <rPr>
        <sz val="10"/>
        <rFont val="Arial"/>
        <family val="2"/>
        <charset val="1"/>
      </rPr>
      <t xml:space="preserve">oyenne à Forte   </t>
    </r>
    <r>
      <rPr>
        <b val="true"/>
        <sz val="10"/>
        <color rgb="FFFF0000"/>
        <rFont val="Arial"/>
        <family val="2"/>
        <charset val="1"/>
      </rPr>
      <t xml:space="preserve">F</t>
    </r>
    <r>
      <rPr>
        <sz val="10"/>
        <rFont val="Arial"/>
        <family val="2"/>
        <charset val="1"/>
      </rPr>
      <t xml:space="preserve">aible à très faible</t>
    </r>
  </si>
  <si>
    <t xml:space="preserve">type d'isolation</t>
  </si>
  <si>
    <t xml:space="preserve">Cefen</t>
  </si>
  <si>
    <t xml:space="preserve">extérieure</t>
  </si>
  <si>
    <t xml:space="preserve">répartie </t>
  </si>
  <si>
    <t xml:space="preserve">intérieure</t>
  </si>
  <si>
    <t xml:space="preserve">Fjloc</t>
  </si>
  <si>
    <t xml:space="preserve">ICOMP</t>
  </si>
  <si>
    <t xml:space="preserve">COL</t>
  </si>
  <si>
    <t xml:space="preserve">traitement des ponts</t>
  </si>
  <si>
    <t xml:space="preserve">complet</t>
  </si>
  <si>
    <t xml:space="preserve">avec</t>
  </si>
  <si>
    <t xml:space="preserve">sans</t>
  </si>
  <si>
    <t xml:space="preserve">pertiel</t>
  </si>
  <si>
    <t xml:space="preserve">refends</t>
  </si>
  <si>
    <t xml:space="preserve">IND</t>
  </si>
  <si>
    <t xml:space="preserve">delta Ubat</t>
  </si>
  <si>
    <t xml:space="preserve">IOUV</t>
  </si>
  <si>
    <t xml:space="preserve">FEH HIVER (masques lointains)</t>
  </si>
  <si>
    <t xml:space="preserve">AENfac</t>
  </si>
  <si>
    <t xml:space="preserve">AENecl</t>
  </si>
  <si>
    <t xml:space="preserve">S </t>
  </si>
  <si>
    <t xml:space="preserve">AEN</t>
  </si>
  <si>
    <t xml:space="preserve">hiver</t>
  </si>
  <si>
    <t xml:space="preserve">été</t>
  </si>
  <si>
    <t xml:space="preserve">ISOLATION</t>
  </si>
  <si>
    <t xml:space="preserve">masque </t>
  </si>
  <si>
    <t xml:space="preserve">H=L/2</t>
  </si>
  <si>
    <t xml:space="preserve">lointain</t>
  </si>
  <si>
    <t xml:space="preserve">H=L</t>
  </si>
  <si>
    <t xml:space="preserve">typologie</t>
  </si>
  <si>
    <r>
      <rPr>
        <b val="true"/>
        <sz val="10"/>
        <color rgb="FFFF0000"/>
        <rFont val="Arial"/>
        <family val="2"/>
        <charset val="1"/>
      </rPr>
      <t xml:space="preserve">L</t>
    </r>
    <r>
      <rPr>
        <sz val="10"/>
        <rFont val="Arial"/>
        <family val="2"/>
        <charset val="1"/>
      </rPr>
      <t xml:space="preserve">ogement  </t>
    </r>
    <r>
      <rPr>
        <b val="true"/>
        <sz val="10"/>
        <color rgb="FFFF0000"/>
        <rFont val="Arial"/>
        <family val="2"/>
        <charset val="1"/>
      </rPr>
      <t xml:space="preserve">B</t>
    </r>
    <r>
      <rPr>
        <sz val="10"/>
        <rFont val="Arial"/>
        <family val="2"/>
        <charset val="1"/>
      </rPr>
      <t xml:space="preserve">ureaux  </t>
    </r>
    <r>
      <rPr>
        <b val="true"/>
        <sz val="10"/>
        <color rgb="FFFF0000"/>
        <rFont val="Arial"/>
        <family val="2"/>
        <charset val="1"/>
      </rPr>
      <t xml:space="preserve">S</t>
    </r>
    <r>
      <rPr>
        <sz val="10"/>
        <rFont val="Arial"/>
        <family val="2"/>
        <charset val="1"/>
      </rPr>
      <t xml:space="preserve">colaire  </t>
    </r>
    <r>
      <rPr>
        <b val="true"/>
        <sz val="10"/>
        <color rgb="FFFF0000"/>
        <rFont val="Arial"/>
        <family val="2"/>
        <charset val="1"/>
      </rPr>
      <t xml:space="preserve">C</t>
    </r>
    <r>
      <rPr>
        <sz val="10"/>
        <rFont val="Arial"/>
        <family val="2"/>
        <charset val="1"/>
      </rPr>
      <t xml:space="preserve">rèche  </t>
    </r>
    <r>
      <rPr>
        <b val="true"/>
        <sz val="10"/>
        <color rgb="FFFF0000"/>
        <rFont val="Arial"/>
        <family val="2"/>
        <charset val="1"/>
      </rPr>
      <t xml:space="preserve">R</t>
    </r>
    <r>
      <rPr>
        <sz val="10"/>
        <rFont val="Arial"/>
        <family val="2"/>
        <charset val="1"/>
      </rPr>
      <t xml:space="preserve">ésidence  </t>
    </r>
    <r>
      <rPr>
        <b val="true"/>
        <sz val="10"/>
        <color rgb="FFFF0000"/>
        <rFont val="Arial"/>
        <family val="2"/>
        <charset val="1"/>
      </rPr>
      <t xml:space="preserve">M</t>
    </r>
    <r>
      <rPr>
        <sz val="10"/>
        <rFont val="Arial"/>
        <family val="2"/>
        <charset val="1"/>
      </rPr>
      <t xml:space="preserve">édiathèque</t>
    </r>
  </si>
  <si>
    <t xml:space="preserve">H=2L</t>
  </si>
  <si>
    <t xml:space="preserve"> NRJ chauf</t>
  </si>
  <si>
    <t xml:space="preserve">Uw</t>
  </si>
  <si>
    <t xml:space="preserve">FEH HIVER (protections solaires fixes)</t>
  </si>
  <si>
    <t xml:space="preserve"> NRJ ECS</t>
  </si>
  <si>
    <t xml:space="preserve">U parois</t>
  </si>
  <si>
    <t xml:space="preserve">W/m².K</t>
  </si>
  <si>
    <t xml:space="preserve">Nord</t>
  </si>
  <si>
    <t xml:space="preserve">Sud</t>
  </si>
  <si>
    <t xml:space="preserve">delta UBAT (ponts thermiques)</t>
  </si>
  <si>
    <t xml:space="preserve">casquette hiver</t>
  </si>
  <si>
    <t xml:space="preserve">calculs apports et éclairage</t>
  </si>
  <si>
    <t xml:space="preserve">FEE ETE (protections solaires fixes)</t>
  </si>
  <si>
    <t xml:space="preserve">DH</t>
  </si>
  <si>
    <t xml:space="preserve">Esud</t>
  </si>
  <si>
    <t xml:space="preserve">NH</t>
  </si>
  <si>
    <t xml:space="preserve">coef Ecl nat</t>
  </si>
  <si>
    <t xml:space="preserve">débits de fuite</t>
  </si>
  <si>
    <t xml:space="preserve">énergie grise</t>
  </si>
  <si>
    <t xml:space="preserve">déperditions surfaciques parois</t>
  </si>
  <si>
    <t xml:space="preserve">W/K</t>
  </si>
  <si>
    <t xml:space="preserve">C</t>
  </si>
  <si>
    <t xml:space="preserve">non venté</t>
  </si>
  <si>
    <t xml:space="preserve">venté</t>
  </si>
  <si>
    <t xml:space="preserve">kWh/m²effectif</t>
  </si>
  <si>
    <t xml:space="preserve">déperditions totales d'enveloppe</t>
  </si>
  <si>
    <t xml:space="preserve">casquette étroite été</t>
  </si>
  <si>
    <t xml:space="preserve">H</t>
  </si>
  <si>
    <t xml:space="preserve">D</t>
  </si>
  <si>
    <t xml:space="preserve">double mur</t>
  </si>
  <si>
    <t xml:space="preserve">Eg=Egmac + 0,19 x Eg0 x U ^(-1,333)</t>
  </si>
  <si>
    <t xml:space="preserve">casquette large été</t>
  </si>
  <si>
    <t xml:space="preserve">mur + ITE + bardage fibrociment</t>
  </si>
  <si>
    <t xml:space="preserve">UBAT</t>
  </si>
  <si>
    <t xml:space="preserve">RT2012</t>
  </si>
  <si>
    <t xml:space="preserve">brise-soleil fixe</t>
  </si>
  <si>
    <t xml:space="preserve">P</t>
  </si>
  <si>
    <t xml:space="preserve">mur + ITE + bardage métal</t>
  </si>
  <si>
    <t xml:space="preserve">passif</t>
  </si>
  <si>
    <t xml:space="preserve">FS ETE (protections solaires mobiles)</t>
  </si>
  <si>
    <t xml:space="preserve">Atot</t>
  </si>
  <si>
    <t xml:space="preserve">R</t>
  </si>
  <si>
    <t xml:space="preserve">mur + ITE + bardage pierre</t>
  </si>
  <si>
    <t xml:space="preserve">brise soleil mobile</t>
  </si>
  <si>
    <t xml:space="preserve">X</t>
  </si>
  <si>
    <t xml:space="preserve">mur + ITE + enduit</t>
  </si>
  <si>
    <t xml:space="preserve">IISOL</t>
  </si>
  <si>
    <t xml:space="preserve">screen performant</t>
  </si>
  <si>
    <t xml:space="preserve">Einertie</t>
  </si>
  <si>
    <t xml:space="preserve">taux de renouvellement hygiénique RA</t>
  </si>
  <si>
    <t xml:space="preserve">mur ITE + bardage bois</t>
  </si>
  <si>
    <t xml:space="preserve">screen classique</t>
  </si>
  <si>
    <t xml:space="preserve">F</t>
  </si>
  <si>
    <t xml:space="preserve">Intermittence</t>
  </si>
  <si>
    <t xml:space="preserve">apports int.</t>
  </si>
  <si>
    <t xml:space="preserve">paroi légère isolée (ossature bois)</t>
  </si>
  <si>
    <t xml:space="preserve">store intérieur</t>
  </si>
  <si>
    <t xml:space="preserve">nb h jour</t>
  </si>
  <si>
    <t xml:space="preserve">SOLARISATION</t>
  </si>
  <si>
    <t xml:space="preserve">menuiseries extérieures</t>
  </si>
  <si>
    <t xml:space="preserve">nb h nuit</t>
  </si>
  <si>
    <t xml:space="preserve">bio-sourcé</t>
  </si>
  <si>
    <t xml:space="preserve">pour U=0,2</t>
  </si>
  <si>
    <r>
      <rPr>
        <sz val="10"/>
        <rFont val="Arial"/>
        <family val="0"/>
        <charset val="1"/>
      </rPr>
      <t xml:space="preserve">rentrer l'orientation par abrévation: </t>
    </r>
    <r>
      <rPr>
        <b val="true"/>
        <sz val="10"/>
        <color rgb="FFFF0000"/>
        <rFont val="Arial"/>
        <family val="2"/>
        <charset val="1"/>
      </rPr>
      <t xml:space="preserve">S</t>
    </r>
    <r>
      <rPr>
        <sz val="10"/>
        <rFont val="Arial"/>
        <family val="2"/>
        <charset val="1"/>
      </rPr>
      <t xml:space="preserve">, </t>
    </r>
    <r>
      <rPr>
        <b val="true"/>
        <sz val="10"/>
        <color rgb="FFFF0000"/>
        <rFont val="Arial"/>
        <family val="2"/>
        <charset val="1"/>
      </rPr>
      <t xml:space="preserve">SO</t>
    </r>
    <r>
      <rPr>
        <sz val="10"/>
        <rFont val="Arial"/>
        <family val="2"/>
        <charset val="1"/>
      </rPr>
      <t xml:space="preserve">, </t>
    </r>
    <r>
      <rPr>
        <b val="true"/>
        <sz val="10"/>
        <color rgb="FFFF0000"/>
        <rFont val="Arial"/>
        <family val="2"/>
        <charset val="1"/>
      </rPr>
      <t xml:space="preserve">O</t>
    </r>
    <r>
      <rPr>
        <sz val="10"/>
        <rFont val="Arial"/>
        <family val="2"/>
        <charset val="1"/>
      </rPr>
      <t xml:space="preserve">, </t>
    </r>
    <r>
      <rPr>
        <b val="true"/>
        <sz val="10"/>
        <color rgb="FFFF0000"/>
        <rFont val="Arial"/>
        <family val="2"/>
        <charset val="1"/>
      </rPr>
      <t xml:space="preserve">NO</t>
    </r>
    <r>
      <rPr>
        <sz val="10"/>
        <rFont val="Arial"/>
        <family val="2"/>
        <charset val="1"/>
      </rPr>
      <t xml:space="preserve">, </t>
    </r>
    <r>
      <rPr>
        <b val="true"/>
        <sz val="10"/>
        <color rgb="FFFF0000"/>
        <rFont val="Arial"/>
        <family val="2"/>
        <charset val="1"/>
      </rPr>
      <t xml:space="preserve">N</t>
    </r>
    <r>
      <rPr>
        <sz val="10"/>
        <rFont val="Arial"/>
        <family val="2"/>
        <charset val="1"/>
      </rPr>
      <t xml:space="preserve">, </t>
    </r>
    <r>
      <rPr>
        <b val="true"/>
        <sz val="10"/>
        <color rgb="FFFF0000"/>
        <rFont val="Arial"/>
        <family val="2"/>
        <charset val="1"/>
      </rPr>
      <t xml:space="preserve">NE</t>
    </r>
    <r>
      <rPr>
        <sz val="10"/>
        <rFont val="Arial"/>
        <family val="2"/>
        <charset val="1"/>
      </rPr>
      <t xml:space="preserve">, </t>
    </r>
    <r>
      <rPr>
        <b val="true"/>
        <sz val="10"/>
        <color rgb="FFFF0000"/>
        <rFont val="Arial"/>
        <family val="2"/>
        <charset val="1"/>
      </rPr>
      <t xml:space="preserve">E</t>
    </r>
    <r>
      <rPr>
        <sz val="10"/>
        <rFont val="Arial"/>
        <family val="2"/>
        <charset val="1"/>
      </rPr>
      <t xml:space="preserve">, </t>
    </r>
    <r>
      <rPr>
        <b val="true"/>
        <sz val="10"/>
        <color rgb="FFFF0000"/>
        <rFont val="Arial"/>
        <family val="2"/>
        <charset val="1"/>
      </rPr>
      <t xml:space="preserve">SE</t>
    </r>
    <r>
      <rPr>
        <sz val="10"/>
        <rFont val="Arial"/>
        <family val="2"/>
        <charset val="1"/>
      </rPr>
      <t xml:space="preserve">, </t>
    </r>
    <r>
      <rPr>
        <b val="true"/>
        <sz val="10"/>
        <color rgb="FFFF0000"/>
        <rFont val="Arial"/>
        <family val="2"/>
        <charset val="1"/>
      </rPr>
      <t xml:space="preserve">HOR</t>
    </r>
  </si>
  <si>
    <t xml:space="preserve">alu</t>
  </si>
  <si>
    <t xml:space="preserve">foisonnement</t>
  </si>
  <si>
    <t xml:space="preserve">L</t>
  </si>
  <si>
    <t xml:space="preserve">laine minérale</t>
  </si>
  <si>
    <t xml:space="preserve">rentrer les orientations dans le sens des aiguilles d'une montre</t>
  </si>
  <si>
    <t xml:space="preserve">RCL</t>
  </si>
  <si>
    <t xml:space="preserve">Pécl</t>
  </si>
  <si>
    <t xml:space="preserve">plastique alvéolaire</t>
  </si>
  <si>
    <t xml:space="preserve">orientation des baies</t>
  </si>
  <si>
    <t xml:space="preserve">Pécl RT</t>
  </si>
  <si>
    <t xml:space="preserve">% de baie par orientation</t>
  </si>
  <si>
    <t xml:space="preserve">TV</t>
  </si>
  <si>
    <t xml:space="preserve">%Sécl</t>
  </si>
  <si>
    <t xml:space="preserve">rampant isolé + couverture métallique</t>
  </si>
  <si>
    <t xml:space="preserve">Eg=Egmac + 0,145 x Eg0 x U ^(-1,092)</t>
  </si>
  <si>
    <t xml:space="preserve">facteur d'ensoleillement FEH d'hiver</t>
  </si>
  <si>
    <t xml:space="preserve">FS</t>
  </si>
  <si>
    <t xml:space="preserve">%Savg</t>
  </si>
  <si>
    <t xml:space="preserve">rampant isolé + couverture tuile</t>
  </si>
  <si>
    <t xml:space="preserve">facteur d'ensoleillement FEE d'été</t>
  </si>
  <si>
    <t xml:space="preserve">FTL</t>
  </si>
  <si>
    <t xml:space="preserve">Cecl Secl</t>
  </si>
  <si>
    <t xml:space="preserve">rendements et énergie primaire</t>
  </si>
  <si>
    <t xml:space="preserve">rampant non isolé + couverture métallique</t>
  </si>
  <si>
    <t xml:space="preserve">facteur solaire FS des protections mobiles</t>
  </si>
  <si>
    <t xml:space="preserve">CeclSavg</t>
  </si>
  <si>
    <t xml:space="preserve">RCH</t>
  </si>
  <si>
    <t xml:space="preserve">RECS</t>
  </si>
  <si>
    <t xml:space="preserve">CeqRT</t>
  </si>
  <si>
    <t xml:space="preserve">Ceq</t>
  </si>
  <si>
    <t xml:space="preserve">rampant non isolé + couverture tuile</t>
  </si>
  <si>
    <t xml:space="preserve">rapport de clair RCL</t>
  </si>
  <si>
    <t xml:space="preserve">Cecl</t>
  </si>
  <si>
    <t xml:space="preserve">terrasse béton isolée</t>
  </si>
  <si>
    <t xml:space="preserve">facteur solaire vitrage FS</t>
  </si>
  <si>
    <t xml:space="preserve">Cecl RT</t>
  </si>
  <si>
    <t xml:space="preserve">terrasse béton non isolée</t>
  </si>
  <si>
    <t xml:space="preserve">ISEh</t>
  </si>
  <si>
    <t xml:space="preserve">Cep</t>
  </si>
  <si>
    <t xml:space="preserve">pour U=0,17</t>
  </si>
  <si>
    <t xml:space="preserve">Mctype</t>
  </si>
  <si>
    <t xml:space="preserve">Mcgeo</t>
  </si>
  <si>
    <t xml:space="preserve">CONFORT D'ÉTÉ</t>
  </si>
  <si>
    <t xml:space="preserve">Mcalt</t>
  </si>
  <si>
    <t xml:space="preserve">consos de ventilation CVENT</t>
  </si>
  <si>
    <t xml:space="preserve">données pour inertie</t>
  </si>
  <si>
    <t xml:space="preserve">Mcsurf</t>
  </si>
  <si>
    <t xml:space="preserve">AUS</t>
  </si>
  <si>
    <t xml:space="preserve">CLIM</t>
  </si>
  <si>
    <t xml:space="preserve">dalle isolée sur 1 niveau sous-sol</t>
  </si>
  <si>
    <t xml:space="preserve">ISEé</t>
  </si>
  <si>
    <t xml:space="preserve">Mcges</t>
  </si>
  <si>
    <t xml:space="preserve">dalle isolée sur 2 niveaux de sous-sol</t>
  </si>
  <si>
    <t xml:space="preserve">Cepmax</t>
  </si>
  <si>
    <t xml:space="preserve">dalle isolée sur 3 niveaux de sous-sol</t>
  </si>
  <si>
    <t xml:space="preserve">dalle isolée sur terre plain</t>
  </si>
  <si>
    <t xml:space="preserve">logements traversants</t>
  </si>
  <si>
    <t xml:space="preserve">T</t>
  </si>
  <si>
    <r>
      <rPr>
        <b val="true"/>
        <sz val="10"/>
        <color rgb="FFFF0000"/>
        <rFont val="Arial"/>
        <family val="2"/>
        <charset val="1"/>
      </rPr>
      <t xml:space="preserve">T</t>
    </r>
    <r>
      <rPr>
        <sz val="10"/>
        <rFont val="Arial"/>
        <family val="2"/>
        <charset val="1"/>
      </rPr>
      <t xml:space="preserve">raversant  </t>
    </r>
    <r>
      <rPr>
        <b val="true"/>
        <sz val="10"/>
        <color rgb="FFFF0000"/>
        <rFont val="Arial"/>
        <family val="2"/>
        <charset val="1"/>
      </rPr>
      <t xml:space="preserve">B</t>
    </r>
    <r>
      <rPr>
        <sz val="10"/>
        <rFont val="Arial"/>
        <family val="2"/>
        <charset val="1"/>
      </rPr>
      <t xml:space="preserve">iorienté  </t>
    </r>
    <r>
      <rPr>
        <b val="true"/>
        <sz val="10"/>
        <color rgb="FFFF0000"/>
        <rFont val="Arial"/>
        <family val="2"/>
        <charset val="1"/>
      </rPr>
      <t xml:space="preserve">M</t>
    </r>
    <r>
      <rPr>
        <sz val="10"/>
        <rFont val="Arial"/>
        <family val="2"/>
        <charset val="1"/>
      </rPr>
      <t xml:space="preserve">onoorienté  </t>
    </r>
  </si>
  <si>
    <t xml:space="preserve">confort d'été</t>
  </si>
  <si>
    <t xml:space="preserve">dalle isolée sur VS</t>
  </si>
  <si>
    <t xml:space="preserve">incidence du vent sur la façade orientée aux vents dominants</t>
  </si>
  <si>
    <t xml:space="preserve">vent météo</t>
  </si>
  <si>
    <t xml:space="preserve">protection de nuit sur la façade orientée aux vents dominants</t>
  </si>
  <si>
    <r>
      <rPr>
        <b val="true"/>
        <sz val="10"/>
        <color rgb="FFFF0000"/>
        <rFont val="Arial"/>
        <family val="2"/>
        <charset val="1"/>
      </rPr>
      <t xml:space="preserve">P</t>
    </r>
    <r>
      <rPr>
        <sz val="10"/>
        <rFont val="Arial"/>
        <family val="2"/>
        <charset val="1"/>
      </rPr>
      <t xml:space="preserve">ersienne   </t>
    </r>
    <r>
      <rPr>
        <b val="true"/>
        <sz val="10"/>
        <color rgb="FFFF0000"/>
        <rFont val="Arial"/>
        <family val="2"/>
        <charset val="1"/>
      </rPr>
      <t xml:space="preserve">S</t>
    </r>
    <r>
      <rPr>
        <sz val="10"/>
        <rFont val="Arial"/>
        <family val="2"/>
        <charset val="1"/>
      </rPr>
      <t xml:space="preserve">tore extérieur   volet roulant à </t>
    </r>
    <r>
      <rPr>
        <b val="true"/>
        <sz val="10"/>
        <color rgb="FFFF0000"/>
        <rFont val="Arial"/>
        <family val="2"/>
        <charset val="1"/>
      </rPr>
      <t xml:space="preserve">A</t>
    </r>
    <r>
      <rPr>
        <sz val="10"/>
        <rFont val="Arial"/>
        <family val="2"/>
        <charset val="1"/>
      </rPr>
      <t xml:space="preserve">jours   </t>
    </r>
    <r>
      <rPr>
        <b val="true"/>
        <sz val="10"/>
        <color rgb="FFFF0000"/>
        <rFont val="Arial"/>
        <family val="2"/>
        <charset val="1"/>
      </rPr>
      <t xml:space="preserve">V</t>
    </r>
    <r>
      <rPr>
        <sz val="10"/>
        <rFont val="Arial"/>
        <family val="2"/>
        <charset val="1"/>
      </rPr>
      <t xml:space="preserve">olet plein  </t>
    </r>
  </si>
  <si>
    <t xml:space="preserve">vent inc</t>
  </si>
  <si>
    <t xml:space="preserve">fenêtres aluminium</t>
  </si>
  <si>
    <t xml:space="preserve">Eg = (1-RCL) x Egcadre + RCL x Egvitre</t>
  </si>
  <si>
    <t xml:space="preserve">surventilation de nuit</t>
  </si>
  <si>
    <r>
      <rPr>
        <b val="true"/>
        <sz val="10"/>
        <color rgb="FFFF0000"/>
        <rFont val="Arial"/>
        <family val="2"/>
        <charset val="1"/>
      </rPr>
      <t xml:space="preserve">O</t>
    </r>
    <r>
      <rPr>
        <sz val="10"/>
        <rFont val="Arial"/>
        <family val="2"/>
        <charset val="1"/>
      </rPr>
      <t xml:space="preserve">ui   </t>
    </r>
    <r>
      <rPr>
        <b val="true"/>
        <sz val="10"/>
        <color rgb="FFFF0000"/>
        <rFont val="Arial"/>
        <family val="2"/>
        <charset val="1"/>
      </rPr>
      <t xml:space="preserve">N</t>
    </r>
    <r>
      <rPr>
        <sz val="10"/>
        <rFont val="Arial"/>
        <family val="2"/>
        <charset val="1"/>
      </rPr>
      <t xml:space="preserve">on</t>
    </r>
  </si>
  <si>
    <t xml:space="preserve">coef inc</t>
  </si>
  <si>
    <t xml:space="preserve">fenêtres bois</t>
  </si>
  <si>
    <t xml:space="preserve">(cadre - DV - TV)</t>
  </si>
  <si>
    <t xml:space="preserve">surventilation de jour</t>
  </si>
  <si>
    <t xml:space="preserve">vent effectif</t>
  </si>
  <si>
    <t xml:space="preserve">données pour éclairage</t>
  </si>
  <si>
    <t xml:space="preserve">fenêtres bois-métal</t>
  </si>
  <si>
    <t xml:space="preserve">brasseurs d'air</t>
  </si>
  <si>
    <t xml:space="preserve">RPL</t>
  </si>
  <si>
    <t xml:space="preserve">nbh jour</t>
  </si>
  <si>
    <t xml:space="preserve">nbh nuit</t>
  </si>
  <si>
    <t xml:space="preserve">fenêtres PVC</t>
  </si>
  <si>
    <t xml:space="preserve">puits provençal</t>
  </si>
  <si>
    <t xml:space="preserve">Pornuit</t>
  </si>
  <si>
    <t xml:space="preserve">mur rideau acier alu</t>
  </si>
  <si>
    <t xml:space="preserve">surchauffe apports</t>
  </si>
  <si>
    <t xml:space="preserve">°C</t>
  </si>
  <si>
    <t xml:space="preserve">apports int</t>
  </si>
  <si>
    <t xml:space="preserve">portes bois</t>
  </si>
  <si>
    <t xml:space="preserve">effet surventilation jour</t>
  </si>
  <si>
    <t xml:space="preserve">apports sol</t>
  </si>
  <si>
    <t xml:space="preserve">gain surventilation nuit</t>
  </si>
  <si>
    <t xml:space="preserve">coef nnat</t>
  </si>
  <si>
    <t xml:space="preserve">BSO aluminium</t>
  </si>
  <si>
    <t xml:space="preserve">gain brasseurs d'air</t>
  </si>
  <si>
    <t xml:space="preserve">nnatnuit</t>
  </si>
  <si>
    <t xml:space="preserve">persienne bois</t>
  </si>
  <si>
    <t xml:space="preserve">gain puits provencal</t>
  </si>
  <si>
    <t xml:space="preserve">njour</t>
  </si>
  <si>
    <t xml:space="preserve">store toile plastique</t>
  </si>
  <si>
    <t xml:space="preserve">Htot</t>
  </si>
  <si>
    <t xml:space="preserve">ISCH</t>
  </si>
  <si>
    <t xml:space="preserve">données pour ECS</t>
  </si>
  <si>
    <t xml:space="preserve">dalle + poteaux BA portée 5 m</t>
  </si>
  <si>
    <t xml:space="preserve">RAC</t>
  </si>
  <si>
    <t xml:space="preserve">Becs</t>
  </si>
  <si>
    <t xml:space="preserve">dalle + poteaux BA portée 7 m</t>
  </si>
  <si>
    <t xml:space="preserve">ECLAIRAGE NATUREL </t>
  </si>
  <si>
    <r>
      <rPr>
        <sz val="10"/>
        <rFont val="Calibri"/>
        <family val="2"/>
        <charset val="1"/>
      </rPr>
      <t xml:space="preserve">η</t>
    </r>
    <r>
      <rPr>
        <sz val="10"/>
        <rFont val="Arial"/>
        <family val="2"/>
        <charset val="1"/>
      </rPr>
      <t xml:space="preserve">jour </t>
    </r>
  </si>
  <si>
    <t xml:space="preserve">dalle + poteaux BA portée 9 m</t>
  </si>
  <si>
    <t xml:space="preserve">(évaluation sur un étage courant)</t>
  </si>
  <si>
    <t xml:space="preserve">Iatot</t>
  </si>
  <si>
    <t xml:space="preserve">dalle + refend BA portée 5 m</t>
  </si>
  <si>
    <t xml:space="preserve">Ivnuit</t>
  </si>
  <si>
    <t xml:space="preserve">BECS = max (29,5 ;  0,0122 SHABmoy² -1,4377 SHABmoy + 70,894)</t>
  </si>
  <si>
    <t xml:space="preserve">dalle + refend BA portée 7 m</t>
  </si>
  <si>
    <t xml:space="preserve">longueur de façade par orientation</t>
  </si>
  <si>
    <t xml:space="preserve">Ipuits</t>
  </si>
  <si>
    <t xml:space="preserve">dalle + refend BA portée 9 m</t>
  </si>
  <si>
    <t xml:space="preserve">profondeur moyenne des locaux par façade</t>
  </si>
  <si>
    <t xml:space="preserve">Injour</t>
  </si>
  <si>
    <t xml:space="preserve">ossature bois</t>
  </si>
  <si>
    <t xml:space="preserve">alège vitrée</t>
  </si>
  <si>
    <r>
      <rPr>
        <b val="true"/>
        <sz val="10"/>
        <color rgb="FFFF0000"/>
        <rFont val="Arial"/>
        <family val="2"/>
        <charset val="1"/>
      </rPr>
      <t xml:space="preserve">O</t>
    </r>
    <r>
      <rPr>
        <sz val="8"/>
        <rFont val="Arial"/>
        <family val="2"/>
        <charset val="1"/>
      </rPr>
      <t xml:space="preserve">ui</t>
    </r>
    <r>
      <rPr>
        <sz val="10"/>
        <rFont val="Arial"/>
        <family val="2"/>
        <charset val="1"/>
      </rPr>
      <t xml:space="preserve"> </t>
    </r>
    <r>
      <rPr>
        <b val="true"/>
        <sz val="10"/>
        <color rgb="FFFF0000"/>
        <rFont val="Arial"/>
        <family val="2"/>
        <charset val="1"/>
      </rPr>
      <t xml:space="preserve">N</t>
    </r>
    <r>
      <rPr>
        <sz val="8"/>
        <rFont val="Arial"/>
        <family val="2"/>
        <charset val="1"/>
      </rPr>
      <t xml:space="preserve">on</t>
    </r>
  </si>
  <si>
    <t xml:space="preserve">Ibras</t>
  </si>
  <si>
    <t xml:space="preserve">FJ au milieu du local moyen</t>
  </si>
  <si>
    <t xml:space="preserve">%</t>
  </si>
  <si>
    <t xml:space="preserve">ICE</t>
  </si>
  <si>
    <t xml:space="preserve">SHAB moy</t>
  </si>
  <si>
    <t xml:space="preserve">avec  sol moquette</t>
  </si>
  <si>
    <t xml:space="preserve">facteur de transmission lumineuse FTL</t>
  </si>
  <si>
    <t xml:space="preserve">porosité</t>
  </si>
  <si>
    <t xml:space="preserve">avec sol béton</t>
  </si>
  <si>
    <t xml:space="preserve">données pour RT</t>
  </si>
  <si>
    <t xml:space="preserve">avec sol lino</t>
  </si>
  <si>
    <t xml:space="preserve">SHON/SU</t>
  </si>
  <si>
    <t xml:space="preserve">avec sol plancher</t>
  </si>
  <si>
    <t xml:space="preserve">BECL</t>
  </si>
  <si>
    <t xml:space="preserve">kWh/m².an</t>
  </si>
  <si>
    <t xml:space="preserve">avec sol plastique</t>
  </si>
  <si>
    <t xml:space="preserve">V</t>
  </si>
  <si>
    <t xml:space="preserve">avec sol résine</t>
  </si>
  <si>
    <t xml:space="preserve">BESOINS DE CHAUFFAGE</t>
  </si>
  <si>
    <t xml:space="preserve">int apports</t>
  </si>
  <si>
    <t xml:space="preserve">équipements techniques</t>
  </si>
  <si>
    <t xml:space="preserve">ventilation</t>
  </si>
  <si>
    <r>
      <rPr>
        <b val="true"/>
        <sz val="10"/>
        <color rgb="FFFF0000"/>
        <rFont val="Arial"/>
        <family val="2"/>
        <charset val="1"/>
      </rPr>
      <t xml:space="preserve">S</t>
    </r>
    <r>
      <rPr>
        <sz val="10"/>
        <rFont val="Arial"/>
        <family val="2"/>
        <charset val="1"/>
      </rPr>
      <t xml:space="preserve">F</t>
    </r>
  </si>
  <si>
    <r>
      <rPr>
        <b val="true"/>
        <sz val="10"/>
        <color rgb="FFFF0000"/>
        <rFont val="Arial"/>
        <family val="2"/>
        <charset val="1"/>
      </rPr>
      <t xml:space="preserve">D</t>
    </r>
    <r>
      <rPr>
        <sz val="10"/>
        <rFont val="Arial"/>
        <family val="2"/>
        <charset val="1"/>
      </rPr>
      <t xml:space="preserve">F</t>
    </r>
  </si>
  <si>
    <t xml:space="preserve">capteurs thermiques</t>
  </si>
  <si>
    <t xml:space="preserve">perméabilité à l'air</t>
  </si>
  <si>
    <r>
      <rPr>
        <b val="true"/>
        <sz val="10"/>
        <color rgb="FFFF0000"/>
        <rFont val="Arial"/>
        <family val="2"/>
        <charset val="1"/>
      </rPr>
      <t xml:space="preserve">P</t>
    </r>
    <r>
      <rPr>
        <sz val="10"/>
        <rFont val="Arial"/>
        <family val="2"/>
        <charset val="1"/>
      </rPr>
      <t xml:space="preserve">assif    </t>
    </r>
    <r>
      <rPr>
        <b val="true"/>
        <sz val="10"/>
        <color rgb="FFFF0000"/>
        <rFont val="Arial"/>
        <family val="2"/>
        <charset val="1"/>
      </rPr>
      <t xml:space="preserve">E</t>
    </r>
    <r>
      <rPr>
        <sz val="10"/>
        <rFont val="Arial"/>
        <family val="2"/>
        <charset val="1"/>
      </rPr>
      <t xml:space="preserve">ffinergie    </t>
    </r>
    <r>
      <rPr>
        <b val="true"/>
        <sz val="10"/>
        <color rgb="FFFF0000"/>
        <rFont val="Arial"/>
        <family val="2"/>
        <charset val="1"/>
      </rPr>
      <t xml:space="preserve">R</t>
    </r>
    <r>
      <rPr>
        <sz val="10"/>
        <rFont val="Arial"/>
        <family val="2"/>
        <charset val="1"/>
      </rPr>
      <t xml:space="preserve">éférence RT 2005 </t>
    </r>
  </si>
  <si>
    <t xml:space="preserve">taux de renouvellement d'air du aux fuites</t>
  </si>
  <si>
    <t xml:space="preserve">vol/h</t>
  </si>
  <si>
    <t xml:space="preserve">taux de renouvellement d'air hygiénique Raeq</t>
  </si>
  <si>
    <t xml:space="preserve">données pour benchmark</t>
  </si>
  <si>
    <t xml:space="preserve">apports récupérés AREC</t>
  </si>
  <si>
    <t xml:space="preserve">Iouv</t>
  </si>
  <si>
    <t xml:space="preserve">ISEH</t>
  </si>
  <si>
    <t xml:space="preserve">ISEE</t>
  </si>
  <si>
    <t xml:space="preserve">BCH RT</t>
  </si>
  <si>
    <t xml:space="preserve">CPEDD</t>
  </si>
  <si>
    <t xml:space="preserve">apports internes</t>
  </si>
  <si>
    <t xml:space="preserve">W/m²SDO</t>
  </si>
  <si>
    <t xml:space="preserve">Asolété</t>
  </si>
  <si>
    <t xml:space="preserve">min</t>
  </si>
  <si>
    <t xml:space="preserve">max</t>
  </si>
  <si>
    <t xml:space="preserve">gauche</t>
  </si>
  <si>
    <t xml:space="preserve">droite</t>
  </si>
  <si>
    <t xml:space="preserve">BCH</t>
  </si>
  <si>
    <t xml:space="preserve">CEP</t>
  </si>
  <si>
    <t xml:space="preserve">CECS</t>
  </si>
  <si>
    <t xml:space="preserve">CAUS</t>
  </si>
  <si>
    <t xml:space="preserve">Bclim</t>
  </si>
  <si>
    <t xml:space="preserve">Becl</t>
  </si>
  <si>
    <t xml:space="preserve">n</t>
  </si>
  <si>
    <t xml:space="preserve">besoins  sans apports BCSA</t>
  </si>
  <si>
    <t xml:space="preserve">CONSOMMATIONS</t>
  </si>
  <si>
    <t xml:space="preserve">EP</t>
  </si>
  <si>
    <t xml:space="preserve">EF</t>
  </si>
  <si>
    <t xml:space="preserve">énergie pour le chauffage</t>
  </si>
  <si>
    <r>
      <rPr>
        <b val="true"/>
        <sz val="10"/>
        <color rgb="FFFF0000"/>
        <rFont val="Arial"/>
        <family val="2"/>
        <charset val="1"/>
      </rPr>
      <t xml:space="preserve">B</t>
    </r>
    <r>
      <rPr>
        <sz val="10"/>
        <rFont val="Arial"/>
        <family val="2"/>
        <charset val="1"/>
      </rPr>
      <t xml:space="preserve">ois  </t>
    </r>
    <r>
      <rPr>
        <b val="true"/>
        <sz val="10"/>
        <color rgb="FFFF0000"/>
        <rFont val="Arial"/>
        <family val="2"/>
        <charset val="1"/>
      </rPr>
      <t xml:space="preserve">C</t>
    </r>
    <r>
      <rPr>
        <sz val="10"/>
        <rFont val="Arial"/>
        <family val="2"/>
        <charset val="1"/>
      </rPr>
      <t xml:space="preserve">ombustible  </t>
    </r>
    <r>
      <rPr>
        <b val="true"/>
        <sz val="10"/>
        <color rgb="FFFF0000"/>
        <rFont val="Arial"/>
        <family val="2"/>
        <charset val="1"/>
      </rPr>
      <t xml:space="preserve">E</t>
    </r>
    <r>
      <rPr>
        <sz val="10"/>
        <rFont val="Arial"/>
        <family val="2"/>
        <charset val="1"/>
      </rPr>
      <t xml:space="preserve">lectricité directe  </t>
    </r>
    <r>
      <rPr>
        <b val="true"/>
        <sz val="10"/>
        <color rgb="FFFF0000"/>
        <rFont val="Arial"/>
        <family val="2"/>
        <charset val="1"/>
      </rPr>
      <t xml:space="preserve">P</t>
    </r>
    <r>
      <rPr>
        <sz val="10"/>
        <rFont val="Arial"/>
        <family val="2"/>
        <charset val="1"/>
      </rPr>
      <t xml:space="preserve">AC  </t>
    </r>
    <r>
      <rPr>
        <b val="true"/>
        <sz val="10"/>
        <color rgb="FFFF0000"/>
        <rFont val="Arial"/>
        <family val="2"/>
        <charset val="1"/>
      </rPr>
      <t xml:space="preserve">R</t>
    </r>
    <r>
      <rPr>
        <sz val="10"/>
        <rFont val="Arial"/>
        <family val="2"/>
        <charset val="1"/>
      </rPr>
      <t xml:space="preserve">éseau</t>
    </r>
  </si>
  <si>
    <t xml:space="preserve">énergie pour l'ECS</t>
  </si>
  <si>
    <t xml:space="preserve">couverture solaire ECS</t>
  </si>
  <si>
    <t xml:space="preserve">rendement de chauffage                            RCH</t>
  </si>
  <si>
    <t xml:space="preserve">rendement d'ECS                                        RECS</t>
  </si>
  <si>
    <t xml:space="preserve">consommation de chauffage                      CCH</t>
  </si>
  <si>
    <t xml:space="preserve">kWhFINAL/m²SDO.an</t>
  </si>
  <si>
    <t xml:space="preserve">consommation de clim                                 CCLIM</t>
  </si>
  <si>
    <t xml:space="preserve">consommation d'ECS                                  CECS</t>
  </si>
  <si>
    <t xml:space="preserve">consommation de ventilation                      CVENT</t>
  </si>
  <si>
    <t xml:space="preserve">consommation d'auxiliaires                         CAUX</t>
  </si>
  <si>
    <t xml:space="preserve">consommation d'éclairage                          CECL</t>
  </si>
  <si>
    <t xml:space="preserve">consommation autres usages                    CAUS</t>
  </si>
  <si>
    <t xml:space="preserve">forfait éclairage RT                                     FECL</t>
  </si>
  <si>
    <t xml:space="preserve">consommation tous usages                       CTUEP</t>
  </si>
  <si>
    <t xml:space="preserve">kWhEP/m²SDO.an</t>
  </si>
  <si>
    <t xml:space="preserve">CEP RT2012/SDO</t>
  </si>
  <si>
    <t xml:space="preserve">SHON RT</t>
  </si>
  <si>
    <t xml:space="preserve">consommation EP tous usages</t>
  </si>
  <si>
    <t xml:space="preserve">effinergie +</t>
  </si>
  <si>
    <t xml:space="preserve">CEP RT 2012 /SHON</t>
  </si>
  <si>
    <t xml:space="preserve">kWhEP/m²SHON.an</t>
  </si>
  <si>
    <t xml:space="preserve">ENERGIE GRISE</t>
  </si>
  <si>
    <t xml:space="preserve">attention, saisie par menu</t>
  </si>
  <si>
    <t xml:space="preserve">mur de type 1</t>
  </si>
  <si>
    <t xml:space="preserve">kWhEP/m²SDO</t>
  </si>
  <si>
    <t xml:space="preserve">mur de type 2</t>
  </si>
  <si>
    <t xml:space="preserve">isolant mur de type 1</t>
  </si>
  <si>
    <t xml:space="preserve">isolant mur de type 2</t>
  </si>
  <si>
    <t xml:space="preserve">toiture de type 1 </t>
  </si>
  <si>
    <t xml:space="preserve">toiture de type 2</t>
  </si>
  <si>
    <t xml:space="preserve">isolant toiture de type 1</t>
  </si>
  <si>
    <t xml:space="preserve">isolant toiture de type 2</t>
  </si>
  <si>
    <t xml:space="preserve">sol de type 1</t>
  </si>
  <si>
    <t xml:space="preserve">sol de type 2</t>
  </si>
  <si>
    <t xml:space="preserve">protections solaires</t>
  </si>
  <si>
    <t xml:space="preserve">ossature intérieure</t>
  </si>
  <si>
    <t xml:space="preserve">aménagement intérieur</t>
  </si>
  <si>
    <t xml:space="preserve">énergie grise initiale </t>
  </si>
  <si>
    <t xml:space="preserve">En. Grise</t>
  </si>
</sst>
</file>

<file path=xl/styles.xml><?xml version="1.0" encoding="utf-8"?>
<styleSheet xmlns="http://schemas.openxmlformats.org/spreadsheetml/2006/main">
  <numFmts count="7">
    <numFmt numFmtId="164" formatCode="General"/>
    <numFmt numFmtId="165" formatCode="0.00"/>
    <numFmt numFmtId="166" formatCode="0.0"/>
    <numFmt numFmtId="167" formatCode="0\ %"/>
    <numFmt numFmtId="168" formatCode="General"/>
    <numFmt numFmtId="169" formatCode="0"/>
    <numFmt numFmtId="170" formatCode="0.000"/>
  </numFmts>
  <fonts count="31">
    <font>
      <sz val="1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8"/>
      <color rgb="FFFFFFFF"/>
      <name val="Arial"/>
      <family val="2"/>
      <charset val="1"/>
    </font>
    <font>
      <b val="true"/>
      <sz val="10"/>
      <color rgb="FFFFFF00"/>
      <name val="Arial"/>
      <family val="2"/>
      <charset val="1"/>
    </font>
    <font>
      <b val="true"/>
      <sz val="10"/>
      <color rgb="FF00FF00"/>
      <name val="Arial"/>
      <family val="2"/>
      <charset val="1"/>
    </font>
    <font>
      <b val="true"/>
      <sz val="10"/>
      <color rgb="FFFFFFFF"/>
      <name val="Arial"/>
      <family val="2"/>
      <charset val="1"/>
    </font>
    <font>
      <b val="true"/>
      <sz val="10"/>
      <color rgb="FF993366"/>
      <name val="Arial"/>
      <family val="2"/>
      <charset val="1"/>
    </font>
    <font>
      <b val="true"/>
      <sz val="10"/>
      <color rgb="FFFF9900"/>
      <name val="Arial"/>
      <family val="2"/>
      <charset val="1"/>
    </font>
    <font>
      <b val="true"/>
      <sz val="10"/>
      <color rgb="FFFF0000"/>
      <name val="Arial"/>
      <family val="2"/>
      <charset val="1"/>
    </font>
    <font>
      <b val="true"/>
      <sz val="10"/>
      <color rgb="FF00FFFF"/>
      <name val="Arial"/>
      <family val="2"/>
      <charset val="1"/>
    </font>
    <font>
      <b val="true"/>
      <sz val="10"/>
      <color rgb="FFCCFFCC"/>
      <name val="Arial"/>
      <family val="2"/>
      <charset val="1"/>
    </font>
    <font>
      <sz val="12"/>
      <color rgb="FFFFCC99"/>
      <name val="Arial"/>
      <family val="2"/>
      <charset val="1"/>
    </font>
    <font>
      <b val="true"/>
      <sz val="10"/>
      <color rgb="FFFFCC99"/>
      <name val="Arial"/>
      <family val="2"/>
      <charset val="1"/>
    </font>
    <font>
      <b val="true"/>
      <sz val="10"/>
      <name val="Arial"/>
      <family val="2"/>
      <charset val="1"/>
    </font>
    <font>
      <sz val="10"/>
      <name val="Arial"/>
      <family val="2"/>
      <charset val="1"/>
    </font>
    <font>
      <sz val="7"/>
      <name val="Arial"/>
      <family val="2"/>
      <charset val="1"/>
    </font>
    <font>
      <sz val="11"/>
      <name val="Arial"/>
      <family val="2"/>
      <charset val="1"/>
    </font>
    <font>
      <sz val="8"/>
      <name val="Arial"/>
      <family val="2"/>
      <charset val="1"/>
    </font>
    <font>
      <i val="true"/>
      <sz val="8"/>
      <name val="Arial"/>
      <family val="2"/>
      <charset val="1"/>
    </font>
    <font>
      <b val="true"/>
      <sz val="12"/>
      <color rgb="FFFFCC99"/>
      <name val="Arial"/>
      <family val="2"/>
      <charset val="1"/>
    </font>
    <font>
      <b val="true"/>
      <sz val="11"/>
      <color rgb="FFFF0000"/>
      <name val="Calibri"/>
      <family val="2"/>
      <charset val="1"/>
    </font>
    <font>
      <sz val="10"/>
      <color rgb="FF000000"/>
      <name val="Arial"/>
      <family val="2"/>
      <charset val="1"/>
    </font>
    <font>
      <sz val="11"/>
      <name val="Calibri"/>
      <family val="2"/>
      <charset val="1"/>
    </font>
    <font>
      <sz val="11"/>
      <color rgb="FFFF0000"/>
      <name val="Calibri"/>
      <family val="2"/>
      <charset val="1"/>
    </font>
    <font>
      <sz val="10"/>
      <name val="Calibri"/>
      <family val="2"/>
      <charset val="1"/>
    </font>
    <font>
      <sz val="10"/>
      <color rgb="FFFF0000"/>
      <name val="Arial"/>
      <family val="2"/>
      <charset val="1"/>
    </font>
    <font>
      <sz val="8"/>
      <color rgb="FF000000"/>
      <name val="Tahoma"/>
      <family val="2"/>
      <charset val="1"/>
    </font>
    <font>
      <b val="true"/>
      <sz val="8"/>
      <color rgb="FF000000"/>
      <name val="Tahoma"/>
      <family val="2"/>
      <charset val="1"/>
    </font>
  </fonts>
  <fills count="16">
    <fill>
      <patternFill patternType="none"/>
    </fill>
    <fill>
      <patternFill patternType="gray125"/>
    </fill>
    <fill>
      <patternFill patternType="solid">
        <fgColor rgb="FF808080"/>
        <bgColor rgb="FF7F7F7F"/>
      </patternFill>
    </fill>
    <fill>
      <patternFill patternType="solid">
        <fgColor rgb="FFFFFF00"/>
        <bgColor rgb="FFFFFF00"/>
      </patternFill>
    </fill>
    <fill>
      <patternFill patternType="solid">
        <fgColor rgb="FF00FF00"/>
        <bgColor rgb="FF33CCCC"/>
      </patternFill>
    </fill>
    <fill>
      <patternFill patternType="solid">
        <fgColor rgb="FFC0C0C0"/>
        <bgColor rgb="FFCCCCFF"/>
      </patternFill>
    </fill>
    <fill>
      <patternFill patternType="solid">
        <fgColor rgb="FF00FFFF"/>
        <bgColor rgb="FF00FFFF"/>
      </patternFill>
    </fill>
    <fill>
      <patternFill patternType="solid">
        <fgColor rgb="FF993366"/>
        <bgColor rgb="FF993366"/>
      </patternFill>
    </fill>
    <fill>
      <patternFill patternType="solid">
        <fgColor rgb="FFFF9900"/>
        <bgColor rgb="FFFF9933"/>
      </patternFill>
    </fill>
    <fill>
      <patternFill patternType="solid">
        <fgColor rgb="FFFF0000"/>
        <bgColor rgb="FF993300"/>
      </patternFill>
    </fill>
    <fill>
      <patternFill patternType="solid">
        <fgColor rgb="FFA6A6A6"/>
        <bgColor rgb="FFC0C0C0"/>
      </patternFill>
    </fill>
    <fill>
      <patternFill patternType="solid">
        <fgColor rgb="FFFFFFFF"/>
        <bgColor rgb="FFFFFFCC"/>
      </patternFill>
    </fill>
    <fill>
      <patternFill patternType="solid">
        <fgColor rgb="FFFFCC99"/>
        <bgColor rgb="FFC0C0C0"/>
      </patternFill>
    </fill>
    <fill>
      <patternFill patternType="solid">
        <fgColor rgb="FF7F7F7F"/>
        <bgColor rgb="FF808080"/>
      </patternFill>
    </fill>
    <fill>
      <patternFill patternType="solid">
        <fgColor rgb="FF660033"/>
        <bgColor rgb="FF800000"/>
      </patternFill>
    </fill>
    <fill>
      <patternFill patternType="solid">
        <fgColor rgb="FFFF9933"/>
        <bgColor rgb="FFFF9900"/>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64" fontId="0" fillId="0" borderId="0" xfId="0" applyFont="false" applyBorder="false" applyAlignment="true" applyProtection="true">
      <alignment horizontal="right" vertical="bottom" textRotation="0" wrapText="false" indent="0" shrinkToFit="false"/>
      <protection locked="true" hidden="true"/>
    </xf>
    <xf numFmtId="164" fontId="6"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true"/>
    </xf>
    <xf numFmtId="164" fontId="14" fillId="2" borderId="0" xfId="0" applyFont="true" applyBorder="true" applyAlignment="true" applyProtection="true">
      <alignment horizontal="center" vertical="bottom" textRotation="180" wrapText="false" indent="0" shrinkToFit="false"/>
      <protection locked="true" hidden="false"/>
    </xf>
    <xf numFmtId="164" fontId="14" fillId="2" borderId="0" xfId="0" applyFont="true" applyBorder="false" applyAlignment="true" applyProtection="true">
      <alignment horizontal="center" vertical="bottom" textRotation="180" wrapText="false" indent="0" shrinkToFit="false"/>
      <protection locked="true" hidden="false"/>
    </xf>
    <xf numFmtId="164" fontId="15" fillId="2" borderId="0" xfId="0" applyFont="true" applyBorder="true" applyAlignment="true" applyProtection="true">
      <alignment horizontal="right" vertical="bottom" textRotation="0" wrapText="false" indent="0" shrinkToFit="false"/>
      <protection locked="true" hidden="false"/>
    </xf>
    <xf numFmtId="164" fontId="11" fillId="3" borderId="0" xfId="0" applyFont="true" applyBorder="fals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5" fillId="2" borderId="0" xfId="0" applyFont="true" applyBorder="false" applyAlignment="true" applyProtection="true">
      <alignment horizontal="right" vertical="bottom" textRotation="0" wrapText="false" indent="0" shrinkToFit="false"/>
      <protection locked="true" hidden="false"/>
    </xf>
    <xf numFmtId="164" fontId="16" fillId="4" borderId="0" xfId="0" applyFont="true" applyBorder="fals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true"/>
    </xf>
    <xf numFmtId="164" fontId="16" fillId="0" borderId="0" xfId="0" applyFont="true" applyBorder="false" applyAlignment="true" applyProtection="true">
      <alignment horizontal="center" vertical="bottom" textRotation="0" wrapText="false" indent="0" shrinkToFit="false"/>
      <protection locked="true" hidden="true"/>
    </xf>
    <xf numFmtId="164" fontId="17" fillId="5" borderId="0" xfId="0" applyFont="true" applyBorder="false" applyAlignment="true" applyProtection="true">
      <alignment horizontal="center" vertical="bottom" textRotation="0" wrapText="false" indent="0" shrinkToFit="false"/>
      <protection locked="true" hidden="false"/>
    </xf>
    <xf numFmtId="164" fontId="17" fillId="0" borderId="1" xfId="0" applyFont="true" applyBorder="true" applyAlignment="true" applyProtection="true">
      <alignment horizontal="right" vertical="bottom" textRotation="0" wrapText="false" indent="0" shrinkToFit="false"/>
      <protection locked="true" hidden="false"/>
    </xf>
    <xf numFmtId="164" fontId="0" fillId="6" borderId="1" xfId="0" applyFont="fals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4" fontId="18" fillId="0" borderId="2" xfId="0" applyFont="true" applyBorder="true" applyAlignment="true" applyProtection="true">
      <alignment horizontal="center" vertical="center" textRotation="0" wrapText="tru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0" fillId="5" borderId="0" xfId="0" applyFont="false" applyBorder="true" applyAlignment="true" applyProtection="true">
      <alignment horizontal="right" vertical="bottom" textRotation="0" wrapText="false" indent="0" shrinkToFit="false"/>
      <protection locked="true" hidden="true"/>
    </xf>
    <xf numFmtId="164" fontId="0" fillId="5" borderId="0" xfId="0" applyFont="true" applyBorder="true" applyAlignment="true" applyProtection="true">
      <alignment horizontal="center" vertical="bottom" textRotation="0" wrapText="false" indent="0" shrinkToFit="false"/>
      <protection locked="true" hidden="true"/>
    </xf>
    <xf numFmtId="164" fontId="8" fillId="7" borderId="1" xfId="0" applyFont="true" applyBorder="true" applyAlignment="true" applyProtection="true">
      <alignment horizontal="center" vertical="bottom" textRotation="0" wrapText="false" indent="0" shrinkToFit="false"/>
      <protection locked="true" hidden="false"/>
    </xf>
    <xf numFmtId="164" fontId="8" fillId="8" borderId="1" xfId="0" applyFont="true" applyBorder="true" applyAlignment="true" applyProtection="true">
      <alignment horizontal="center" vertical="bottom" textRotation="0" wrapText="false" indent="0" shrinkToFit="false"/>
      <protection locked="true" hidden="false"/>
    </xf>
    <xf numFmtId="164" fontId="8" fillId="9" borderId="1" xfId="0" applyFont="true" applyBorder="true" applyAlignment="true" applyProtection="true">
      <alignment horizontal="center" vertical="bottom" textRotation="0" wrapText="false" indent="0" shrinkToFit="false"/>
      <protection locked="true" hidden="false"/>
    </xf>
    <xf numFmtId="164" fontId="18" fillId="0" borderId="3" xfId="0" applyFont="true" applyBorder="true" applyAlignment="true" applyProtection="tru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false"/>
    </xf>
    <xf numFmtId="164" fontId="20" fillId="0" borderId="5"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true"/>
    </xf>
    <xf numFmtId="164" fontId="14" fillId="0" borderId="0" xfId="0" applyFont="true" applyBorder="false" applyAlignment="true" applyProtection="true">
      <alignment horizontal="center" vertical="bottom" textRotation="180" wrapText="false" indent="0" shrinkToFit="false"/>
      <protection locked="true" hidden="false"/>
    </xf>
    <xf numFmtId="164" fontId="18" fillId="0" borderId="6" xfId="0" applyFont="true" applyBorder="true" applyAlignment="true" applyProtection="true">
      <alignment horizontal="center" vertical="center" textRotation="0" wrapText="true" indent="0" shrinkToFit="false"/>
      <protection locked="true" hidden="false"/>
    </xf>
    <xf numFmtId="164" fontId="17" fillId="6" borderId="1"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5" fontId="0" fillId="6" borderId="1" xfId="0" applyFont="false" applyBorder="true" applyAlignment="true" applyProtection="true">
      <alignment horizontal="center" vertical="bottom" textRotation="0" wrapText="false" indent="0" shrinkToFit="false"/>
      <protection locked="true" hidden="false"/>
    </xf>
    <xf numFmtId="164" fontId="17" fillId="10" borderId="0" xfId="0" applyFont="true" applyBorder="true" applyAlignment="true" applyProtection="true">
      <alignment horizontal="center" vertical="bottom" textRotation="0" wrapText="false" indent="0" shrinkToFit="false"/>
      <protection locked="true" hidden="true"/>
    </xf>
    <xf numFmtId="164" fontId="11" fillId="0" borderId="0" xfId="0" applyFont="true" applyBorder="true" applyAlignment="true" applyProtection="true">
      <alignment horizontal="general" vertical="bottom" textRotation="0" wrapText="false" indent="0" shrinkToFit="false"/>
      <protection locked="true" hidden="true"/>
    </xf>
    <xf numFmtId="164" fontId="17" fillId="10" borderId="0"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true"/>
    </xf>
    <xf numFmtId="166" fontId="17" fillId="10" borderId="0"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17" fillId="0" borderId="0" xfId="0" applyFont="true" applyBorder="false" applyAlignment="true" applyProtection="true">
      <alignment horizontal="right" vertical="bottom" textRotation="0" wrapText="false" indent="0" shrinkToFit="false"/>
      <protection locked="true" hidden="false"/>
    </xf>
    <xf numFmtId="164" fontId="11" fillId="3" borderId="0" xfId="0" applyFont="true" applyBorder="true" applyAlignment="true" applyProtection="true">
      <alignment horizontal="center"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true"/>
    </xf>
    <xf numFmtId="164" fontId="0" fillId="0" borderId="0" xfId="0" applyFont="false" applyBorder="true" applyAlignment="true" applyProtection="true">
      <alignment horizontal="center" vertical="bottom" textRotation="0" wrapText="false" indent="0" shrinkToFit="false"/>
      <protection locked="true" hidden="true"/>
    </xf>
    <xf numFmtId="164" fontId="11" fillId="0" borderId="7" xfId="0" applyFont="true" applyBorder="true" applyAlignment="tru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general" vertical="bottom" textRotation="0" wrapText="false" indent="0" shrinkToFit="false"/>
      <protection locked="true" hidden="true"/>
    </xf>
    <xf numFmtId="165" fontId="0" fillId="5" borderId="0" xfId="0" applyFont="false" applyBorder="true" applyAlignment="true" applyProtection="true">
      <alignment horizontal="center" vertical="bottom" textRotation="0" wrapText="false" indent="0" shrinkToFit="false"/>
      <protection locked="true" hidden="true"/>
    </xf>
    <xf numFmtId="164" fontId="11" fillId="0" borderId="8" xfId="0" applyFont="true" applyBorder="true" applyAlignment="true" applyProtection="true">
      <alignment horizontal="general" vertical="bottom" textRotation="0" wrapText="false" indent="0" shrinkToFit="false"/>
      <protection locked="true" hidden="true"/>
    </xf>
    <xf numFmtId="164" fontId="0" fillId="0" borderId="9" xfId="0" applyFont="tru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0" fillId="0" borderId="10" xfId="0" applyFont="true" applyBorder="true" applyAlignment="true" applyProtection="true">
      <alignment horizontal="center" vertical="center" textRotation="0" wrapText="false" indent="0" shrinkToFit="false"/>
      <protection locked="true" hidden="false"/>
    </xf>
    <xf numFmtId="164" fontId="20" fillId="5" borderId="0" xfId="0" applyFont="true" applyBorder="true" applyAlignment="true" applyProtection="true">
      <alignment horizontal="right" vertical="bottom" textRotation="0" wrapText="false" indent="0" shrinkToFit="false"/>
      <protection locked="true" hidden="true"/>
    </xf>
    <xf numFmtId="167" fontId="0" fillId="5" borderId="0" xfId="0" applyFont="false" applyBorder="true" applyAlignment="true" applyProtection="true">
      <alignment horizontal="center" vertical="bottom" textRotation="0" wrapText="false" indent="0" shrinkToFit="false"/>
      <protection locked="true" hidden="tru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true"/>
    </xf>
    <xf numFmtId="168" fontId="0" fillId="5" borderId="0" xfId="0" applyFont="false" applyBorder="false" applyAlignment="true" applyProtection="true">
      <alignment horizontal="center" vertical="bottom" textRotation="0" wrapText="false" indent="0" shrinkToFit="false"/>
      <protection locked="true" hidden="false"/>
    </xf>
    <xf numFmtId="164" fontId="11" fillId="3" borderId="0" xfId="0" applyFont="true" applyBorder="true" applyAlignment="true" applyProtection="true">
      <alignment horizontal="center" vertical="bottom" textRotation="0" wrapText="false" indent="0" shrinkToFit="false"/>
      <protection locked="false" hidden="false"/>
    </xf>
    <xf numFmtId="165" fontId="16" fillId="0" borderId="0" xfId="0" applyFont="true" applyBorder="false" applyAlignment="true" applyProtection="true">
      <alignment horizontal="center" vertical="bottom" textRotation="0" wrapText="false" indent="0" shrinkToFit="false"/>
      <protection locked="true" hidden="true"/>
    </xf>
    <xf numFmtId="169" fontId="16" fillId="0" borderId="0" xfId="0" applyFont="true" applyBorder="false" applyAlignment="true" applyProtection="true">
      <alignment horizontal="center" vertical="bottom" textRotation="0" wrapText="false" indent="0" shrinkToFit="false"/>
      <protection locked="true" hidden="true"/>
    </xf>
    <xf numFmtId="164" fontId="11" fillId="3" borderId="0" xfId="0" applyFont="true" applyBorder="false" applyAlignment="true" applyProtection="true">
      <alignment horizontal="center" vertical="bottom" textRotation="0" wrapText="false" indent="0" shrinkToFit="false"/>
      <protection locked="false" hidden="false"/>
    </xf>
    <xf numFmtId="164" fontId="2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true"/>
    </xf>
    <xf numFmtId="164" fontId="0" fillId="0" borderId="8" xfId="0" applyFont="false" applyBorder="true" applyAlignment="true" applyProtection="true">
      <alignment horizontal="general" vertical="bottom" textRotation="0" wrapText="false" indent="0" shrinkToFit="false"/>
      <protection locked="true" hidden="true"/>
    </xf>
    <xf numFmtId="166" fontId="11" fillId="0" borderId="0" xfId="0" applyFont="true" applyBorder="false" applyAlignment="true" applyProtection="true">
      <alignment horizontal="left" vertical="bottom" textRotation="0" wrapText="false" indent="0" shrinkToFit="false"/>
      <protection locked="true" hidden="true"/>
    </xf>
    <xf numFmtId="166" fontId="0" fillId="0" borderId="0" xfId="0" applyFont="false" applyBorder="false" applyAlignment="true" applyProtection="true">
      <alignment horizontal="center"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true"/>
    </xf>
    <xf numFmtId="164" fontId="11" fillId="0" borderId="0" xfId="0" applyFont="true" applyBorder="false" applyAlignment="true" applyProtection="true">
      <alignment horizontal="center"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7" fillId="0" borderId="0" xfId="0" applyFont="true" applyBorder="false" applyAlignment="true" applyProtection="true">
      <alignment horizontal="center" vertical="bottom" textRotation="0" wrapText="false" indent="0" shrinkToFit="false"/>
      <protection locked="true" hidden="false"/>
    </xf>
    <xf numFmtId="168" fontId="0" fillId="5" borderId="0" xfId="0" applyFont="false" applyBorder="false" applyAlignment="true" applyProtection="true">
      <alignment horizontal="center" vertical="bottom" textRotation="0" wrapText="false" indent="0" shrinkToFit="false"/>
      <protection locked="true" hidden="true"/>
    </xf>
    <xf numFmtId="166" fontId="11" fillId="0" borderId="0" xfId="0" applyFont="true" applyBorder="false" applyAlignment="true" applyProtection="true">
      <alignment horizontal="center" vertical="bottom" textRotation="0" wrapText="false" indent="0" shrinkToFit="false"/>
      <protection locked="true" hidden="true"/>
    </xf>
    <xf numFmtId="169" fontId="11" fillId="0" borderId="0" xfId="0" applyFont="true" applyBorder="false" applyAlignment="true" applyProtection="true">
      <alignment horizontal="center" vertical="bottom" textRotation="0" wrapText="false" indent="0" shrinkToFit="false"/>
      <protection locked="true" hidden="tru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true"/>
    </xf>
    <xf numFmtId="164" fontId="2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1" fillId="0" borderId="0" xfId="0" applyFont="true" applyBorder="true" applyAlignment="true" applyProtection="true">
      <alignment horizontal="right" vertical="bottom" textRotation="0" wrapText="true" indent="0" shrinkToFit="false"/>
      <protection locked="true" hidden="false"/>
    </xf>
    <xf numFmtId="164" fontId="20" fillId="0" borderId="1" xfId="0" applyFont="true" applyBorder="true" applyAlignment="true" applyProtection="true">
      <alignment horizontal="center" vertical="bottom" textRotation="0" wrapText="true" indent="0" shrinkToFit="false"/>
      <protection locked="true" hidden="false"/>
    </xf>
    <xf numFmtId="164" fontId="16" fillId="12" borderId="0" xfId="0" applyFont="true" applyBorder="false" applyAlignment="true" applyProtection="true">
      <alignment horizontal="center" vertical="center" textRotation="255" wrapText="false" indent="0" shrinkToFit="false"/>
      <protection locked="true" hidden="false"/>
    </xf>
    <xf numFmtId="164" fontId="16" fillId="12" borderId="0" xfId="0" applyFont="true" applyBorder="false" applyAlignment="true" applyProtection="true">
      <alignment horizontal="right" vertical="bottom" textRotation="0" wrapText="false" indent="0" shrinkToFit="false"/>
      <protection locked="true" hidden="false"/>
    </xf>
    <xf numFmtId="164" fontId="0" fillId="12" borderId="0" xfId="0" applyFont="false" applyBorder="false" applyAlignment="true" applyProtection="true">
      <alignment horizontal="center" vertical="bottom" textRotation="0" wrapText="false" indent="0" shrinkToFit="false"/>
      <protection locked="true" hidden="false"/>
    </xf>
    <xf numFmtId="166" fontId="16" fillId="4" borderId="0" xfId="0" applyFont="true" applyBorder="false" applyAlignment="true" applyProtection="true">
      <alignment horizontal="center" vertical="bottom" textRotation="0" wrapText="false" indent="0" shrinkToFit="false"/>
      <protection locked="true" hidden="false"/>
    </xf>
    <xf numFmtId="164" fontId="20" fillId="0" borderId="1" xfId="0" applyFont="true" applyBorder="true" applyAlignment="true" applyProtection="true">
      <alignment horizontal="left" vertical="top" textRotation="0" wrapText="true" indent="0" shrinkToFit="false"/>
      <protection locked="true" hidden="false"/>
    </xf>
    <xf numFmtId="164" fontId="20" fillId="0" borderId="1"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left" vertical="bottom" textRotation="180" wrapText="false" indent="0" shrinkToFit="false"/>
      <protection locked="true" hidden="false"/>
    </xf>
    <xf numFmtId="164" fontId="14" fillId="0" borderId="0" xfId="0" applyFont="true" applyBorder="false" applyAlignment="true" applyProtection="true">
      <alignment horizontal="left" vertical="bottom" textRotation="180" wrapText="false" indent="0" shrinkToFit="false"/>
      <protection locked="true" hidden="false"/>
    </xf>
    <xf numFmtId="164" fontId="20" fillId="0" borderId="0" xfId="0" applyFont="true" applyBorder="true" applyAlignment="true" applyProtection="true">
      <alignment horizontal="general" vertical="top" textRotation="0" wrapText="tru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17" fillId="6" borderId="1" xfId="0" applyFont="true" applyBorder="true" applyAlignment="true" applyProtection="true">
      <alignment horizontal="center" vertical="bottom" textRotation="0" wrapText="tru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7" fontId="16" fillId="4" borderId="0" xfId="19" applyFont="true" applyBorder="true" applyAlignment="true" applyProtection="true">
      <alignment horizontal="center" vertical="bottom" textRotation="0" wrapText="false" indent="0" shrinkToFit="false"/>
      <protection locked="true" hidden="false"/>
    </xf>
    <xf numFmtId="167" fontId="8" fillId="9" borderId="1" xfId="19" applyFont="true" applyBorder="true" applyAlignment="true" applyProtection="true">
      <alignment horizontal="center" vertical="bottom" textRotation="0" wrapText="false" indent="0" shrinkToFit="false"/>
      <protection locked="true" hidden="false"/>
    </xf>
    <xf numFmtId="166" fontId="0" fillId="5" borderId="0" xfId="0" applyFont="false" applyBorder="true" applyAlignment="true" applyProtection="true">
      <alignment horizontal="center" vertical="bottom" textRotation="0" wrapText="false" indent="0" shrinkToFit="false"/>
      <protection locked="true" hidden="true"/>
    </xf>
    <xf numFmtId="164" fontId="0" fillId="5" borderId="0" xfId="0" applyFont="true" applyBorder="true" applyAlignment="true" applyProtection="true">
      <alignment horizontal="general" vertical="bottom" textRotation="0" wrapText="false" indent="0" shrinkToFit="false"/>
      <protection locked="true" hidden="true"/>
    </xf>
    <xf numFmtId="164" fontId="22" fillId="2" borderId="0" xfId="0" applyFont="true" applyBorder="false" applyAlignment="true" applyProtection="true">
      <alignment horizontal="center" vertical="top" textRotation="90" wrapText="false" indent="0" shrinkToFit="false"/>
      <protection locked="true" hidden="false"/>
    </xf>
    <xf numFmtId="164" fontId="22" fillId="0" borderId="0" xfId="0" applyFont="true" applyBorder="false" applyAlignment="true" applyProtection="true">
      <alignment horizontal="center" vertical="top" textRotation="9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tru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true"/>
    </xf>
    <xf numFmtId="164" fontId="0" fillId="0" borderId="1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tru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true"/>
    </xf>
    <xf numFmtId="166" fontId="0" fillId="0" borderId="0" xfId="0" applyFont="false" applyBorder="true" applyAlignment="true" applyProtection="true">
      <alignment horizontal="center" vertical="bottom" textRotation="0" wrapText="false" indent="0" shrinkToFit="false"/>
      <protection locked="true" hidden="true"/>
    </xf>
    <xf numFmtId="164" fontId="20" fillId="0" borderId="0" xfId="0" applyFont="true" applyBorder="fals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6" borderId="6" xfId="0" applyFont="fals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true"/>
    </xf>
    <xf numFmtId="164" fontId="16" fillId="0" borderId="0" xfId="0" applyFont="true" applyBorder="true" applyAlignment="true" applyProtection="true">
      <alignment horizontal="left" vertical="bottom" textRotation="0" wrapText="false" indent="0" shrinkToFit="false"/>
      <protection locked="true" hidden="true"/>
    </xf>
    <xf numFmtId="164" fontId="0" fillId="6" borderId="0" xfId="0" applyFont="false" applyBorder="true" applyAlignment="true" applyProtection="true">
      <alignment horizontal="center" vertical="bottom" textRotation="0" wrapText="false" indent="0" shrinkToFit="false"/>
      <protection locked="true" hidden="true"/>
    </xf>
    <xf numFmtId="164" fontId="17" fillId="5" borderId="0" xfId="0" applyFont="true" applyBorder="true" applyAlignment="true" applyProtection="true">
      <alignment horizontal="center" vertical="bottom" textRotation="0" wrapText="false" indent="0" shrinkToFit="false"/>
      <protection locked="true" hidden="true"/>
    </xf>
    <xf numFmtId="164" fontId="0" fillId="2"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8" fontId="0" fillId="5" borderId="0" xfId="0" applyFont="false" applyBorder="false" applyAlignment="true" applyProtection="true">
      <alignment horizontal="general" vertical="bottom" textRotation="0" wrapText="false" indent="0" shrinkToFit="false"/>
      <protection locked="true" hidden="false"/>
    </xf>
    <xf numFmtId="164" fontId="11" fillId="6" borderId="0" xfId="0" applyFont="true" applyBorder="true" applyAlignment="true" applyProtection="true">
      <alignment horizontal="center" vertical="bottom" textRotation="0" wrapText="false" indent="0" shrinkToFit="false"/>
      <protection locked="true" hidden="true"/>
    </xf>
    <xf numFmtId="164" fontId="11" fillId="6" borderId="0" xfId="0" applyFont="true" applyBorder="false" applyAlignment="true" applyProtection="true">
      <alignment horizontal="center" vertical="bottom" textRotation="0" wrapText="false" indent="0" shrinkToFit="false"/>
      <protection locked="true" hidden="true"/>
    </xf>
    <xf numFmtId="169" fontId="0" fillId="6" borderId="0" xfId="0" applyFont="true" applyBorder="true" applyAlignment="true" applyProtection="true">
      <alignment horizontal="right" vertical="bottom" textRotation="0" wrapText="false" indent="0" shrinkToFit="false"/>
      <protection locked="true" hidden="false"/>
    </xf>
    <xf numFmtId="169" fontId="0" fillId="6" borderId="0" xfId="0" applyFont="false" applyBorder="tru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false" indent="0" shrinkToFit="false"/>
      <protection locked="true" hidden="false"/>
    </xf>
    <xf numFmtId="165" fontId="0" fillId="6" borderId="0" xfId="0" applyFont="false" applyBorder="true" applyAlignment="true" applyProtection="true">
      <alignment horizontal="center" vertical="bottom" textRotation="0" wrapText="false" indent="0" shrinkToFit="false"/>
      <protection locked="true" hidden="true"/>
    </xf>
    <xf numFmtId="169" fontId="17" fillId="5" borderId="0" xfId="0" applyFont="true" applyBorder="true" applyAlignment="true" applyProtection="true">
      <alignment horizontal="center" vertical="bottom" textRotation="0" wrapText="false" indent="0" shrinkToFit="false"/>
      <protection locked="true" hidden="false"/>
    </xf>
    <xf numFmtId="166" fontId="17" fillId="5" borderId="0"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5" fontId="16" fillId="4"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6" fillId="12" borderId="0" xfId="0" applyFont="true" applyBorder="false" applyAlignment="true" applyProtection="true">
      <alignment horizontal="center" vertical="center" textRotation="0" wrapText="false" indent="0" shrinkToFit="false"/>
      <protection locked="true" hidden="false"/>
    </xf>
    <xf numFmtId="165" fontId="0" fillId="6" borderId="6" xfId="0" applyFont="fals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9" fontId="17" fillId="6" borderId="0" xfId="0" applyFont="true" applyBorder="true" applyAlignment="true" applyProtection="true">
      <alignment horizontal="right" vertical="bottom" textRotation="0" wrapText="false" indent="0" shrinkToFit="false"/>
      <protection locked="true" hidden="false"/>
    </xf>
    <xf numFmtId="166" fontId="0" fillId="6" borderId="0" xfId="0" applyFont="fals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0" fillId="5" borderId="0" xfId="0" applyFont="false" applyBorder="true" applyAlignment="true" applyProtection="true">
      <alignment horizontal="general" vertical="bottom" textRotation="0" wrapText="false" indent="0" shrinkToFit="false"/>
      <protection locked="true" hidden="false"/>
    </xf>
    <xf numFmtId="164" fontId="4" fillId="0" borderId="0" xfId="20" applyFont="false" applyBorder="false" applyAlignment="true" applyProtection="true">
      <alignment horizontal="center" vertical="bottom" textRotation="0" wrapText="false" indent="0" shrinkToFit="false"/>
      <protection locked="true" hidden="true"/>
    </xf>
    <xf numFmtId="167" fontId="11" fillId="3" borderId="0" xfId="19" applyFont="true" applyBorder="true" applyAlignment="true" applyProtection="true">
      <alignment horizontal="center" vertical="bottom" textRotation="0" wrapText="false" indent="0" shrinkToFit="false"/>
      <protection locked="false" hidden="false"/>
    </xf>
    <xf numFmtId="167" fontId="0" fillId="5" borderId="0" xfId="0" applyFont="false" applyBorder="true" applyAlignment="true" applyProtection="true">
      <alignment horizontal="general" vertical="bottom" textRotation="0" wrapText="false" indent="0" shrinkToFit="false"/>
      <protection locked="true" hidden="false"/>
    </xf>
    <xf numFmtId="165" fontId="17" fillId="5" borderId="0" xfId="0" applyFont="true" applyBorder="false" applyAlignment="true" applyProtection="true">
      <alignment horizontal="center" vertical="bottom" textRotation="0" wrapText="false" indent="0" shrinkToFit="false"/>
      <protection locked="true" hidden="true"/>
    </xf>
    <xf numFmtId="165" fontId="4" fillId="0" borderId="0" xfId="20" applyFont="false" applyBorder="false" applyAlignment="true" applyProtection="true">
      <alignment horizontal="general" vertical="bottom" textRotation="0" wrapText="false" indent="0" shrinkToFit="false"/>
      <protection locked="true" hidden="true"/>
    </xf>
    <xf numFmtId="165" fontId="11" fillId="3" borderId="0" xfId="0" applyFont="true" applyBorder="false" applyAlignment="true" applyProtection="true">
      <alignment horizontal="center" vertical="bottom" textRotation="0" wrapText="false" indent="0" shrinkToFit="false"/>
      <protection locked="false" hidden="false"/>
    </xf>
    <xf numFmtId="164" fontId="24" fillId="5" borderId="0" xfId="0" applyFont="true" applyBorder="true" applyAlignment="true" applyProtection="true">
      <alignment horizontal="center" vertical="bottom" textRotation="0" wrapText="false" indent="0" shrinkToFit="false"/>
      <protection locked="true" hidden="true"/>
    </xf>
    <xf numFmtId="164" fontId="24" fillId="6" borderId="0" xfId="0" applyFont="true" applyBorder="true" applyAlignment="true" applyProtection="true">
      <alignment horizontal="center" vertical="bottom" textRotation="0" wrapText="false" indent="0" shrinkToFit="false"/>
      <protection locked="true" hidden="true"/>
    </xf>
    <xf numFmtId="164" fontId="0" fillId="0" borderId="0" xfId="0" applyFont="false" applyBorder="true" applyAlignment="true" applyProtection="true">
      <alignment horizontal="center" vertical="bottom" textRotation="0" wrapText="false" indent="0" shrinkToFit="false"/>
      <protection locked="true" hidden="false"/>
    </xf>
    <xf numFmtId="165" fontId="8" fillId="8" borderId="1" xfId="0" applyFont="true" applyBorder="true" applyAlignment="true" applyProtection="true">
      <alignment horizontal="center" vertical="bottom" textRotation="0" wrapText="false" indent="0" shrinkToFit="false"/>
      <protection locked="true" hidden="false"/>
    </xf>
    <xf numFmtId="169" fontId="17" fillId="6" borderId="0" xfId="0" applyFont="true" applyBorder="false" applyAlignment="true" applyProtection="true">
      <alignment horizontal="center" vertical="bottom" textRotation="0" wrapText="false" indent="0" shrinkToFit="false"/>
      <protection locked="true" hidden="true"/>
    </xf>
    <xf numFmtId="164" fontId="22" fillId="2" borderId="0" xfId="0" applyFont="true" applyBorder="false" applyAlignment="true" applyProtection="true">
      <alignment horizontal="center" vertical="center" textRotation="90" wrapText="false" indent="0" shrinkToFit="false"/>
      <protection locked="true" hidden="false"/>
    </xf>
    <xf numFmtId="164" fontId="22" fillId="0" borderId="0" xfId="0" applyFont="true" applyBorder="false" applyAlignment="true" applyProtection="true">
      <alignment horizontal="center" vertical="center" textRotation="90" wrapText="false" indent="0" shrinkToFit="false"/>
      <protection locked="true" hidden="false"/>
    </xf>
    <xf numFmtId="164" fontId="20" fillId="0" borderId="6" xfId="0" applyFont="true" applyBorder="true" applyAlignment="true" applyProtection="true">
      <alignment horizontal="general" vertical="top" textRotation="0" wrapText="true" indent="0" shrinkToFit="false"/>
      <protection locked="true" hidden="false"/>
    </xf>
    <xf numFmtId="164" fontId="17" fillId="6" borderId="0" xfId="0" applyFont="true" applyBorder="true" applyAlignment="true" applyProtection="true">
      <alignment horizontal="center" vertical="bottom" textRotation="0" wrapText="false" indent="0" shrinkToFit="false"/>
      <protection locked="true" hidden="true"/>
    </xf>
    <xf numFmtId="165" fontId="17" fillId="6" borderId="0" xfId="0" applyFont="true" applyBorder="false" applyAlignment="true" applyProtection="true">
      <alignment horizontal="center" vertical="bottom" textRotation="0" wrapText="false" indent="0" shrinkToFit="false"/>
      <protection locked="true" hidden="true"/>
    </xf>
    <xf numFmtId="170" fontId="16" fillId="4" borderId="0" xfId="0" applyFont="true" applyBorder="false" applyAlignment="true" applyProtection="true">
      <alignment horizontal="center" vertical="bottom" textRotation="0" wrapText="false" indent="0" shrinkToFit="false"/>
      <protection locked="true" hidden="false"/>
    </xf>
    <xf numFmtId="170" fontId="8" fillId="7" borderId="1" xfId="0" applyFont="true" applyBorder="true" applyAlignment="true" applyProtection="true">
      <alignment horizontal="center" vertical="bottom" textRotation="0" wrapText="false" indent="0" shrinkToFit="false"/>
      <protection locked="true" hidden="false"/>
    </xf>
    <xf numFmtId="170" fontId="8" fillId="8" borderId="1" xfId="0" applyFont="true" applyBorder="true" applyAlignment="true" applyProtection="true">
      <alignment horizontal="center" vertical="bottom" textRotation="0" wrapText="false" indent="0" shrinkToFit="false"/>
      <protection locked="true" hidden="false"/>
    </xf>
    <xf numFmtId="170" fontId="8" fillId="9" borderId="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true" applyProtection="true">
      <alignment horizontal="general" vertical="top" textRotation="0" wrapText="true" indent="0" shrinkToFit="false"/>
      <protection locked="true" hidden="false"/>
    </xf>
    <xf numFmtId="166" fontId="17" fillId="6" borderId="0" xfId="0" applyFont="true" applyBorder="false" applyAlignment="true" applyProtection="true">
      <alignment horizontal="center" vertical="bottom" textRotation="0" wrapText="false" indent="0" shrinkToFit="false"/>
      <protection locked="true" hidden="true"/>
    </xf>
    <xf numFmtId="164" fontId="25" fillId="6" borderId="0" xfId="0" applyFont="true" applyBorder="false" applyAlignment="true" applyProtection="true">
      <alignment horizontal="center" vertical="bottom" textRotation="0" wrapText="false" indent="0" shrinkToFit="false"/>
      <protection locked="true" hidden="false"/>
    </xf>
    <xf numFmtId="169" fontId="23"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9" fontId="0" fillId="5" borderId="0" xfId="0" applyFont="false" applyBorder="true" applyAlignment="true" applyProtection="true">
      <alignment horizontal="center"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9" fontId="16" fillId="4" borderId="0" xfId="0" applyFont="true" applyBorder="false" applyAlignment="true" applyProtection="true">
      <alignment horizontal="center" vertical="bottom" textRotation="0" wrapText="false" indent="0" shrinkToFit="false"/>
      <protection locked="true" hidden="false"/>
    </xf>
    <xf numFmtId="169" fontId="8" fillId="7" borderId="1" xfId="0" applyFont="true" applyBorder="true" applyAlignment="true" applyProtection="true">
      <alignment horizontal="center" vertical="bottom" textRotation="0" wrapText="false" indent="0" shrinkToFit="false"/>
      <protection locked="true" hidden="false"/>
    </xf>
    <xf numFmtId="169" fontId="8" fillId="8" borderId="1" xfId="0" applyFont="true" applyBorder="true" applyAlignment="true" applyProtection="true">
      <alignment horizontal="center" vertical="bottom" textRotation="0" wrapText="false" indent="0" shrinkToFit="false"/>
      <protection locked="true" hidden="false"/>
    </xf>
    <xf numFmtId="169" fontId="8" fillId="9" borderId="1" xfId="0" applyFont="true" applyBorder="true" applyAlignment="true" applyProtection="true">
      <alignment horizontal="center" vertical="bottom" textRotation="0" wrapText="false" indent="0" shrinkToFit="false"/>
      <protection locked="true" hidden="false"/>
    </xf>
    <xf numFmtId="164" fontId="27" fillId="5" borderId="0" xfId="0" applyFont="true" applyBorder="true" applyAlignment="true" applyProtection="true">
      <alignment horizontal="right" vertical="bottom" textRotation="0" wrapText="false" indent="0" shrinkToFit="false"/>
      <protection locked="true" hidden="tru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true"/>
    </xf>
    <xf numFmtId="164" fontId="28" fillId="3" borderId="0" xfId="0" applyFont="true" applyBorder="false" applyAlignment="true" applyProtection="true">
      <alignment horizontal="center" vertical="bottom" textRotation="0" wrapText="false" indent="0" shrinkToFit="false"/>
      <protection locked="false" hidden="false"/>
    </xf>
    <xf numFmtId="166" fontId="0" fillId="5" borderId="0" xfId="0" applyFont="false" applyBorder="false" applyAlignment="true" applyProtection="true">
      <alignment horizontal="center" vertical="bottom" textRotation="0" wrapText="fals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false" hidden="false"/>
    </xf>
    <xf numFmtId="169" fontId="0" fillId="5" borderId="0" xfId="0" applyFont="true" applyBorder="true" applyAlignment="true" applyProtection="true">
      <alignment horizontal="center" vertical="bottom" textRotation="0" wrapText="false" indent="0" shrinkToFit="false"/>
      <protection locked="true" hidden="true"/>
    </xf>
    <xf numFmtId="169" fontId="0" fillId="6" borderId="0" xfId="0" applyFont="false" applyBorder="false" applyAlignment="true" applyProtection="true">
      <alignment horizontal="center" vertical="bottom" textRotation="0" wrapText="false" indent="0" shrinkToFit="false"/>
      <protection locked="true" hidden="false"/>
    </xf>
    <xf numFmtId="164" fontId="16" fillId="12" borderId="0"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right" vertical="bottom" textRotation="0" wrapText="false" indent="0" shrinkToFit="false"/>
      <protection locked="true" hidden="false"/>
    </xf>
    <xf numFmtId="165" fontId="8" fillId="7" borderId="1" xfId="0" applyFont="true" applyBorder="true" applyAlignment="true" applyProtection="true">
      <alignment horizontal="center" vertical="bottom" textRotation="0" wrapText="false" indent="0" shrinkToFit="false"/>
      <protection locked="true" hidden="false"/>
    </xf>
    <xf numFmtId="165" fontId="8" fillId="9"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8" fontId="17" fillId="5" borderId="0" xfId="0" applyFont="true" applyBorder="true" applyAlignment="true" applyProtection="true">
      <alignment horizontal="center" vertical="bottom" textRotation="0" wrapText="false" indent="0" shrinkToFit="false"/>
      <protection locked="true" hidden="false"/>
    </xf>
    <xf numFmtId="166" fontId="0" fillId="5" borderId="0" xfId="0" applyFont="false" applyBorder="true" applyAlignment="true" applyProtection="true">
      <alignment horizontal="center" vertical="bottom" textRotation="0" wrapText="false" indent="0" shrinkToFit="false"/>
      <protection locked="true" hidden="false"/>
    </xf>
    <xf numFmtId="167" fontId="28" fillId="6" borderId="0" xfId="19" applyFont="true" applyBorder="true" applyAlignment="true" applyProtection="true">
      <alignment horizontal="center" vertical="bottom" textRotation="0" wrapText="false" indent="0" shrinkToFit="false"/>
      <protection locked="true" hidden="true"/>
    </xf>
    <xf numFmtId="167" fontId="0" fillId="6" borderId="0" xfId="19" applyFont="true" applyBorder="true" applyAlignment="true" applyProtection="true">
      <alignment horizontal="center" vertical="bottom" textRotation="0" wrapText="false" indent="0" shrinkToFit="false"/>
      <protection locked="true" hidden="true"/>
    </xf>
    <xf numFmtId="169" fontId="0" fillId="6" borderId="0" xfId="0" applyFont="false" applyBorder="true" applyAlignment="true" applyProtection="true">
      <alignment horizontal="center" vertical="bottom" textRotation="0" wrapText="false" indent="0" shrinkToFit="false"/>
      <protection locked="true" hidden="true"/>
    </xf>
    <xf numFmtId="169" fontId="28" fillId="6" borderId="0" xfId="0" applyFont="true" applyBorder="true" applyAlignment="true" applyProtection="true">
      <alignment horizontal="center" vertical="bottom" textRotation="0" wrapText="false" indent="0" shrinkToFit="false"/>
      <protection locked="true" hidden="true"/>
    </xf>
    <xf numFmtId="169" fontId="17" fillId="6" borderId="0" xfId="0" applyFont="true" applyBorder="true" applyAlignment="true" applyProtection="true">
      <alignment horizontal="center" vertical="bottom" textRotation="0" wrapText="false" indent="0" shrinkToFit="false"/>
      <protection locked="true" hidden="true"/>
    </xf>
    <xf numFmtId="166" fontId="28" fillId="6" borderId="0" xfId="0" applyFont="true" applyBorder="true" applyAlignment="true" applyProtection="true">
      <alignment horizontal="center" vertical="bottom" textRotation="0" wrapText="false" indent="0" shrinkToFit="false"/>
      <protection locked="true" hidden="true"/>
    </xf>
    <xf numFmtId="165" fontId="28" fillId="6" borderId="0" xfId="0" applyFont="true" applyBorder="true" applyAlignment="true" applyProtection="true">
      <alignment horizontal="center" vertical="bottom" textRotation="0" wrapText="false" indent="0" shrinkToFit="false"/>
      <protection locked="true" hidden="true"/>
    </xf>
    <xf numFmtId="166" fontId="17" fillId="6" borderId="0" xfId="0" applyFont="true" applyBorder="true" applyAlignment="true" applyProtection="true">
      <alignment horizontal="center" vertical="bottom" textRotation="0" wrapText="false" indent="0" shrinkToFit="false"/>
      <protection locked="true" hidden="true"/>
    </xf>
    <xf numFmtId="165" fontId="0" fillId="5" borderId="0" xfId="0" applyFont="false" applyBorder="true" applyAlignment="true" applyProtection="true">
      <alignment horizontal="center" vertical="bottom" textRotation="0" wrapText="false" indent="0" shrinkToFit="false"/>
      <protection locked="true" hidden="false"/>
    </xf>
    <xf numFmtId="168" fontId="0" fillId="5" borderId="0" xfId="0" applyFont="fals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6" fontId="8" fillId="9" borderId="1" xfId="0" applyFont="true" applyBorder="true" applyAlignment="true" applyProtection="true">
      <alignment horizontal="center" vertical="bottom" textRotation="0" wrapText="false" indent="0" shrinkToFit="false"/>
      <protection locked="true" hidden="false"/>
    </xf>
    <xf numFmtId="164" fontId="0" fillId="13" borderId="0" xfId="0" applyFont="false" applyBorder="false" applyAlignment="true" applyProtection="true">
      <alignment horizontal="center" vertical="bottom" textRotation="0" wrapText="false" indent="0" shrinkToFit="false"/>
      <protection locked="true" hidden="false"/>
    </xf>
    <xf numFmtId="164" fontId="28"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1" fillId="3" borderId="0" xfId="0" applyFont="true" applyBorder="true" applyAlignment="true" applyProtection="true">
      <alignment horizontal="left" vertical="bottom" textRotation="0" wrapText="false" indent="0" shrinkToFit="false"/>
      <protection locked="false" hidden="false"/>
    </xf>
    <xf numFmtId="164" fontId="8" fillId="14" borderId="1" xfId="0" applyFont="true" applyBorder="true" applyAlignment="true" applyProtection="true">
      <alignment horizontal="center" vertical="bottom" textRotation="0" wrapText="false" indent="0" shrinkToFit="false"/>
      <protection locked="true" hidden="false"/>
    </xf>
    <xf numFmtId="164" fontId="8" fillId="15" borderId="1" xfId="0" applyFont="true" applyBorder="true" applyAlignment="true" applyProtection="tru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33"/>
      <rgbColor rgb="FFFF993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7F7F7F"/>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B155"/>
  <sheetViews>
    <sheetView showFormulas="false" showGridLines="true" showRowColHeaders="true" showZeros="true" rightToLeft="false" tabSelected="true" showOutlineSymbols="true" defaultGridColor="true" view="normal" topLeftCell="A109" colorId="64" zoomScale="70" zoomScaleNormal="70" zoomScalePageLayoutView="100" workbookViewId="0">
      <selection pane="topLeft" activeCell="D48" activeCellId="0" sqref="D48"/>
    </sheetView>
  </sheetViews>
  <sheetFormatPr defaultColWidth="11.42578125" defaultRowHeight="12.75" zeroHeight="false" outlineLevelRow="0" outlineLevelCol="0"/>
  <cols>
    <col collapsed="false" customWidth="true" hidden="false" outlineLevel="0" max="1" min="1" style="1" width="3.29"/>
    <col collapsed="false" customWidth="true" hidden="false" outlineLevel="0" max="2" min="2" style="1" width="18.71"/>
    <col collapsed="false" customWidth="true" hidden="false" outlineLevel="0" max="3" min="3" style="2" width="40.14"/>
    <col collapsed="false" customWidth="true" hidden="false" outlineLevel="0" max="4" min="4" style="1" width="6.57"/>
    <col collapsed="false" customWidth="true" hidden="false" outlineLevel="0" max="5" min="5" style="1" width="7"/>
    <col collapsed="false" customWidth="true" hidden="false" outlineLevel="0" max="9" min="6" style="1" width="5.71"/>
    <col collapsed="false" customWidth="true" hidden="false" outlineLevel="0" max="12" min="10" style="1" width="6.71"/>
    <col collapsed="false" customWidth="true" hidden="false" outlineLevel="0" max="13" min="13" style="0" width="7.42"/>
    <col collapsed="false" customWidth="true" hidden="false" outlineLevel="0" max="14" min="14" style="0" width="2.29"/>
    <col collapsed="false" customWidth="true" hidden="false" outlineLevel="0" max="15" min="15" style="0" width="10.14"/>
    <col collapsed="false" customWidth="true" hidden="false" outlineLevel="0" max="23" min="16" style="0" width="8.29"/>
    <col collapsed="false" customWidth="true" hidden="false" outlineLevel="0" max="24" min="24" style="0" width="8.57"/>
    <col collapsed="false" customWidth="true" hidden="false" outlineLevel="0" max="25" min="25" style="0" width="9.71"/>
    <col collapsed="false" customWidth="true" hidden="true" outlineLevel="0" max="26" min="26" style="0" width="12"/>
    <col collapsed="false" customWidth="true" hidden="true" outlineLevel="0" max="36" min="27" style="0" width="8.29"/>
    <col collapsed="false" customWidth="true" hidden="true" outlineLevel="0" max="42" min="37" style="1" width="8.29"/>
    <col collapsed="false" customWidth="true" hidden="true" outlineLevel="0" max="43" min="43" style="2" width="8.29"/>
    <col collapsed="false" customWidth="true" hidden="true" outlineLevel="0" max="55" min="44" style="1" width="8.29"/>
    <col collapsed="false" customWidth="true" hidden="false" outlineLevel="0" max="56" min="56" style="1" width="8.29"/>
    <col collapsed="false" customWidth="true" hidden="false" outlineLevel="0" max="82" min="57" style="1" width="7.29"/>
    <col collapsed="false" customWidth="false" hidden="false" outlineLevel="0" max="16384" min="83" style="1" width="11.43"/>
  </cols>
  <sheetData>
    <row r="1" customFormat="false" ht="23.25" hidden="false" customHeight="false" outlineLevel="0" collapsed="false">
      <c r="A1" s="3" t="s">
        <v>0</v>
      </c>
      <c r="B1" s="3"/>
      <c r="C1" s="3"/>
      <c r="D1" s="3"/>
      <c r="E1" s="3"/>
      <c r="F1" s="3"/>
      <c r="G1" s="3"/>
      <c r="H1" s="3"/>
      <c r="I1" s="3"/>
      <c r="J1" s="3"/>
      <c r="K1" s="3"/>
      <c r="L1" s="3"/>
      <c r="M1" s="3"/>
      <c r="N1" s="3"/>
      <c r="O1" s="3"/>
      <c r="P1" s="3"/>
      <c r="Q1" s="3"/>
      <c r="R1" s="3"/>
      <c r="S1" s="3"/>
      <c r="T1" s="3"/>
      <c r="U1" s="3"/>
      <c r="V1" s="3"/>
      <c r="W1" s="3"/>
      <c r="X1" s="3"/>
      <c r="Y1" s="3"/>
      <c r="AB1" s="4"/>
      <c r="AC1" s="4"/>
      <c r="AD1" s="4"/>
      <c r="AE1" s="4"/>
      <c r="AF1" s="4"/>
      <c r="AG1" s="4"/>
      <c r="AH1" s="4"/>
      <c r="AI1" s="4"/>
      <c r="AJ1" s="4"/>
      <c r="AK1" s="5"/>
      <c r="AL1" s="5"/>
      <c r="AM1" s="5"/>
      <c r="AN1" s="5"/>
      <c r="AO1" s="5"/>
      <c r="AP1" s="5"/>
      <c r="AQ1" s="6"/>
      <c r="AR1" s="5"/>
      <c r="AS1" s="5"/>
      <c r="AT1" s="5"/>
      <c r="AU1" s="5"/>
      <c r="AV1" s="5"/>
      <c r="AW1" s="5"/>
      <c r="AX1" s="5"/>
    </row>
    <row r="2" customFormat="false" ht="12.75" hidden="false" customHeight="false" outlineLevel="0" collapsed="false">
      <c r="A2" s="7" t="s">
        <v>1</v>
      </c>
      <c r="B2" s="7"/>
      <c r="C2" s="7"/>
      <c r="D2" s="7"/>
      <c r="E2" s="7"/>
      <c r="F2" s="7"/>
      <c r="G2" s="7"/>
      <c r="H2" s="7"/>
      <c r="I2" s="7"/>
      <c r="J2" s="7"/>
      <c r="K2" s="7"/>
      <c r="L2" s="7"/>
      <c r="M2" s="7"/>
      <c r="N2" s="8"/>
      <c r="O2" s="9" t="s">
        <v>2</v>
      </c>
      <c r="P2" s="9"/>
      <c r="Q2" s="9"/>
      <c r="R2" s="9"/>
      <c r="S2" s="9"/>
      <c r="T2" s="9"/>
      <c r="U2" s="9"/>
      <c r="V2" s="9"/>
      <c r="W2" s="9"/>
      <c r="X2" s="9"/>
      <c r="Y2" s="9"/>
      <c r="AB2" s="10" t="s">
        <v>3</v>
      </c>
      <c r="AC2" s="10"/>
      <c r="AD2" s="10"/>
      <c r="AE2" s="10"/>
      <c r="AF2" s="10"/>
      <c r="AG2" s="10"/>
      <c r="AH2" s="10"/>
      <c r="AI2" s="10"/>
      <c r="AJ2" s="10"/>
      <c r="AK2" s="10"/>
      <c r="AL2" s="10"/>
      <c r="AM2" s="10"/>
      <c r="AN2" s="10"/>
      <c r="AO2" s="10"/>
      <c r="AP2" s="5"/>
      <c r="AQ2" s="6"/>
      <c r="AR2" s="5"/>
      <c r="AS2" s="5"/>
      <c r="AT2" s="5"/>
      <c r="AU2" s="5"/>
      <c r="AV2" s="5"/>
      <c r="AW2" s="5"/>
      <c r="AX2" s="5"/>
    </row>
    <row r="3" customFormat="false" ht="12.75" hidden="false" customHeight="true" outlineLevel="0" collapsed="false">
      <c r="A3" s="11" t="s">
        <v>4</v>
      </c>
      <c r="B3" s="12"/>
      <c r="C3" s="13" t="s">
        <v>5</v>
      </c>
      <c r="D3" s="14" t="s">
        <v>6</v>
      </c>
      <c r="E3" s="15"/>
      <c r="F3" s="15"/>
      <c r="G3" s="15"/>
      <c r="H3" s="15"/>
      <c r="I3" s="15"/>
      <c r="J3" s="15"/>
      <c r="K3" s="15"/>
      <c r="L3" s="15"/>
      <c r="M3" s="15"/>
      <c r="AB3" s="5"/>
      <c r="AC3" s="5"/>
      <c r="AD3" s="5"/>
      <c r="AE3" s="5"/>
      <c r="AF3" s="5"/>
      <c r="AG3" s="5"/>
      <c r="AH3" s="5"/>
      <c r="AI3" s="5"/>
      <c r="AJ3" s="5"/>
      <c r="AK3" s="5"/>
      <c r="AL3" s="5"/>
      <c r="AM3" s="5"/>
      <c r="AN3" s="5"/>
      <c r="AO3" s="5"/>
      <c r="AP3" s="5"/>
      <c r="AQ3" s="6"/>
      <c r="AR3" s="5"/>
      <c r="AS3" s="5"/>
      <c r="AT3" s="5"/>
      <c r="AU3" s="5"/>
      <c r="AV3" s="5"/>
      <c r="AW3" s="5"/>
      <c r="AX3" s="5"/>
    </row>
    <row r="4" customFormat="false" ht="15" hidden="false" customHeight="true" outlineLevel="0" collapsed="false">
      <c r="A4" s="11"/>
      <c r="B4" s="12"/>
      <c r="C4" s="16" t="s">
        <v>7</v>
      </c>
      <c r="D4" s="17" t="n">
        <v>0.2</v>
      </c>
      <c r="E4" s="15"/>
      <c r="F4" s="15"/>
      <c r="G4" s="15"/>
      <c r="H4" s="15"/>
      <c r="I4" s="15"/>
      <c r="J4" s="15"/>
      <c r="K4" s="15"/>
      <c r="L4" s="15"/>
      <c r="M4" s="15"/>
      <c r="O4" s="18" t="s">
        <v>8</v>
      </c>
      <c r="R4" s="19" t="s">
        <v>9</v>
      </c>
      <c r="S4" s="19"/>
      <c r="AB4" s="20" t="s">
        <v>10</v>
      </c>
      <c r="AC4" s="20"/>
      <c r="AD4" s="20"/>
      <c r="AE4" s="20"/>
      <c r="AF4" s="20"/>
      <c r="AG4" s="20"/>
      <c r="AH4" s="20"/>
      <c r="AI4" s="20"/>
      <c r="AJ4" s="20"/>
      <c r="AK4" s="20"/>
      <c r="AL4" s="21"/>
      <c r="AM4" s="21"/>
      <c r="AN4" s="21"/>
      <c r="AO4" s="21"/>
      <c r="AP4" s="5"/>
      <c r="AQ4" s="6"/>
      <c r="AR4" s="5"/>
      <c r="AS4" s="5"/>
      <c r="AT4" s="5"/>
      <c r="AU4" s="5"/>
      <c r="AV4" s="5"/>
      <c r="AW4" s="5"/>
      <c r="AX4" s="5"/>
    </row>
    <row r="5" customFormat="false" ht="15" hidden="false" customHeight="true" outlineLevel="0" collapsed="false">
      <c r="A5" s="11"/>
      <c r="B5" s="12"/>
      <c r="C5" s="16" t="s">
        <v>11</v>
      </c>
      <c r="D5" s="22" t="n">
        <v>39</v>
      </c>
      <c r="E5" s="15"/>
      <c r="F5" s="15"/>
      <c r="G5" s="15"/>
      <c r="H5" s="15"/>
      <c r="I5" s="15"/>
      <c r="J5" s="15"/>
      <c r="K5" s="15"/>
      <c r="L5" s="15"/>
      <c r="M5" s="15"/>
      <c r="O5" s="23" t="s">
        <v>12</v>
      </c>
      <c r="P5" s="24" t="n">
        <v>0.12</v>
      </c>
      <c r="R5" s="25"/>
      <c r="S5" s="26"/>
      <c r="T5" s="27" t="s">
        <v>13</v>
      </c>
      <c r="U5" s="27"/>
      <c r="V5" s="27" t="s">
        <v>14</v>
      </c>
      <c r="W5" s="27"/>
      <c r="AB5" s="28"/>
      <c r="AC5" s="29" t="s">
        <v>15</v>
      </c>
      <c r="AD5" s="29" t="s">
        <v>16</v>
      </c>
      <c r="AE5" s="29" t="s">
        <v>6</v>
      </c>
      <c r="AF5" s="29" t="s">
        <v>17</v>
      </c>
      <c r="AG5" s="29" t="s">
        <v>18</v>
      </c>
      <c r="AH5" s="29" t="s">
        <v>19</v>
      </c>
      <c r="AI5" s="29" t="s">
        <v>20</v>
      </c>
      <c r="AJ5" s="29" t="s">
        <v>21</v>
      </c>
      <c r="AK5" s="29" t="s">
        <v>22</v>
      </c>
      <c r="AL5" s="21"/>
      <c r="AM5" s="21"/>
      <c r="AN5" s="21"/>
      <c r="AO5" s="21"/>
      <c r="AP5" s="5"/>
      <c r="AQ5" s="6"/>
      <c r="AR5" s="5"/>
      <c r="AS5" s="5"/>
      <c r="AT5" s="5"/>
      <c r="AU5" s="5"/>
      <c r="AV5" s="5"/>
      <c r="AW5" s="5"/>
      <c r="AX5" s="5"/>
    </row>
    <row r="6" customFormat="false" ht="15" hidden="false" customHeight="true" outlineLevel="0" collapsed="false">
      <c r="A6" s="11"/>
      <c r="B6" s="12"/>
      <c r="C6" s="16" t="s">
        <v>23</v>
      </c>
      <c r="D6" s="30" t="s">
        <v>24</v>
      </c>
      <c r="E6" s="31" t="s">
        <v>25</v>
      </c>
      <c r="F6" s="32" t="s">
        <v>26</v>
      </c>
      <c r="G6" s="15"/>
      <c r="H6" s="15"/>
      <c r="I6" s="15"/>
      <c r="J6" s="15"/>
      <c r="M6" s="1"/>
      <c r="O6" s="23" t="s">
        <v>27</v>
      </c>
      <c r="P6" s="24" t="n">
        <v>0.15</v>
      </c>
      <c r="R6" s="33"/>
      <c r="S6" s="34"/>
      <c r="T6" s="35" t="s">
        <v>28</v>
      </c>
      <c r="U6" s="36" t="s">
        <v>29</v>
      </c>
      <c r="V6" s="36" t="s">
        <v>28</v>
      </c>
      <c r="W6" s="36" t="s">
        <v>29</v>
      </c>
      <c r="AB6" s="28" t="s">
        <v>30</v>
      </c>
      <c r="AC6" s="37" t="n">
        <v>0.55</v>
      </c>
      <c r="AD6" s="37" t="n">
        <v>0.8</v>
      </c>
      <c r="AE6" s="37" t="n">
        <v>0.2</v>
      </c>
      <c r="AF6" s="37" t="n">
        <v>0.3</v>
      </c>
      <c r="AG6" s="37" t="n">
        <v>0.3</v>
      </c>
      <c r="AH6" s="37" t="n">
        <v>0.55</v>
      </c>
      <c r="AI6" s="37" t="n">
        <v>1</v>
      </c>
      <c r="AJ6" s="37" t="n">
        <v>0.85</v>
      </c>
      <c r="AK6" s="37" t="n">
        <v>0.85</v>
      </c>
      <c r="AL6" s="21"/>
      <c r="AM6" s="21"/>
      <c r="AN6" s="21"/>
      <c r="AO6" s="21"/>
      <c r="AP6" s="5"/>
      <c r="AQ6" s="6"/>
      <c r="AR6" s="5"/>
      <c r="AS6" s="5"/>
      <c r="AT6" s="5"/>
      <c r="AU6" s="5"/>
      <c r="AV6" s="5"/>
      <c r="AW6" s="5"/>
      <c r="AX6" s="5"/>
    </row>
    <row r="7" customFormat="false" ht="12.75" hidden="false" customHeight="false" outlineLevel="0" collapsed="false">
      <c r="A7" s="11"/>
      <c r="B7" s="38"/>
      <c r="C7" s="1"/>
      <c r="M7" s="1"/>
      <c r="O7" s="23" t="s">
        <v>31</v>
      </c>
      <c r="P7" s="24" t="n">
        <v>0.17</v>
      </c>
      <c r="R7" s="39" t="s">
        <v>32</v>
      </c>
      <c r="S7" s="39" t="s">
        <v>33</v>
      </c>
      <c r="T7" s="40" t="n">
        <v>1.9</v>
      </c>
      <c r="U7" s="40" t="n">
        <v>1.5</v>
      </c>
      <c r="V7" s="40" t="n">
        <v>1.4</v>
      </c>
      <c r="W7" s="40" t="n">
        <v>1.2</v>
      </c>
      <c r="AB7" s="28" t="s">
        <v>34</v>
      </c>
      <c r="AC7" s="37" t="n">
        <v>1.1</v>
      </c>
      <c r="AD7" s="37" t="n">
        <v>1.8</v>
      </c>
      <c r="AE7" s="37" t="n">
        <v>0.6</v>
      </c>
      <c r="AF7" s="37" t="n">
        <v>0.8</v>
      </c>
      <c r="AG7" s="37" t="n">
        <v>0.8</v>
      </c>
      <c r="AH7" s="37" t="n">
        <v>1.1</v>
      </c>
      <c r="AI7" s="37" t="n">
        <v>1</v>
      </c>
      <c r="AJ7" s="37" t="n">
        <v>1.1</v>
      </c>
      <c r="AK7" s="37" t="n">
        <v>1.1</v>
      </c>
      <c r="AL7" s="5"/>
      <c r="AM7" s="5"/>
      <c r="AN7" s="5"/>
      <c r="AO7" s="5"/>
      <c r="AP7" s="5"/>
      <c r="AQ7" s="6"/>
      <c r="AR7" s="5"/>
      <c r="AS7" s="5"/>
      <c r="AT7" s="5"/>
      <c r="AU7" s="5"/>
      <c r="AV7" s="5"/>
      <c r="AW7" s="5"/>
      <c r="AX7" s="5"/>
    </row>
    <row r="8" customFormat="false" ht="12.75" hidden="false" customHeight="false" outlineLevel="0" collapsed="false">
      <c r="A8" s="11"/>
      <c r="B8" s="41" t="s">
        <v>35</v>
      </c>
      <c r="M8" s="1"/>
      <c r="O8" s="23" t="s">
        <v>36</v>
      </c>
      <c r="P8" s="42" t="n">
        <v>0.2</v>
      </c>
      <c r="R8" s="27"/>
      <c r="S8" s="27" t="s">
        <v>37</v>
      </c>
      <c r="T8" s="40" t="n">
        <v>1.9</v>
      </c>
      <c r="U8" s="40" t="n">
        <v>1.5</v>
      </c>
      <c r="V8" s="40" t="n">
        <v>1.3</v>
      </c>
      <c r="W8" s="40" t="n">
        <v>1</v>
      </c>
      <c r="AB8" s="28" t="s">
        <v>38</v>
      </c>
      <c r="AC8" s="37" t="n">
        <v>32</v>
      </c>
      <c r="AD8" s="37"/>
      <c r="AE8" s="37" t="n">
        <v>42</v>
      </c>
      <c r="AF8" s="37" t="n">
        <v>37</v>
      </c>
      <c r="AG8" s="37" t="n">
        <v>37</v>
      </c>
      <c r="AH8" s="37" t="n">
        <v>32</v>
      </c>
      <c r="AI8" s="37" t="n">
        <v>31</v>
      </c>
      <c r="AJ8" s="37" t="n">
        <v>31</v>
      </c>
      <c r="AK8" s="37" t="n">
        <v>31</v>
      </c>
      <c r="AL8" s="5"/>
      <c r="AM8" s="5"/>
      <c r="AN8" s="5"/>
      <c r="AO8" s="5"/>
      <c r="AP8" s="5"/>
      <c r="AQ8" s="6"/>
      <c r="AR8" s="5"/>
      <c r="AS8" s="5"/>
      <c r="AT8" s="5"/>
      <c r="AU8" s="5"/>
      <c r="AV8" s="5"/>
      <c r="AW8" s="5"/>
      <c r="AX8" s="5"/>
    </row>
    <row r="9" customFormat="false" ht="12.75" hidden="false" customHeight="false" outlineLevel="0" collapsed="false">
      <c r="A9" s="11"/>
      <c r="B9" s="38"/>
      <c r="C9" s="2" t="s">
        <v>39</v>
      </c>
      <c r="D9" s="43" t="s">
        <v>40</v>
      </c>
      <c r="E9" s="44"/>
      <c r="F9" s="2"/>
      <c r="G9" s="2"/>
      <c r="M9" s="1"/>
      <c r="O9" s="23" t="s">
        <v>41</v>
      </c>
      <c r="P9" s="24" t="n">
        <v>0.22</v>
      </c>
      <c r="R9" s="27" t="s">
        <v>42</v>
      </c>
      <c r="S9" s="27" t="s">
        <v>33</v>
      </c>
      <c r="T9" s="40" t="n">
        <v>2.5</v>
      </c>
      <c r="U9" s="40" t="n">
        <v>1.9</v>
      </c>
      <c r="V9" s="40" t="n">
        <v>1.7</v>
      </c>
      <c r="W9" s="40" t="n">
        <v>1.5</v>
      </c>
      <c r="AB9" s="28" t="s">
        <v>43</v>
      </c>
      <c r="AC9" s="37" t="n">
        <v>14</v>
      </c>
      <c r="AD9" s="37"/>
      <c r="AE9" s="37" t="n">
        <v>-11</v>
      </c>
      <c r="AF9" s="37" t="n">
        <v>1</v>
      </c>
      <c r="AG9" s="37" t="n">
        <v>1</v>
      </c>
      <c r="AH9" s="37" t="n">
        <v>14</v>
      </c>
      <c r="AI9" s="37" t="n">
        <v>27</v>
      </c>
      <c r="AJ9" s="37" t="n">
        <v>21</v>
      </c>
      <c r="AK9" s="37" t="n">
        <v>21</v>
      </c>
      <c r="AL9" s="5"/>
      <c r="AM9" s="5"/>
      <c r="AN9" s="5"/>
      <c r="AO9" s="5"/>
      <c r="AP9" s="5"/>
      <c r="AQ9" s="6"/>
      <c r="AR9" s="5"/>
      <c r="AS9" s="5"/>
      <c r="AT9" s="5"/>
      <c r="AU9" s="5"/>
      <c r="AV9" s="5"/>
      <c r="AW9" s="5"/>
      <c r="AX9" s="5"/>
    </row>
    <row r="10" customFormat="false" ht="12.75" hidden="false" customHeight="false" outlineLevel="0" collapsed="false">
      <c r="A10" s="11"/>
      <c r="B10" s="38"/>
      <c r="C10" s="2" t="s">
        <v>44</v>
      </c>
      <c r="D10" s="45" t="n">
        <v>54</v>
      </c>
      <c r="E10" s="46" t="s">
        <v>45</v>
      </c>
      <c r="M10" s="1"/>
      <c r="O10" s="23" t="s">
        <v>46</v>
      </c>
      <c r="P10" s="24" t="n">
        <v>0.31</v>
      </c>
      <c r="R10" s="27"/>
      <c r="S10" s="27" t="s">
        <v>37</v>
      </c>
      <c r="T10" s="40" t="n">
        <v>2.5</v>
      </c>
      <c r="U10" s="40" t="n">
        <v>1.9</v>
      </c>
      <c r="V10" s="40" t="n">
        <v>1.5</v>
      </c>
      <c r="W10" s="40" t="n">
        <v>1.3</v>
      </c>
      <c r="AB10" s="28" t="s">
        <v>47</v>
      </c>
      <c r="AC10" s="37" t="n">
        <v>58.4</v>
      </c>
      <c r="AD10" s="47"/>
      <c r="AE10" s="37" t="n">
        <v>47.2</v>
      </c>
      <c r="AF10" s="37" t="n">
        <v>52.8</v>
      </c>
      <c r="AG10" s="37" t="n">
        <v>52.8</v>
      </c>
      <c r="AH10" s="37" t="n">
        <v>58.4</v>
      </c>
      <c r="AI10" s="37" t="n">
        <v>70</v>
      </c>
      <c r="AJ10" s="37" t="n">
        <v>64.2</v>
      </c>
      <c r="AK10" s="37" t="n">
        <v>64.2</v>
      </c>
      <c r="AL10" s="5"/>
      <c r="AM10" s="5"/>
      <c r="AN10" s="5"/>
      <c r="AO10" s="5"/>
      <c r="AP10" s="5"/>
      <c r="AQ10" s="6"/>
      <c r="AR10" s="5"/>
      <c r="AS10" s="5"/>
      <c r="AT10" s="5"/>
      <c r="AU10" s="5"/>
      <c r="AV10" s="5"/>
      <c r="AW10" s="5"/>
      <c r="AX10" s="5"/>
    </row>
    <row r="11" customFormat="false" ht="12.75" hidden="false" customHeight="false" outlineLevel="0" collapsed="false">
      <c r="A11" s="11"/>
      <c r="B11" s="38"/>
      <c r="C11" s="2" t="s">
        <v>48</v>
      </c>
      <c r="D11" s="48" t="n">
        <v>18.5</v>
      </c>
      <c r="E11" s="46" t="s">
        <v>49</v>
      </c>
      <c r="M11" s="1"/>
      <c r="O11" s="49" t="s">
        <v>50</v>
      </c>
      <c r="P11" s="1"/>
      <c r="AB11" s="4"/>
      <c r="AC11" s="4"/>
      <c r="AD11" s="4"/>
      <c r="AE11" s="4"/>
      <c r="AF11" s="4"/>
      <c r="AG11" s="4"/>
      <c r="AH11" s="4"/>
      <c r="AI11" s="4"/>
      <c r="AJ11" s="4"/>
      <c r="AK11" s="4"/>
      <c r="AL11" s="4"/>
      <c r="AM11" s="4"/>
      <c r="AN11" s="4"/>
      <c r="AO11" s="5"/>
      <c r="AP11" s="5"/>
      <c r="AQ11" s="6"/>
      <c r="AR11" s="5"/>
      <c r="AS11" s="5"/>
      <c r="AT11" s="5"/>
      <c r="AU11" s="5"/>
      <c r="AV11" s="5"/>
      <c r="AW11" s="5"/>
      <c r="AX11" s="5"/>
    </row>
    <row r="12" customFormat="false" ht="12.75" hidden="false" customHeight="false" outlineLevel="0" collapsed="false">
      <c r="A12" s="11"/>
      <c r="B12" s="38"/>
      <c r="C12" s="50" t="s">
        <v>51</v>
      </c>
      <c r="D12" s="51" t="s">
        <v>19</v>
      </c>
      <c r="E12" s="44" t="s">
        <v>52</v>
      </c>
      <c r="M12" s="1"/>
      <c r="O12" s="23" t="s">
        <v>12</v>
      </c>
      <c r="P12" s="24" t="n">
        <v>0.09</v>
      </c>
      <c r="R12" s="19" t="s">
        <v>53</v>
      </c>
      <c r="AB12" s="52"/>
      <c r="AC12" s="28" t="s">
        <v>54</v>
      </c>
      <c r="AD12" s="29" t="str">
        <f aca="false">E52</f>
        <v>S</v>
      </c>
      <c r="AE12" s="29" t="str">
        <f aca="false">F52</f>
        <v>O</v>
      </c>
      <c r="AF12" s="29" t="str">
        <f aca="false">G52</f>
        <v>N</v>
      </c>
      <c r="AG12" s="29" t="str">
        <f aca="false">H52</f>
        <v>E</v>
      </c>
      <c r="AH12" s="29" t="n">
        <f aca="false">I52</f>
        <v>0</v>
      </c>
      <c r="AI12" s="29" t="n">
        <f aca="false">J52</f>
        <v>0</v>
      </c>
      <c r="AJ12" s="29" t="n">
        <f aca="false">K52</f>
        <v>0</v>
      </c>
      <c r="AK12" s="29" t="n">
        <f aca="false">L52</f>
        <v>0</v>
      </c>
      <c r="AL12" s="4"/>
      <c r="AM12" s="5"/>
      <c r="AN12" s="5"/>
      <c r="AO12" s="5"/>
      <c r="AP12" s="5"/>
      <c r="AQ12" s="6"/>
      <c r="AR12" s="5"/>
      <c r="AS12" s="5"/>
      <c r="AT12" s="5"/>
      <c r="AU12" s="5"/>
      <c r="AV12" s="5"/>
      <c r="AW12" s="5"/>
      <c r="AX12" s="5"/>
    </row>
    <row r="13" customFormat="false" ht="12.75" hidden="false" customHeight="false" outlineLevel="0" collapsed="false">
      <c r="A13" s="11"/>
      <c r="B13" s="38"/>
      <c r="C13" s="1"/>
      <c r="M13" s="1"/>
      <c r="O13" s="23" t="s">
        <v>27</v>
      </c>
      <c r="P13" s="24" t="n">
        <v>0.12</v>
      </c>
      <c r="R13" s="23" t="s">
        <v>55</v>
      </c>
      <c r="S13" s="24" t="n">
        <v>2.5</v>
      </c>
      <c r="AB13" s="52"/>
      <c r="AC13" s="28" t="s">
        <v>56</v>
      </c>
      <c r="AD13" s="29" t="n">
        <f aca="false">E54</f>
        <v>1</v>
      </c>
      <c r="AE13" s="29" t="n">
        <f aca="false">F54</f>
        <v>1</v>
      </c>
      <c r="AF13" s="29" t="n">
        <f aca="false">G54</f>
        <v>1</v>
      </c>
      <c r="AG13" s="29" t="n">
        <f aca="false">H54</f>
        <v>1</v>
      </c>
      <c r="AH13" s="29" t="n">
        <f aca="false">I54</f>
        <v>0</v>
      </c>
      <c r="AI13" s="29" t="n">
        <f aca="false">J54</f>
        <v>0</v>
      </c>
      <c r="AJ13" s="29" t="n">
        <f aca="false">K54</f>
        <v>0</v>
      </c>
      <c r="AK13" s="29" t="n">
        <f aca="false">L54</f>
        <v>0</v>
      </c>
      <c r="AL13" s="53"/>
      <c r="AM13" s="53"/>
      <c r="AN13" s="5"/>
      <c r="AO13" s="5"/>
      <c r="AP13" s="5"/>
      <c r="AQ13" s="6"/>
      <c r="AR13" s="5"/>
      <c r="AS13" s="5"/>
      <c r="AT13" s="5"/>
      <c r="AU13" s="5"/>
      <c r="AV13" s="5"/>
      <c r="AW13" s="5"/>
      <c r="AX13" s="5"/>
    </row>
    <row r="14" customFormat="false" ht="12.75" hidden="false" customHeight="false" outlineLevel="0" collapsed="false">
      <c r="A14" s="11"/>
      <c r="B14" s="41" t="s">
        <v>57</v>
      </c>
      <c r="M14" s="1"/>
      <c r="O14" s="23" t="s">
        <v>36</v>
      </c>
      <c r="P14" s="24" t="n">
        <v>0.17</v>
      </c>
      <c r="R14" s="23" t="s">
        <v>58</v>
      </c>
      <c r="S14" s="24" t="n">
        <v>1.5</v>
      </c>
      <c r="AB14" s="52"/>
      <c r="AC14" s="28" t="s">
        <v>59</v>
      </c>
      <c r="AD14" s="29" t="n">
        <f aca="false">E55</f>
        <v>1</v>
      </c>
      <c r="AE14" s="29" t="n">
        <f aca="false">F55</f>
        <v>1</v>
      </c>
      <c r="AF14" s="29" t="n">
        <f aca="false">G55</f>
        <v>1</v>
      </c>
      <c r="AG14" s="29" t="n">
        <f aca="false">H55</f>
        <v>1</v>
      </c>
      <c r="AH14" s="29" t="n">
        <f aca="false">I55</f>
        <v>0</v>
      </c>
      <c r="AI14" s="29" t="n">
        <f aca="false">J55</f>
        <v>0</v>
      </c>
      <c r="AJ14" s="29" t="n">
        <f aca="false">K55</f>
        <v>0</v>
      </c>
      <c r="AK14" s="29" t="n">
        <f aca="false">L55</f>
        <v>0</v>
      </c>
      <c r="AL14" s="53"/>
      <c r="AM14" s="53"/>
      <c r="AN14" s="54" t="s">
        <v>60</v>
      </c>
      <c r="AO14" s="55"/>
      <c r="AP14" s="55"/>
      <c r="AQ14" s="55"/>
      <c r="AR14" s="5"/>
      <c r="AS14" s="6"/>
      <c r="AT14" s="5"/>
      <c r="AU14" s="5"/>
      <c r="AV14" s="5"/>
      <c r="AW14" s="5"/>
      <c r="AX14" s="5"/>
    </row>
    <row r="15" customFormat="false" ht="12.75" hidden="false" customHeight="false" outlineLevel="0" collapsed="false">
      <c r="A15" s="11"/>
      <c r="B15" s="38"/>
      <c r="C15" s="41"/>
      <c r="M15" s="1"/>
      <c r="O15" s="49" t="s">
        <v>61</v>
      </c>
      <c r="P15" s="1"/>
      <c r="AB15" s="52"/>
      <c r="AC15" s="28" t="s">
        <v>62</v>
      </c>
      <c r="AD15" s="56" t="n">
        <f aca="false">AD13/2+AD14/2</f>
        <v>1</v>
      </c>
      <c r="AE15" s="56" t="n">
        <f aca="false">AE13/2+AE14/2</f>
        <v>1</v>
      </c>
      <c r="AF15" s="56" t="n">
        <f aca="false">AF13/2+AF14/2</f>
        <v>1</v>
      </c>
      <c r="AG15" s="56" t="n">
        <f aca="false">AG13/2+AG14/2</f>
        <v>1</v>
      </c>
      <c r="AH15" s="56" t="n">
        <f aca="false">AH13/2+AH14/2</f>
        <v>0</v>
      </c>
      <c r="AI15" s="56" t="n">
        <f aca="false">AI13/2+AI14/2</f>
        <v>0</v>
      </c>
      <c r="AJ15" s="56" t="n">
        <f aca="false">AJ13/2+AJ14/2</f>
        <v>0</v>
      </c>
      <c r="AK15" s="56" t="n">
        <f aca="false">AK13/2+AK14/2</f>
        <v>0</v>
      </c>
      <c r="AL15" s="53"/>
      <c r="AM15" s="53"/>
      <c r="AN15" s="57"/>
      <c r="AO15" s="55"/>
      <c r="AP15" s="55"/>
      <c r="AQ15" s="55"/>
      <c r="AR15" s="5"/>
      <c r="AS15" s="6"/>
      <c r="AT15" s="5"/>
      <c r="AU15" s="5"/>
      <c r="AV15" s="5"/>
      <c r="AW15" s="5"/>
      <c r="AX15" s="5"/>
    </row>
    <row r="16" customFormat="false" ht="12.75" hidden="false" customHeight="false" outlineLevel="0" collapsed="false">
      <c r="A16" s="11"/>
      <c r="B16" s="38"/>
      <c r="C16" s="41"/>
      <c r="E16" s="58" t="s">
        <v>63</v>
      </c>
      <c r="F16" s="59"/>
      <c r="G16" s="58" t="s">
        <v>64</v>
      </c>
      <c r="H16" s="59"/>
      <c r="I16" s="58" t="s">
        <v>65</v>
      </c>
      <c r="J16" s="59"/>
      <c r="K16" s="60" t="s">
        <v>66</v>
      </c>
      <c r="L16" s="60" t="s">
        <v>67</v>
      </c>
      <c r="M16" s="60" t="s">
        <v>68</v>
      </c>
      <c r="O16" s="23" t="s">
        <v>27</v>
      </c>
      <c r="P16" s="24" t="n">
        <v>0.09</v>
      </c>
      <c r="AB16" s="52"/>
      <c r="AC16" s="61" t="s">
        <v>69</v>
      </c>
      <c r="AD16" s="62" t="n">
        <f aca="false">E53</f>
        <v>0.5</v>
      </c>
      <c r="AE16" s="62" t="n">
        <f aca="false">F53</f>
        <v>0.05</v>
      </c>
      <c r="AF16" s="62" t="n">
        <f aca="false">G53</f>
        <v>0.4</v>
      </c>
      <c r="AG16" s="62" t="n">
        <f aca="false">H53</f>
        <v>0.05</v>
      </c>
      <c r="AH16" s="62" t="n">
        <f aca="false">I53</f>
        <v>0</v>
      </c>
      <c r="AI16" s="62" t="n">
        <f aca="false">J53</f>
        <v>0</v>
      </c>
      <c r="AJ16" s="62" t="n">
        <f aca="false">K53</f>
        <v>0</v>
      </c>
      <c r="AK16" s="62" t="n">
        <f aca="false">L53</f>
        <v>0</v>
      </c>
      <c r="AL16" s="53"/>
      <c r="AM16" s="53"/>
      <c r="AN16" s="57" t="s">
        <v>70</v>
      </c>
      <c r="AO16" s="55"/>
      <c r="AP16" s="55"/>
      <c r="AQ16" s="55"/>
      <c r="AR16" s="5"/>
      <c r="AS16" s="6"/>
      <c r="AT16" s="5"/>
      <c r="AU16" s="5"/>
      <c r="AV16" s="5"/>
      <c r="AW16" s="5"/>
      <c r="AX16" s="5"/>
    </row>
    <row r="17" customFormat="false" ht="12.75" hidden="false" customHeight="false" outlineLevel="0" collapsed="false">
      <c r="A17" s="11"/>
      <c r="B17" s="38"/>
      <c r="C17" s="41"/>
      <c r="E17" s="63" t="n">
        <v>1</v>
      </c>
      <c r="F17" s="63" t="n">
        <v>2</v>
      </c>
      <c r="G17" s="63" t="n">
        <v>1</v>
      </c>
      <c r="H17" s="63" t="n">
        <v>2</v>
      </c>
      <c r="I17" s="63" t="s">
        <v>71</v>
      </c>
      <c r="J17" s="63" t="s">
        <v>72</v>
      </c>
      <c r="K17" s="64"/>
      <c r="L17" s="64"/>
      <c r="M17" s="64"/>
      <c r="O17" s="23" t="s">
        <v>36</v>
      </c>
      <c r="P17" s="24" t="n">
        <v>0.13</v>
      </c>
      <c r="X17" s="65"/>
      <c r="Y17" s="65"/>
      <c r="AB17" s="52"/>
      <c r="AC17" s="61" t="s">
        <v>73</v>
      </c>
      <c r="AD17" s="29" t="n">
        <f aca="false">AD16*$K$18</f>
        <v>300</v>
      </c>
      <c r="AE17" s="29" t="n">
        <f aca="false">AE16*$K$18</f>
        <v>30</v>
      </c>
      <c r="AF17" s="29" t="n">
        <f aca="false">AF16*$K$18</f>
        <v>240</v>
      </c>
      <c r="AG17" s="29" t="n">
        <f aca="false">AG16*$K$18</f>
        <v>30</v>
      </c>
      <c r="AH17" s="29" t="n">
        <f aca="false">AH16*$K$18</f>
        <v>0</v>
      </c>
      <c r="AI17" s="29" t="n">
        <f aca="false">AI16*$K$18</f>
        <v>0</v>
      </c>
      <c r="AJ17" s="29" t="n">
        <f aca="false">AJ16*$K$18</f>
        <v>0</v>
      </c>
      <c r="AK17" s="29" t="n">
        <f aca="false">AK16*$K$18</f>
        <v>0</v>
      </c>
      <c r="AL17" s="53"/>
      <c r="AM17" s="53"/>
      <c r="AN17" s="57" t="s">
        <v>74</v>
      </c>
      <c r="AO17" s="66"/>
      <c r="AP17" s="55"/>
      <c r="AQ17" s="55"/>
      <c r="AR17" s="5"/>
      <c r="AS17" s="6"/>
      <c r="AT17" s="4"/>
      <c r="AU17" s="4"/>
      <c r="AV17" s="5"/>
      <c r="AW17" s="5"/>
      <c r="AX17" s="5"/>
    </row>
    <row r="18" customFormat="false" ht="12.75" hidden="false" customHeight="false" outlineLevel="0" collapsed="false">
      <c r="A18" s="11"/>
      <c r="B18" s="38"/>
      <c r="C18" s="2" t="s">
        <v>75</v>
      </c>
      <c r="E18" s="67" t="n">
        <f aca="false">D19-L18-K18-F18</f>
        <v>1500</v>
      </c>
      <c r="F18" s="68"/>
      <c r="G18" s="68" t="n">
        <v>360</v>
      </c>
      <c r="H18" s="68"/>
      <c r="I18" s="68" t="n">
        <v>360</v>
      </c>
      <c r="J18" s="68"/>
      <c r="K18" s="68" t="n">
        <v>600</v>
      </c>
      <c r="L18" s="68" t="n">
        <v>0</v>
      </c>
      <c r="M18" s="67" t="n">
        <f aca="false">SUM(E18:L18)</f>
        <v>2820</v>
      </c>
      <c r="O18" s="23" t="s">
        <v>76</v>
      </c>
      <c r="P18" s="24" t="n">
        <v>0.16</v>
      </c>
      <c r="R18" s="65"/>
      <c r="S18" s="65"/>
      <c r="T18" s="65"/>
      <c r="U18" s="65"/>
      <c r="V18" s="65"/>
      <c r="W18" s="65"/>
      <c r="X18" s="65"/>
      <c r="Y18" s="65"/>
      <c r="AB18" s="52"/>
      <c r="AC18" s="61" t="s">
        <v>77</v>
      </c>
      <c r="AD18" s="56" t="n">
        <f aca="false">E56</f>
        <v>0.2</v>
      </c>
      <c r="AE18" s="56" t="n">
        <f aca="false">F56</f>
        <v>0.2</v>
      </c>
      <c r="AF18" s="56" t="n">
        <f aca="false">G56</f>
        <v>0.55</v>
      </c>
      <c r="AG18" s="56" t="n">
        <f aca="false">H56</f>
        <v>0.2</v>
      </c>
      <c r="AH18" s="56" t="n">
        <f aca="false">I56</f>
        <v>0</v>
      </c>
      <c r="AI18" s="56" t="n">
        <f aca="false">J56</f>
        <v>0</v>
      </c>
      <c r="AJ18" s="56" t="n">
        <f aca="false">K56</f>
        <v>0</v>
      </c>
      <c r="AK18" s="56" t="n">
        <f aca="false">L56</f>
        <v>0</v>
      </c>
      <c r="AL18" s="53"/>
      <c r="AM18" s="53"/>
      <c r="AN18" s="57" t="s">
        <v>78</v>
      </c>
      <c r="AO18" s="69"/>
      <c r="AP18" s="70"/>
      <c r="AQ18" s="69"/>
      <c r="AR18" s="5"/>
      <c r="AS18" s="6"/>
      <c r="AT18" s="4"/>
      <c r="AU18" s="4"/>
      <c r="AV18" s="5"/>
      <c r="AW18" s="5"/>
      <c r="AX18" s="5"/>
    </row>
    <row r="19" customFormat="false" ht="12.75" hidden="false" customHeight="false" outlineLevel="0" collapsed="false">
      <c r="A19" s="11"/>
      <c r="B19" s="38"/>
      <c r="C19" s="50" t="s">
        <v>79</v>
      </c>
      <c r="D19" s="71" t="n">
        <v>2100</v>
      </c>
      <c r="E19" s="72" t="s">
        <v>80</v>
      </c>
      <c r="M19" s="1"/>
      <c r="O19" s="23" t="s">
        <v>46</v>
      </c>
      <c r="P19" s="24" t="n">
        <v>0.21</v>
      </c>
      <c r="R19" s="65"/>
      <c r="S19" s="65"/>
      <c r="T19" s="65"/>
      <c r="U19" s="65"/>
      <c r="V19" s="65"/>
      <c r="W19" s="65"/>
      <c r="X19" s="65"/>
      <c r="Y19" s="65"/>
      <c r="AB19" s="52"/>
      <c r="AC19" s="28" t="s">
        <v>30</v>
      </c>
      <c r="AD19" s="56" t="n">
        <f aca="false">IF(AD16&gt;0, LOOKUP(E52,$AC5:$AK5,$AC6:$AK6),0)</f>
        <v>1</v>
      </c>
      <c r="AE19" s="56" t="n">
        <f aca="false">IF(AE16&gt;0, LOOKUP(F52,$AC5:$AK5,$AC6:$AK6),0)</f>
        <v>0.55</v>
      </c>
      <c r="AF19" s="56" t="n">
        <f aca="false">IF(AF16&gt;0, LOOKUP(G52,$AC5:$AK5,$AC6:$AK6),0)</f>
        <v>0.2</v>
      </c>
      <c r="AG19" s="56" t="n">
        <f aca="false">IF(AG16&gt;0, LOOKUP(H52,$AC5:$AK5,$AC6:$AK6),0)</f>
        <v>0.55</v>
      </c>
      <c r="AH19" s="56" t="n">
        <f aca="false">IF(AH16&gt;0, LOOKUP(I52,$AC5:$AK5,$AC6:$AK6),0)</f>
        <v>0</v>
      </c>
      <c r="AI19" s="56" t="n">
        <f aca="false">IF(AI16&gt;0, LOOKUP(J52,$AC5:$AK5,$AC6:$AK6),0)</f>
        <v>0</v>
      </c>
      <c r="AJ19" s="56" t="n">
        <f aca="false">IF(AJ16&gt;0, LOOKUP(K52,$AC5:$AK5,$AC6:$AK6),0)</f>
        <v>0</v>
      </c>
      <c r="AK19" s="56" t="n">
        <f aca="false">IF(AK16&gt;0, LOOKUP(L52,$AC5:$AK5,$AC6:$AK6),0)</f>
        <v>0</v>
      </c>
      <c r="AL19" s="53"/>
      <c r="AM19" s="73"/>
      <c r="AN19" s="74"/>
      <c r="AO19" s="69"/>
      <c r="AP19" s="70"/>
      <c r="AQ19" s="69"/>
      <c r="AR19" s="5"/>
      <c r="AS19" s="6"/>
      <c r="AT19" s="4"/>
      <c r="AU19" s="4"/>
      <c r="AV19" s="5"/>
      <c r="AW19" s="5"/>
      <c r="AX19" s="5"/>
    </row>
    <row r="20" customFormat="false" ht="12.75" hidden="false" customHeight="false" outlineLevel="0" collapsed="false">
      <c r="A20" s="11"/>
      <c r="B20" s="38"/>
      <c r="C20" s="2" t="s">
        <v>81</v>
      </c>
      <c r="D20" s="71" t="n">
        <v>2500</v>
      </c>
      <c r="E20" s="72" t="s">
        <v>80</v>
      </c>
      <c r="O20" s="49" t="s">
        <v>82</v>
      </c>
      <c r="P20" s="1"/>
      <c r="Q20" s="65"/>
      <c r="R20" s="65"/>
      <c r="S20" s="65"/>
      <c r="T20" s="65"/>
      <c r="U20" s="65"/>
      <c r="V20" s="65"/>
      <c r="W20" s="65"/>
      <c r="X20" s="65"/>
      <c r="Y20" s="65"/>
      <c r="AA20" s="65"/>
      <c r="AB20" s="52"/>
      <c r="AC20" s="28" t="s">
        <v>34</v>
      </c>
      <c r="AD20" s="56" t="n">
        <f aca="false">IF(AD16&gt;0, LOOKUP(E52,$AC5:$AK5,$AC7:$AK7),0)</f>
        <v>1</v>
      </c>
      <c r="AE20" s="56" t="n">
        <f aca="false">IF(AE16&gt;0, LOOKUP(F52,$AC5:$AK5,$AC7:$AK7),0)</f>
        <v>1.1</v>
      </c>
      <c r="AF20" s="56" t="n">
        <f aca="false">IF(AF16&gt;0, LOOKUP(G52,$AC5:$AK5,$AC7:$AK7),0)</f>
        <v>0.6</v>
      </c>
      <c r="AG20" s="56" t="n">
        <f aca="false">IF(AG16&gt;0, LOOKUP(H52,$AC5:$AK5,$AC7:$AK7),0)</f>
        <v>1.1</v>
      </c>
      <c r="AH20" s="56" t="n">
        <f aca="false">IF(AH16&gt;0, LOOKUP(I52,$AC5:$AK5,$AC7:$AK7),0)</f>
        <v>0</v>
      </c>
      <c r="AI20" s="56" t="n">
        <f aca="false">IF(AI16&gt;0, LOOKUP(J52,$AC5:$AK5,$AC7:$AK7),0)</f>
        <v>0</v>
      </c>
      <c r="AJ20" s="56" t="n">
        <f aca="false">IF(AJ16&gt;0, LOOKUP(K52,$AC5:$AK5,$AC7:$AK7),0)</f>
        <v>0</v>
      </c>
      <c r="AK20" s="56" t="n">
        <f aca="false">IF(AK16&gt;0, LOOKUP(L52,$AC5:$AK5,$AC7:$AK7),0)</f>
        <v>0</v>
      </c>
      <c r="AL20" s="53"/>
      <c r="AM20" s="53"/>
      <c r="AN20" s="75" t="s">
        <v>83</v>
      </c>
      <c r="AO20" s="69"/>
      <c r="AP20" s="70"/>
      <c r="AQ20" s="69"/>
      <c r="AR20" s="4"/>
      <c r="AS20" s="4"/>
      <c r="AT20" s="4"/>
      <c r="AU20" s="4"/>
      <c r="AV20" s="5"/>
      <c r="AW20" s="5"/>
      <c r="AX20" s="5"/>
    </row>
    <row r="21" customFormat="false" ht="12.75" hidden="false" customHeight="false" outlineLevel="0" collapsed="false">
      <c r="A21" s="11"/>
      <c r="B21" s="38"/>
      <c r="C21" s="50" t="s">
        <v>84</v>
      </c>
      <c r="D21" s="71" t="n">
        <v>2.5</v>
      </c>
      <c r="E21" s="72" t="s">
        <v>85</v>
      </c>
      <c r="O21" s="23" t="s">
        <v>36</v>
      </c>
      <c r="P21" s="24" t="n">
        <v>0.15</v>
      </c>
      <c r="R21" s="65"/>
      <c r="S21" s="65"/>
      <c r="T21" s="65"/>
      <c r="U21" s="65"/>
      <c r="V21" s="65"/>
      <c r="W21" s="65"/>
      <c r="X21" s="65"/>
      <c r="Y21" s="65"/>
      <c r="AA21" s="65"/>
      <c r="AB21" s="52"/>
      <c r="AC21" s="28" t="s">
        <v>86</v>
      </c>
      <c r="AD21" s="56" t="n">
        <f aca="false">$E$30*AD16*AD19*AD13*$D$57*$D$58</f>
        <v>0.0504</v>
      </c>
      <c r="AE21" s="56" t="n">
        <f aca="false">$E$30*AE16*AE19*AE13*$D$57*$D$58</f>
        <v>0.002772</v>
      </c>
      <c r="AF21" s="56" t="n">
        <f aca="false">$E$30*AF16*AF19*AF13*$D$57*$D$58</f>
        <v>0.008064</v>
      </c>
      <c r="AG21" s="56" t="n">
        <f aca="false">$E$30*AG16*AG19*AG13*$D$57*$D$58</f>
        <v>0.002772</v>
      </c>
      <c r="AH21" s="56" t="n">
        <f aca="false">$E$30*AH16*AH19*AH13*$D$57*$D$58</f>
        <v>0</v>
      </c>
      <c r="AI21" s="56" t="n">
        <f aca="false">$E$30*AI16*AI19*AI13*$D$57*$D$58</f>
        <v>0</v>
      </c>
      <c r="AJ21" s="56" t="n">
        <f aca="false">$E$30*AJ16*AJ19*AJ13*$D$57*$D$58</f>
        <v>0</v>
      </c>
      <c r="AK21" s="56" t="n">
        <f aca="false">$E$30*AK16*AK19*AK13*$D$57*$D$58</f>
        <v>0</v>
      </c>
      <c r="AL21" s="29"/>
      <c r="AM21" s="56" t="n">
        <f aca="false">SUM(AD21:AL21)</f>
        <v>0.064008</v>
      </c>
      <c r="AN21" s="57" t="s">
        <v>87</v>
      </c>
      <c r="AO21" s="69"/>
      <c r="AP21" s="70"/>
      <c r="AQ21" s="69"/>
      <c r="AR21" s="4"/>
      <c r="AS21" s="4"/>
      <c r="AT21" s="4"/>
      <c r="AU21" s="4"/>
      <c r="AV21" s="5"/>
      <c r="AW21" s="5"/>
      <c r="AX21" s="5"/>
    </row>
    <row r="22" customFormat="false" ht="12.75" hidden="false" customHeight="false" outlineLevel="0" collapsed="false">
      <c r="A22" s="11"/>
      <c r="B22" s="38"/>
      <c r="C22" s="50" t="s">
        <v>88</v>
      </c>
      <c r="D22" s="71" t="n">
        <v>8</v>
      </c>
      <c r="E22" s="72"/>
      <c r="K22" s="76"/>
      <c r="O22" s="23" t="s">
        <v>76</v>
      </c>
      <c r="P22" s="24" t="n">
        <v>0.18</v>
      </c>
      <c r="R22" s="65"/>
      <c r="S22" s="65"/>
      <c r="T22" s="65"/>
      <c r="U22" s="65"/>
      <c r="V22" s="65"/>
      <c r="W22" s="65"/>
      <c r="X22" s="65"/>
      <c r="Y22" s="65"/>
      <c r="AA22" s="65"/>
      <c r="AB22" s="52"/>
      <c r="AC22" s="28" t="s">
        <v>89</v>
      </c>
      <c r="AD22" s="56" t="n">
        <f aca="false">$E$30*AD14*AD16*AD20*$D$57*AD18*$D$58</f>
        <v>0.01008</v>
      </c>
      <c r="AE22" s="56" t="n">
        <f aca="false">$E$30*AE14*AE16*AE20*$D$57*AE18*$D$58</f>
        <v>0.0011088</v>
      </c>
      <c r="AF22" s="56" t="n">
        <f aca="false">$E$30*AF14*AF16*AF20*$D$57*AF18*$D$58</f>
        <v>0.0133056</v>
      </c>
      <c r="AG22" s="56" t="n">
        <f aca="false">$E$30*AG14*AG16*AG20*$D$57*AG18*$D$58</f>
        <v>0.0011088</v>
      </c>
      <c r="AH22" s="56" t="n">
        <f aca="false">$E$30*AH14*AH16*AH20*$D$57*AH18*$D$58</f>
        <v>0</v>
      </c>
      <c r="AI22" s="56" t="n">
        <f aca="false">$E$30*AI14*AI16*AI20*$D$57*AI18*$D$58</f>
        <v>0</v>
      </c>
      <c r="AJ22" s="56" t="n">
        <f aca="false">$E$30*AJ14*AJ16*AJ20*$D$57*AJ18*$D$58</f>
        <v>0</v>
      </c>
      <c r="AK22" s="56" t="n">
        <f aca="false">$E$30*AK14*AK16*AK20*$D$57*AK18*$D$58</f>
        <v>0</v>
      </c>
      <c r="AL22" s="29"/>
      <c r="AM22" s="29" t="n">
        <f aca="false">SUM(AD22:AL22)</f>
        <v>0.0256032</v>
      </c>
      <c r="AN22" s="57"/>
      <c r="AO22" s="77" t="s">
        <v>38</v>
      </c>
      <c r="AP22" s="78" t="s">
        <v>43</v>
      </c>
      <c r="AQ22" s="78" t="s">
        <v>47</v>
      </c>
      <c r="AR22" s="5"/>
      <c r="AS22" s="5"/>
      <c r="AT22" s="79" t="s">
        <v>90</v>
      </c>
      <c r="AU22" s="4"/>
      <c r="AV22" s="5"/>
      <c r="AW22" s="5"/>
      <c r="AX22" s="5"/>
    </row>
    <row r="23" customFormat="false" ht="12.75" hidden="false" customHeight="false" outlineLevel="0" collapsed="false">
      <c r="A23" s="11"/>
      <c r="B23" s="38"/>
      <c r="C23" s="50" t="s">
        <v>91</v>
      </c>
      <c r="D23" s="80" t="s">
        <v>92</v>
      </c>
      <c r="O23" s="23" t="s">
        <v>46</v>
      </c>
      <c r="P23" s="24" t="n">
        <v>0.23</v>
      </c>
      <c r="R23" s="65"/>
      <c r="S23" s="65"/>
      <c r="T23" s="65"/>
      <c r="U23" s="65"/>
      <c r="V23" s="65"/>
      <c r="W23" s="65"/>
      <c r="AA23" s="65"/>
      <c r="AB23" s="52"/>
      <c r="AC23" s="28" t="s">
        <v>93</v>
      </c>
      <c r="AD23" s="81" t="n">
        <f aca="false">IF(AD16&gt;0.2*E86/$M$86,(E86-E87)*E87,0)</f>
        <v>146</v>
      </c>
      <c r="AE23" s="81" t="n">
        <f aca="false">IF(AE16&gt;0.2*F86/$M$86,(F86-F87)*F87,0)</f>
        <v>0</v>
      </c>
      <c r="AF23" s="81" t="n">
        <f aca="false">IF(AF16&gt;0.2*G86/$M$86,(G86-G87)*G87,0)</f>
        <v>112.5</v>
      </c>
      <c r="AG23" s="81" t="n">
        <f aca="false">IF(AG16&gt;0.2*H86/$M$86,(H86-H87)*H87,0)</f>
        <v>0</v>
      </c>
      <c r="AH23" s="81" t="n">
        <f aca="false">IF(AH16&gt;0.2*I86/$M$86,(I86-I87)*I87,0)</f>
        <v>0</v>
      </c>
      <c r="AI23" s="81" t="n">
        <f aca="false">IF(AI16&gt;0.2*J86/$M$86,(J86-J87)*J87,0)</f>
        <v>0</v>
      </c>
      <c r="AJ23" s="81" t="n">
        <f aca="false">IF(AJ16&gt;0.2*K86/$M$86,(K86-K87)*K87,0)</f>
        <v>0</v>
      </c>
      <c r="AK23" s="81" t="n">
        <f aca="false">IF(AK16&gt;0.2*L86/$M$86,(L86-L87)*L87,0)</f>
        <v>0</v>
      </c>
      <c r="AL23" s="52" t="s">
        <v>94</v>
      </c>
      <c r="AM23" s="81" t="n">
        <f aca="false">SUM(AD23:AK23)</f>
        <v>258.5</v>
      </c>
      <c r="AN23" s="82" t="s">
        <v>20</v>
      </c>
      <c r="AO23" s="83" t="n">
        <v>31</v>
      </c>
      <c r="AP23" s="78" t="n">
        <v>27</v>
      </c>
      <c r="AQ23" s="82" t="n">
        <f aca="false">AO23*LN(4)+AP23</f>
        <v>69.9751251947166</v>
      </c>
      <c r="AR23" s="5"/>
      <c r="AS23" s="5"/>
      <c r="AT23" s="79" t="s">
        <v>95</v>
      </c>
      <c r="AU23" s="4"/>
      <c r="AV23" s="5"/>
      <c r="AW23" s="5"/>
      <c r="AX23" s="5"/>
    </row>
    <row r="24" customFormat="false" ht="12.75" hidden="false" customHeight="false" outlineLevel="0" collapsed="false">
      <c r="A24" s="11"/>
      <c r="B24" s="38"/>
      <c r="C24" s="50" t="s">
        <v>96</v>
      </c>
      <c r="D24" s="71" t="s">
        <v>97</v>
      </c>
      <c r="E24" s="41" t="s">
        <v>98</v>
      </c>
      <c r="O24" s="19" t="s">
        <v>99</v>
      </c>
      <c r="R24" s="84"/>
      <c r="AA24" s="65"/>
      <c r="AB24" s="52"/>
      <c r="AC24" s="28" t="s">
        <v>100</v>
      </c>
      <c r="AD24" s="56" t="n">
        <f aca="false">IF(AD23&gt;0,$E$30*$D$20/$D$22*AD16/AD23,0)</f>
        <v>0.256849315068493</v>
      </c>
      <c r="AE24" s="56" t="n">
        <f aca="false">IF(AE23&gt;0,$E$30*$D$20/$D$22*AE16/AE23,0)</f>
        <v>0</v>
      </c>
      <c r="AF24" s="56" t="n">
        <f aca="false">IF(AF23&gt;0,$E$30*$D$20/$D$22*AF16/AF23,0)</f>
        <v>0.266666666666667</v>
      </c>
      <c r="AG24" s="56" t="n">
        <f aca="false">IF(AG23&gt;0,$E$30*$D$20/$D$22*AG16/AG23,0)</f>
        <v>0</v>
      </c>
      <c r="AH24" s="56" t="n">
        <f aca="false">IF(AH23&gt;0,$E$30*$D$20/$D$22*AH16/AH23,0)</f>
        <v>0</v>
      </c>
      <c r="AI24" s="56" t="n">
        <f aca="false">IF(AI23&gt;0,$E$30*$D$20/$D$22*AI16/AI23,0)</f>
        <v>0</v>
      </c>
      <c r="AJ24" s="56" t="n">
        <f aca="false">IF(AJ23&gt;0,$E$30*$D$20/$D$22*AJ16/AJ23,0)</f>
        <v>0</v>
      </c>
      <c r="AK24" s="56" t="n">
        <f aca="false">IF(AK23&gt;0,$E$30*$D$20/$D$22*AK16/AK23,0)</f>
        <v>0</v>
      </c>
      <c r="AL24" s="85"/>
      <c r="AM24" s="85"/>
      <c r="AN24" s="82" t="s">
        <v>101</v>
      </c>
      <c r="AO24" s="83" t="n">
        <v>32</v>
      </c>
      <c r="AP24" s="78" t="n">
        <v>14</v>
      </c>
      <c r="AQ24" s="82" t="n">
        <f aca="false">AO24*LN(4)+AP24</f>
        <v>58.3614195558365</v>
      </c>
      <c r="AR24" s="5"/>
      <c r="AS24" s="5"/>
      <c r="AT24" s="5"/>
      <c r="AU24" s="4"/>
      <c r="AV24" s="5"/>
      <c r="AW24" s="5"/>
      <c r="AX24" s="5"/>
    </row>
    <row r="25" customFormat="false" ht="12.75" hidden="false" customHeight="false" outlineLevel="0" collapsed="false">
      <c r="A25" s="11"/>
      <c r="B25" s="38"/>
      <c r="C25" s="2" t="s">
        <v>102</v>
      </c>
      <c r="D25" s="71" t="s">
        <v>97</v>
      </c>
      <c r="E25" s="41" t="s">
        <v>103</v>
      </c>
      <c r="Q25" s="86" t="s">
        <v>104</v>
      </c>
      <c r="R25" s="86"/>
      <c r="S25" s="86"/>
      <c r="T25" s="86"/>
      <c r="U25" s="86"/>
      <c r="V25" s="86"/>
      <c r="W25" s="86"/>
      <c r="X25" s="86"/>
      <c r="Y25" s="86"/>
      <c r="AA25" s="65"/>
      <c r="AB25" s="52"/>
      <c r="AC25" s="28" t="s">
        <v>105</v>
      </c>
      <c r="AD25" s="81" t="n">
        <f aca="false">IF(E88="N",3.5,2.33)</f>
        <v>3.5</v>
      </c>
      <c r="AE25" s="81" t="n">
        <f aca="false">IF(F88="N",3.5,2.33)</f>
        <v>3.5</v>
      </c>
      <c r="AF25" s="81" t="n">
        <f aca="false">IF(G88="N",3.5,2.33)</f>
        <v>3.5</v>
      </c>
      <c r="AG25" s="81" t="n">
        <f aca="false">IF(H88="N",3.5,2.33)</f>
        <v>3.5</v>
      </c>
      <c r="AH25" s="81" t="n">
        <f aca="false">IF(I88="N",3.5,2.33)</f>
        <v>2.33</v>
      </c>
      <c r="AI25" s="81" t="n">
        <f aca="false">IF(J88="N",3.5,2.33)</f>
        <v>2.33</v>
      </c>
      <c r="AJ25" s="81" t="n">
        <f aca="false">IF(K88="N",3.5,2.33)</f>
        <v>2.33</v>
      </c>
      <c r="AK25" s="81" t="n">
        <f aca="false">IF(L88="N",3.5,2.33)</f>
        <v>2.33</v>
      </c>
      <c r="AL25" s="85"/>
      <c r="AM25" s="85"/>
      <c r="AN25" s="82" t="s">
        <v>6</v>
      </c>
      <c r="AO25" s="83" t="n">
        <v>42</v>
      </c>
      <c r="AP25" s="78" t="n">
        <v>-11</v>
      </c>
      <c r="AQ25" s="82" t="n">
        <f aca="false">AO25*LN(4)+AP25</f>
        <v>47.2243631670354</v>
      </c>
      <c r="AR25" s="5"/>
      <c r="AS25" s="5"/>
      <c r="AT25" s="5"/>
      <c r="AU25" s="5"/>
      <c r="AV25" s="5"/>
      <c r="AW25" s="4"/>
      <c r="AX25" s="5"/>
    </row>
    <row r="26" customFormat="false" ht="12.75" hidden="false" customHeight="true" outlineLevel="0" collapsed="false">
      <c r="A26" s="11"/>
      <c r="B26" s="38"/>
      <c r="C26" s="87"/>
      <c r="D26" s="87"/>
      <c r="E26" s="87"/>
      <c r="P26" s="88"/>
      <c r="Q26" s="89" t="s">
        <v>106</v>
      </c>
      <c r="R26" s="89"/>
      <c r="S26" s="89"/>
      <c r="T26" s="89" t="s">
        <v>107</v>
      </c>
      <c r="U26" s="89"/>
      <c r="V26" s="89"/>
      <c r="W26" s="89" t="s">
        <v>108</v>
      </c>
      <c r="X26" s="89"/>
      <c r="Y26" s="89"/>
      <c r="AB26" s="52"/>
      <c r="AC26" s="28" t="s">
        <v>109</v>
      </c>
      <c r="AD26" s="56" t="n">
        <f aca="false">AD24*AD15*$D$57*$D$90*AD25*$D$21*2</f>
        <v>2.20248287671233</v>
      </c>
      <c r="AE26" s="56" t="n">
        <f aca="false">AE24*AE15*$D$57*$D$90*AE25*$D$21*2</f>
        <v>0</v>
      </c>
      <c r="AF26" s="56" t="n">
        <f aca="false">AF24*AF15*$D$57*$D$90*AF25*$D$21*2</f>
        <v>2.28666666666667</v>
      </c>
      <c r="AG26" s="56" t="n">
        <f aca="false">AG24*AG15*$D$57*$D$90*AG25*$D$21*2</f>
        <v>0</v>
      </c>
      <c r="AH26" s="56" t="n">
        <f aca="false">AH24*AH15*$D$57*$D$90*AH25*$D$21*2</f>
        <v>0</v>
      </c>
      <c r="AI26" s="56" t="n">
        <f aca="false">AI24*AI15*$D$57*$D$90*AI25*$D$21*2</f>
        <v>0</v>
      </c>
      <c r="AJ26" s="56" t="n">
        <f aca="false">AJ24*AJ15*$D$57*$D$90*AJ25*$D$21*2</f>
        <v>0</v>
      </c>
      <c r="AK26" s="56" t="n">
        <f aca="false">AK24*AK15*$D$57*$D$90*AK25*$D$21*2</f>
        <v>0</v>
      </c>
      <c r="AL26" s="85"/>
      <c r="AM26" s="85"/>
      <c r="AN26" s="85"/>
      <c r="AO26" s="5"/>
      <c r="AP26" s="5"/>
      <c r="AQ26" s="6"/>
      <c r="AR26" s="5"/>
      <c r="AS26" s="5"/>
      <c r="AT26" s="5"/>
      <c r="AU26" s="5"/>
      <c r="AV26" s="5"/>
      <c r="AW26" s="4"/>
      <c r="AX26" s="5"/>
    </row>
    <row r="27" customFormat="false" ht="14.25" hidden="false" customHeight="false" outlineLevel="0" collapsed="false">
      <c r="A27" s="90" t="n">
        <v>1</v>
      </c>
      <c r="B27" s="90"/>
      <c r="C27" s="91" t="s">
        <v>110</v>
      </c>
      <c r="D27" s="92"/>
      <c r="E27" s="93" t="n">
        <f aca="false">M18/D20</f>
        <v>1.128</v>
      </c>
      <c r="J27" s="94" t="s">
        <v>111</v>
      </c>
      <c r="K27" s="30" t="n">
        <v>1.9</v>
      </c>
      <c r="L27" s="31" t="n">
        <v>1.3</v>
      </c>
      <c r="M27" s="32" t="n">
        <v>0.8</v>
      </c>
      <c r="O27" s="95" t="s">
        <v>112</v>
      </c>
      <c r="P27" s="95"/>
      <c r="Q27" s="89" t="s">
        <v>113</v>
      </c>
      <c r="R27" s="89" t="s">
        <v>114</v>
      </c>
      <c r="S27" s="89" t="s">
        <v>115</v>
      </c>
      <c r="T27" s="89" t="s">
        <v>113</v>
      </c>
      <c r="U27" s="89" t="s">
        <v>114</v>
      </c>
      <c r="V27" s="89" t="s">
        <v>115</v>
      </c>
      <c r="W27" s="89" t="s">
        <v>116</v>
      </c>
      <c r="X27" s="89" t="s">
        <v>117</v>
      </c>
      <c r="Y27" s="89" t="s">
        <v>115</v>
      </c>
      <c r="AB27" s="52"/>
      <c r="AC27" s="28" t="s">
        <v>38</v>
      </c>
      <c r="AD27" s="29" t="n">
        <f aca="false">IF(AD16&gt;0, LOOKUP(E52,$AC5:$AK5,$AC8:$AK8),0)</f>
        <v>31</v>
      </c>
      <c r="AE27" s="29" t="n">
        <f aca="false">IF(AE16&gt;0, LOOKUP(F52,$AC5:$AK5,$AC8:$AK8),0)</f>
        <v>32</v>
      </c>
      <c r="AF27" s="29" t="n">
        <f aca="false">IF(AF16&gt;0, LOOKUP(G52,$AC5:$AK5,$AC8:$AK8),0)</f>
        <v>42</v>
      </c>
      <c r="AG27" s="29" t="n">
        <f aca="false">IF(AG16&gt;0, LOOKUP(H52,$AC5:$AK5,$AC8:$AK8),0)</f>
        <v>32</v>
      </c>
      <c r="AH27" s="29" t="n">
        <f aca="false">IF(AH16&gt;0, LOOKUP(I52,$AC5:$AK5,$AC8:$AK8),0)</f>
        <v>0</v>
      </c>
      <c r="AI27" s="29" t="n">
        <f aca="false">IF(AI16&gt;0, LOOKUP(J52,$AC5:$AK5,$AC8:$AK8),0)</f>
        <v>0</v>
      </c>
      <c r="AJ27" s="29" t="n">
        <f aca="false">IF(AJ16&gt;0, LOOKUP(K52,$AC5:$AK5,$AC8:$AK8),0)</f>
        <v>0</v>
      </c>
      <c r="AK27" s="29" t="n">
        <f aca="false">IF(AK16&gt;0, LOOKUP(L52,$AC5:$AK5,$AC8:$AK8),0)</f>
        <v>0</v>
      </c>
      <c r="AL27" s="85"/>
      <c r="AM27" s="85"/>
      <c r="AN27" s="85"/>
      <c r="AO27" s="5"/>
      <c r="AP27" s="5"/>
      <c r="AQ27" s="6"/>
      <c r="AR27" s="5"/>
      <c r="AS27" s="5"/>
      <c r="AT27" s="5"/>
      <c r="AU27" s="5"/>
      <c r="AV27" s="5"/>
      <c r="AW27" s="4"/>
      <c r="AX27" s="5"/>
    </row>
    <row r="28" customFormat="false" ht="12.75" hidden="false" customHeight="false" outlineLevel="0" collapsed="false">
      <c r="A28" s="96"/>
      <c r="B28" s="97"/>
      <c r="D28" s="2"/>
      <c r="I28" s="98"/>
      <c r="J28" s="94" t="s">
        <v>118</v>
      </c>
      <c r="K28" s="30" t="n">
        <v>3.1</v>
      </c>
      <c r="L28" s="31" t="n">
        <v>2.7</v>
      </c>
      <c r="M28" s="32" t="n">
        <v>2.2</v>
      </c>
      <c r="O28" s="99" t="s">
        <v>119</v>
      </c>
      <c r="P28" s="99"/>
      <c r="Q28" s="100" t="n">
        <v>0.05</v>
      </c>
      <c r="R28" s="100" t="n">
        <v>0.1</v>
      </c>
      <c r="S28" s="100" t="n">
        <v>0.15</v>
      </c>
      <c r="T28" s="100" t="n">
        <v>0.05</v>
      </c>
      <c r="U28" s="100" t="n">
        <v>0.1</v>
      </c>
      <c r="V28" s="100" t="n">
        <v>0.18</v>
      </c>
      <c r="W28" s="100" t="n">
        <v>0.15</v>
      </c>
      <c r="X28" s="100" t="n">
        <v>0.22</v>
      </c>
      <c r="Y28" s="100" t="n">
        <v>0.25</v>
      </c>
      <c r="AB28" s="52"/>
      <c r="AC28" s="28" t="s">
        <v>43</v>
      </c>
      <c r="AD28" s="29" t="n">
        <f aca="false">IF(AD16&gt;0, LOOKUP(E52,$AC5:$AK5,$AC9:$AK9),0)</f>
        <v>27</v>
      </c>
      <c r="AE28" s="29" t="n">
        <f aca="false">IF(AE16&gt;0, LOOKUP(F52,$AC5:$AK5,$AC9:$AK9),0)</f>
        <v>14</v>
      </c>
      <c r="AF28" s="29" t="n">
        <f aca="false">IF(AF16&gt;0, LOOKUP(G52,$AC5:$AK5,$AC9:$AK9),0)</f>
        <v>-11</v>
      </c>
      <c r="AG28" s="29" t="n">
        <f aca="false">IF(AG16&gt;0, LOOKUP(H52,$AC5:$AK5,$AC9:$AK9),0)</f>
        <v>14</v>
      </c>
      <c r="AH28" s="29" t="n">
        <f aca="false">IF(AH16&gt;0, LOOKUP(I52,$AC5:$AK5,$AC9:$AK9),0)</f>
        <v>0</v>
      </c>
      <c r="AI28" s="29" t="n">
        <f aca="false">IF(AI16&gt;0, LOOKUP(J52,$AC5:$AK5,$AC9:$AK9),0)</f>
        <v>0</v>
      </c>
      <c r="AJ28" s="29" t="n">
        <f aca="false">IF(AJ16&gt;0, LOOKUP(K52,$AC5:$AK5,$AC9:$AK9),0)</f>
        <v>0</v>
      </c>
      <c r="AK28" s="29" t="n">
        <f aca="false">IF(AK16&gt;0, LOOKUP(L52,$AC5:$AK5,$AC9:$AK9),0)</f>
        <v>0</v>
      </c>
      <c r="AL28" s="85"/>
      <c r="AM28" s="85"/>
      <c r="AN28" s="85"/>
      <c r="AO28" s="5"/>
      <c r="AP28" s="5"/>
      <c r="AQ28" s="6"/>
      <c r="AR28" s="5"/>
      <c r="AS28" s="5"/>
      <c r="AT28" s="5"/>
      <c r="AU28" s="5"/>
      <c r="AV28" s="79"/>
      <c r="AW28" s="4"/>
      <c r="AX28" s="5"/>
    </row>
    <row r="29" customFormat="false" ht="12.75" hidden="false" customHeight="false" outlineLevel="0" collapsed="false">
      <c r="A29" s="96"/>
      <c r="B29" s="97"/>
      <c r="C29" s="41"/>
      <c r="M29" s="1"/>
      <c r="O29" s="101"/>
      <c r="P29" s="101"/>
      <c r="Q29" s="101"/>
      <c r="R29" s="101"/>
      <c r="S29" s="101"/>
      <c r="T29" s="101"/>
      <c r="U29" s="101"/>
      <c r="V29" s="101"/>
      <c r="W29" s="101"/>
      <c r="X29" s="101"/>
      <c r="Y29" s="101"/>
      <c r="AB29" s="52"/>
      <c r="AC29" s="28" t="s">
        <v>47</v>
      </c>
      <c r="AD29" s="29" t="n">
        <f aca="false">IF(AD16&gt;0, LOOKUP(E52,$AC5:$AK5,$AC10:$AK10),0)</f>
        <v>70</v>
      </c>
      <c r="AE29" s="29" t="n">
        <f aca="false">IF(AE16&gt;0, LOOKUP(F52,$AC5:$AK5,$AC10:$AK10),0)</f>
        <v>58.4</v>
      </c>
      <c r="AF29" s="29" t="n">
        <f aca="false">IF(AF16&gt;0, LOOKUP(G52,$AC5:$AK5,$AC10:$AK10),0)</f>
        <v>47.2</v>
      </c>
      <c r="AG29" s="29" t="n">
        <f aca="false">IF(AG16&gt;0, LOOKUP(H52,$AC5:$AK5,$AC10:$AK10),0)</f>
        <v>58.4</v>
      </c>
      <c r="AH29" s="29" t="n">
        <f aca="false">IF(AH16&gt;0, LOOKUP(I52,$AC5:$AK5,$AC10:$AK10),0)</f>
        <v>0</v>
      </c>
      <c r="AI29" s="29" t="n">
        <f aca="false">IF(AI16&gt;0, LOOKUP(J52,$AC5:$AK5,$AC10:$AK10),0)</f>
        <v>0</v>
      </c>
      <c r="AJ29" s="29" t="n">
        <f aca="false">IF(AJ16&gt;0, LOOKUP(K52,$AC5:$AK5,$AC10:$AK10),0)</f>
        <v>0</v>
      </c>
      <c r="AK29" s="29" t="n">
        <f aca="false">IF(AK16&gt;0, LOOKUP(L52,$AC5:$AK5,$AC10:$AK10),0)</f>
        <v>0</v>
      </c>
      <c r="AL29" s="85"/>
      <c r="AM29" s="85"/>
      <c r="AN29" s="85"/>
      <c r="AO29" s="5"/>
      <c r="AP29" s="5"/>
      <c r="AQ29" s="6"/>
      <c r="AR29" s="5"/>
      <c r="AS29" s="5"/>
      <c r="AT29" s="5"/>
      <c r="AU29" s="5"/>
      <c r="AV29" s="4"/>
      <c r="AW29" s="4"/>
      <c r="AX29" s="5"/>
    </row>
    <row r="30" customFormat="false" ht="12" hidden="false" customHeight="true" outlineLevel="0" collapsed="false">
      <c r="A30" s="90" t="n">
        <v>2</v>
      </c>
      <c r="B30" s="90"/>
      <c r="C30" s="91" t="s">
        <v>120</v>
      </c>
      <c r="D30" s="92"/>
      <c r="E30" s="102" t="n">
        <f aca="false">K18/D20</f>
        <v>0.24</v>
      </c>
      <c r="J30" s="1" t="s">
        <v>120</v>
      </c>
      <c r="K30" s="103" t="n">
        <f aca="false">LOOKUP($AC$34,$AH$103:$AH$108,AI103:AI108)</f>
        <v>0.2</v>
      </c>
      <c r="L30" s="103" t="n">
        <f aca="false">(K30+M30)/2</f>
        <v>0.225</v>
      </c>
      <c r="M30" s="103" t="n">
        <f aca="false">LOOKUP($AC$34,$AH$103:$AH$108,AJ103:AJ108)</f>
        <v>0.25</v>
      </c>
      <c r="O30" s="19" t="s">
        <v>121</v>
      </c>
      <c r="P30" s="101"/>
      <c r="Q30" s="101"/>
      <c r="R30" s="101"/>
      <c r="S30" s="101"/>
      <c r="T30" s="101"/>
      <c r="U30" s="101"/>
      <c r="V30" s="101"/>
      <c r="W30" s="101"/>
      <c r="X30" s="101"/>
      <c r="Y30" s="101"/>
      <c r="AB30" s="52"/>
      <c r="AC30" s="28" t="s">
        <v>122</v>
      </c>
      <c r="AD30" s="104" t="n">
        <f aca="false">MAX(0,IF(AD26&gt;0,IF(AD26&lt;4,AD27*LN(AD26)+AD28,AD29+(AD26-4)/(15-4)*(100-AD29)),0))</f>
        <v>51.477144433921</v>
      </c>
      <c r="AE30" s="104" t="n">
        <f aca="false">MAX(0,IF(AE26&gt;0,IF(AE26&lt;4,AE27*LN(AE26)+AE28,AE29+(AE26-4)/(15-4)*(100-AE29)),0))</f>
        <v>0</v>
      </c>
      <c r="AF30" s="104" t="n">
        <f aca="false">MAX(0,IF(AF26&gt;0,IF(AF26&lt;4,AF27*LN(AF26)+AF28,AF29+(AF26-4)/(15-4)*(100-AF29)),0))</f>
        <v>23.7379964289267</v>
      </c>
      <c r="AG30" s="104" t="n">
        <f aca="false">MAX(0,IF(AG26&gt;0,IF(AG26&lt;4,AG27*LN(AG26)+AG28,AG29+(AG26-4)/(15-4)*(100-AG29)),0))</f>
        <v>0</v>
      </c>
      <c r="AH30" s="104" t="n">
        <f aca="false">MAX(0,IF(AH26&gt;0,IF(AH26&lt;4,AH27*LN(AH26)+AH28,AH29+(AH26-4)/(15-4)*(100-AH29)),0))</f>
        <v>0</v>
      </c>
      <c r="AI30" s="104" t="n">
        <f aca="false">MAX(0,IF(AI26&gt;0,IF(AI26&lt;4,AI27*LN(AI26)+AI28,AI29+(AI26-4)/(15-4)*(100-AI29)),0))</f>
        <v>0</v>
      </c>
      <c r="AJ30" s="104" t="n">
        <f aca="false">MAX(0,IF(AJ26&gt;0,IF(AJ26&lt;4,AJ27*LN(AJ26)+AJ28,AJ29+(AJ26-4)/(15-4)*(100-AJ29)),0))</f>
        <v>0</v>
      </c>
      <c r="AK30" s="104" t="n">
        <f aca="false">MAX(0,IF(AK26&gt;0,IF(AK26&lt;4,AK27*LN(AK26)+AK28,AK29+(AK26-4)/(15-4)*(100-AK29)),0))</f>
        <v>0</v>
      </c>
      <c r="AL30" s="105" t="s">
        <v>123</v>
      </c>
      <c r="AM30" s="104" t="n">
        <f aca="false">SUMPRODUCT(AD23:AK23,AD30:AK30)/AM23*LOOKUP("N",AB40:AB42,AF40:AF42)</f>
        <v>36.8436575862371</v>
      </c>
      <c r="AN30" s="85"/>
      <c r="AO30" s="5"/>
      <c r="AP30" s="5"/>
      <c r="AQ30" s="6"/>
      <c r="AR30" s="5"/>
      <c r="AS30" s="5"/>
      <c r="AT30" s="5"/>
      <c r="AU30" s="5"/>
      <c r="AV30" s="4"/>
      <c r="AW30" s="4"/>
      <c r="AX30" s="5"/>
    </row>
    <row r="31" customFormat="false" ht="15" hidden="false" customHeight="true" outlineLevel="0" collapsed="false">
      <c r="A31" s="106"/>
      <c r="B31" s="107"/>
      <c r="C31" s="41"/>
      <c r="M31" s="1"/>
      <c r="Q31" s="108" t="s">
        <v>124</v>
      </c>
      <c r="R31" s="108"/>
      <c r="S31" s="108" t="s">
        <v>101</v>
      </c>
      <c r="T31" s="108"/>
      <c r="U31" s="108" t="s">
        <v>6</v>
      </c>
      <c r="V31" s="108"/>
      <c r="W31" s="101"/>
      <c r="X31" s="101"/>
      <c r="Y31" s="101"/>
      <c r="AB31" s="4"/>
      <c r="AC31" s="85"/>
      <c r="AD31" s="85"/>
      <c r="AE31" s="85"/>
      <c r="AF31" s="85"/>
      <c r="AG31" s="85"/>
      <c r="AH31" s="85"/>
      <c r="AI31" s="85"/>
      <c r="AJ31" s="85"/>
      <c r="AK31" s="85"/>
      <c r="AL31" s="105" t="s">
        <v>125</v>
      </c>
      <c r="AM31" s="104" t="n">
        <f aca="false">AM30*AM23/$D$20*$D$22</f>
        <v>30.4770735553353</v>
      </c>
      <c r="AN31" s="85"/>
      <c r="AO31" s="5"/>
      <c r="AP31" s="5"/>
      <c r="AQ31" s="6"/>
      <c r="AR31" s="5"/>
      <c r="AS31" s="5"/>
      <c r="AT31" s="5"/>
      <c r="AU31" s="5"/>
      <c r="AV31" s="4"/>
      <c r="AW31" s="4"/>
      <c r="AX31" s="5"/>
    </row>
    <row r="32" customFormat="false" ht="15" hidden="false" customHeight="true" outlineLevel="0" collapsed="false">
      <c r="A32" s="106"/>
      <c r="B32" s="107"/>
      <c r="C32" s="87"/>
      <c r="D32" s="87"/>
      <c r="E32" s="87"/>
      <c r="O32" s="19"/>
      <c r="Q32" s="108" t="s">
        <v>126</v>
      </c>
      <c r="R32" s="108" t="s">
        <v>127</v>
      </c>
      <c r="S32" s="108" t="s">
        <v>126</v>
      </c>
      <c r="T32" s="108" t="s">
        <v>127</v>
      </c>
      <c r="U32" s="108" t="s">
        <v>126</v>
      </c>
      <c r="V32" s="108" t="s">
        <v>127</v>
      </c>
      <c r="W32" s="101"/>
      <c r="X32" s="101"/>
      <c r="Y32" s="101"/>
      <c r="AB32" s="4" t="s">
        <v>39</v>
      </c>
      <c r="AE32" s="85"/>
      <c r="AF32" s="85"/>
      <c r="AG32" s="85"/>
      <c r="AH32" s="85"/>
      <c r="AI32" s="85"/>
      <c r="AJ32" s="85"/>
      <c r="AK32" s="85"/>
      <c r="AL32" s="85"/>
      <c r="AM32" s="109"/>
      <c r="AN32" s="109"/>
      <c r="AO32" s="5"/>
      <c r="AP32" s="5"/>
      <c r="AQ32" s="6"/>
      <c r="AR32" s="5"/>
      <c r="AS32" s="5"/>
      <c r="AT32" s="5"/>
      <c r="AU32" s="5"/>
      <c r="AV32" s="4"/>
      <c r="AW32" s="4"/>
      <c r="AX32" s="5"/>
    </row>
    <row r="33" customFormat="false" ht="14.25" hidden="false" customHeight="true" outlineLevel="0" collapsed="false">
      <c r="A33" s="106"/>
      <c r="B33" s="41" t="s">
        <v>128</v>
      </c>
      <c r="O33" s="110" t="s">
        <v>129</v>
      </c>
      <c r="P33" s="111" t="s">
        <v>130</v>
      </c>
      <c r="Q33" s="42" t="n">
        <v>0.75</v>
      </c>
      <c r="R33" s="24" t="n">
        <v>1</v>
      </c>
      <c r="S33" s="24" t="n">
        <v>0.85</v>
      </c>
      <c r="T33" s="24" t="n">
        <v>0.9</v>
      </c>
      <c r="U33" s="24" t="n">
        <v>1</v>
      </c>
      <c r="V33" s="24" t="n">
        <v>0.95</v>
      </c>
      <c r="W33" s="101"/>
      <c r="X33" s="101"/>
      <c r="Y33" s="101"/>
      <c r="AB33" s="112" t="s">
        <v>51</v>
      </c>
      <c r="AE33" s="85"/>
      <c r="AF33" s="85"/>
      <c r="AG33" s="85"/>
      <c r="AH33" s="85"/>
      <c r="AI33" s="85"/>
      <c r="AJ33" s="85"/>
      <c r="AK33" s="85"/>
      <c r="AL33" s="85"/>
      <c r="AO33" s="5"/>
      <c r="AP33" s="5"/>
      <c r="AQ33" s="6"/>
      <c r="AR33" s="5"/>
      <c r="AS33" s="5"/>
      <c r="AT33" s="5"/>
      <c r="AU33" s="5"/>
      <c r="AV33" s="5"/>
      <c r="AW33" s="5"/>
      <c r="AX33" s="5"/>
    </row>
    <row r="34" customFormat="false" ht="12.75" hidden="false" customHeight="false" outlineLevel="0" collapsed="false">
      <c r="A34" s="106"/>
      <c r="B34" s="107"/>
      <c r="C34" s="41"/>
      <c r="O34" s="113" t="s">
        <v>131</v>
      </c>
      <c r="P34" s="111" t="s">
        <v>132</v>
      </c>
      <c r="Q34" s="42" t="n">
        <v>0.25</v>
      </c>
      <c r="R34" s="24" t="n">
        <v>1</v>
      </c>
      <c r="S34" s="24" t="n">
        <v>0.75</v>
      </c>
      <c r="T34" s="24" t="n">
        <v>0.85</v>
      </c>
      <c r="U34" s="24" t="n">
        <v>1</v>
      </c>
      <c r="V34" s="24" t="n">
        <v>0.85</v>
      </c>
      <c r="W34" s="101"/>
      <c r="X34" s="101"/>
      <c r="Y34" s="101"/>
      <c r="AB34" s="112" t="s">
        <v>133</v>
      </c>
      <c r="AC34" s="51" t="s">
        <v>43</v>
      </c>
      <c r="AD34" s="114" t="s">
        <v>134</v>
      </c>
      <c r="AE34" s="4"/>
      <c r="AF34" s="4"/>
      <c r="AG34" s="4"/>
      <c r="AH34" s="4"/>
      <c r="AI34" s="85"/>
      <c r="AJ34" s="85"/>
      <c r="AK34" s="85"/>
      <c r="AO34" s="4"/>
      <c r="AP34" s="4"/>
      <c r="AQ34" s="6"/>
      <c r="AR34" s="5"/>
      <c r="AS34" s="5"/>
      <c r="AT34" s="5"/>
      <c r="AU34" s="5"/>
      <c r="AV34" s="5"/>
      <c r="AW34" s="5"/>
      <c r="AX34" s="5"/>
    </row>
    <row r="35" customFormat="false" ht="12.75" hidden="false" customHeight="false" outlineLevel="0" collapsed="false">
      <c r="A35" s="106"/>
      <c r="B35" s="107"/>
      <c r="C35" s="41"/>
      <c r="E35" s="115" t="s">
        <v>63</v>
      </c>
      <c r="F35" s="115"/>
      <c r="G35" s="115" t="s">
        <v>64</v>
      </c>
      <c r="H35" s="115"/>
      <c r="I35" s="115" t="s">
        <v>65</v>
      </c>
      <c r="J35" s="115"/>
      <c r="K35" s="60" t="s">
        <v>66</v>
      </c>
      <c r="L35" s="115" t="s">
        <v>67</v>
      </c>
      <c r="O35" s="116"/>
      <c r="P35" s="111" t="s">
        <v>135</v>
      </c>
      <c r="Q35" s="42" t="n">
        <v>0.25</v>
      </c>
      <c r="R35" s="24" t="n">
        <v>1</v>
      </c>
      <c r="S35" s="24" t="n">
        <v>0.65</v>
      </c>
      <c r="T35" s="24" t="n">
        <v>0.75</v>
      </c>
      <c r="U35" s="24" t="n">
        <v>1</v>
      </c>
      <c r="V35" s="42" t="n">
        <v>0.8</v>
      </c>
      <c r="W35" s="101"/>
      <c r="X35" s="101"/>
      <c r="Y35" s="101"/>
      <c r="AB35" s="112" t="s">
        <v>136</v>
      </c>
      <c r="AE35" s="4"/>
      <c r="AF35" s="4"/>
      <c r="AG35" s="4"/>
      <c r="AH35" s="4"/>
      <c r="AI35" s="85"/>
      <c r="AJ35" s="85"/>
      <c r="AK35" s="85"/>
      <c r="AO35" s="4"/>
      <c r="AP35" s="4"/>
      <c r="AQ35" s="6"/>
      <c r="AR35" s="5"/>
      <c r="AS35" s="5"/>
      <c r="AT35" s="5"/>
      <c r="AU35" s="5"/>
      <c r="AV35" s="5"/>
      <c r="AW35" s="5"/>
      <c r="AX35" s="5"/>
    </row>
    <row r="36" customFormat="false" ht="12.75" hidden="false" customHeight="false" outlineLevel="0" collapsed="false">
      <c r="A36" s="106"/>
      <c r="B36" s="107"/>
      <c r="C36" s="1"/>
      <c r="E36" s="63" t="n">
        <v>1</v>
      </c>
      <c r="F36" s="63" t="n">
        <v>2</v>
      </c>
      <c r="G36" s="63" t="n">
        <v>1</v>
      </c>
      <c r="H36" s="63" t="n">
        <v>2</v>
      </c>
      <c r="I36" s="63" t="s">
        <v>71</v>
      </c>
      <c r="J36" s="63" t="s">
        <v>72</v>
      </c>
      <c r="K36" s="64" t="s">
        <v>137</v>
      </c>
      <c r="L36" s="115"/>
      <c r="O36" s="19" t="s">
        <v>138</v>
      </c>
      <c r="AB36" s="112" t="s">
        <v>139</v>
      </c>
      <c r="AE36" s="4"/>
      <c r="AF36" s="4"/>
      <c r="AG36" s="4"/>
      <c r="AH36" s="4"/>
      <c r="AI36" s="85"/>
      <c r="AJ36" s="85"/>
      <c r="AK36" s="85"/>
      <c r="AM36" s="117"/>
      <c r="AN36" s="118"/>
      <c r="AO36" s="4"/>
      <c r="AP36" s="4"/>
      <c r="AQ36" s="6"/>
      <c r="AR36" s="5"/>
      <c r="AS36" s="5"/>
      <c r="AT36" s="5"/>
      <c r="AU36" s="5"/>
      <c r="AV36" s="5"/>
      <c r="AW36" s="5"/>
      <c r="AX36" s="5"/>
    </row>
    <row r="37" customFormat="false" ht="12.75" hidden="false" customHeight="false" outlineLevel="0" collapsed="false">
      <c r="A37" s="106"/>
      <c r="B37" s="107"/>
      <c r="C37" s="2" t="s">
        <v>140</v>
      </c>
      <c r="D37" s="72" t="s">
        <v>141</v>
      </c>
      <c r="E37" s="68" t="n">
        <v>0.2</v>
      </c>
      <c r="F37" s="68"/>
      <c r="G37" s="68" t="n">
        <v>0.16</v>
      </c>
      <c r="H37" s="68"/>
      <c r="I37" s="68" t="n">
        <v>0.23</v>
      </c>
      <c r="J37" s="68"/>
      <c r="K37" s="68" t="n">
        <v>1.5</v>
      </c>
      <c r="L37" s="68" t="n">
        <v>1.5</v>
      </c>
      <c r="Q37" s="108" t="s">
        <v>142</v>
      </c>
      <c r="R37" s="108" t="s">
        <v>101</v>
      </c>
      <c r="S37" s="108" t="s">
        <v>143</v>
      </c>
      <c r="AB37" s="4"/>
      <c r="AC37" s="4"/>
      <c r="AD37" s="4"/>
      <c r="AE37" s="4"/>
      <c r="AF37" s="4"/>
      <c r="AG37" s="4"/>
      <c r="AH37" s="4"/>
      <c r="AI37" s="85"/>
      <c r="AJ37" s="85"/>
      <c r="AK37" s="85"/>
      <c r="AM37" s="117"/>
      <c r="AN37" s="118"/>
      <c r="AO37" s="4"/>
      <c r="AP37" s="4"/>
      <c r="AQ37" s="6"/>
      <c r="AR37" s="4"/>
      <c r="AS37" s="4"/>
      <c r="AT37" s="4"/>
      <c r="AU37" s="4"/>
      <c r="AV37" s="4"/>
      <c r="AW37" s="4"/>
      <c r="AX37" s="5"/>
    </row>
    <row r="38" customFormat="false" ht="12.75" hidden="false" customHeight="false" outlineLevel="0" collapsed="false">
      <c r="A38" s="106"/>
      <c r="B38" s="107"/>
      <c r="C38" s="2" t="s">
        <v>144</v>
      </c>
      <c r="D38" s="68" t="n">
        <v>0.05</v>
      </c>
      <c r="E38" s="72" t="s">
        <v>141</v>
      </c>
      <c r="F38" s="119"/>
      <c r="G38" s="119"/>
      <c r="H38" s="119"/>
      <c r="I38" s="119"/>
      <c r="J38" s="119"/>
      <c r="K38" s="119"/>
      <c r="L38" s="119"/>
      <c r="M38" s="119"/>
      <c r="O38" s="120" t="s">
        <v>145</v>
      </c>
      <c r="P38" s="121"/>
      <c r="Q38" s="122" t="n">
        <v>1</v>
      </c>
      <c r="R38" s="122" t="n">
        <v>1</v>
      </c>
      <c r="S38" s="24" t="n">
        <v>1</v>
      </c>
      <c r="AB38" s="123" t="s">
        <v>146</v>
      </c>
      <c r="AC38" s="123"/>
      <c r="AD38" s="123"/>
      <c r="AE38" s="123"/>
      <c r="AF38" s="123"/>
      <c r="AG38" s="4"/>
      <c r="AH38" s="4"/>
      <c r="AI38" s="4"/>
      <c r="AJ38" s="4"/>
      <c r="AK38" s="4"/>
      <c r="AM38" s="5"/>
      <c r="AN38" s="109"/>
      <c r="AO38" s="4"/>
      <c r="AP38" s="4"/>
      <c r="AQ38" s="6"/>
      <c r="AR38" s="4"/>
      <c r="AS38" s="4"/>
      <c r="AT38" s="4"/>
      <c r="AU38" s="4"/>
      <c r="AV38" s="4"/>
      <c r="AW38" s="4"/>
      <c r="AX38" s="5"/>
    </row>
    <row r="39" customFormat="false" ht="12.75" hidden="false" customHeight="false" outlineLevel="0" collapsed="false">
      <c r="A39" s="106"/>
      <c r="B39" s="107"/>
      <c r="D39" s="119"/>
      <c r="E39" s="119"/>
      <c r="F39" s="119"/>
      <c r="G39" s="119"/>
      <c r="H39" s="119"/>
      <c r="I39" s="119"/>
      <c r="J39" s="119"/>
      <c r="K39" s="119"/>
      <c r="L39" s="119"/>
      <c r="M39" s="119"/>
      <c r="O39" s="19" t="s">
        <v>147</v>
      </c>
      <c r="AB39" s="28"/>
      <c r="AC39" s="29" t="s">
        <v>148</v>
      </c>
      <c r="AD39" s="29" t="s">
        <v>149</v>
      </c>
      <c r="AE39" s="29" t="s">
        <v>150</v>
      </c>
      <c r="AF39" s="29" t="s">
        <v>151</v>
      </c>
      <c r="AG39" s="4"/>
      <c r="AH39" s="124" t="s">
        <v>152</v>
      </c>
      <c r="AI39" s="124"/>
      <c r="AJ39" s="124"/>
      <c r="AK39" s="4"/>
      <c r="AL39" s="5"/>
      <c r="AM39" s="5"/>
      <c r="AN39" s="109"/>
      <c r="AO39" s="4"/>
      <c r="AP39" s="4"/>
      <c r="AQ39" s="4"/>
      <c r="AR39" s="4"/>
      <c r="AS39" s="4"/>
      <c r="AT39" s="4"/>
      <c r="AU39" s="19" t="s">
        <v>153</v>
      </c>
    </row>
    <row r="40" customFormat="false" ht="12.75" hidden="false" customHeight="false" outlineLevel="0" collapsed="false">
      <c r="A40" s="106"/>
      <c r="B40" s="107"/>
      <c r="C40" s="2" t="s">
        <v>154</v>
      </c>
      <c r="D40" s="119" t="s">
        <v>155</v>
      </c>
      <c r="E40" s="67" t="n">
        <f aca="false">E18*E37</f>
        <v>300</v>
      </c>
      <c r="F40" s="67" t="n">
        <f aca="false">F18*F37</f>
        <v>0</v>
      </c>
      <c r="G40" s="67" t="n">
        <f aca="false">G18*G37</f>
        <v>57.6</v>
      </c>
      <c r="H40" s="67" t="n">
        <f aca="false">H18*H37</f>
        <v>0</v>
      </c>
      <c r="I40" s="67" t="n">
        <f aca="false">I18*I37</f>
        <v>82.8</v>
      </c>
      <c r="J40" s="67" t="n">
        <f aca="false">J18*J37</f>
        <v>0</v>
      </c>
      <c r="K40" s="67" t="n">
        <f aca="false">K18*K37</f>
        <v>900</v>
      </c>
      <c r="L40" s="67" t="n">
        <f aca="false">L18*L37</f>
        <v>0</v>
      </c>
      <c r="M40" s="1"/>
      <c r="Q40" s="108" t="s">
        <v>142</v>
      </c>
      <c r="R40" s="108" t="s">
        <v>101</v>
      </c>
      <c r="S40" s="108" t="s">
        <v>143</v>
      </c>
      <c r="AB40" s="29" t="s">
        <v>156</v>
      </c>
      <c r="AC40" s="125" t="n">
        <v>52</v>
      </c>
      <c r="AD40" s="37" t="n">
        <v>416</v>
      </c>
      <c r="AE40" s="125" t="n">
        <v>5</v>
      </c>
      <c r="AF40" s="125" t="n">
        <v>1</v>
      </c>
      <c r="AG40" s="4"/>
      <c r="AH40" s="28"/>
      <c r="AI40" s="126" t="s">
        <v>157</v>
      </c>
      <c r="AJ40" s="126"/>
      <c r="AK40" s="126"/>
      <c r="AL40" s="28"/>
      <c r="AM40" s="126" t="s">
        <v>158</v>
      </c>
      <c r="AN40" s="126"/>
      <c r="AO40" s="126"/>
      <c r="AP40" s="4"/>
      <c r="AQ40" s="4"/>
      <c r="AR40" s="4"/>
      <c r="AS40" s="4"/>
      <c r="AT40" s="4"/>
      <c r="AV40" s="119" t="s">
        <v>159</v>
      </c>
    </row>
    <row r="41" customFormat="false" ht="15" hidden="false" customHeight="false" outlineLevel="0" collapsed="false">
      <c r="A41" s="127"/>
      <c r="B41" s="128"/>
      <c r="C41" s="2" t="s">
        <v>160</v>
      </c>
      <c r="D41" s="119" t="s">
        <v>155</v>
      </c>
      <c r="F41" s="119"/>
      <c r="G41" s="119"/>
      <c r="H41" s="119"/>
      <c r="I41" s="119"/>
      <c r="J41" s="119"/>
      <c r="K41" s="119"/>
      <c r="L41" s="119"/>
      <c r="M41" s="129" t="n">
        <f aca="false">SUM(E40:L40)+D38*M18</f>
        <v>1481.4</v>
      </c>
      <c r="N41" s="65"/>
      <c r="O41" s="120" t="s">
        <v>161</v>
      </c>
      <c r="P41" s="121"/>
      <c r="Q41" s="24" t="n">
        <v>1</v>
      </c>
      <c r="R41" s="24" t="n">
        <v>0.9</v>
      </c>
      <c r="S41" s="24" t="n">
        <v>0.7</v>
      </c>
      <c r="AB41" s="29" t="s">
        <v>6</v>
      </c>
      <c r="AC41" s="130" t="n">
        <v>53</v>
      </c>
      <c r="AD41" s="131" t="n">
        <v>379</v>
      </c>
      <c r="AE41" s="130" t="n">
        <v>4.8</v>
      </c>
      <c r="AF41" s="130" t="n">
        <v>0.935</v>
      </c>
      <c r="AG41" s="4"/>
      <c r="AH41" s="28"/>
      <c r="AI41" s="29" t="s">
        <v>20</v>
      </c>
      <c r="AJ41" s="29" t="s">
        <v>162</v>
      </c>
      <c r="AK41" s="29" t="s">
        <v>163</v>
      </c>
      <c r="AL41" s="28"/>
      <c r="AM41" s="29" t="s">
        <v>20</v>
      </c>
      <c r="AN41" s="29" t="s">
        <v>162</v>
      </c>
      <c r="AO41" s="29" t="s">
        <v>163</v>
      </c>
      <c r="AP41" s="4"/>
      <c r="AQ41" s="4"/>
      <c r="AR41" s="4"/>
      <c r="AS41" s="4"/>
      <c r="AT41" s="4"/>
      <c r="AU41" s="132" t="s">
        <v>164</v>
      </c>
      <c r="AV41" s="133" t="n">
        <v>299</v>
      </c>
      <c r="AW41" s="134" t="n">
        <v>0.19</v>
      </c>
      <c r="AX41" s="134" t="n">
        <v>-1.333</v>
      </c>
      <c r="AY41" s="135" t="s">
        <v>165</v>
      </c>
    </row>
    <row r="42" customFormat="false" ht="12.75" hidden="false" customHeight="false" outlineLevel="0" collapsed="false">
      <c r="A42" s="127"/>
      <c r="B42" s="128"/>
      <c r="N42" s="65"/>
      <c r="O42" s="120" t="s">
        <v>166</v>
      </c>
      <c r="P42" s="121"/>
      <c r="Q42" s="122" t="n">
        <v>0.85</v>
      </c>
      <c r="R42" s="122" t="n">
        <v>0.65</v>
      </c>
      <c r="S42" s="24" t="n">
        <v>0.45</v>
      </c>
      <c r="AB42" s="29" t="s">
        <v>20</v>
      </c>
      <c r="AC42" s="125" t="n">
        <v>39</v>
      </c>
      <c r="AD42" s="37" t="n">
        <v>493</v>
      </c>
      <c r="AE42" s="125" t="n">
        <v>4.2</v>
      </c>
      <c r="AF42" s="125" t="n">
        <v>1.075</v>
      </c>
      <c r="AG42" s="4"/>
      <c r="AH42" s="29" t="s">
        <v>15</v>
      </c>
      <c r="AI42" s="136" t="n">
        <v>0.04</v>
      </c>
      <c r="AJ42" s="136" t="n">
        <v>0.04</v>
      </c>
      <c r="AK42" s="136" t="n">
        <v>0.13</v>
      </c>
      <c r="AL42" s="29" t="s">
        <v>15</v>
      </c>
      <c r="AM42" s="136" t="n">
        <v>0.16</v>
      </c>
      <c r="AN42" s="136" t="n">
        <v>0.16</v>
      </c>
      <c r="AO42" s="136" t="n">
        <v>0.25</v>
      </c>
      <c r="AP42" s="4"/>
      <c r="AQ42" s="4"/>
      <c r="AR42" s="4"/>
      <c r="AS42" s="4"/>
      <c r="AT42" s="4"/>
      <c r="AU42" s="132" t="s">
        <v>167</v>
      </c>
      <c r="AV42" s="133" t="n">
        <v>230</v>
      </c>
      <c r="AW42" s="134" t="n">
        <v>0.19</v>
      </c>
      <c r="AX42" s="134" t="n">
        <v>-1.333</v>
      </c>
      <c r="AY42" s="137" t="n">
        <f aca="false">IF($C132="",0,LOOKUP($C132,$AU$41:$AU$48,AV41:AV48))</f>
        <v>174</v>
      </c>
      <c r="AZ42" s="138" t="n">
        <f aca="false">IF($C134="",0,LOOKUP($C134,$AU$49:$AU$52,$AV$49:$AV$52))</f>
        <v>7.2</v>
      </c>
      <c r="BA42" s="138" t="n">
        <f aca="false">IF($C132="",0,LOOKUP($C132,$AU$41:$AU$48,AW41:AW48))</f>
        <v>0.19</v>
      </c>
      <c r="BB42" s="138" t="n">
        <f aca="false">IF($C132="",0,LOOKUP($C132,$AU$41:$AU$48,AX41:AX48))</f>
        <v>-1.333</v>
      </c>
    </row>
    <row r="43" customFormat="false" ht="12.75" hidden="false" customHeight="false" outlineLevel="0" collapsed="false">
      <c r="A43" s="127"/>
      <c r="B43" s="128"/>
      <c r="C43" s="139" t="s">
        <v>168</v>
      </c>
      <c r="E43" s="140" t="n">
        <f aca="false">M41/M18</f>
        <v>0.52531914893617</v>
      </c>
      <c r="F43" s="1" t="s">
        <v>141</v>
      </c>
      <c r="I43" s="1" t="s">
        <v>168</v>
      </c>
      <c r="J43" s="94" t="s">
        <v>169</v>
      </c>
      <c r="K43" s="30" t="n">
        <v>0.6</v>
      </c>
      <c r="L43" s="31" t="n">
        <v>0.45</v>
      </c>
      <c r="M43" s="32" t="n">
        <v>0.3</v>
      </c>
      <c r="N43" s="65"/>
      <c r="O43" s="120" t="s">
        <v>170</v>
      </c>
      <c r="P43" s="121"/>
      <c r="Q43" s="122" t="n">
        <v>0.85</v>
      </c>
      <c r="R43" s="122" t="n">
        <v>0.65</v>
      </c>
      <c r="S43" s="24" t="n">
        <v>0.45</v>
      </c>
      <c r="W43" s="141"/>
      <c r="AB43" s="1"/>
      <c r="AC43" s="1"/>
      <c r="AD43" s="1"/>
      <c r="AE43" s="1"/>
      <c r="AF43" s="1"/>
      <c r="AG43" s="4"/>
      <c r="AH43" s="29" t="s">
        <v>171</v>
      </c>
      <c r="AI43" s="136" t="n">
        <v>0.01</v>
      </c>
      <c r="AJ43" s="136" t="n">
        <v>0.01</v>
      </c>
      <c r="AK43" s="136" t="n">
        <v>0.04</v>
      </c>
      <c r="AL43" s="29" t="s">
        <v>171</v>
      </c>
      <c r="AM43" s="136" t="n">
        <v>0.02</v>
      </c>
      <c r="AN43" s="136" t="n">
        <v>0.02</v>
      </c>
      <c r="AO43" s="136" t="n">
        <v>0.08</v>
      </c>
      <c r="AP43" s="4"/>
      <c r="AQ43" s="4"/>
      <c r="AR43" s="4"/>
      <c r="AS43" s="4"/>
      <c r="AT43" s="4"/>
      <c r="AU43" s="132" t="s">
        <v>172</v>
      </c>
      <c r="AV43" s="133" t="n">
        <v>327</v>
      </c>
      <c r="AW43" s="134" t="n">
        <v>0.19</v>
      </c>
      <c r="AX43" s="134" t="n">
        <v>-1.333</v>
      </c>
      <c r="AY43" s="137" t="n">
        <f aca="false">IF($C133="",0,LOOKUP($C133,$AU$41:$AU$48,AV41:AV48))</f>
        <v>202</v>
      </c>
      <c r="AZ43" s="138" t="n">
        <f aca="false">IF($C135="",0,LOOKUP($C135,$AU$49:$AU$52,$AV$49:$AV$52))</f>
        <v>1.6</v>
      </c>
      <c r="BA43" s="138" t="n">
        <f aca="false">IF($C133="",0,LOOKUP($C133,$AU$41:$AU$48,AW41:AW48))</f>
        <v>0.19</v>
      </c>
      <c r="BB43" s="138" t="n">
        <f aca="false">IF($C133="",0,LOOKUP($C133,$AU$41:$AU$48,AX41:AX48))</f>
        <v>-1.333</v>
      </c>
    </row>
    <row r="44" customFormat="false" ht="12.75" hidden="false" customHeight="false" outlineLevel="0" collapsed="false">
      <c r="A44" s="127"/>
      <c r="B44" s="128"/>
      <c r="J44" s="94" t="s">
        <v>173</v>
      </c>
      <c r="K44" s="30" t="n">
        <v>0.45</v>
      </c>
      <c r="L44" s="31" t="n">
        <v>0.35</v>
      </c>
      <c r="M44" s="32" t="n">
        <v>0.25</v>
      </c>
      <c r="N44" s="65"/>
      <c r="O44" s="19" t="s">
        <v>174</v>
      </c>
      <c r="V44" s="141"/>
      <c r="W44" s="141"/>
      <c r="AB44" s="1"/>
      <c r="AC44" s="1"/>
      <c r="AD44" s="1"/>
      <c r="AE44" s="28" t="s">
        <v>175</v>
      </c>
      <c r="AF44" s="104" t="n">
        <f aca="false">D102*LOOKUP(D9,AB40:AB42,AE40:AE42)+D11</f>
        <v>57.5</v>
      </c>
      <c r="AG44" s="4"/>
      <c r="AH44" s="29" t="s">
        <v>176</v>
      </c>
      <c r="AI44" s="136" t="n">
        <v>0.1</v>
      </c>
      <c r="AJ44" s="136" t="n">
        <v>0.1</v>
      </c>
      <c r="AK44" s="136" t="n">
        <v>0.24</v>
      </c>
      <c r="AL44" s="29" t="s">
        <v>176</v>
      </c>
      <c r="AM44" s="136" t="n">
        <v>0.33</v>
      </c>
      <c r="AN44" s="136" t="n">
        <v>0.33</v>
      </c>
      <c r="AO44" s="136" t="n">
        <v>0.45</v>
      </c>
      <c r="AP44" s="4"/>
      <c r="AQ44" s="4"/>
      <c r="AR44" s="5"/>
      <c r="AS44" s="5"/>
      <c r="AT44" s="5"/>
      <c r="AU44" s="132" t="s">
        <v>177</v>
      </c>
      <c r="AV44" s="133" t="n">
        <v>271</v>
      </c>
      <c r="AW44" s="134" t="n">
        <v>0.19</v>
      </c>
      <c r="AX44" s="134" t="n">
        <v>-1.333</v>
      </c>
    </row>
    <row r="45" customFormat="false" ht="12.75" hidden="false" customHeight="false" outlineLevel="0" collapsed="false">
      <c r="A45" s="127"/>
      <c r="B45" s="128"/>
      <c r="J45" s="87"/>
      <c r="M45" s="1"/>
      <c r="N45" s="65"/>
      <c r="O45" s="120" t="s">
        <v>178</v>
      </c>
      <c r="P45" s="121"/>
      <c r="Q45" s="42" t="n">
        <v>0.2</v>
      </c>
      <c r="V45" s="142"/>
      <c r="W45" s="141"/>
      <c r="AB45" s="1"/>
      <c r="AC45" s="1"/>
      <c r="AD45" s="1"/>
      <c r="AE45" s="28" t="s">
        <v>179</v>
      </c>
      <c r="AF45" s="56" t="n">
        <f aca="false">AF44/D103</f>
        <v>1.15383553392846</v>
      </c>
      <c r="AG45" s="4"/>
      <c r="AH45" s="4"/>
      <c r="AI45" s="4"/>
      <c r="AJ45" s="4"/>
      <c r="AK45" s="5"/>
      <c r="AL45" s="5"/>
      <c r="AM45" s="5"/>
      <c r="AN45" s="5"/>
      <c r="AO45" s="5"/>
      <c r="AP45" s="4"/>
      <c r="AQ45" s="4"/>
      <c r="AR45" s="5"/>
      <c r="AS45" s="5"/>
      <c r="AT45" s="5"/>
      <c r="AU45" s="132" t="s">
        <v>180</v>
      </c>
      <c r="AV45" s="133" t="n">
        <v>202</v>
      </c>
      <c r="AW45" s="134" t="n">
        <v>0.19</v>
      </c>
      <c r="AX45" s="134" t="n">
        <v>-1.333</v>
      </c>
    </row>
    <row r="46" customFormat="false" ht="12.75" hidden="false" customHeight="false" outlineLevel="0" collapsed="false">
      <c r="A46" s="143" t="n">
        <v>3</v>
      </c>
      <c r="B46" s="143"/>
      <c r="C46" s="91" t="s">
        <v>181</v>
      </c>
      <c r="D46" s="92"/>
      <c r="E46" s="140" t="n">
        <f aca="false">M41/D20</f>
        <v>0.59256</v>
      </c>
      <c r="F46" s="1" t="s">
        <v>141</v>
      </c>
      <c r="I46" s="1" t="s">
        <v>181</v>
      </c>
      <c r="J46" s="94" t="s">
        <v>169</v>
      </c>
      <c r="K46" s="30" t="n">
        <v>0.7</v>
      </c>
      <c r="L46" s="31" t="n">
        <v>0.6</v>
      </c>
      <c r="M46" s="32" t="n">
        <v>0.3</v>
      </c>
      <c r="N46" s="65"/>
      <c r="O46" s="120" t="s">
        <v>182</v>
      </c>
      <c r="P46" s="121"/>
      <c r="Q46" s="144" t="n">
        <v>0.2</v>
      </c>
      <c r="V46" s="142"/>
      <c r="W46" s="141"/>
      <c r="X46" s="141"/>
      <c r="AB46" s="1"/>
      <c r="AC46" s="1"/>
      <c r="AD46" s="1"/>
      <c r="AE46" s="28" t="s">
        <v>183</v>
      </c>
      <c r="AF46" s="29" t="n">
        <f aca="false">VLOOKUP($AC$34,$AN$65:$AP$70,1+MATCH($D$25,$AO$64:$AP$64))</f>
        <v>2.9</v>
      </c>
      <c r="AG46" s="4"/>
      <c r="AH46" s="124" t="s">
        <v>184</v>
      </c>
      <c r="AI46" s="124"/>
      <c r="AJ46" s="124"/>
      <c r="AK46" s="124"/>
      <c r="AL46" s="4"/>
      <c r="AM46" s="5"/>
      <c r="AN46" s="5"/>
      <c r="AO46" s="5"/>
      <c r="AP46" s="4"/>
      <c r="AQ46" s="6"/>
      <c r="AR46" s="5"/>
      <c r="AS46" s="5"/>
      <c r="AT46" s="5"/>
      <c r="AU46" s="132" t="s">
        <v>185</v>
      </c>
      <c r="AV46" s="133" t="n">
        <v>174</v>
      </c>
      <c r="AW46" s="134" t="n">
        <v>0.19</v>
      </c>
      <c r="AX46" s="134" t="n">
        <v>-1.333</v>
      </c>
    </row>
    <row r="47" customFormat="false" ht="12.75" hidden="false" customHeight="false" outlineLevel="0" collapsed="false">
      <c r="A47" s="127"/>
      <c r="B47" s="128"/>
      <c r="J47" s="94" t="s">
        <v>173</v>
      </c>
      <c r="K47" s="30" t="n">
        <v>0.6</v>
      </c>
      <c r="L47" s="31" t="n">
        <v>0.45</v>
      </c>
      <c r="M47" s="32" t="n">
        <v>0.3</v>
      </c>
      <c r="O47" s="120" t="s">
        <v>186</v>
      </c>
      <c r="P47" s="121"/>
      <c r="Q47" s="24" t="n">
        <v>0.35</v>
      </c>
      <c r="V47" s="142"/>
      <c r="W47" s="142"/>
      <c r="X47" s="141"/>
      <c r="Y47" s="141"/>
      <c r="AB47" s="1"/>
      <c r="AC47" s="1"/>
      <c r="AD47" s="1"/>
      <c r="AE47" s="28" t="s">
        <v>187</v>
      </c>
      <c r="AF47" s="56" t="n">
        <f aca="false">(AF45-AF45^AF46)/(1-AF45^AF46)</f>
        <v>0.700894640840337</v>
      </c>
      <c r="AG47" s="4"/>
      <c r="AH47" s="28"/>
      <c r="AI47" s="29" t="s">
        <v>20</v>
      </c>
      <c r="AJ47" s="29" t="s">
        <v>162</v>
      </c>
      <c r="AK47" s="29" t="s">
        <v>163</v>
      </c>
      <c r="AL47" s="126" t="s">
        <v>188</v>
      </c>
      <c r="AM47" s="126" t="s">
        <v>189</v>
      </c>
      <c r="AN47" s="5"/>
      <c r="AO47" s="5"/>
      <c r="AP47" s="5"/>
      <c r="AQ47" s="6"/>
      <c r="AR47" s="5"/>
      <c r="AS47" s="5"/>
      <c r="AT47" s="5"/>
      <c r="AU47" s="132" t="s">
        <v>190</v>
      </c>
      <c r="AV47" s="133" t="n">
        <v>160</v>
      </c>
      <c r="AW47" s="134" t="n">
        <v>0.19</v>
      </c>
      <c r="AX47" s="134" t="n">
        <v>-1.333</v>
      </c>
    </row>
    <row r="48" customFormat="false" ht="13.5" hidden="false" customHeight="true" outlineLevel="0" collapsed="false">
      <c r="A48" s="127"/>
      <c r="B48" s="128"/>
      <c r="C48" s="87"/>
      <c r="D48" s="87"/>
      <c r="E48" s="87"/>
      <c r="O48" s="120" t="s">
        <v>191</v>
      </c>
      <c r="P48" s="121"/>
      <c r="Q48" s="24" t="n">
        <v>0.55</v>
      </c>
      <c r="V48" s="142"/>
      <c r="W48" s="141"/>
      <c r="X48" s="141"/>
      <c r="Y48" s="141"/>
      <c r="AB48" s="4"/>
      <c r="AC48" s="4"/>
      <c r="AD48" s="4"/>
      <c r="AE48" s="28" t="s">
        <v>192</v>
      </c>
      <c r="AF48" s="29" t="n">
        <f aca="false">LOOKUP($AC$34,$AH$74:$AH$79,$AI$74:$AI$79)</f>
        <v>2470</v>
      </c>
      <c r="AG48" s="4"/>
      <c r="AH48" s="29" t="s">
        <v>43</v>
      </c>
      <c r="AI48" s="125" t="n">
        <v>0.5</v>
      </c>
      <c r="AJ48" s="29"/>
      <c r="AK48" s="125" t="n">
        <v>0.13</v>
      </c>
      <c r="AL48" s="125" t="n">
        <v>0.8</v>
      </c>
      <c r="AM48" s="125" t="n">
        <v>7.8</v>
      </c>
      <c r="AN48" s="5"/>
      <c r="AO48" s="5"/>
      <c r="AP48" s="5"/>
      <c r="AQ48" s="6"/>
      <c r="AR48" s="5"/>
      <c r="AS48" s="5"/>
      <c r="AT48" s="5"/>
      <c r="AU48" s="132"/>
      <c r="AV48" s="133"/>
    </row>
    <row r="49" customFormat="false" ht="12.75" hidden="false" customHeight="false" outlineLevel="0" collapsed="false">
      <c r="A49" s="127"/>
      <c r="B49" s="41" t="s">
        <v>193</v>
      </c>
      <c r="D49" s="87"/>
      <c r="E49" s="87"/>
      <c r="O49" s="145" t="s">
        <v>194</v>
      </c>
      <c r="V49" s="142"/>
      <c r="W49" s="141"/>
      <c r="X49" s="141"/>
      <c r="Y49" s="141"/>
      <c r="Z49" s="1"/>
      <c r="AD49" s="4"/>
      <c r="AE49" s="28" t="s">
        <v>195</v>
      </c>
      <c r="AF49" s="29" t="n">
        <f aca="false">LOOKUP($AC$34,$AH$74:$AH$79,$AJ$74:$AJ$79)</f>
        <v>130</v>
      </c>
      <c r="AG49" s="4"/>
      <c r="AH49" s="126" t="s">
        <v>156</v>
      </c>
      <c r="AI49" s="125" t="n">
        <v>0.47</v>
      </c>
      <c r="AJ49" s="125"/>
      <c r="AK49" s="125" t="n">
        <v>0.19</v>
      </c>
      <c r="AL49" s="125" t="n">
        <v>1</v>
      </c>
      <c r="AM49" s="125" t="n">
        <v>6.8</v>
      </c>
      <c r="AN49" s="5"/>
      <c r="AO49" s="5"/>
      <c r="AP49" s="5"/>
      <c r="AQ49" s="6"/>
      <c r="AR49" s="5"/>
      <c r="AS49" s="5"/>
      <c r="AT49" s="5"/>
      <c r="AU49" s="146" t="s">
        <v>196</v>
      </c>
      <c r="AV49" s="147" t="n">
        <v>1.6</v>
      </c>
      <c r="AW49" s="148" t="s">
        <v>197</v>
      </c>
    </row>
    <row r="50" customFormat="false" ht="12.75" hidden="false" customHeight="false" outlineLevel="0" collapsed="false">
      <c r="A50" s="106"/>
      <c r="B50" s="107"/>
      <c r="C50" s="87"/>
      <c r="D50" s="87"/>
      <c r="E50" s="87" t="s">
        <v>198</v>
      </c>
      <c r="P50" s="108" t="s">
        <v>32</v>
      </c>
      <c r="Q50" s="108" t="s">
        <v>199</v>
      </c>
      <c r="V50" s="142"/>
      <c r="W50" s="141"/>
      <c r="X50" s="142"/>
      <c r="Y50" s="141"/>
      <c r="AD50" s="4"/>
      <c r="AE50" s="28" t="s">
        <v>200</v>
      </c>
      <c r="AF50" s="29" t="n">
        <f aca="false">LOOKUP($AC$34,$AH$74:$AH$79,$AK$74:$AK$79)</f>
        <v>0.53</v>
      </c>
      <c r="AG50" s="4"/>
      <c r="AH50" s="29" t="s">
        <v>201</v>
      </c>
      <c r="AI50" s="125" t="n">
        <v>0.5</v>
      </c>
      <c r="AJ50" s="125" t="n">
        <v>0.3</v>
      </c>
      <c r="AK50" s="125" t="n">
        <v>0.13</v>
      </c>
      <c r="AL50" s="125" t="n">
        <v>1</v>
      </c>
      <c r="AM50" s="125" t="n">
        <v>5.28</v>
      </c>
      <c r="AN50" s="5"/>
      <c r="AO50" s="5"/>
      <c r="AP50" s="5"/>
      <c r="AQ50" s="6"/>
      <c r="AR50" s="5"/>
      <c r="AS50" s="5"/>
      <c r="AT50" s="5"/>
      <c r="AU50" s="146" t="s">
        <v>202</v>
      </c>
      <c r="AV50" s="147" t="n">
        <v>7.2</v>
      </c>
    </row>
    <row r="51" customFormat="false" ht="12.75" hidden="false" customHeight="false" outlineLevel="0" collapsed="false">
      <c r="A51" s="106"/>
      <c r="B51" s="107"/>
      <c r="E51" s="87" t="s">
        <v>203</v>
      </c>
      <c r="M51" s="1"/>
      <c r="O51" s="111" t="s">
        <v>204</v>
      </c>
      <c r="P51" s="42" t="n">
        <v>0.7</v>
      </c>
      <c r="Q51" s="42" t="n">
        <v>0.8</v>
      </c>
      <c r="V51" s="142"/>
      <c r="X51" s="141"/>
      <c r="Y51" s="142"/>
      <c r="AD51" s="4"/>
      <c r="AE51" s="28" t="s">
        <v>205</v>
      </c>
      <c r="AF51" s="29" t="n">
        <f aca="false">LOOKUP($AC$34,$AH$74:$AH$79,$AL$74:$AL$79)</f>
        <v>6</v>
      </c>
      <c r="AG51" s="4"/>
      <c r="AH51" s="126" t="s">
        <v>97</v>
      </c>
      <c r="AI51" s="125" t="n">
        <v>0.3</v>
      </c>
      <c r="AJ51" s="29"/>
      <c r="AK51" s="125" t="n">
        <v>0.08</v>
      </c>
      <c r="AL51" s="125" t="n">
        <v>0.8</v>
      </c>
      <c r="AM51" s="125" t="n">
        <v>4.8</v>
      </c>
      <c r="AN51" s="5"/>
      <c r="AO51" s="5"/>
      <c r="AP51" s="5"/>
      <c r="AQ51" s="6"/>
      <c r="AR51" s="5"/>
      <c r="AS51" s="5"/>
      <c r="AT51" s="5"/>
      <c r="AU51" s="146" t="s">
        <v>206</v>
      </c>
      <c r="AV51" s="147" t="n">
        <v>6.5</v>
      </c>
    </row>
    <row r="52" customFormat="false" ht="15" hidden="false" customHeight="false" outlineLevel="0" collapsed="false">
      <c r="A52" s="106"/>
      <c r="B52" s="107"/>
      <c r="C52" s="2" t="s">
        <v>207</v>
      </c>
      <c r="E52" s="71" t="s">
        <v>20</v>
      </c>
      <c r="F52" s="71" t="s">
        <v>19</v>
      </c>
      <c r="G52" s="71" t="s">
        <v>6</v>
      </c>
      <c r="H52" s="71" t="s">
        <v>15</v>
      </c>
      <c r="I52" s="71"/>
      <c r="J52" s="71"/>
      <c r="K52" s="71"/>
      <c r="L52" s="71"/>
      <c r="M52" s="149"/>
      <c r="X52" s="141"/>
      <c r="Y52" s="141"/>
      <c r="AB52" s="4"/>
      <c r="AC52" s="4"/>
      <c r="AD52" s="4"/>
      <c r="AE52" s="28" t="s">
        <v>208</v>
      </c>
      <c r="AF52" s="29" t="n">
        <f aca="false">LOOKUP($AC$34,$AH$74:$AH$79,$AM$74:$AM$79)</f>
        <v>0</v>
      </c>
      <c r="AG52" s="4"/>
      <c r="AH52" s="126" t="s">
        <v>176</v>
      </c>
      <c r="AI52" s="125" t="n">
        <v>0.5</v>
      </c>
      <c r="AJ52" s="125" t="n">
        <v>0.3</v>
      </c>
      <c r="AK52" s="125" t="n">
        <v>0.13</v>
      </c>
      <c r="AL52" s="125" t="n">
        <v>1.2</v>
      </c>
      <c r="AM52" s="125" t="n">
        <v>7.5</v>
      </c>
      <c r="AN52" s="5"/>
      <c r="AO52" s="5"/>
      <c r="AP52" s="5"/>
      <c r="AQ52" s="6"/>
      <c r="AR52" s="150"/>
      <c r="AS52" s="5"/>
      <c r="AT52" s="5"/>
      <c r="AU52" s="132"/>
      <c r="AV52" s="133"/>
    </row>
    <row r="53" customFormat="false" ht="15" hidden="false" customHeight="false" outlineLevel="0" collapsed="false">
      <c r="A53" s="106"/>
      <c r="B53" s="107"/>
      <c r="C53" s="2" t="s">
        <v>209</v>
      </c>
      <c r="E53" s="151" t="n">
        <v>0.5</v>
      </c>
      <c r="F53" s="151" t="n">
        <v>0.05</v>
      </c>
      <c r="G53" s="151" t="n">
        <v>0.4</v>
      </c>
      <c r="H53" s="151" t="n">
        <v>0.05</v>
      </c>
      <c r="I53" s="151"/>
      <c r="J53" s="151"/>
      <c r="K53" s="151"/>
      <c r="L53" s="151"/>
      <c r="M53" s="152" t="n">
        <f aca="false">SUM(E53:L53)</f>
        <v>1</v>
      </c>
      <c r="P53" s="108" t="s">
        <v>13</v>
      </c>
      <c r="Q53" s="108" t="s">
        <v>210</v>
      </c>
      <c r="X53" s="141"/>
      <c r="Y53" s="141"/>
      <c r="AB53" s="4"/>
      <c r="AC53" s="4"/>
      <c r="AD53" s="4"/>
      <c r="AE53" s="28" t="s">
        <v>211</v>
      </c>
      <c r="AF53" s="153" t="n">
        <f aca="false">AM23/D20*D22</f>
        <v>0.8272</v>
      </c>
      <c r="AG53" s="4"/>
      <c r="AH53" s="29" t="s">
        <v>20</v>
      </c>
      <c r="AI53" s="125" t="n">
        <v>0.46</v>
      </c>
      <c r="AJ53" s="29"/>
      <c r="AK53" s="125" t="n">
        <v>0.19</v>
      </c>
      <c r="AL53" s="125" t="n">
        <v>0.7</v>
      </c>
      <c r="AM53" s="125" t="n">
        <v>9.4</v>
      </c>
      <c r="AN53" s="5"/>
      <c r="AO53" s="5"/>
      <c r="AP53" s="5"/>
      <c r="AQ53" s="6"/>
      <c r="AR53" s="154"/>
      <c r="AS53" s="5"/>
      <c r="AT53" s="5"/>
      <c r="AU53" s="132" t="s">
        <v>212</v>
      </c>
      <c r="AV53" s="133" t="n">
        <v>321</v>
      </c>
      <c r="AW53" s="134" t="n">
        <v>0.145</v>
      </c>
      <c r="AX53" s="134" t="n">
        <v>-1.092</v>
      </c>
      <c r="AY53" s="135" t="s">
        <v>213</v>
      </c>
    </row>
    <row r="54" customFormat="false" ht="15" hidden="false" customHeight="false" outlineLevel="0" collapsed="false">
      <c r="A54" s="106"/>
      <c r="B54" s="107"/>
      <c r="C54" s="2" t="s">
        <v>214</v>
      </c>
      <c r="E54" s="71" t="n">
        <v>1</v>
      </c>
      <c r="F54" s="71" t="n">
        <v>1</v>
      </c>
      <c r="G54" s="71" t="n">
        <v>1</v>
      </c>
      <c r="H54" s="71" t="n">
        <v>1</v>
      </c>
      <c r="I54" s="71"/>
      <c r="J54" s="71"/>
      <c r="K54" s="71"/>
      <c r="L54" s="71"/>
      <c r="M54" s="149" t="n">
        <f aca="false">SUMPRODUCT(E53:L53,E54:L54)</f>
        <v>1</v>
      </c>
      <c r="O54" s="111" t="s">
        <v>215</v>
      </c>
      <c r="P54" s="42" t="n">
        <v>0.6</v>
      </c>
      <c r="Q54" s="42" t="n">
        <v>0.5</v>
      </c>
      <c r="Y54" s="141"/>
      <c r="AC54" s="4"/>
      <c r="AD54" s="4"/>
      <c r="AE54" s="28" t="s">
        <v>216</v>
      </c>
      <c r="AF54" s="153" t="n">
        <f aca="false">1-AF53</f>
        <v>0.1728</v>
      </c>
      <c r="AG54" s="4"/>
      <c r="AH54" s="5"/>
      <c r="AI54" s="5"/>
      <c r="AJ54" s="5"/>
      <c r="AK54" s="4"/>
      <c r="AL54" s="5"/>
      <c r="AM54" s="5"/>
      <c r="AN54" s="5"/>
      <c r="AO54" s="150"/>
      <c r="AP54" s="150"/>
      <c r="AQ54" s="150"/>
      <c r="AR54" s="5"/>
      <c r="AS54" s="5"/>
      <c r="AT54" s="5"/>
      <c r="AU54" s="132" t="s">
        <v>217</v>
      </c>
      <c r="AV54" s="133" t="n">
        <v>155</v>
      </c>
      <c r="AW54" s="134" t="n">
        <v>0.145</v>
      </c>
      <c r="AX54" s="134" t="n">
        <v>-1.092</v>
      </c>
      <c r="AY54" s="137" t="n">
        <f aca="false">IF($C136="",0,LOOKUP($C136,$AU$53:$AU$59,AV$53:AV$59))</f>
        <v>488</v>
      </c>
      <c r="AZ54" s="138" t="n">
        <f aca="false">IF($C138="",0,LOOKUP($C138,$AU$60:$AU$63,$AV$60:$AV$63))</f>
        <v>12</v>
      </c>
      <c r="BA54" s="138" t="n">
        <f aca="false">IF($C136="",0,LOOKUP($C136,$AU$53:$AU$59,AW$53:AW$59))</f>
        <v>0.145</v>
      </c>
      <c r="BB54" s="138" t="n">
        <f aca="false">IF($C136="",0,LOOKUP($C136,$AU$53:$AU$59,AX$53:AX$59))</f>
        <v>-1.092</v>
      </c>
    </row>
    <row r="55" customFormat="false" ht="15" hidden="false" customHeight="false" outlineLevel="0" collapsed="false">
      <c r="A55" s="106"/>
      <c r="B55" s="107"/>
      <c r="C55" s="2" t="s">
        <v>218</v>
      </c>
      <c r="E55" s="71" t="n">
        <v>1</v>
      </c>
      <c r="F55" s="71" t="n">
        <v>1</v>
      </c>
      <c r="G55" s="71" t="n">
        <v>1</v>
      </c>
      <c r="H55" s="71" t="n">
        <v>1</v>
      </c>
      <c r="I55" s="71"/>
      <c r="J55" s="71"/>
      <c r="K55" s="71"/>
      <c r="L55" s="71"/>
      <c r="M55" s="149" t="n">
        <f aca="false">SUMPRODUCT(E53:L53,E55:L55)</f>
        <v>1</v>
      </c>
      <c r="O55" s="111" t="s">
        <v>219</v>
      </c>
      <c r="P55" s="42" t="n">
        <v>0.7</v>
      </c>
      <c r="Q55" s="42" t="n">
        <v>0.6</v>
      </c>
      <c r="AC55" s="4"/>
      <c r="AD55" s="4"/>
      <c r="AE55" s="28" t="s">
        <v>220</v>
      </c>
      <c r="AF55" s="153" t="n">
        <f aca="false">AF51*AF48/1000*AF50*(0.6+0.4*(40-AM31)/20)+AF51*AF49/1000*AF50</f>
        <v>6.62213556104527</v>
      </c>
      <c r="AG55" s="4"/>
      <c r="AH55" s="124" t="s">
        <v>221</v>
      </c>
      <c r="AI55" s="124"/>
      <c r="AJ55" s="124"/>
      <c r="AK55" s="124"/>
      <c r="AL55" s="124"/>
      <c r="AM55" s="5"/>
      <c r="AN55" s="5"/>
      <c r="AO55" s="154"/>
      <c r="AP55" s="154"/>
      <c r="AQ55" s="154"/>
      <c r="AR55" s="5"/>
      <c r="AS55" s="5"/>
      <c r="AT55" s="5"/>
      <c r="AU55" s="132" t="s">
        <v>222</v>
      </c>
      <c r="AV55" s="133" t="n">
        <v>294</v>
      </c>
      <c r="AW55" s="134" t="n">
        <v>0</v>
      </c>
      <c r="AX55" s="134" t="n">
        <v>1</v>
      </c>
      <c r="AY55" s="137" t="n">
        <f aca="false">IF($C137="",0,LOOKUP($C137,$AU$53:$AU$59,AV$53:AV$59))</f>
        <v>155</v>
      </c>
      <c r="AZ55" s="138" t="n">
        <f aca="false">IF($C139="",0,LOOKUP($C139,$AU$60:$AU$63,$AV$60:$AV$63))</f>
        <v>2.7</v>
      </c>
      <c r="BA55" s="138" t="n">
        <f aca="false">IF($C137="",0,LOOKUP($C137,$AU$53:$AU$59,AW$53:AW$59))</f>
        <v>0.145</v>
      </c>
      <c r="BB55" s="138" t="n">
        <f aca="false">IF($C137="",0,LOOKUP($C137,$AU$53:$AU$58,AX$53:AX$58))</f>
        <v>-1.092</v>
      </c>
    </row>
    <row r="56" customFormat="false" ht="12.75" hidden="false" customHeight="false" outlineLevel="0" collapsed="false">
      <c r="A56" s="106"/>
      <c r="B56" s="107"/>
      <c r="C56" s="50" t="s">
        <v>223</v>
      </c>
      <c r="D56" s="87"/>
      <c r="E56" s="155" t="n">
        <v>0.2</v>
      </c>
      <c r="F56" s="155" t="n">
        <v>0.2</v>
      </c>
      <c r="G56" s="155" t="n">
        <v>0.55</v>
      </c>
      <c r="H56" s="155" t="n">
        <v>0.2</v>
      </c>
      <c r="I56" s="155"/>
      <c r="J56" s="155"/>
      <c r="K56" s="155"/>
      <c r="L56" s="155"/>
      <c r="AC56" s="4"/>
      <c r="AD56" s="4"/>
      <c r="AE56" s="28" t="s">
        <v>224</v>
      </c>
      <c r="AF56" s="153" t="n">
        <f aca="false">AF51*AF50*(AF48+AF49)/1000</f>
        <v>8.268</v>
      </c>
      <c r="AG56" s="4"/>
      <c r="AH56" s="29"/>
      <c r="AI56" s="29" t="s">
        <v>225</v>
      </c>
      <c r="AJ56" s="29" t="s">
        <v>226</v>
      </c>
      <c r="AK56" s="29" t="s">
        <v>227</v>
      </c>
      <c r="AL56" s="156" t="s">
        <v>228</v>
      </c>
      <c r="AM56" s="5"/>
      <c r="AN56" s="5"/>
      <c r="AO56" s="5"/>
      <c r="AP56" s="5"/>
      <c r="AQ56" s="6"/>
      <c r="AR56" s="5"/>
      <c r="AS56" s="5"/>
      <c r="AT56" s="5"/>
      <c r="AU56" s="132" t="s">
        <v>229</v>
      </c>
      <c r="AV56" s="133" t="n">
        <v>127</v>
      </c>
      <c r="AW56" s="134" t="n">
        <v>0</v>
      </c>
      <c r="AX56" s="134" t="n">
        <v>1</v>
      </c>
    </row>
    <row r="57" customFormat="false" ht="12.75" hidden="false" customHeight="false" outlineLevel="0" collapsed="false">
      <c r="A57" s="106"/>
      <c r="B57" s="107"/>
      <c r="C57" s="2" t="s">
        <v>230</v>
      </c>
      <c r="D57" s="68" t="n">
        <v>0.7</v>
      </c>
      <c r="E57" s="87"/>
      <c r="AC57" s="4"/>
      <c r="AD57" s="4"/>
      <c r="AE57" s="28" t="s">
        <v>231</v>
      </c>
      <c r="AF57" s="153" t="n">
        <f aca="false">AF55*AF53+AF56*AF54</f>
        <v>6.90654093609664</v>
      </c>
      <c r="AG57" s="4"/>
      <c r="AH57" s="29" t="s">
        <v>43</v>
      </c>
      <c r="AI57" s="125" t="n">
        <v>0.7</v>
      </c>
      <c r="AJ57" s="125" t="n">
        <v>0.65</v>
      </c>
      <c r="AK57" s="125" t="n">
        <v>0.6</v>
      </c>
      <c r="AL57" s="157" t="n">
        <v>0.2</v>
      </c>
      <c r="AM57" s="5"/>
      <c r="AN57" s="5"/>
      <c r="AO57" s="5"/>
      <c r="AP57" s="5"/>
      <c r="AQ57" s="6"/>
      <c r="AR57" s="5"/>
      <c r="AS57" s="5"/>
      <c r="AT57" s="5"/>
      <c r="AU57" s="132" t="s">
        <v>232</v>
      </c>
      <c r="AV57" s="133" t="n">
        <v>488</v>
      </c>
      <c r="AW57" s="134" t="n">
        <v>0.145</v>
      </c>
      <c r="AX57" s="134" t="n">
        <v>-1.092</v>
      </c>
    </row>
    <row r="58" customFormat="false" ht="12.75" hidden="false" customHeight="false" outlineLevel="0" collapsed="false">
      <c r="A58" s="106"/>
      <c r="B58" s="107"/>
      <c r="C58" s="2" t="s">
        <v>233</v>
      </c>
      <c r="D58" s="68" t="n">
        <v>0.6</v>
      </c>
      <c r="E58" s="87"/>
      <c r="Y58" s="15"/>
      <c r="AC58" s="4"/>
      <c r="AD58" s="5"/>
      <c r="AE58" s="28" t="s">
        <v>234</v>
      </c>
      <c r="AF58" s="153" t="n">
        <f aca="false">IF(AC34="L",AF50*AF52*(AF48+AF49)/1000,AF57)</f>
        <v>6.90654093609664</v>
      </c>
      <c r="AG58" s="4"/>
      <c r="AH58" s="29" t="s">
        <v>156</v>
      </c>
      <c r="AI58" s="125" t="n">
        <v>0.8</v>
      </c>
      <c r="AJ58" s="125" t="n">
        <v>0.75</v>
      </c>
      <c r="AK58" s="125" t="n">
        <v>1</v>
      </c>
      <c r="AL58" s="157" t="n">
        <v>1.1</v>
      </c>
      <c r="AM58" s="5"/>
      <c r="AN58" s="5"/>
      <c r="AO58" s="5"/>
      <c r="AP58" s="5"/>
      <c r="AQ58" s="6"/>
      <c r="AR58" s="5"/>
      <c r="AS58" s="5"/>
      <c r="AT58" s="5"/>
      <c r="AU58" s="132" t="s">
        <v>235</v>
      </c>
      <c r="AV58" s="133" t="n">
        <v>294</v>
      </c>
      <c r="AW58" s="134" t="n">
        <v>0.145</v>
      </c>
      <c r="AX58" s="134" t="n">
        <v>-1.092</v>
      </c>
    </row>
    <row r="59" customFormat="false" ht="12.75" hidden="false" customHeight="false" outlineLevel="0" collapsed="false">
      <c r="A59" s="106"/>
      <c r="B59" s="107"/>
      <c r="C59" s="87"/>
      <c r="D59" s="87"/>
      <c r="E59" s="87"/>
      <c r="AC59" s="4"/>
      <c r="AD59" s="4"/>
      <c r="AE59" s="4"/>
      <c r="AF59" s="5"/>
      <c r="AG59" s="4"/>
      <c r="AH59" s="29" t="s">
        <v>15</v>
      </c>
      <c r="AI59" s="125" t="n">
        <v>1</v>
      </c>
      <c r="AJ59" s="125" t="n">
        <v>0.85</v>
      </c>
      <c r="AK59" s="125" t="n">
        <v>2.58</v>
      </c>
      <c r="AL59" s="157" t="n">
        <v>3.25</v>
      </c>
      <c r="AM59" s="4"/>
      <c r="AN59" s="5"/>
      <c r="AO59" s="5"/>
      <c r="AP59" s="5"/>
      <c r="AQ59" s="6"/>
      <c r="AR59" s="5"/>
      <c r="AS59" s="5"/>
      <c r="AT59" s="5"/>
      <c r="AU59" s="132"/>
      <c r="AV59" s="158"/>
    </row>
    <row r="60" customFormat="false" ht="12.75" hidden="false" customHeight="false" outlineLevel="0" collapsed="false">
      <c r="A60" s="143" t="n">
        <v>4</v>
      </c>
      <c r="B60" s="143"/>
      <c r="C60" s="91" t="s">
        <v>236</v>
      </c>
      <c r="D60" s="92"/>
      <c r="E60" s="140" t="n">
        <f aca="false">AM21</f>
        <v>0.064008</v>
      </c>
      <c r="I60" s="1" t="s">
        <v>236</v>
      </c>
      <c r="J60" s="94" t="s">
        <v>169</v>
      </c>
      <c r="K60" s="30" t="n">
        <f aca="false">LOOKUP($AC$34,$AH$103:$AH$108,$AK$103:$AK$108)</f>
        <v>0.07</v>
      </c>
      <c r="L60" s="159" t="n">
        <f aca="false">(K60+M60)/2</f>
        <v>0.055</v>
      </c>
      <c r="M60" s="32" t="n">
        <f aca="false">LOOKUP($AC$34,$AH$103:$AH$108,$AL$103:$AL$108)</f>
        <v>0.04</v>
      </c>
      <c r="AB60" s="4"/>
      <c r="AC60" s="5"/>
      <c r="AD60" s="4"/>
      <c r="AE60" s="28" t="s">
        <v>237</v>
      </c>
      <c r="AF60" s="160" t="n">
        <v>50</v>
      </c>
      <c r="AG60" s="4"/>
      <c r="AH60" s="29" t="s">
        <v>171</v>
      </c>
      <c r="AI60" s="125" t="n">
        <v>2.5</v>
      </c>
      <c r="AJ60" s="125" t="n">
        <v>2</v>
      </c>
      <c r="AK60" s="125" t="n">
        <v>2.58</v>
      </c>
      <c r="AL60" s="157" t="n">
        <v>3.25</v>
      </c>
      <c r="AM60" s="4"/>
      <c r="AN60" s="5"/>
      <c r="AO60" s="5"/>
      <c r="AP60" s="5"/>
      <c r="AQ60" s="6"/>
      <c r="AR60" s="5"/>
      <c r="AS60" s="5"/>
      <c r="AT60" s="5"/>
      <c r="AU60" s="146" t="s">
        <v>196</v>
      </c>
      <c r="AV60" s="147" t="n">
        <v>2.7</v>
      </c>
      <c r="AW60" s="148" t="s">
        <v>238</v>
      </c>
    </row>
    <row r="61" customFormat="false" ht="12.75" hidden="false" customHeight="false" outlineLevel="0" collapsed="false">
      <c r="A61" s="161"/>
      <c r="B61" s="162"/>
      <c r="J61" s="163" t="s">
        <v>173</v>
      </c>
      <c r="K61" s="30" t="n">
        <f aca="false">K60+0.01</f>
        <v>0.08</v>
      </c>
      <c r="L61" s="159" t="n">
        <f aca="false">L60+0.01</f>
        <v>0.065</v>
      </c>
      <c r="M61" s="32" t="n">
        <f aca="false">M60+0.01</f>
        <v>0.05</v>
      </c>
      <c r="AB61" s="4"/>
      <c r="AC61" s="4"/>
      <c r="AD61" s="4"/>
      <c r="AE61" s="28" t="s">
        <v>239</v>
      </c>
      <c r="AF61" s="153" t="n">
        <f aca="false">LOOKUP($AC$34,$AH$93:$AH$98,$AI$93:$AI$98)</f>
        <v>1.4</v>
      </c>
      <c r="AG61" s="4"/>
      <c r="AH61" s="126" t="s">
        <v>176</v>
      </c>
      <c r="AI61" s="164" t="n">
        <v>0.8</v>
      </c>
      <c r="AJ61" s="164" t="n">
        <v>0.75</v>
      </c>
      <c r="AK61" s="164" t="n">
        <v>1</v>
      </c>
      <c r="AL61" s="157" t="n">
        <v>0.86</v>
      </c>
      <c r="AM61" s="4"/>
      <c r="AN61" s="5"/>
      <c r="AO61" s="5"/>
      <c r="AP61" s="5"/>
      <c r="AQ61" s="6"/>
      <c r="AR61" s="5"/>
      <c r="AS61" s="5"/>
      <c r="AT61" s="5"/>
      <c r="AU61" s="146" t="s">
        <v>202</v>
      </c>
      <c r="AV61" s="147" t="n">
        <v>12</v>
      </c>
    </row>
    <row r="62" customFormat="false" ht="12.75" hidden="false" customHeight="false" outlineLevel="0" collapsed="false">
      <c r="A62" s="161"/>
      <c r="B62" s="162"/>
      <c r="C62" s="1"/>
      <c r="M62" s="1"/>
      <c r="AB62" s="4"/>
      <c r="AC62" s="4"/>
      <c r="AD62" s="4"/>
      <c r="AE62" s="28" t="s">
        <v>240</v>
      </c>
      <c r="AF62" s="153" t="n">
        <f aca="false">LOOKUP($AC$34,$AH$93:$AH$98,$AK$93:$AK$98)</f>
        <v>1.1</v>
      </c>
      <c r="AG62" s="4"/>
      <c r="AH62" s="5"/>
      <c r="AI62" s="5"/>
      <c r="AJ62" s="5"/>
      <c r="AK62" s="4"/>
      <c r="AL62" s="5"/>
      <c r="AM62" s="4"/>
      <c r="AN62" s="5"/>
      <c r="AO62" s="5"/>
      <c r="AP62" s="5"/>
      <c r="AQ62" s="6"/>
      <c r="AR62" s="5"/>
      <c r="AS62" s="5"/>
      <c r="AT62" s="5"/>
      <c r="AU62" s="146" t="s">
        <v>206</v>
      </c>
      <c r="AV62" s="147" t="n">
        <v>7.5</v>
      </c>
    </row>
    <row r="63" customFormat="false" ht="12.75" hidden="false" customHeight="false" outlineLevel="0" collapsed="false">
      <c r="A63" s="161"/>
      <c r="B63" s="41" t="s">
        <v>241</v>
      </c>
      <c r="C63" s="1"/>
      <c r="M63" s="1"/>
      <c r="AB63" s="4"/>
      <c r="AC63" s="4"/>
      <c r="AD63" s="4"/>
      <c r="AE63" s="28" t="s">
        <v>242</v>
      </c>
      <c r="AF63" s="165" t="n">
        <v>0</v>
      </c>
      <c r="AG63" s="4"/>
      <c r="AH63" s="124" t="s">
        <v>243</v>
      </c>
      <c r="AI63" s="124"/>
      <c r="AJ63" s="124"/>
      <c r="AK63" s="124"/>
      <c r="AL63" s="117"/>
      <c r="AM63" s="4"/>
      <c r="AN63" s="124" t="s">
        <v>244</v>
      </c>
      <c r="AO63" s="4"/>
      <c r="AP63" s="4"/>
      <c r="AQ63" s="6"/>
      <c r="AR63" s="5"/>
      <c r="AS63" s="5"/>
      <c r="AT63" s="5"/>
      <c r="AU63" s="132"/>
      <c r="AV63" s="133"/>
    </row>
    <row r="64" customFormat="false" ht="12.75" hidden="false" customHeight="false" outlineLevel="0" collapsed="false">
      <c r="A64" s="161"/>
      <c r="B64" s="162"/>
      <c r="C64" s="1"/>
      <c r="M64" s="1"/>
      <c r="AE64" s="28" t="s">
        <v>245</v>
      </c>
      <c r="AF64" s="153" t="n">
        <f aca="false">IF(OR($AC$34="L",$AC$34="R"),(IF(D23=1,-0.401*LN(D125/D23)+1.9475,-0.418*LN(D125/D23)+1.8883))/AF61,0)</f>
        <v>0</v>
      </c>
      <c r="AH64" s="29"/>
      <c r="AI64" s="29" t="s">
        <v>20</v>
      </c>
      <c r="AJ64" s="29" t="s">
        <v>162</v>
      </c>
      <c r="AK64" s="29" t="s">
        <v>163</v>
      </c>
      <c r="AL64" s="29" t="s">
        <v>246</v>
      </c>
      <c r="AM64" s="126" t="s">
        <v>247</v>
      </c>
      <c r="AN64" s="28"/>
      <c r="AO64" s="126" t="s">
        <v>187</v>
      </c>
      <c r="AP64" s="126" t="s">
        <v>97</v>
      </c>
      <c r="AQ64" s="6"/>
      <c r="AR64" s="5"/>
      <c r="AS64" s="5"/>
      <c r="AT64" s="5"/>
      <c r="AU64" s="146" t="s">
        <v>248</v>
      </c>
      <c r="AV64" s="133" t="n">
        <v>2471</v>
      </c>
      <c r="AW64" s="137" t="n">
        <f aca="false">IF($C140="",0,LOOKUP($C140,$AU$64:$AU$69,AV$64:AV$69))</f>
        <v>1355</v>
      </c>
    </row>
    <row r="65" customFormat="false" ht="12.75" hidden="false" customHeight="false" outlineLevel="0" collapsed="false">
      <c r="A65" s="143" t="n">
        <v>5</v>
      </c>
      <c r="B65" s="143"/>
      <c r="C65" s="91" t="s">
        <v>249</v>
      </c>
      <c r="D65" s="92"/>
      <c r="E65" s="166" t="n">
        <f aca="false">AM22</f>
        <v>0.0256032</v>
      </c>
      <c r="I65" s="1" t="s">
        <v>249</v>
      </c>
      <c r="J65" s="94" t="s">
        <v>169</v>
      </c>
      <c r="K65" s="167" t="n">
        <f aca="false">LOOKUP($AC$34,$AH$103:$AH$108,$AM$103:$AM$108)</f>
        <v>0.03</v>
      </c>
      <c r="L65" s="168" t="n">
        <f aca="false">(K65+M65)/2</f>
        <v>0.02</v>
      </c>
      <c r="M65" s="169" t="n">
        <f aca="false">LOOKUP($AC$34,$AH$103:$AH$108,$AN$103:$AN$108)</f>
        <v>0.01</v>
      </c>
      <c r="AE65" s="28" t="s">
        <v>250</v>
      </c>
      <c r="AF65" s="165" t="n">
        <v>0.3</v>
      </c>
      <c r="AG65" s="1"/>
      <c r="AH65" s="29" t="s">
        <v>43</v>
      </c>
      <c r="AI65" s="125" t="n">
        <v>3.5</v>
      </c>
      <c r="AJ65" s="29"/>
      <c r="AK65" s="125" t="n">
        <v>7</v>
      </c>
      <c r="AL65" s="125" t="n">
        <v>30</v>
      </c>
      <c r="AM65" s="125" t="n">
        <v>2</v>
      </c>
      <c r="AN65" s="29" t="s">
        <v>43</v>
      </c>
      <c r="AO65" s="125" t="n">
        <v>1.25</v>
      </c>
      <c r="AP65" s="125" t="n">
        <v>2.9</v>
      </c>
      <c r="AQ65" s="6"/>
      <c r="AR65" s="5"/>
      <c r="AS65" s="5"/>
      <c r="AT65" s="5"/>
      <c r="AU65" s="146" t="s">
        <v>251</v>
      </c>
      <c r="AV65" s="133" t="n">
        <v>4937</v>
      </c>
      <c r="AW65" s="137" t="n">
        <f aca="false">IF($C141="",0,LOOKUP($C141,$AU$64:$AU$69,AV$64:AV$69))</f>
        <v>1238</v>
      </c>
    </row>
    <row r="66" customFormat="false" ht="12.75" hidden="false" customHeight="false" outlineLevel="0" collapsed="false">
      <c r="A66" s="161"/>
      <c r="B66" s="162"/>
      <c r="J66" s="170" t="s">
        <v>173</v>
      </c>
      <c r="K66" s="167" t="n">
        <f aca="false">K65-0.005</f>
        <v>0.025</v>
      </c>
      <c r="L66" s="168" t="n">
        <f aca="false">L65-0.005</f>
        <v>0.015</v>
      </c>
      <c r="M66" s="169" t="n">
        <f aca="false">M65-0.005</f>
        <v>0.005</v>
      </c>
      <c r="AE66" s="28" t="s">
        <v>252</v>
      </c>
      <c r="AF66" s="153" t="n">
        <f aca="false">AF60*AF61*(AF62+AF63+AF64+AF65)</f>
        <v>98</v>
      </c>
      <c r="AG66" s="1"/>
      <c r="AH66" s="126" t="s">
        <v>156</v>
      </c>
      <c r="AI66" s="125" t="n">
        <v>3.2</v>
      </c>
      <c r="AJ66" s="29"/>
      <c r="AK66" s="125" t="n">
        <v>6.5</v>
      </c>
      <c r="AL66" s="125" t="n">
        <v>8</v>
      </c>
      <c r="AM66" s="125" t="n">
        <v>0</v>
      </c>
      <c r="AN66" s="126" t="s">
        <v>156</v>
      </c>
      <c r="AO66" s="125" t="n">
        <v>1.25</v>
      </c>
      <c r="AP66" s="125" t="n">
        <v>2.9</v>
      </c>
      <c r="AQ66" s="6"/>
      <c r="AR66" s="5"/>
      <c r="AS66" s="5"/>
      <c r="AT66" s="5"/>
      <c r="AU66" s="146" t="s">
        <v>253</v>
      </c>
      <c r="AV66" s="133" t="n">
        <v>3704</v>
      </c>
    </row>
    <row r="67" customFormat="false" ht="12.75" hidden="false" customHeight="false" outlineLevel="0" collapsed="false">
      <c r="A67" s="127"/>
      <c r="B67" s="128"/>
      <c r="C67" s="1"/>
      <c r="AH67" s="29" t="s">
        <v>201</v>
      </c>
      <c r="AI67" s="125" t="n">
        <v>2</v>
      </c>
      <c r="AJ67" s="125" t="n">
        <v>1.5</v>
      </c>
      <c r="AK67" s="125" t="n">
        <v>4</v>
      </c>
      <c r="AL67" s="125" t="n">
        <v>20</v>
      </c>
      <c r="AM67" s="125" t="n">
        <v>0</v>
      </c>
      <c r="AN67" s="29" t="s">
        <v>201</v>
      </c>
      <c r="AO67" s="125" t="n">
        <v>2.1</v>
      </c>
      <c r="AP67" s="125" t="n">
        <v>2.9</v>
      </c>
      <c r="AQ67" s="6"/>
      <c r="AR67" s="5"/>
      <c r="AS67" s="5"/>
      <c r="AT67" s="5"/>
      <c r="AU67" s="146" t="s">
        <v>254</v>
      </c>
      <c r="AV67" s="133" t="n">
        <v>1238</v>
      </c>
    </row>
    <row r="68" customFormat="false" ht="12.75" hidden="false" customHeight="false" outlineLevel="0" collapsed="false">
      <c r="A68" s="127"/>
      <c r="B68" s="128"/>
      <c r="C68" s="2" t="s">
        <v>255</v>
      </c>
      <c r="D68" s="14" t="s">
        <v>256</v>
      </c>
      <c r="E68" s="41" t="s">
        <v>257</v>
      </c>
      <c r="AE68" s="123" t="s">
        <v>258</v>
      </c>
      <c r="AF68" s="1"/>
      <c r="AG68" s="1"/>
      <c r="AH68" s="126" t="s">
        <v>97</v>
      </c>
      <c r="AI68" s="125" t="n">
        <v>2.7</v>
      </c>
      <c r="AJ68" s="29"/>
      <c r="AK68" s="125" t="n">
        <v>5.4</v>
      </c>
      <c r="AL68" s="125" t="n">
        <v>10</v>
      </c>
      <c r="AM68" s="125" t="n">
        <v>2</v>
      </c>
      <c r="AN68" s="126" t="s">
        <v>97</v>
      </c>
      <c r="AO68" s="125" t="n">
        <v>1.25</v>
      </c>
      <c r="AP68" s="125" t="n">
        <v>2.9</v>
      </c>
      <c r="AQ68" s="6"/>
      <c r="AR68" s="5"/>
      <c r="AS68" s="5"/>
      <c r="AT68" s="5"/>
      <c r="AU68" s="146" t="s">
        <v>259</v>
      </c>
      <c r="AV68" s="133" t="n">
        <v>1355</v>
      </c>
    </row>
    <row r="69" customFormat="false" ht="12.75" hidden="false" customHeight="false" outlineLevel="0" collapsed="false">
      <c r="A69" s="127"/>
      <c r="B69" s="128"/>
      <c r="C69" s="50" t="s">
        <v>260</v>
      </c>
      <c r="D69" s="14" t="n">
        <v>0</v>
      </c>
      <c r="AB69" s="1"/>
      <c r="AE69" s="28" t="s">
        <v>261</v>
      </c>
      <c r="AF69" s="171" t="n">
        <f aca="false">IF($D$12="O",3,1)</f>
        <v>3</v>
      </c>
      <c r="AG69" s="1"/>
      <c r="AH69" s="126" t="s">
        <v>176</v>
      </c>
      <c r="AI69" s="125" t="n">
        <v>3.5</v>
      </c>
      <c r="AJ69" s="125" t="n">
        <v>1.5</v>
      </c>
      <c r="AK69" s="125" t="n">
        <v>4</v>
      </c>
      <c r="AL69" s="125" t="n">
        <v>20</v>
      </c>
      <c r="AM69" s="125" t="n">
        <v>2</v>
      </c>
      <c r="AN69" s="126" t="s">
        <v>176</v>
      </c>
      <c r="AO69" s="125" t="n">
        <v>1.25</v>
      </c>
      <c r="AP69" s="125" t="n">
        <v>2.9</v>
      </c>
      <c r="AQ69" s="6"/>
      <c r="AR69" s="5"/>
      <c r="AS69" s="5"/>
      <c r="AT69" s="5"/>
      <c r="AU69" s="132"/>
      <c r="AV69" s="133"/>
    </row>
    <row r="70" customFormat="false" ht="15" hidden="false" customHeight="false" outlineLevel="0" collapsed="false">
      <c r="A70" s="127"/>
      <c r="B70" s="128"/>
      <c r="C70" s="50" t="s">
        <v>262</v>
      </c>
      <c r="D70" s="14" t="s">
        <v>171</v>
      </c>
      <c r="E70" s="41" t="s">
        <v>263</v>
      </c>
      <c r="AB70" s="87"/>
      <c r="AC70" s="1"/>
      <c r="AD70" s="1"/>
      <c r="AE70" s="28" t="s">
        <v>264</v>
      </c>
      <c r="AF70" s="171" t="n">
        <f aca="false">AF69*0.5518*D22^(0.204)</f>
        <v>2.53007449247466</v>
      </c>
      <c r="AH70" s="29" t="s">
        <v>20</v>
      </c>
      <c r="AI70" s="125" t="n">
        <v>3.2</v>
      </c>
      <c r="AJ70" s="29"/>
      <c r="AK70" s="125" t="n">
        <v>6.5</v>
      </c>
      <c r="AL70" s="125" t="n">
        <v>4</v>
      </c>
      <c r="AM70" s="125" t="n">
        <v>0</v>
      </c>
      <c r="AN70" s="29" t="s">
        <v>20</v>
      </c>
      <c r="AO70" s="125" t="n">
        <v>1.25</v>
      </c>
      <c r="AP70" s="125" t="n">
        <v>2.9</v>
      </c>
      <c r="AQ70" s="6"/>
      <c r="AR70" s="5"/>
      <c r="AS70" s="5"/>
      <c r="AT70" s="5"/>
      <c r="AU70" s="146" t="s">
        <v>265</v>
      </c>
      <c r="AV70" s="133" t="n">
        <v>4900</v>
      </c>
      <c r="AW70" s="172" t="n">
        <v>288.5</v>
      </c>
      <c r="AX70" s="172" t="n">
        <v>322.5</v>
      </c>
      <c r="AY70" s="173" t="s">
        <v>266</v>
      </c>
    </row>
    <row r="71" customFormat="false" ht="15" hidden="false" customHeight="false" outlineLevel="0" collapsed="false">
      <c r="A71" s="127"/>
      <c r="B71" s="128"/>
      <c r="C71" s="50" t="s">
        <v>267</v>
      </c>
      <c r="D71" s="14" t="s">
        <v>19</v>
      </c>
      <c r="E71" s="41" t="s">
        <v>268</v>
      </c>
      <c r="AB71" s="1"/>
      <c r="AE71" s="28" t="s">
        <v>269</v>
      </c>
      <c r="AF71" s="171" t="n">
        <f aca="false">MIN(1,(0.725+0.35*COS(D69*PI()/90)))</f>
        <v>1</v>
      </c>
      <c r="AH71" s="4"/>
      <c r="AI71" s="4"/>
      <c r="AJ71" s="4"/>
      <c r="AK71" s="5"/>
      <c r="AL71" s="5"/>
      <c r="AM71" s="5"/>
      <c r="AN71" s="5"/>
      <c r="AO71" s="5"/>
      <c r="AP71" s="5"/>
      <c r="AQ71" s="6"/>
      <c r="AR71" s="5"/>
      <c r="AS71" s="5"/>
      <c r="AT71" s="5"/>
      <c r="AU71" s="146" t="s">
        <v>270</v>
      </c>
      <c r="AV71" s="133" t="n">
        <v>370</v>
      </c>
      <c r="AW71" s="172" t="n">
        <v>288.5</v>
      </c>
      <c r="AX71" s="172" t="n">
        <v>322.5</v>
      </c>
      <c r="AY71" s="174" t="s">
        <v>271</v>
      </c>
    </row>
    <row r="72" customFormat="false" ht="15" hidden="false" customHeight="false" outlineLevel="0" collapsed="false">
      <c r="A72" s="127"/>
      <c r="B72" s="128"/>
      <c r="C72" s="50" t="s">
        <v>272</v>
      </c>
      <c r="D72" s="14" t="s">
        <v>6</v>
      </c>
      <c r="E72" s="41" t="s">
        <v>268</v>
      </c>
      <c r="AB72" s="1"/>
      <c r="AE72" s="28" t="s">
        <v>273</v>
      </c>
      <c r="AF72" s="171" t="n">
        <f aca="false">AF71*AF70</f>
        <v>2.53007449247466</v>
      </c>
      <c r="AH72" s="124" t="s">
        <v>274</v>
      </c>
      <c r="AI72" s="4"/>
      <c r="AJ72" s="4"/>
      <c r="AK72" s="4"/>
      <c r="AL72" s="5"/>
      <c r="AM72" s="5"/>
      <c r="AN72" s="5"/>
      <c r="AO72" s="5"/>
      <c r="AP72" s="5"/>
      <c r="AQ72" s="6"/>
      <c r="AR72" s="5"/>
      <c r="AS72" s="5"/>
      <c r="AT72" s="5"/>
      <c r="AU72" s="146" t="s">
        <v>275</v>
      </c>
      <c r="AV72" s="133" t="n">
        <v>900</v>
      </c>
      <c r="AW72" s="172" t="n">
        <v>288.5</v>
      </c>
      <c r="AX72" s="172" t="n">
        <v>322.5</v>
      </c>
      <c r="AY72" s="137" t="n">
        <f aca="false">IF($C142="",0,LOOKUP($C142,$AU$70:$AU$76,AV$70:AV$76))</f>
        <v>900</v>
      </c>
      <c r="AZ72" s="137" t="n">
        <f aca="false">IF($C142="",0,IF($K$37&gt;1.4,LOOKUP($C142,$AU$70:$AU$76,AW$70:AW$76),LOOKUP($C142,$AU$70:$AU$75,AX$70:AX$76)))</f>
        <v>288.5</v>
      </c>
    </row>
    <row r="73" customFormat="false" ht="15" hidden="false" customHeight="false" outlineLevel="0" collapsed="false">
      <c r="A73" s="127"/>
      <c r="B73" s="128"/>
      <c r="C73" s="50" t="s">
        <v>276</v>
      </c>
      <c r="D73" s="14" t="s">
        <v>6</v>
      </c>
      <c r="E73" s="41" t="s">
        <v>268</v>
      </c>
      <c r="AE73" s="28" t="s">
        <v>277</v>
      </c>
      <c r="AF73" s="171" t="n">
        <f aca="false">IF($D$25="M",0.7,0.3)-IF($D$24="M",0,0.1)</f>
        <v>0.7</v>
      </c>
      <c r="AH73" s="28"/>
      <c r="AI73" s="29" t="s">
        <v>278</v>
      </c>
      <c r="AJ73" s="29" t="s">
        <v>279</v>
      </c>
      <c r="AK73" s="29" t="s">
        <v>200</v>
      </c>
      <c r="AL73" s="29" t="s">
        <v>205</v>
      </c>
      <c r="AM73" s="29" t="s">
        <v>208</v>
      </c>
      <c r="AN73" s="5"/>
      <c r="AO73" s="5"/>
      <c r="AP73" s="5"/>
      <c r="AQ73" s="6"/>
      <c r="AR73" s="5"/>
      <c r="AS73" s="5"/>
      <c r="AT73" s="5"/>
      <c r="AU73" s="146" t="s">
        <v>280</v>
      </c>
      <c r="AV73" s="133" t="n">
        <v>1100</v>
      </c>
      <c r="AW73" s="172" t="n">
        <v>288.5</v>
      </c>
      <c r="AX73" s="172" t="n">
        <v>322.5</v>
      </c>
    </row>
    <row r="74" customFormat="false" ht="15" hidden="false" customHeight="false" outlineLevel="0" collapsed="false">
      <c r="A74" s="127"/>
      <c r="B74" s="128"/>
      <c r="C74" s="50" t="s">
        <v>281</v>
      </c>
      <c r="D74" s="14" t="s">
        <v>6</v>
      </c>
      <c r="E74" s="41" t="s">
        <v>268</v>
      </c>
      <c r="AE74" s="28" t="s">
        <v>282</v>
      </c>
      <c r="AF74" s="171" t="n">
        <f aca="false">LOOKUP($D$70,$AE$91:$AE$94,$AF$91:$AF$94)</f>
        <v>0.35</v>
      </c>
      <c r="AH74" s="29" t="s">
        <v>43</v>
      </c>
      <c r="AI74" s="125" t="n">
        <v>2470</v>
      </c>
      <c r="AJ74" s="125" t="n">
        <v>130</v>
      </c>
      <c r="AK74" s="125" t="n">
        <v>0.53</v>
      </c>
      <c r="AL74" s="125" t="n">
        <v>6</v>
      </c>
      <c r="AM74" s="125"/>
      <c r="AN74" s="5"/>
      <c r="AO74" s="5"/>
      <c r="AP74" s="5"/>
      <c r="AQ74" s="6"/>
      <c r="AR74" s="5"/>
      <c r="AS74" s="5"/>
      <c r="AT74" s="5"/>
      <c r="AU74" s="146" t="s">
        <v>283</v>
      </c>
      <c r="AV74" s="133" t="n">
        <v>1250</v>
      </c>
      <c r="AW74" s="172" t="n">
        <v>288.5</v>
      </c>
      <c r="AX74" s="172" t="n">
        <v>322.5</v>
      </c>
    </row>
    <row r="75" customFormat="false" ht="15" hidden="false" customHeight="false" outlineLevel="0" collapsed="false">
      <c r="A75" s="127"/>
      <c r="B75" s="128"/>
      <c r="C75" s="50" t="s">
        <v>284</v>
      </c>
      <c r="D75" s="175" t="n">
        <f aca="false">$AF$84</f>
        <v>5.68989735675699</v>
      </c>
      <c r="E75" s="46" t="s">
        <v>285</v>
      </c>
      <c r="AE75" s="28" t="s">
        <v>286</v>
      </c>
      <c r="AF75" s="171" t="n">
        <f aca="false">LOOKUP($AC$34,$AH$48:$AH$53,$AM$48:$AM$53)/LOOKUP($AC$34,$AE$96:$AE$101,$AF$96:$AF$101)</f>
        <v>26</v>
      </c>
      <c r="AH75" s="126" t="s">
        <v>156</v>
      </c>
      <c r="AI75" s="125" t="n">
        <v>2941</v>
      </c>
      <c r="AJ75" s="125" t="n">
        <v>188</v>
      </c>
      <c r="AK75" s="125" t="n">
        <v>0.53</v>
      </c>
      <c r="AL75" s="125" t="n">
        <v>6.2</v>
      </c>
      <c r="AM75" s="125"/>
      <c r="AN75" s="5"/>
      <c r="AO75" s="5"/>
      <c r="AP75" s="5"/>
      <c r="AQ75" s="6"/>
      <c r="AR75" s="5"/>
      <c r="AS75" s="5"/>
      <c r="AT75" s="5"/>
      <c r="AU75" s="146" t="s">
        <v>287</v>
      </c>
      <c r="AV75" s="133" t="n">
        <v>450</v>
      </c>
      <c r="AW75" s="172" t="n">
        <v>0</v>
      </c>
      <c r="AX75" s="172" t="n">
        <v>0</v>
      </c>
      <c r="AY75" s="137" t="n">
        <f aca="false">$AV$75</f>
        <v>450</v>
      </c>
    </row>
    <row r="76" customFormat="false" ht="12.75" hidden="false" customHeight="false" outlineLevel="0" collapsed="false">
      <c r="A76" s="127"/>
      <c r="B76" s="128"/>
      <c r="C76" s="50" t="s">
        <v>288</v>
      </c>
      <c r="D76" s="175" t="n">
        <f aca="false">$AF$87</f>
        <v>0</v>
      </c>
      <c r="E76" s="46" t="s">
        <v>285</v>
      </c>
      <c r="AE76" s="28" t="s">
        <v>289</v>
      </c>
      <c r="AF76" s="171" t="n">
        <f aca="false">$E$65*LOOKUP($D$9,$AE$103:$AE$105,$AF$103:$AF$105)</f>
        <v>16.64208</v>
      </c>
      <c r="AH76" s="29" t="s">
        <v>201</v>
      </c>
      <c r="AI76" s="125" t="n">
        <v>1400</v>
      </c>
      <c r="AJ76" s="125" t="n">
        <v>600</v>
      </c>
      <c r="AK76" s="125" t="n">
        <v>0.29</v>
      </c>
      <c r="AL76" s="125" t="n">
        <v>6</v>
      </c>
      <c r="AM76" s="125" t="n">
        <v>1.4</v>
      </c>
      <c r="AN76" s="5"/>
      <c r="AO76" s="5"/>
      <c r="AP76" s="5"/>
      <c r="AQ76" s="6"/>
      <c r="AR76" s="5"/>
      <c r="AS76" s="5"/>
      <c r="AT76" s="5"/>
      <c r="AU76" s="132"/>
      <c r="AV76" s="158"/>
    </row>
    <row r="77" customFormat="false" ht="12.75" hidden="false" customHeight="false" outlineLevel="0" collapsed="false">
      <c r="A77" s="127"/>
      <c r="B77" s="128"/>
      <c r="C77" s="50" t="s">
        <v>290</v>
      </c>
      <c r="D77" s="175" t="n">
        <f aca="false">$AF$85</f>
        <v>-11.7987876072701</v>
      </c>
      <c r="E77" s="46" t="s">
        <v>285</v>
      </c>
      <c r="AE77" s="28" t="s">
        <v>291</v>
      </c>
      <c r="AF77" s="171" t="n">
        <f aca="false">IF($D$68="T",1400/8^(0.5),IF($D$68="B",750/8^(0.5),90))</f>
        <v>494.974746830583</v>
      </c>
      <c r="AH77" s="126" t="s">
        <v>97</v>
      </c>
      <c r="AI77" s="125" t="n">
        <v>2470</v>
      </c>
      <c r="AJ77" s="125" t="n">
        <v>130</v>
      </c>
      <c r="AK77" s="125" t="n">
        <v>0.3</v>
      </c>
      <c r="AL77" s="125" t="n">
        <v>7</v>
      </c>
      <c r="AM77" s="125"/>
      <c r="AN77" s="5"/>
      <c r="AO77" s="5"/>
      <c r="AP77" s="5"/>
      <c r="AQ77" s="6"/>
      <c r="AR77" s="5"/>
      <c r="AS77" s="5"/>
      <c r="AT77" s="5"/>
      <c r="AU77" s="132" t="s">
        <v>292</v>
      </c>
      <c r="AV77" s="176" t="n">
        <v>1000</v>
      </c>
      <c r="AW77" s="137" t="n">
        <f aca="false">IF($C144="",0,LOOKUP($C144,$AU$77:$AU$80,AV$77:AV$80))</f>
        <v>500</v>
      </c>
    </row>
    <row r="78" customFormat="false" ht="12.75" hidden="false" customHeight="false" outlineLevel="0" collapsed="false">
      <c r="A78" s="127"/>
      <c r="B78" s="128"/>
      <c r="C78" s="50" t="s">
        <v>293</v>
      </c>
      <c r="D78" s="175" t="n">
        <f aca="false">AF88</f>
        <v>0</v>
      </c>
      <c r="E78" s="46" t="s">
        <v>285</v>
      </c>
      <c r="AE78" s="28" t="s">
        <v>294</v>
      </c>
      <c r="AF78" s="171" t="n">
        <f aca="false">IF($D$71="N",0,AF77*AF74*AF72*$E$30/$D$21)</f>
        <v>42.0780521742054</v>
      </c>
      <c r="AH78" s="126" t="s">
        <v>176</v>
      </c>
      <c r="AI78" s="125" t="n">
        <v>1373</v>
      </c>
      <c r="AJ78" s="125" t="n">
        <v>506</v>
      </c>
      <c r="AK78" s="125" t="n">
        <v>0.3</v>
      </c>
      <c r="AL78" s="125" t="n">
        <v>6</v>
      </c>
      <c r="AM78" s="125"/>
      <c r="AN78" s="5"/>
      <c r="AO78" s="5"/>
      <c r="AP78" s="5"/>
      <c r="AQ78" s="6"/>
      <c r="AR78" s="5"/>
      <c r="AS78" s="5"/>
      <c r="AT78" s="5"/>
      <c r="AU78" s="132" t="s">
        <v>295</v>
      </c>
      <c r="AV78" s="176" t="n">
        <v>500</v>
      </c>
    </row>
    <row r="79" customFormat="false" ht="12.75" hidden="false" customHeight="false" outlineLevel="0" collapsed="false">
      <c r="A79" s="127"/>
      <c r="B79" s="128"/>
      <c r="C79" s="50" t="s">
        <v>296</v>
      </c>
      <c r="D79" s="175" t="n">
        <f aca="false">AF86</f>
        <v>0</v>
      </c>
      <c r="E79" s="46" t="s">
        <v>285</v>
      </c>
      <c r="AE79" s="28" t="s">
        <v>297</v>
      </c>
      <c r="AF79" s="171" t="n">
        <f aca="false">LOOKUP($AC$34,$AH$48:$AH$53,$AI$48:$AI$53)</f>
        <v>0.5</v>
      </c>
      <c r="AH79" s="29" t="s">
        <v>20</v>
      </c>
      <c r="AI79" s="125" t="n">
        <v>1663</v>
      </c>
      <c r="AJ79" s="125" t="n">
        <v>106</v>
      </c>
      <c r="AK79" s="125" t="n">
        <v>0.53</v>
      </c>
      <c r="AL79" s="125" t="n">
        <v>6</v>
      </c>
      <c r="AM79" s="125"/>
      <c r="AN79" s="5"/>
      <c r="AO79" s="5"/>
      <c r="AP79" s="5"/>
      <c r="AQ79" s="6"/>
      <c r="AR79" s="5"/>
      <c r="AS79" s="5"/>
      <c r="AT79" s="5"/>
      <c r="AU79" s="132" t="s">
        <v>298</v>
      </c>
      <c r="AV79" s="176" t="n">
        <v>200</v>
      </c>
    </row>
    <row r="80" customFormat="false" ht="12.75" hidden="false" customHeight="false" outlineLevel="0" collapsed="false">
      <c r="A80" s="127"/>
      <c r="B80" s="128"/>
      <c r="C80" s="1"/>
      <c r="AE80" s="28" t="s">
        <v>299</v>
      </c>
      <c r="AF80" s="171" t="n">
        <f aca="false">E46+0.34*AF79*$D$21</f>
        <v>1.01756</v>
      </c>
      <c r="AH80" s="4"/>
      <c r="AI80" s="4"/>
      <c r="AJ80" s="4"/>
      <c r="AK80" s="5"/>
      <c r="AL80" s="5"/>
      <c r="AM80" s="5"/>
      <c r="AN80" s="5"/>
      <c r="AO80" s="5"/>
      <c r="AP80" s="5"/>
      <c r="AQ80" s="6"/>
      <c r="AR80" s="5"/>
      <c r="AS80" s="5"/>
      <c r="AT80" s="5"/>
      <c r="AU80" s="132"/>
      <c r="AV80" s="158"/>
    </row>
    <row r="81" customFormat="false" ht="12.75" hidden="false" customHeight="false" outlineLevel="0" collapsed="false">
      <c r="A81" s="143" t="n">
        <v>6</v>
      </c>
      <c r="B81" s="143"/>
      <c r="C81" s="91" t="s">
        <v>300</v>
      </c>
      <c r="D81" s="92"/>
      <c r="E81" s="177" t="n">
        <f aca="false">$AF$89</f>
        <v>-6.10889025051313</v>
      </c>
      <c r="I81" s="80" t="s">
        <v>300</v>
      </c>
      <c r="K81" s="178" t="n">
        <v>0</v>
      </c>
      <c r="L81" s="179" t="n">
        <f aca="false">(K81+M81)/2</f>
        <v>-1</v>
      </c>
      <c r="M81" s="180" t="n">
        <v>-2</v>
      </c>
      <c r="AE81" s="28" t="s">
        <v>175</v>
      </c>
      <c r="AF81" s="171" t="n">
        <f aca="false">MIN(40,(AF75+AF76)/AF80)</f>
        <v>40</v>
      </c>
      <c r="AH81" s="124" t="s">
        <v>301</v>
      </c>
      <c r="AI81" s="4"/>
      <c r="AJ81" s="4"/>
      <c r="AK81" s="5"/>
      <c r="AL81" s="5"/>
      <c r="AM81" s="5"/>
      <c r="AN81" s="5"/>
      <c r="AO81" s="5"/>
      <c r="AP81" s="5"/>
      <c r="AQ81" s="6"/>
      <c r="AR81" s="5"/>
      <c r="AS81" s="5"/>
      <c r="AT81" s="5"/>
      <c r="AU81" s="146" t="s">
        <v>302</v>
      </c>
      <c r="AV81" s="133" t="n">
        <v>175</v>
      </c>
      <c r="AW81" s="137" t="n">
        <f aca="false">IF($C145="",0,LOOKUP($C145,$AU$81:$AU$88,AV$81:AV$88))</f>
        <v>267</v>
      </c>
    </row>
    <row r="82" customFormat="false" ht="12.75" hidden="false" customHeight="false" outlineLevel="0" collapsed="false">
      <c r="A82" s="127"/>
      <c r="B82" s="128"/>
      <c r="C82" s="1"/>
      <c r="AE82" s="28" t="s">
        <v>303</v>
      </c>
      <c r="AF82" s="171" t="n">
        <f aca="false">MIN(1,5*AF81^(-(AF73^(0.1))))</f>
        <v>0.142247433918925</v>
      </c>
      <c r="AH82" s="28"/>
      <c r="AI82" s="126" t="s">
        <v>304</v>
      </c>
      <c r="AJ82" s="4"/>
      <c r="AK82" s="5"/>
      <c r="AL82" s="5"/>
      <c r="AM82" s="5"/>
      <c r="AN82" s="5"/>
      <c r="AO82" s="5"/>
      <c r="AP82" s="5"/>
      <c r="AQ82" s="6"/>
      <c r="AR82" s="5"/>
      <c r="AS82" s="5"/>
      <c r="AT82" s="5"/>
      <c r="AU82" s="146" t="s">
        <v>305</v>
      </c>
      <c r="AV82" s="133" t="n">
        <v>267</v>
      </c>
    </row>
    <row r="83" customFormat="false" ht="12.75" hidden="false" customHeight="false" outlineLevel="0" collapsed="false">
      <c r="A83" s="127"/>
      <c r="B83" s="41" t="s">
        <v>306</v>
      </c>
      <c r="K83" s="65"/>
      <c r="L83" s="65"/>
      <c r="M83" s="65"/>
      <c r="AE83" s="181" t="s">
        <v>307</v>
      </c>
      <c r="AF83" s="171" t="n">
        <f aca="false">0.51*AF79^(0.146)</f>
        <v>0.460913890643054</v>
      </c>
      <c r="AH83" s="29" t="s">
        <v>43</v>
      </c>
      <c r="AI83" s="125" t="n">
        <v>1.5</v>
      </c>
      <c r="AJ83" s="4"/>
      <c r="AK83" s="5"/>
      <c r="AL83" s="5"/>
      <c r="AM83" s="5"/>
      <c r="AN83" s="5"/>
      <c r="AO83" s="5"/>
      <c r="AP83" s="5"/>
      <c r="AQ83" s="6"/>
      <c r="AR83" s="5"/>
      <c r="AS83" s="5"/>
      <c r="AT83" s="5"/>
      <c r="AU83" s="146" t="s">
        <v>308</v>
      </c>
      <c r="AV83" s="133" t="n">
        <v>364</v>
      </c>
    </row>
    <row r="84" customFormat="false" ht="12.75" hidden="false" customHeight="false" outlineLevel="0" collapsed="false">
      <c r="A84" s="127"/>
      <c r="B84" s="128"/>
      <c r="C84" s="87" t="s">
        <v>309</v>
      </c>
      <c r="E84" s="182" t="str">
        <f aca="false">IF(SUMPRODUCT(E86:L86,E87:L87)-(E87*F87+F87*G87+G87*H87+H87*I87+I87*J87+J87*K87+K87*L87)/2&gt;D20/D22,"!!! attention, vérifier la cohérence des profondeurs","")</f>
        <v/>
      </c>
      <c r="K84" s="65"/>
      <c r="L84" s="65"/>
      <c r="M84" s="65"/>
      <c r="AE84" s="28" t="s">
        <v>310</v>
      </c>
      <c r="AF84" s="171" t="n">
        <f aca="false">AF81*AF82</f>
        <v>5.68989735675699</v>
      </c>
      <c r="AH84" s="126" t="s">
        <v>156</v>
      </c>
      <c r="AI84" s="125" t="n">
        <v>10</v>
      </c>
      <c r="AJ84" s="4"/>
      <c r="AK84" s="5"/>
      <c r="AL84" s="5"/>
      <c r="AM84" s="5"/>
      <c r="AN84" s="5"/>
      <c r="AO84" s="5"/>
      <c r="AP84" s="5"/>
      <c r="AQ84" s="6"/>
      <c r="AR84" s="5"/>
      <c r="AS84" s="5"/>
      <c r="AT84" s="5"/>
      <c r="AU84" s="146" t="s">
        <v>311</v>
      </c>
      <c r="AV84" s="133" t="n">
        <v>244</v>
      </c>
    </row>
    <row r="85" customFormat="false" ht="12.75" hidden="false" customHeight="false" outlineLevel="0" collapsed="false">
      <c r="A85" s="127"/>
      <c r="B85" s="128"/>
      <c r="C85" s="41"/>
      <c r="E85" s="1" t="str">
        <f aca="false">IF(E52="","",E52)</f>
        <v>S</v>
      </c>
      <c r="F85" s="1" t="str">
        <f aca="false">IF(F52="","",F52)</f>
        <v>O</v>
      </c>
      <c r="G85" s="1" t="str">
        <f aca="false">IF(G52="","",G52)</f>
        <v>N</v>
      </c>
      <c r="H85" s="1" t="str">
        <f aca="false">IF(H52="","",H52)</f>
        <v>E</v>
      </c>
      <c r="I85" s="1" t="str">
        <f aca="false">IF(I52="","",I52)</f>
        <v/>
      </c>
      <c r="J85" s="1" t="str">
        <f aca="false">IF(J52="","",J52)</f>
        <v/>
      </c>
      <c r="K85" s="1" t="str">
        <f aca="false">IF(K52="","",K52)</f>
        <v/>
      </c>
      <c r="L85" s="1" t="str">
        <f aca="false">IF(L52="","",L52)</f>
        <v/>
      </c>
      <c r="M85" s="65"/>
      <c r="AB85" s="1"/>
      <c r="AE85" s="28" t="s">
        <v>312</v>
      </c>
      <c r="AF85" s="171" t="n">
        <f aca="false">IF($AC$34="L",-2.4,-3.6)*AF73^(1/6)*AF78^(1/3)</f>
        <v>-11.7987876072701</v>
      </c>
      <c r="AH85" s="29" t="s">
        <v>201</v>
      </c>
      <c r="AI85" s="29" t="e">
        <f aca="false">MAX(29.5,0.00122*AI89^2-1.4377*AI89+70.894)</f>
        <v>#VALUE!</v>
      </c>
      <c r="AJ85" s="183" t="s">
        <v>313</v>
      </c>
      <c r="AK85" s="5"/>
      <c r="AL85" s="5"/>
      <c r="AM85" s="5"/>
      <c r="AN85" s="5"/>
      <c r="AO85" s="5"/>
      <c r="AP85" s="5"/>
      <c r="AQ85" s="6"/>
      <c r="AR85" s="5"/>
      <c r="AS85" s="5"/>
      <c r="AT85" s="5"/>
      <c r="AU85" s="146" t="s">
        <v>314</v>
      </c>
      <c r="AV85" s="133" t="n">
        <v>328</v>
      </c>
    </row>
    <row r="86" customFormat="false" ht="12.75" hidden="false" customHeight="false" outlineLevel="0" collapsed="false">
      <c r="A86" s="127"/>
      <c r="B86" s="128"/>
      <c r="C86" s="2" t="s">
        <v>315</v>
      </c>
      <c r="E86" s="71" t="n">
        <v>40.5</v>
      </c>
      <c r="F86" s="71" t="n">
        <v>12</v>
      </c>
      <c r="G86" s="71" t="n">
        <v>40.5</v>
      </c>
      <c r="H86" s="71" t="n">
        <v>12</v>
      </c>
      <c r="I86" s="184"/>
      <c r="J86" s="184"/>
      <c r="K86" s="184"/>
      <c r="L86" s="184"/>
      <c r="M86" s="185" t="n">
        <f aca="false">SUM(E86:L86)</f>
        <v>105</v>
      </c>
      <c r="AE86" s="28" t="s">
        <v>316</v>
      </c>
      <c r="AF86" s="171" t="n">
        <f aca="false">IF($D$74="O",-7,0)</f>
        <v>0</v>
      </c>
      <c r="AH86" s="126" t="s">
        <v>97</v>
      </c>
      <c r="AI86" s="125" t="n">
        <v>2</v>
      </c>
      <c r="AJ86" s="4"/>
      <c r="AK86" s="5"/>
      <c r="AL86" s="5"/>
      <c r="AM86" s="5"/>
      <c r="AN86" s="5"/>
      <c r="AO86" s="5"/>
      <c r="AP86" s="5"/>
      <c r="AQ86" s="6"/>
      <c r="AR86" s="5"/>
      <c r="AS86" s="5"/>
      <c r="AT86" s="5"/>
      <c r="AU86" s="146" t="s">
        <v>317</v>
      </c>
      <c r="AV86" s="133" t="n">
        <v>425</v>
      </c>
    </row>
    <row r="87" customFormat="false" ht="12.75" hidden="false" customHeight="false" outlineLevel="0" collapsed="false">
      <c r="A87" s="127"/>
      <c r="B87" s="128"/>
      <c r="C87" s="50" t="s">
        <v>318</v>
      </c>
      <c r="E87" s="71" t="n">
        <v>4</v>
      </c>
      <c r="F87" s="71"/>
      <c r="G87" s="71" t="n">
        <v>3</v>
      </c>
      <c r="H87" s="71"/>
      <c r="I87" s="71"/>
      <c r="J87" s="71"/>
      <c r="K87" s="186"/>
      <c r="L87" s="186"/>
      <c r="M87" s="185" t="n">
        <f aca="false">SUMPRODUCT(E53:L53,E87:L87)</f>
        <v>3.2</v>
      </c>
      <c r="AE87" s="28" t="s">
        <v>319</v>
      </c>
      <c r="AF87" s="171" t="n">
        <f aca="false">IF($D$72="N",0,SUM(AF84:AF86)*AF83)</f>
        <v>0</v>
      </c>
      <c r="AH87" s="126" t="s">
        <v>176</v>
      </c>
      <c r="AI87" s="125" t="n">
        <v>24.5</v>
      </c>
      <c r="AJ87" s="4"/>
      <c r="AK87" s="5"/>
      <c r="AL87" s="5"/>
      <c r="AM87" s="5"/>
      <c r="AN87" s="5"/>
      <c r="AO87" s="5"/>
      <c r="AP87" s="5"/>
      <c r="AQ87" s="6"/>
      <c r="AR87" s="5"/>
      <c r="AS87" s="5"/>
      <c r="AT87" s="5"/>
      <c r="AU87" s="146" t="s">
        <v>320</v>
      </c>
      <c r="AV87" s="133" t="n">
        <v>208</v>
      </c>
    </row>
    <row r="88" customFormat="false" ht="12.75" hidden="false" customHeight="false" outlineLevel="0" collapsed="false">
      <c r="A88" s="127"/>
      <c r="B88" s="128"/>
      <c r="C88" s="50" t="s">
        <v>321</v>
      </c>
      <c r="E88" s="71" t="s">
        <v>6</v>
      </c>
      <c r="F88" s="71" t="s">
        <v>6</v>
      </c>
      <c r="G88" s="71" t="s">
        <v>6</v>
      </c>
      <c r="H88" s="71" t="s">
        <v>6</v>
      </c>
      <c r="I88" s="71"/>
      <c r="J88" s="71"/>
      <c r="K88" s="186"/>
      <c r="L88" s="186"/>
      <c r="M88" s="41" t="s">
        <v>322</v>
      </c>
      <c r="AE88" s="28" t="s">
        <v>323</v>
      </c>
      <c r="AF88" s="171" t="n">
        <f aca="false">IF($D$73="N",0,-5)</f>
        <v>0</v>
      </c>
      <c r="AH88" s="29" t="s">
        <v>20</v>
      </c>
      <c r="AI88" s="125" t="n">
        <v>0.4</v>
      </c>
      <c r="AJ88" s="4"/>
      <c r="AK88" s="5"/>
      <c r="AL88" s="5"/>
      <c r="AM88" s="5"/>
      <c r="AN88" s="5"/>
      <c r="AO88" s="5"/>
      <c r="AP88" s="5"/>
      <c r="AQ88" s="6"/>
      <c r="AR88" s="5"/>
      <c r="AS88" s="5"/>
      <c r="AT88" s="5"/>
      <c r="AU88" s="132"/>
      <c r="AV88" s="133"/>
    </row>
    <row r="89" customFormat="false" ht="12.75" hidden="false" customHeight="false" outlineLevel="0" collapsed="false">
      <c r="A89" s="127"/>
      <c r="B89" s="128"/>
      <c r="C89" s="50" t="s">
        <v>324</v>
      </c>
      <c r="E89" s="185" t="n">
        <f aca="false">IF(AD26&gt;0,AD26,"")</f>
        <v>2.20248287671233</v>
      </c>
      <c r="F89" s="185" t="str">
        <f aca="false">IF(AE26&gt;0,AE26,"")</f>
        <v/>
      </c>
      <c r="G89" s="185" t="n">
        <f aca="false">IF(AF26&gt;0,AF26,"")</f>
        <v>2.28666666666667</v>
      </c>
      <c r="H89" s="185" t="str">
        <f aca="false">IF(AG26&gt;0,AG26,"")</f>
        <v/>
      </c>
      <c r="I89" s="185" t="str">
        <f aca="false">IF(AH26&gt;0,AH26,"")</f>
        <v/>
      </c>
      <c r="J89" s="185" t="str">
        <f aca="false">IF(AI26&gt;0,AI26,"")</f>
        <v/>
      </c>
      <c r="K89" s="185" t="str">
        <f aca="false">IF(AJ26&gt;0,AJ26,"")</f>
        <v/>
      </c>
      <c r="L89" s="185" t="str">
        <f aca="false">IF(AK26&gt;0,AK26,"")</f>
        <v/>
      </c>
      <c r="M89" s="65" t="s">
        <v>325</v>
      </c>
      <c r="N89" s="1"/>
      <c r="AE89" s="28" t="s">
        <v>326</v>
      </c>
      <c r="AF89" s="171" t="n">
        <f aca="false">SUM(AF84:AF88)</f>
        <v>-6.10889025051313</v>
      </c>
      <c r="AH89" s="29" t="s">
        <v>327</v>
      </c>
      <c r="AI89" s="187" t="e">
        <f aca="false">IF($D$23=1,$D$20,$D$20*0.77/$D$23)</f>
        <v>#VALUE!</v>
      </c>
      <c r="AJ89" s="4"/>
      <c r="AK89" s="5"/>
      <c r="AL89" s="5"/>
      <c r="AM89" s="5"/>
      <c r="AN89" s="5"/>
      <c r="AO89" s="5"/>
      <c r="AP89" s="5"/>
      <c r="AQ89" s="6"/>
      <c r="AR89" s="5"/>
      <c r="AS89" s="5"/>
      <c r="AT89" s="5"/>
      <c r="AU89" s="146" t="s">
        <v>328</v>
      </c>
      <c r="AV89" s="188" t="n">
        <v>299.305555555556</v>
      </c>
      <c r="AW89" s="137" t="n">
        <f aca="false">IF($C146="",0,LOOKUP($C146,$AU$89:$AU$95,$AV$89:$AV$95))</f>
        <v>257.638888888889</v>
      </c>
    </row>
    <row r="90" customFormat="false" ht="12.75" hidden="false" customHeight="false" outlineLevel="0" collapsed="false">
      <c r="A90" s="127"/>
      <c r="B90" s="128"/>
      <c r="C90" s="2" t="s">
        <v>329</v>
      </c>
      <c r="D90" s="68" t="n">
        <v>0.7</v>
      </c>
      <c r="K90" s="65"/>
      <c r="L90" s="65"/>
      <c r="M90" s="65"/>
      <c r="AE90" s="1"/>
      <c r="AF90" s="126" t="s">
        <v>330</v>
      </c>
      <c r="AH90" s="4"/>
      <c r="AI90" s="4"/>
      <c r="AJ90" s="4"/>
      <c r="AK90" s="5"/>
      <c r="AL90" s="5"/>
      <c r="AM90" s="5"/>
      <c r="AN90" s="5"/>
      <c r="AO90" s="5"/>
      <c r="AP90" s="5"/>
      <c r="AQ90" s="6"/>
      <c r="AR90" s="5"/>
      <c r="AS90" s="5"/>
      <c r="AT90" s="5"/>
      <c r="AU90" s="146" t="s">
        <v>331</v>
      </c>
      <c r="AV90" s="188" t="n">
        <v>271.527777777778</v>
      </c>
    </row>
    <row r="91" customFormat="false" ht="12.75" hidden="false" customHeight="false" outlineLevel="0" collapsed="false">
      <c r="A91" s="127"/>
      <c r="B91" s="128"/>
      <c r="C91" s="50"/>
      <c r="K91" s="65"/>
      <c r="L91" s="65"/>
      <c r="M91" s="65"/>
      <c r="AE91" s="29" t="s">
        <v>38</v>
      </c>
      <c r="AF91" s="125" t="n">
        <v>0.1</v>
      </c>
      <c r="AH91" s="124" t="s">
        <v>332</v>
      </c>
      <c r="AI91" s="4"/>
      <c r="AJ91" s="4"/>
      <c r="AK91" s="5"/>
      <c r="AL91" s="5"/>
      <c r="AM91" s="5"/>
      <c r="AN91" s="5"/>
      <c r="AO91" s="5"/>
      <c r="AP91" s="5"/>
      <c r="AQ91" s="6"/>
      <c r="AR91" s="5"/>
      <c r="AS91" s="5"/>
      <c r="AT91" s="5"/>
      <c r="AU91" s="146" t="s">
        <v>333</v>
      </c>
      <c r="AV91" s="188" t="n">
        <v>257.638888888889</v>
      </c>
    </row>
    <row r="92" customFormat="false" ht="12.75" hidden="false" customHeight="false" outlineLevel="0" collapsed="false">
      <c r="A92" s="189" t="n">
        <v>7</v>
      </c>
      <c r="B92" s="143"/>
      <c r="C92" s="91" t="s">
        <v>125</v>
      </c>
      <c r="D92" s="92"/>
      <c r="E92" s="93" t="n">
        <f aca="false">AM31</f>
        <v>30.4770735553353</v>
      </c>
      <c r="F92" s="46" t="s">
        <v>325</v>
      </c>
      <c r="I92" s="2" t="s">
        <v>125</v>
      </c>
      <c r="J92" s="190"/>
      <c r="K92" s="191" t="n">
        <f aca="false">LOOKUP($AC$34,$AH$103:$AH$108,$AO$103:$AO$108)</f>
        <v>0.25</v>
      </c>
      <c r="L92" s="159" t="n">
        <f aca="false">(K92+M92)/2</f>
        <v>0.35</v>
      </c>
      <c r="M92" s="192" t="n">
        <f aca="false">LOOKUP($AC$34,$AH$103:$AH$108,$AP$103:$AP$108)</f>
        <v>0.45</v>
      </c>
      <c r="AE92" s="29" t="s">
        <v>171</v>
      </c>
      <c r="AF92" s="125" t="n">
        <v>0.35</v>
      </c>
      <c r="AH92" s="28"/>
      <c r="AI92" s="126" t="s">
        <v>239</v>
      </c>
      <c r="AJ92" s="126" t="s">
        <v>334</v>
      </c>
      <c r="AK92" s="126" t="s">
        <v>240</v>
      </c>
      <c r="AL92" s="5"/>
      <c r="AM92" s="5"/>
      <c r="AN92" s="5"/>
      <c r="AO92" s="5"/>
      <c r="AP92" s="5"/>
      <c r="AQ92" s="6"/>
      <c r="AR92" s="5"/>
      <c r="AS92" s="5"/>
      <c r="AT92" s="5"/>
      <c r="AU92" s="146" t="s">
        <v>335</v>
      </c>
      <c r="AV92" s="188" t="n">
        <v>278.472222222222</v>
      </c>
    </row>
    <row r="93" customFormat="false" ht="12.75" hidden="false" customHeight="false" outlineLevel="0" collapsed="false">
      <c r="A93" s="189"/>
      <c r="B93" s="143"/>
      <c r="C93" s="91" t="s">
        <v>336</v>
      </c>
      <c r="D93" s="92"/>
      <c r="E93" s="93" t="n">
        <f aca="false">AF57</f>
        <v>6.90654093609664</v>
      </c>
      <c r="F93" s="46" t="s">
        <v>337</v>
      </c>
      <c r="M93" s="1"/>
      <c r="N93" s="1"/>
      <c r="O93" s="1"/>
      <c r="P93" s="1"/>
      <c r="AE93" s="29" t="s">
        <v>20</v>
      </c>
      <c r="AF93" s="125" t="n">
        <v>0.2</v>
      </c>
      <c r="AH93" s="29" t="s">
        <v>43</v>
      </c>
      <c r="AI93" s="125" t="n">
        <v>1.4</v>
      </c>
      <c r="AJ93" s="125" t="n">
        <v>1.1</v>
      </c>
      <c r="AK93" s="125" t="n">
        <v>1.1</v>
      </c>
      <c r="AL93" s="5"/>
      <c r="AM93" s="5"/>
      <c r="AN93" s="5"/>
      <c r="AO93" s="5"/>
      <c r="AP93" s="5"/>
      <c r="AQ93" s="6"/>
      <c r="AR93" s="5"/>
      <c r="AS93" s="5"/>
      <c r="AT93" s="5"/>
      <c r="AU93" s="146" t="s">
        <v>338</v>
      </c>
      <c r="AV93" s="188" t="n">
        <v>285.416666666667</v>
      </c>
    </row>
    <row r="94" customFormat="false" ht="12.75" hidden="false" customHeight="false" outlineLevel="0" collapsed="false">
      <c r="A94" s="127"/>
      <c r="B94" s="128"/>
      <c r="M94" s="1"/>
      <c r="N94" s="1"/>
      <c r="AE94" s="29" t="s">
        <v>339</v>
      </c>
      <c r="AF94" s="125" t="n">
        <v>0</v>
      </c>
      <c r="AH94" s="126" t="s">
        <v>156</v>
      </c>
      <c r="AI94" s="125" t="n">
        <v>1.7</v>
      </c>
      <c r="AJ94" s="125" t="n">
        <v>1.2</v>
      </c>
      <c r="AK94" s="125" t="n">
        <v>1.1</v>
      </c>
      <c r="AL94" s="5"/>
      <c r="AM94" s="5"/>
      <c r="AN94" s="5"/>
      <c r="AO94" s="5"/>
      <c r="AP94" s="5"/>
      <c r="AQ94" s="6"/>
      <c r="AR94" s="5"/>
      <c r="AS94" s="5"/>
      <c r="AT94" s="5"/>
      <c r="AU94" s="146" t="s">
        <v>340</v>
      </c>
      <c r="AV94" s="188" t="n">
        <v>313.194444444444</v>
      </c>
    </row>
    <row r="95" customFormat="false" ht="12.75" hidden="false" customHeight="false" outlineLevel="0" collapsed="false">
      <c r="A95" s="127"/>
      <c r="B95" s="41" t="s">
        <v>341</v>
      </c>
      <c r="M95" s="1"/>
      <c r="N95" s="1"/>
      <c r="AF95" s="126" t="s">
        <v>342</v>
      </c>
      <c r="AH95" s="29" t="s">
        <v>201</v>
      </c>
      <c r="AI95" s="125" t="n">
        <v>1</v>
      </c>
      <c r="AJ95" s="125"/>
      <c r="AK95" s="125" t="n">
        <v>1.2</v>
      </c>
      <c r="AL95" s="5"/>
      <c r="AM95" s="5"/>
      <c r="AN95" s="5"/>
      <c r="AO95" s="5"/>
      <c r="AP95" s="5"/>
      <c r="AQ95" s="6"/>
      <c r="AR95" s="5"/>
      <c r="AS95" s="5"/>
      <c r="AT95" s="5"/>
      <c r="AU95" s="132"/>
      <c r="AV95" s="133"/>
    </row>
    <row r="96" customFormat="false" ht="12.75" hidden="false" customHeight="false" outlineLevel="0" collapsed="false">
      <c r="A96" s="127"/>
      <c r="B96" s="128"/>
      <c r="C96" s="1"/>
      <c r="M96" s="1"/>
      <c r="AE96" s="29" t="s">
        <v>43</v>
      </c>
      <c r="AF96" s="125" t="n">
        <v>0.3</v>
      </c>
      <c r="AH96" s="126" t="s">
        <v>97</v>
      </c>
      <c r="AI96" s="125" t="n">
        <v>1.4</v>
      </c>
      <c r="AJ96" s="125" t="n">
        <v>1.1</v>
      </c>
      <c r="AK96" s="125" t="n">
        <v>1.1</v>
      </c>
      <c r="AL96" s="5"/>
      <c r="AM96" s="5"/>
      <c r="AN96" s="5"/>
      <c r="AO96" s="5"/>
      <c r="AP96" s="5"/>
      <c r="AQ96" s="6"/>
      <c r="AR96" s="5"/>
      <c r="AS96" s="5"/>
      <c r="AT96" s="5"/>
      <c r="AU96" s="146" t="s">
        <v>343</v>
      </c>
      <c r="AV96" s="133" t="n">
        <v>300</v>
      </c>
      <c r="AW96" s="137" t="n">
        <f aca="false">AV96</f>
        <v>300</v>
      </c>
    </row>
    <row r="97" customFormat="false" ht="12.75" hidden="false" customHeight="false" outlineLevel="0" collapsed="false">
      <c r="A97" s="127"/>
      <c r="B97" s="128"/>
      <c r="C97" s="2" t="s">
        <v>344</v>
      </c>
      <c r="D97" s="71" t="s">
        <v>20</v>
      </c>
      <c r="E97" s="193" t="s">
        <v>345</v>
      </c>
      <c r="F97" s="193" t="s">
        <v>346</v>
      </c>
      <c r="AE97" s="126" t="s">
        <v>156</v>
      </c>
      <c r="AF97" s="125"/>
      <c r="AH97" s="126" t="s">
        <v>176</v>
      </c>
      <c r="AI97" s="125" t="n">
        <v>1.8</v>
      </c>
      <c r="AJ97" s="125"/>
      <c r="AK97" s="125" t="n">
        <v>1.2</v>
      </c>
      <c r="AL97" s="5"/>
      <c r="AM97" s="5"/>
      <c r="AN97" s="5"/>
      <c r="AO97" s="5"/>
      <c r="AP97" s="5"/>
      <c r="AQ97" s="6"/>
      <c r="AR97" s="5"/>
      <c r="AS97" s="5"/>
      <c r="AT97" s="5"/>
      <c r="AU97" s="146" t="s">
        <v>347</v>
      </c>
      <c r="AV97" s="133" t="n">
        <v>31</v>
      </c>
      <c r="AW97" s="137" t="n">
        <f aca="false">AV97</f>
        <v>31</v>
      </c>
    </row>
    <row r="98" customFormat="false" ht="12.75" hidden="false" customHeight="false" outlineLevel="0" collapsed="false">
      <c r="A98" s="127"/>
      <c r="B98" s="128"/>
      <c r="C98" s="2" t="s">
        <v>348</v>
      </c>
      <c r="D98" s="71" t="s">
        <v>15</v>
      </c>
      <c r="E98" s="41" t="s">
        <v>349</v>
      </c>
      <c r="F98" s="193"/>
      <c r="G98" s="193"/>
      <c r="AE98" s="29" t="s">
        <v>201</v>
      </c>
      <c r="AF98" s="125" t="n">
        <v>1</v>
      </c>
      <c r="AH98" s="29" t="s">
        <v>20</v>
      </c>
      <c r="AI98" s="125" t="n">
        <v>2</v>
      </c>
      <c r="AJ98" s="125" t="n">
        <v>1.1</v>
      </c>
      <c r="AK98" s="125" t="n">
        <v>1.1</v>
      </c>
      <c r="AL98" s="5"/>
      <c r="AM98" s="5"/>
      <c r="AN98" s="5"/>
      <c r="AO98" s="5"/>
      <c r="AP98" s="5"/>
      <c r="AQ98" s="6"/>
      <c r="AR98" s="5"/>
      <c r="AS98" s="5"/>
      <c r="AT98" s="5"/>
    </row>
    <row r="99" customFormat="false" ht="12.75" hidden="false" customHeight="false" outlineLevel="0" collapsed="false">
      <c r="A99" s="127"/>
      <c r="B99" s="128"/>
      <c r="C99" s="2" t="s">
        <v>350</v>
      </c>
      <c r="D99" s="194" t="n">
        <f aca="false">IF($D$12="O",VLOOKUP(D98,$AL$42:$AO$44,1+MATCH(D97,$AM$41:$AO$41,0)),VLOOKUP(D98,$AH$42:$AK$44,1+MATCH(D97,$AI$41:$AK$41,0)))</f>
        <v>0.16</v>
      </c>
      <c r="E99" s="46" t="s">
        <v>351</v>
      </c>
      <c r="F99" s="193"/>
      <c r="G99" s="193"/>
      <c r="AE99" s="126" t="s">
        <v>97</v>
      </c>
      <c r="AF99" s="125"/>
      <c r="AH99" s="4"/>
      <c r="AI99" s="4"/>
      <c r="AJ99" s="4"/>
      <c r="AK99" s="5"/>
      <c r="AL99" s="5"/>
      <c r="AM99" s="5"/>
      <c r="AN99" s="5"/>
      <c r="AO99" s="5"/>
      <c r="AP99" s="5"/>
      <c r="AQ99" s="6"/>
      <c r="AR99" s="5"/>
      <c r="AS99" s="5"/>
      <c r="AT99" s="5"/>
      <c r="AU99" s="5"/>
      <c r="AV99" s="5"/>
      <c r="AW99" s="5"/>
      <c r="AX99" s="5"/>
      <c r="AY99" s="5"/>
    </row>
    <row r="100" customFormat="false" ht="12.75" hidden="false" customHeight="false" outlineLevel="0" collapsed="false">
      <c r="A100" s="127"/>
      <c r="B100" s="128"/>
      <c r="C100" s="50" t="s">
        <v>352</v>
      </c>
      <c r="D100" s="194" t="n">
        <f aca="false">VLOOKUP($AC$34,AH48:AK53,1+MATCH(D97,AI47:AK47,0))</f>
        <v>0.5</v>
      </c>
      <c r="E100" s="46" t="s">
        <v>351</v>
      </c>
      <c r="AE100" s="126" t="s">
        <v>176</v>
      </c>
      <c r="AF100" s="125"/>
      <c r="AH100" s="124" t="s">
        <v>353</v>
      </c>
      <c r="AI100" s="4"/>
      <c r="AJ100" s="4"/>
      <c r="AK100" s="5"/>
      <c r="AL100" s="5"/>
      <c r="AM100" s="5"/>
      <c r="AN100" s="5"/>
      <c r="AO100" s="5"/>
      <c r="AP100" s="5"/>
      <c r="AQ100" s="6"/>
      <c r="AR100" s="5"/>
      <c r="AS100" s="5"/>
      <c r="AT100" s="5"/>
      <c r="AU100" s="5"/>
      <c r="AV100" s="5"/>
      <c r="AW100" s="5"/>
      <c r="AX100" s="5"/>
      <c r="AY100" s="5"/>
    </row>
    <row r="101" customFormat="false" ht="12.75" hidden="false" customHeight="false" outlineLevel="0" collapsed="false">
      <c r="A101" s="127"/>
      <c r="B101" s="128"/>
      <c r="C101" s="2" t="s">
        <v>354</v>
      </c>
      <c r="D101" s="175" t="n">
        <f aca="false">D103*AF47</f>
        <v>34.9282377455521</v>
      </c>
      <c r="E101" s="46" t="s">
        <v>337</v>
      </c>
      <c r="AE101" s="29" t="s">
        <v>20</v>
      </c>
      <c r="AF101" s="125" t="n">
        <v>0.3</v>
      </c>
      <c r="AH101" s="28"/>
      <c r="AI101" s="126" t="s">
        <v>355</v>
      </c>
      <c r="AJ101" s="126"/>
      <c r="AK101" s="126" t="s">
        <v>356</v>
      </c>
      <c r="AL101" s="126"/>
      <c r="AM101" s="126" t="s">
        <v>357</v>
      </c>
      <c r="AN101" s="126"/>
      <c r="AO101" s="126" t="s">
        <v>125</v>
      </c>
      <c r="AP101" s="126"/>
      <c r="AQ101" s="126" t="s">
        <v>358</v>
      </c>
      <c r="AR101" s="126"/>
      <c r="AS101" s="126" t="s">
        <v>359</v>
      </c>
      <c r="AT101" s="126"/>
      <c r="AU101" s="126"/>
      <c r="AV101" s="126"/>
      <c r="AW101" s="126"/>
      <c r="AX101" s="126"/>
      <c r="AY101" s="126"/>
    </row>
    <row r="102" customFormat="false" ht="12.75" hidden="false" customHeight="false" outlineLevel="0" collapsed="false">
      <c r="A102" s="127"/>
      <c r="B102" s="128"/>
      <c r="C102" s="50" t="s">
        <v>360</v>
      </c>
      <c r="D102" s="195" t="n">
        <f aca="false">LOOKUP($AC$34,$AH$48:$AH$53,$AM$48:$AM$53)*IF(D20&lt;150,0.9,1)</f>
        <v>7.8</v>
      </c>
      <c r="E102" s="46" t="s">
        <v>361</v>
      </c>
      <c r="AF102" s="126" t="s">
        <v>362</v>
      </c>
      <c r="AH102" s="28"/>
      <c r="AI102" s="126" t="s">
        <v>363</v>
      </c>
      <c r="AJ102" s="126" t="s">
        <v>364</v>
      </c>
      <c r="AK102" s="126" t="s">
        <v>365</v>
      </c>
      <c r="AL102" s="126" t="s">
        <v>366</v>
      </c>
      <c r="AM102" s="126" t="s">
        <v>365</v>
      </c>
      <c r="AN102" s="126" t="s">
        <v>366</v>
      </c>
      <c r="AO102" s="126" t="s">
        <v>365</v>
      </c>
      <c r="AP102" s="126" t="s">
        <v>366</v>
      </c>
      <c r="AQ102" s="126" t="s">
        <v>365</v>
      </c>
      <c r="AR102" s="126" t="s">
        <v>366</v>
      </c>
      <c r="AS102" s="126" t="s">
        <v>367</v>
      </c>
      <c r="AT102" s="126" t="s">
        <v>368</v>
      </c>
      <c r="AU102" s="126" t="s">
        <v>369</v>
      </c>
      <c r="AV102" s="126" t="s">
        <v>370</v>
      </c>
      <c r="AW102" s="126" t="s">
        <v>371</v>
      </c>
      <c r="AX102" s="126" t="s">
        <v>372</v>
      </c>
      <c r="AY102" s="126" t="s">
        <v>373</v>
      </c>
    </row>
    <row r="103" customFormat="false" ht="12.75" hidden="false" customHeight="false" outlineLevel="0" collapsed="false">
      <c r="A103" s="127"/>
      <c r="B103" s="128"/>
      <c r="C103" s="2" t="s">
        <v>374</v>
      </c>
      <c r="D103" s="175" t="n">
        <f aca="false">(E46+0.34*(D99+D100)*D21)*D10*(LOOKUP($AC$34,$AH$48:$AH$53,$AL$48:$AL$53)-IF(D25="F",0.1,0))</f>
        <v>49.833792</v>
      </c>
      <c r="E103" s="46" t="s">
        <v>337</v>
      </c>
      <c r="AE103" s="29" t="s">
        <v>156</v>
      </c>
      <c r="AF103" s="125" t="n">
        <v>650</v>
      </c>
      <c r="AH103" s="29" t="s">
        <v>43</v>
      </c>
      <c r="AI103" s="196" t="n">
        <v>0.2</v>
      </c>
      <c r="AJ103" s="196" t="n">
        <v>0.25</v>
      </c>
      <c r="AK103" s="125" t="n">
        <v>0.07</v>
      </c>
      <c r="AL103" s="125" t="n">
        <v>0.04</v>
      </c>
      <c r="AM103" s="125" t="n">
        <v>0.03</v>
      </c>
      <c r="AN103" s="125" t="n">
        <v>0.01</v>
      </c>
      <c r="AO103" s="197" t="n">
        <v>0.25</v>
      </c>
      <c r="AP103" s="197" t="n">
        <v>0.45</v>
      </c>
      <c r="AQ103" s="198" t="n">
        <v>10</v>
      </c>
      <c r="AR103" s="198" t="n">
        <v>3</v>
      </c>
      <c r="AS103" s="199" t="n">
        <v>10</v>
      </c>
      <c r="AT103" s="199" t="n">
        <v>70</v>
      </c>
      <c r="AU103" s="200" t="s">
        <v>92</v>
      </c>
      <c r="AV103" s="201" t="n">
        <v>35.4</v>
      </c>
      <c r="AW103" s="201" t="n">
        <v>4.5</v>
      </c>
      <c r="AX103" s="198" t="n">
        <v>8</v>
      </c>
      <c r="AY103" s="198"/>
    </row>
    <row r="104" customFormat="false" ht="12.75" hidden="false" customHeight="false" outlineLevel="0" collapsed="false">
      <c r="A104" s="127"/>
      <c r="B104" s="128"/>
      <c r="AE104" s="29" t="s">
        <v>6</v>
      </c>
      <c r="AF104" s="125" t="n">
        <v>600</v>
      </c>
      <c r="AH104" s="126" t="s">
        <v>156</v>
      </c>
      <c r="AI104" s="196" t="n">
        <v>0.2</v>
      </c>
      <c r="AJ104" s="196" t="n">
        <v>0.25</v>
      </c>
      <c r="AK104" s="125" t="n">
        <v>0.07</v>
      </c>
      <c r="AL104" s="125" t="n">
        <v>0.04</v>
      </c>
      <c r="AM104" s="125" t="n">
        <v>0.03</v>
      </c>
      <c r="AN104" s="125" t="n">
        <v>0.01</v>
      </c>
      <c r="AO104" s="197" t="n">
        <v>0.25</v>
      </c>
      <c r="AP104" s="197" t="n">
        <v>0.45</v>
      </c>
      <c r="AQ104" s="198" t="n">
        <v>20</v>
      </c>
      <c r="AR104" s="198" t="n">
        <v>5</v>
      </c>
      <c r="AS104" s="199" t="n">
        <v>20</v>
      </c>
      <c r="AT104" s="199" t="n">
        <v>80</v>
      </c>
      <c r="AU104" s="198" t="n">
        <v>10</v>
      </c>
      <c r="AV104" s="201" t="n">
        <v>35.4</v>
      </c>
      <c r="AW104" s="199" t="n">
        <v>0</v>
      </c>
      <c r="AX104" s="198"/>
      <c r="AY104" s="198"/>
    </row>
    <row r="105" customFormat="false" ht="12.75" hidden="false" customHeight="false" outlineLevel="0" collapsed="false">
      <c r="A105" s="143" t="n">
        <v>8</v>
      </c>
      <c r="B105" s="143"/>
      <c r="C105" s="91" t="s">
        <v>367</v>
      </c>
      <c r="D105" s="92"/>
      <c r="E105" s="177" t="n">
        <f aca="false">D103-D101</f>
        <v>14.9055542544479</v>
      </c>
      <c r="F105" s="46" t="s">
        <v>337</v>
      </c>
      <c r="I105" s="1" t="s">
        <v>367</v>
      </c>
      <c r="J105" s="94" t="s">
        <v>169</v>
      </c>
      <c r="K105" s="178" t="n">
        <f aca="false">LOOKUP($AC$34,$AH$103:$AH$108,$AQ$103:$AQ$108)</f>
        <v>10</v>
      </c>
      <c r="L105" s="179" t="n">
        <f aca="false">(K105+M105)/2</f>
        <v>6.5</v>
      </c>
      <c r="M105" s="180" t="n">
        <f aca="false">LOOKUP($AC$34,$AH$103:$AH$108,$AR$103:$AR$108)</f>
        <v>3</v>
      </c>
      <c r="AE105" s="29" t="s">
        <v>20</v>
      </c>
      <c r="AF105" s="125" t="n">
        <v>700</v>
      </c>
      <c r="AH105" s="29" t="s">
        <v>201</v>
      </c>
      <c r="AI105" s="196" t="n">
        <v>0.2</v>
      </c>
      <c r="AJ105" s="196" t="n">
        <v>0.25</v>
      </c>
      <c r="AK105" s="125" t="n">
        <v>0.06</v>
      </c>
      <c r="AL105" s="125" t="n">
        <v>0.09</v>
      </c>
      <c r="AM105" s="125" t="n">
        <v>0.035</v>
      </c>
      <c r="AN105" s="125" t="n">
        <v>0.015</v>
      </c>
      <c r="AO105" s="197" t="n">
        <v>0.2</v>
      </c>
      <c r="AP105" s="197" t="n">
        <v>0.4</v>
      </c>
      <c r="AQ105" s="198" t="n">
        <v>25</v>
      </c>
      <c r="AR105" s="198" t="n">
        <v>10</v>
      </c>
      <c r="AS105" s="199" t="n">
        <v>15</v>
      </c>
      <c r="AT105" s="199" t="n">
        <v>50</v>
      </c>
      <c r="AU105" s="201" t="n">
        <v>24.3</v>
      </c>
      <c r="AV105" s="201" t="n">
        <v>38.5</v>
      </c>
      <c r="AW105" s="199" t="n">
        <v>0</v>
      </c>
      <c r="AX105" s="198" t="n">
        <v>4</v>
      </c>
      <c r="AY105" s="198"/>
    </row>
    <row r="106" customFormat="false" ht="12.75" hidden="false" customHeight="false" outlineLevel="0" collapsed="false">
      <c r="A106" s="127"/>
      <c r="B106" s="128"/>
      <c r="J106" s="94" t="s">
        <v>173</v>
      </c>
      <c r="K106" s="30" t="n">
        <f aca="false">0.6*K105</f>
        <v>6</v>
      </c>
      <c r="L106" s="31" t="n">
        <f aca="false">0.6*L105</f>
        <v>3.9</v>
      </c>
      <c r="M106" s="32" t="n">
        <f aca="false">0.6*M105</f>
        <v>1.8</v>
      </c>
      <c r="AH106" s="126" t="s">
        <v>97</v>
      </c>
      <c r="AI106" s="196" t="n">
        <v>0.2</v>
      </c>
      <c r="AJ106" s="196" t="n">
        <v>0.25</v>
      </c>
      <c r="AK106" s="125" t="n">
        <v>0.07</v>
      </c>
      <c r="AL106" s="125" t="n">
        <v>0.04</v>
      </c>
      <c r="AM106" s="125" t="n">
        <v>0.03</v>
      </c>
      <c r="AN106" s="125" t="n">
        <v>0.01</v>
      </c>
      <c r="AO106" s="197" t="n">
        <v>0.25</v>
      </c>
      <c r="AP106" s="197" t="n">
        <v>0.45</v>
      </c>
      <c r="AQ106" s="198" t="n">
        <v>20</v>
      </c>
      <c r="AR106" s="198" t="n">
        <v>5</v>
      </c>
      <c r="AS106" s="198"/>
      <c r="AT106" s="198"/>
      <c r="AU106" s="198"/>
      <c r="AV106" s="198"/>
      <c r="AW106" s="198"/>
      <c r="AX106" s="198"/>
      <c r="AY106" s="198"/>
    </row>
    <row r="107" customFormat="false" ht="12.75" hidden="false" customHeight="false" outlineLevel="0" collapsed="false">
      <c r="A107" s="127"/>
      <c r="B107" s="128"/>
      <c r="AH107" s="126" t="s">
        <v>176</v>
      </c>
      <c r="AI107" s="196" t="n">
        <v>0.2</v>
      </c>
      <c r="AJ107" s="196" t="n">
        <v>0.25</v>
      </c>
      <c r="AK107" s="125" t="n">
        <v>0.06</v>
      </c>
      <c r="AL107" s="125" t="n">
        <v>0.09</v>
      </c>
      <c r="AM107" s="125" t="n">
        <v>0.035</v>
      </c>
      <c r="AN107" s="125" t="n">
        <v>0.015</v>
      </c>
      <c r="AO107" s="197" t="n">
        <v>0.2</v>
      </c>
      <c r="AP107" s="197" t="n">
        <v>0.4</v>
      </c>
      <c r="AQ107" s="200" t="n">
        <v>25</v>
      </c>
      <c r="AR107" s="200" t="n">
        <v>10</v>
      </c>
      <c r="AS107" s="199" t="n">
        <v>15</v>
      </c>
      <c r="AT107" s="199" t="n">
        <v>50</v>
      </c>
      <c r="AU107" s="201" t="n">
        <v>24.3</v>
      </c>
      <c r="AV107" s="202" t="n">
        <v>33.85</v>
      </c>
      <c r="AW107" s="199" t="n">
        <v>0</v>
      </c>
      <c r="AX107" s="200" t="n">
        <v>3.5</v>
      </c>
      <c r="AY107" s="203" t="n">
        <v>0.6</v>
      </c>
    </row>
    <row r="108" customFormat="false" ht="12.75" hidden="false" customHeight="false" outlineLevel="0" collapsed="false">
      <c r="A108" s="127"/>
      <c r="B108" s="41" t="s">
        <v>375</v>
      </c>
      <c r="AH108" s="29" t="s">
        <v>20</v>
      </c>
      <c r="AI108" s="196" t="n">
        <v>0.2</v>
      </c>
      <c r="AJ108" s="196" t="n">
        <v>0.25</v>
      </c>
      <c r="AK108" s="125" t="n">
        <v>0.07</v>
      </c>
      <c r="AL108" s="125" t="n">
        <v>0.04</v>
      </c>
      <c r="AM108" s="125" t="n">
        <v>0.03</v>
      </c>
      <c r="AN108" s="125" t="n">
        <v>0.01</v>
      </c>
      <c r="AO108" s="197" t="n">
        <v>0.25</v>
      </c>
      <c r="AP108" s="197" t="n">
        <v>0.45</v>
      </c>
      <c r="AQ108" s="198" t="n">
        <v>15</v>
      </c>
      <c r="AR108" s="198" t="n">
        <v>5</v>
      </c>
      <c r="AS108" s="199" t="n">
        <v>15</v>
      </c>
      <c r="AT108" s="199" t="n">
        <v>50</v>
      </c>
      <c r="AU108" s="199" t="s">
        <v>92</v>
      </c>
      <c r="AV108" s="201" t="n">
        <v>30.8</v>
      </c>
      <c r="AW108" s="199" t="n">
        <v>0</v>
      </c>
      <c r="AX108" s="198"/>
      <c r="AY108" s="198"/>
    </row>
    <row r="109" customFormat="false" ht="12.75" hidden="false" customHeight="false" outlineLevel="0" collapsed="false">
      <c r="A109" s="127"/>
      <c r="B109" s="128"/>
      <c r="C109" s="41"/>
      <c r="AT109" s="80" t="s">
        <v>376</v>
      </c>
      <c r="AU109" s="80" t="s">
        <v>377</v>
      </c>
      <c r="AV109" s="80" t="s">
        <v>377</v>
      </c>
    </row>
    <row r="110" customFormat="false" ht="12.75" hidden="false" customHeight="false" outlineLevel="0" collapsed="false">
      <c r="A110" s="127"/>
      <c r="B110" s="128"/>
      <c r="C110" s="2" t="s">
        <v>378</v>
      </c>
      <c r="D110" s="51" t="s">
        <v>176</v>
      </c>
      <c r="E110" s="114" t="s">
        <v>379</v>
      </c>
    </row>
    <row r="111" customFormat="false" ht="12.75" hidden="false" customHeight="false" outlineLevel="0" collapsed="false">
      <c r="A111" s="127"/>
      <c r="B111" s="128"/>
      <c r="C111" s="2" t="s">
        <v>380</v>
      </c>
      <c r="D111" s="51" t="s">
        <v>15</v>
      </c>
      <c r="E111" s="114" t="s">
        <v>379</v>
      </c>
    </row>
    <row r="112" customFormat="false" ht="12.75" hidden="false" customHeight="false" outlineLevel="0" collapsed="false">
      <c r="A112" s="127"/>
      <c r="B112" s="128"/>
      <c r="C112" s="2" t="s">
        <v>381</v>
      </c>
      <c r="D112" s="204" t="n">
        <v>0</v>
      </c>
    </row>
    <row r="113" customFormat="false" ht="12.75" hidden="false" customHeight="false" outlineLevel="0" collapsed="false">
      <c r="A113" s="127"/>
      <c r="B113" s="148" t="s">
        <v>382</v>
      </c>
      <c r="D113" s="204" t="n">
        <f aca="false">LOOKUP($D$110,AH57:AH61,AI57:AI61)</f>
        <v>0.8</v>
      </c>
      <c r="M113" s="1"/>
    </row>
    <row r="114" customFormat="false" ht="12.75" hidden="false" customHeight="false" outlineLevel="0" collapsed="false">
      <c r="A114" s="127"/>
      <c r="B114" s="148" t="s">
        <v>383</v>
      </c>
      <c r="D114" s="204" t="n">
        <f aca="false">LOOKUP($D$111,AH57:AH61,AJ57:AJ61)</f>
        <v>0.85</v>
      </c>
      <c r="M114" s="1"/>
    </row>
    <row r="115" customFormat="false" ht="12.75" hidden="false" customHeight="false" outlineLevel="0" collapsed="false">
      <c r="A115" s="127"/>
      <c r="B115" s="148" t="s">
        <v>384</v>
      </c>
      <c r="D115" s="175" t="n">
        <f aca="false">E105/D113</f>
        <v>18.6319428180599</v>
      </c>
      <c r="E115" s="46" t="s">
        <v>385</v>
      </c>
      <c r="M115" s="1"/>
    </row>
    <row r="116" customFormat="false" ht="12.75" hidden="false" customHeight="false" outlineLevel="0" collapsed="false">
      <c r="A116" s="127"/>
      <c r="B116" s="148" t="s">
        <v>386</v>
      </c>
      <c r="D116" s="175" t="n">
        <f aca="false">LOOKUP($AC$34,$AH$65:$AH$70,$AM$65:$AM$70)</f>
        <v>2</v>
      </c>
      <c r="E116" s="46" t="s">
        <v>385</v>
      </c>
      <c r="M116" s="1"/>
    </row>
    <row r="117" customFormat="false" ht="12.75" hidden="false" customHeight="false" outlineLevel="0" collapsed="false">
      <c r="A117" s="127"/>
      <c r="B117" s="148" t="s">
        <v>387</v>
      </c>
      <c r="D117" s="175" t="n">
        <f aca="false">LOOKUP($AC$34,$AH$83:$AH$88,$AI$83:$AI$88)/D114</f>
        <v>1.76470588235294</v>
      </c>
      <c r="E117" s="46" t="s">
        <v>385</v>
      </c>
      <c r="M117" s="1"/>
    </row>
    <row r="118" customFormat="false" ht="12.75" hidden="false" customHeight="false" outlineLevel="0" collapsed="false">
      <c r="A118" s="127"/>
      <c r="B118" s="148" t="s">
        <v>388</v>
      </c>
      <c r="D118" s="205" t="n">
        <f aca="false">VLOOKUP($AC$34,AH65:AK70,1+MATCH(D97,AI64:AK64,0))</f>
        <v>3.5</v>
      </c>
      <c r="E118" s="46" t="s">
        <v>385</v>
      </c>
      <c r="M118" s="1"/>
    </row>
    <row r="119" customFormat="false" ht="12.75" hidden="false" customHeight="false" outlineLevel="0" collapsed="false">
      <c r="A119" s="127"/>
      <c r="B119" s="148" t="s">
        <v>389</v>
      </c>
      <c r="D119" s="204" t="n">
        <v>0.5</v>
      </c>
      <c r="E119" s="46" t="s">
        <v>385</v>
      </c>
      <c r="M119" s="1"/>
    </row>
    <row r="120" customFormat="false" ht="12.75" hidden="false" customHeight="false" outlineLevel="0" collapsed="false">
      <c r="A120" s="127"/>
      <c r="B120" s="148" t="s">
        <v>390</v>
      </c>
      <c r="D120" s="185" t="n">
        <f aca="false">AF57</f>
        <v>6.90654093609664</v>
      </c>
      <c r="E120" s="46" t="s">
        <v>385</v>
      </c>
      <c r="M120" s="1"/>
    </row>
    <row r="121" customFormat="false" ht="12.75" hidden="false" customHeight="false" outlineLevel="0" collapsed="false">
      <c r="A121" s="127"/>
      <c r="B121" s="148" t="s">
        <v>391</v>
      </c>
      <c r="D121" s="175" t="n">
        <f aca="false">LOOKUP($AC$34,$AH$65:$AH$70,$AL$65:$AL$70)</f>
        <v>30</v>
      </c>
      <c r="E121" s="46" t="s">
        <v>385</v>
      </c>
      <c r="M121" s="1"/>
    </row>
    <row r="122" customFormat="false" ht="12.75" hidden="false" customHeight="false" outlineLevel="0" collapsed="false">
      <c r="A122" s="127"/>
      <c r="B122" s="148" t="s">
        <v>392</v>
      </c>
      <c r="D122" s="195" t="n">
        <f aca="false">AF58</f>
        <v>6.90654093609664</v>
      </c>
      <c r="E122" s="46" t="s">
        <v>385</v>
      </c>
      <c r="M122" s="1"/>
    </row>
    <row r="123" customFormat="false" ht="12.75" hidden="false" customHeight="false" outlineLevel="0" collapsed="false">
      <c r="A123" s="127"/>
      <c r="B123" s="148" t="s">
        <v>393</v>
      </c>
      <c r="D123" s="137" t="n">
        <f aca="false">D115*LOOKUP($D$110,AH57:AH61,AL57:AL61)+D117*LOOKUP($D$111,AH57:AH61,AL57:AL61)+$AL$59*(D118+D119+D116+D120+D121)</f>
        <v>161.205022983493</v>
      </c>
      <c r="E123" s="46" t="s">
        <v>394</v>
      </c>
      <c r="M123" s="1"/>
    </row>
    <row r="124" customFormat="false" ht="12.75" hidden="false" customHeight="false" outlineLevel="0" collapsed="false">
      <c r="A124" s="127"/>
      <c r="B124" s="148" t="s">
        <v>395</v>
      </c>
      <c r="D124" s="137" t="n">
        <f aca="false">D115*LOOKUP($D$110,AH57:AH61,AK57:AK61)+D117*LOOKUP($D$111,AH57:AH61,AK57:AK61)+2.58*(D116+D118+D119+D122)</f>
        <v>56.4837596096598</v>
      </c>
      <c r="E124" s="46" t="s">
        <v>394</v>
      </c>
      <c r="M124" s="1"/>
    </row>
    <row r="125" customFormat="false" ht="12.75" hidden="false" customHeight="false" outlineLevel="0" collapsed="false">
      <c r="A125" s="127"/>
      <c r="B125" s="128"/>
      <c r="C125" s="50" t="s">
        <v>396</v>
      </c>
      <c r="D125" s="137" t="n">
        <f aca="false">IF(OR($AC$34="L",$AC$34="R"),(D20+D22*M86*(IF(D24="M",20,0)+2.3217*E37^(-1.333))/100),D20*LOOKUP($AC$34,$AH$93:$AH$98,$AJ$93:$AJ$98))</f>
        <v>2750</v>
      </c>
      <c r="E125" s="80" t="s">
        <v>80</v>
      </c>
      <c r="M125" s="1"/>
    </row>
    <row r="126" customFormat="false" ht="12.75" hidden="false" customHeight="false" outlineLevel="0" collapsed="false">
      <c r="A126" s="127"/>
      <c r="B126" s="128"/>
      <c r="M126" s="1"/>
    </row>
    <row r="127" customFormat="false" ht="12.75" hidden="false" customHeight="false" outlineLevel="0" collapsed="false">
      <c r="A127" s="143" t="n">
        <v>9</v>
      </c>
      <c r="B127" s="143"/>
      <c r="C127" s="91" t="s">
        <v>397</v>
      </c>
      <c r="D127" s="92"/>
      <c r="E127" s="177" t="n">
        <f aca="false">D123</f>
        <v>161.205022983493</v>
      </c>
      <c r="F127" s="46" t="s">
        <v>394</v>
      </c>
      <c r="K127" s="206" t="s">
        <v>169</v>
      </c>
      <c r="L127" s="206" t="s">
        <v>398</v>
      </c>
      <c r="M127" s="1"/>
    </row>
    <row r="128" customFormat="false" ht="12.75" hidden="false" customHeight="false" outlineLevel="0" collapsed="false">
      <c r="A128" s="143"/>
      <c r="B128" s="143"/>
      <c r="C128" s="91" t="s">
        <v>399</v>
      </c>
      <c r="D128" s="92"/>
      <c r="E128" s="177" t="n">
        <f aca="false">D124*D20/D125</f>
        <v>51.348872372418</v>
      </c>
      <c r="F128" s="46" t="s">
        <v>400</v>
      </c>
      <c r="J128" s="50" t="s">
        <v>252</v>
      </c>
      <c r="K128" s="207" t="n">
        <f aca="false">AF66</f>
        <v>98</v>
      </c>
      <c r="L128" s="207" t="n">
        <f aca="false">K128*40/50</f>
        <v>78.4</v>
      </c>
      <c r="M128" s="1"/>
      <c r="N128" s="84"/>
    </row>
    <row r="129" customFormat="false" ht="12.75" hidden="false" customHeight="false" outlineLevel="0" collapsed="false">
      <c r="A129" s="208"/>
      <c r="C129" s="1"/>
      <c r="F129" s="80"/>
      <c r="M129" s="1"/>
    </row>
    <row r="130" customFormat="false" ht="12.75" hidden="false" customHeight="false" outlineLevel="0" collapsed="false">
      <c r="A130" s="208"/>
      <c r="B130" s="41" t="s">
        <v>401</v>
      </c>
      <c r="C130" s="1"/>
      <c r="F130" s="80"/>
      <c r="M130" s="1"/>
    </row>
    <row r="131" customFormat="false" ht="12.75" hidden="false" customHeight="false" outlineLevel="0" collapsed="false">
      <c r="A131" s="208"/>
      <c r="C131" s="209" t="s">
        <v>402</v>
      </c>
      <c r="F131" s="80"/>
      <c r="M131" s="1"/>
    </row>
    <row r="132" customFormat="false" ht="12.75" hidden="false" customHeight="false" outlineLevel="0" collapsed="false">
      <c r="A132" s="208"/>
      <c r="B132" s="210" t="s">
        <v>403</v>
      </c>
      <c r="C132" s="211" t="s">
        <v>185</v>
      </c>
      <c r="E132" s="137" t="n">
        <f aca="false">IF($E$37&gt;0,($AY$42+$BA$42*$AZ$42*$E$37^($BB$42)),0)*E$18/$D$20</f>
        <v>111.413977421907</v>
      </c>
      <c r="F132" s="46" t="s">
        <v>404</v>
      </c>
      <c r="M132" s="1"/>
    </row>
    <row r="133" customFormat="false" ht="12.75" hidden="false" customHeight="false" outlineLevel="0" collapsed="false">
      <c r="A133" s="208"/>
      <c r="B133" s="210" t="s">
        <v>405</v>
      </c>
      <c r="C133" s="211" t="s">
        <v>180</v>
      </c>
      <c r="E133" s="137" t="n">
        <f aca="false">IF(F18&gt;0,($AY$43+$BA$43*$AZ$43*$F$37^($BB$43)),0)*F$18/$D$20</f>
        <v>0</v>
      </c>
      <c r="F133" s="46" t="s">
        <v>404</v>
      </c>
      <c r="M133" s="1"/>
    </row>
    <row r="134" customFormat="false" ht="12.75" hidden="false" customHeight="false" outlineLevel="0" collapsed="false">
      <c r="A134" s="208"/>
      <c r="B134" s="210" t="s">
        <v>406</v>
      </c>
      <c r="C134" s="211" t="s">
        <v>202</v>
      </c>
      <c r="F134" s="80"/>
      <c r="M134" s="1"/>
    </row>
    <row r="135" customFormat="false" ht="12.75" hidden="false" customHeight="false" outlineLevel="0" collapsed="false">
      <c r="A135" s="208"/>
      <c r="B135" s="210" t="s">
        <v>407</v>
      </c>
      <c r="C135" s="211" t="s">
        <v>196</v>
      </c>
      <c r="F135" s="80"/>
      <c r="M135" s="1"/>
    </row>
    <row r="136" customFormat="false" ht="12.75" hidden="false" customHeight="false" outlineLevel="0" collapsed="false">
      <c r="A136" s="208"/>
      <c r="B136" s="210" t="s">
        <v>408</v>
      </c>
      <c r="C136" s="211" t="s">
        <v>232</v>
      </c>
      <c r="E136" s="137" t="n">
        <f aca="false">IF($G$37&gt;0,($AY$54+$BA$54*$AZ$54*$G$37^($BB$54)),0)*G$18/$D$20</f>
        <v>72.125585909167</v>
      </c>
      <c r="F136" s="46" t="s">
        <v>404</v>
      </c>
      <c r="M136" s="1"/>
    </row>
    <row r="137" customFormat="false" ht="12.75" hidden="false" customHeight="false" outlineLevel="0" collapsed="false">
      <c r="A137" s="208"/>
      <c r="B137" s="210" t="s">
        <v>409</v>
      </c>
      <c r="C137" s="211" t="s">
        <v>217</v>
      </c>
      <c r="E137" s="137" t="n">
        <f aca="false">IF($H$37&gt;0,($AY$55+$BA$55*$AZ$55*$H$37^($BB$55)),0)*H$18/$D$20</f>
        <v>0</v>
      </c>
      <c r="F137" s="46" t="s">
        <v>404</v>
      </c>
      <c r="M137" s="1"/>
    </row>
    <row r="138" customFormat="false" ht="12.75" hidden="false" customHeight="false" outlineLevel="0" collapsed="false">
      <c r="A138" s="208"/>
      <c r="B138" s="210" t="s">
        <v>410</v>
      </c>
      <c r="C138" s="211" t="s">
        <v>202</v>
      </c>
      <c r="F138" s="80"/>
      <c r="M138" s="1"/>
    </row>
    <row r="139" customFormat="false" ht="12.75" hidden="false" customHeight="false" outlineLevel="0" collapsed="false">
      <c r="A139" s="208"/>
      <c r="B139" s="210" t="s">
        <v>411</v>
      </c>
      <c r="C139" s="211" t="s">
        <v>196</v>
      </c>
      <c r="F139" s="80"/>
      <c r="M139" s="1"/>
    </row>
    <row r="140" customFormat="false" ht="12.75" hidden="false" customHeight="false" outlineLevel="0" collapsed="false">
      <c r="A140" s="208"/>
      <c r="B140" s="210" t="s">
        <v>412</v>
      </c>
      <c r="C140" s="211" t="s">
        <v>259</v>
      </c>
      <c r="E140" s="137" t="n">
        <f aca="false">$AW$64*$I18/$D$20</f>
        <v>195.12</v>
      </c>
      <c r="F140" s="46" t="s">
        <v>404</v>
      </c>
      <c r="M140" s="1"/>
    </row>
    <row r="141" customFormat="false" ht="12.75" hidden="false" customHeight="false" outlineLevel="0" collapsed="false">
      <c r="A141" s="208"/>
      <c r="B141" s="210" t="s">
        <v>413</v>
      </c>
      <c r="C141" s="211" t="s">
        <v>254</v>
      </c>
      <c r="E141" s="137" t="n">
        <f aca="false">$AW$65*$J18/$D$20</f>
        <v>0</v>
      </c>
      <c r="F141" s="46" t="s">
        <v>404</v>
      </c>
      <c r="M141" s="1"/>
    </row>
    <row r="142" customFormat="false" ht="12.75" hidden="false" customHeight="false" outlineLevel="0" collapsed="false">
      <c r="A142" s="208"/>
      <c r="B142" s="210" t="s">
        <v>66</v>
      </c>
      <c r="C142" s="211" t="s">
        <v>275</v>
      </c>
      <c r="E142" s="137" t="n">
        <f aca="false">($AY$72*(1-$D$57)+$AZ$72*$D$57)*$K$18/$D$20</f>
        <v>113.268</v>
      </c>
      <c r="F142" s="46" t="s">
        <v>404</v>
      </c>
      <c r="M142" s="1"/>
    </row>
    <row r="143" customFormat="false" ht="12.75" hidden="false" customHeight="false" outlineLevel="0" collapsed="false">
      <c r="A143" s="208"/>
      <c r="B143" s="210" t="s">
        <v>67</v>
      </c>
      <c r="E143" s="138" t="n">
        <f aca="false">$T166*L$18/$D$20</f>
        <v>0</v>
      </c>
      <c r="F143" s="46" t="s">
        <v>404</v>
      </c>
      <c r="M143" s="1"/>
    </row>
    <row r="144" customFormat="false" ht="12.75" hidden="false" customHeight="false" outlineLevel="0" collapsed="false">
      <c r="A144" s="208"/>
      <c r="B144" s="210" t="s">
        <v>414</v>
      </c>
      <c r="C144" s="211" t="s">
        <v>295</v>
      </c>
      <c r="E144" s="137" t="n">
        <f aca="false">$AW$77*$K$18/$D$20</f>
        <v>120</v>
      </c>
      <c r="F144" s="46" t="s">
        <v>404</v>
      </c>
      <c r="M144" s="1"/>
    </row>
    <row r="145" customFormat="false" ht="12.75" hidden="false" customHeight="false" outlineLevel="0" collapsed="false">
      <c r="A145" s="208"/>
      <c r="B145" s="210" t="s">
        <v>415</v>
      </c>
      <c r="C145" s="211" t="s">
        <v>305</v>
      </c>
      <c r="E145" s="137" t="n">
        <f aca="false">$AW$81*($D$22-1)/$D$22</f>
        <v>233.625</v>
      </c>
      <c r="F145" s="46" t="s">
        <v>404</v>
      </c>
      <c r="M145" s="1"/>
    </row>
    <row r="146" customFormat="false" ht="12.75" hidden="false" customHeight="false" outlineLevel="0" collapsed="false">
      <c r="A146" s="208"/>
      <c r="B146" s="210" t="s">
        <v>416</v>
      </c>
      <c r="C146" s="211" t="s">
        <v>333</v>
      </c>
      <c r="E146" s="137" t="n">
        <f aca="false">$AW$89</f>
        <v>257.638888888889</v>
      </c>
      <c r="F146" s="46" t="s">
        <v>404</v>
      </c>
      <c r="M146" s="1"/>
    </row>
    <row r="147" customFormat="false" ht="12.75" hidden="false" customHeight="false" outlineLevel="0" collapsed="false">
      <c r="A147" s="208"/>
      <c r="B147" s="80" t="s">
        <v>343</v>
      </c>
      <c r="E147" s="137" t="n">
        <f aca="false">$AW$96+$AW$97*$D$112/0.5</f>
        <v>300</v>
      </c>
      <c r="F147" s="46" t="s">
        <v>404</v>
      </c>
    </row>
    <row r="148" customFormat="false" ht="12.75" hidden="false" customHeight="false" outlineLevel="0" collapsed="false">
      <c r="A148" s="143" t="n">
        <v>10</v>
      </c>
      <c r="B148" s="143"/>
      <c r="C148" s="91" t="s">
        <v>417</v>
      </c>
      <c r="D148" s="92"/>
      <c r="E148" s="177" t="n">
        <f aca="false">SUM(E132:E147)</f>
        <v>1403.19145221996</v>
      </c>
      <c r="F148" s="46" t="s">
        <v>404</v>
      </c>
      <c r="J148" s="50" t="s">
        <v>418</v>
      </c>
      <c r="K148" s="212" t="n">
        <v>1500</v>
      </c>
      <c r="L148" s="213" t="n">
        <v>1350</v>
      </c>
      <c r="M148" s="32" t="n">
        <v>1200</v>
      </c>
    </row>
    <row r="149" customFormat="false" ht="12.75" hidden="false" customHeight="false" outlineLevel="0" collapsed="false">
      <c r="E149" s="87"/>
    </row>
    <row r="150" customFormat="false" ht="12.75" hidden="false" customHeight="false" outlineLevel="0" collapsed="false">
      <c r="E150" s="87"/>
    </row>
    <row r="151" customFormat="false" ht="12.75" hidden="false" customHeight="false" outlineLevel="0" collapsed="false">
      <c r="E151" s="87"/>
    </row>
    <row r="152" customFormat="false" ht="12.75" hidden="false" customHeight="false" outlineLevel="0" collapsed="false">
      <c r="E152" s="87"/>
    </row>
    <row r="153" customFormat="false" ht="12.75" hidden="false" customHeight="false" outlineLevel="0" collapsed="false">
      <c r="E153" s="87"/>
    </row>
    <row r="154" customFormat="false" ht="12.75" hidden="false" customHeight="false" outlineLevel="0" collapsed="false">
      <c r="E154" s="87"/>
    </row>
    <row r="155" customFormat="false" ht="12.75" hidden="false" customHeight="false" outlineLevel="0" collapsed="false">
      <c r="E155" s="87"/>
    </row>
  </sheetData>
  <sheetProtection sheet="true" password="b9aa" objects="true" scenarios="true"/>
  <mergeCells count="31">
    <mergeCell ref="A1:Y1"/>
    <mergeCell ref="A2:M2"/>
    <mergeCell ref="O2:Y2"/>
    <mergeCell ref="AB2:AO2"/>
    <mergeCell ref="A3:A26"/>
    <mergeCell ref="AB4:AK4"/>
    <mergeCell ref="T5:U5"/>
    <mergeCell ref="V5:W5"/>
    <mergeCell ref="Q25:Y25"/>
    <mergeCell ref="Q26:S26"/>
    <mergeCell ref="T26:V26"/>
    <mergeCell ref="W26:Y26"/>
    <mergeCell ref="O27:P27"/>
    <mergeCell ref="O28:P28"/>
    <mergeCell ref="Q31:R31"/>
    <mergeCell ref="S31:T31"/>
    <mergeCell ref="U31:V31"/>
    <mergeCell ref="E35:F35"/>
    <mergeCell ref="G35:H35"/>
    <mergeCell ref="I35:J35"/>
    <mergeCell ref="L35:L36"/>
    <mergeCell ref="AH39:AJ39"/>
    <mergeCell ref="AI40:AK40"/>
    <mergeCell ref="AM40:AO40"/>
    <mergeCell ref="A92:A93"/>
    <mergeCell ref="AI101:AJ101"/>
    <mergeCell ref="AK101:AL101"/>
    <mergeCell ref="AM101:AN101"/>
    <mergeCell ref="AO101:AP101"/>
    <mergeCell ref="AQ101:AR101"/>
    <mergeCell ref="AS101:AY101"/>
  </mergeCells>
  <dataValidations count="9">
    <dataValidation allowBlank="true" errorStyle="stop" operator="between" showDropDown="false" showErrorMessage="true" showInputMessage="true" sqref="C138:C139" type="list">
      <formula1>$AU$60:$AU$62</formula1>
      <formula2>0</formula2>
    </dataValidation>
    <dataValidation allowBlank="true" errorStyle="stop" operator="between" showDropDown="false" showErrorMessage="true" showInputMessage="true" sqref="C136:C137" type="list">
      <formula1>$AU$53:$AU$58</formula1>
      <formula2>0</formula2>
    </dataValidation>
    <dataValidation allowBlank="true" errorStyle="stop" operator="between" showDropDown="false" showErrorMessage="true" showInputMessage="true" sqref="C134:C135" type="list">
      <formula1>$AU$49:$AU$51</formula1>
      <formula2>0</formula2>
    </dataValidation>
    <dataValidation allowBlank="true" errorStyle="stop" operator="between" showDropDown="false" showErrorMessage="true" showInputMessage="true" sqref="C144" type="list">
      <formula1>$AU$77:$AU$79</formula1>
      <formula2>0</formula2>
    </dataValidation>
    <dataValidation allowBlank="true" errorStyle="stop" operator="between" showDropDown="false" showErrorMessage="true" showInputMessage="true" sqref="C142" type="list">
      <formula1>$AU$70:$AU$75</formula1>
      <formula2>0</formula2>
    </dataValidation>
    <dataValidation allowBlank="true" errorStyle="stop" operator="between" showDropDown="false" showErrorMessage="true" showInputMessage="true" sqref="C140:C141" type="list">
      <formula1>$AU$64:$AU$68</formula1>
      <formula2>0</formula2>
    </dataValidation>
    <dataValidation allowBlank="true" errorStyle="stop" operator="between" showDropDown="false" showErrorMessage="true" showInputMessage="true" sqref="C132:C133" type="list">
      <formula1>$AU$41:$AU$47</formula1>
      <formula2>0</formula2>
    </dataValidation>
    <dataValidation allowBlank="true" errorStyle="stop" operator="between" showDropDown="false" showErrorMessage="true" showInputMessage="true" sqref="C145" type="list">
      <formula1>$AU$81:$AU$87</formula1>
      <formula2>0</formula2>
    </dataValidation>
    <dataValidation allowBlank="true" errorStyle="stop" operator="between" showDropDown="false" showErrorMessage="true" showInputMessage="true" sqref="C146" type="list">
      <formula1>$AU$89:$AU$94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2008-11-14T05:25:58Z</dcterms:created>
  <dc:creator>Portable-Alain</dc:creator>
  <dc:description/>
  <dc:language>fr-FR</dc:language>
  <cp:lastModifiedBy/>
  <cp:lastPrinted>2008-12-19T18:09:07Z</cp:lastPrinted>
  <dcterms:modified xsi:type="dcterms:W3CDTF">2023-10-20T09:24:25Z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