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IVY PRO SCHOOL\Excel\Research\Portfolio project\Fresh data\"/>
    </mc:Choice>
  </mc:AlternateContent>
  <xr:revisionPtr revIDLastSave="0" documentId="13_ncr:1_{CDDE0936-183D-459F-8C2F-0BCFD1ABD91E}" xr6:coauthVersionLast="47" xr6:coauthVersionMax="47" xr10:uidLastSave="{00000000-0000-0000-0000-000000000000}"/>
  <bookViews>
    <workbookView xWindow="-120" yWindow="-120" windowWidth="20730" windowHeight="11040" activeTab="3" xr2:uid="{00000000-000D-0000-FFFF-FFFF00000000}"/>
  </bookViews>
  <sheets>
    <sheet name="DashBoard" sheetId="19" r:id="rId1"/>
    <sheet name="Pivot Table" sheetId="18" r:id="rId2"/>
    <sheet name="Status" sheetId="21" r:id="rId3"/>
    <sheet name="Conditional Fomating" sheetId="26" r:id="rId4"/>
    <sheet name="DATA VALIDATION AND LOOKUP" sheetId="25" r:id="rId5"/>
    <sheet name="LoGo" sheetId="23" r:id="rId6"/>
    <sheet name="WireFrame " sheetId="22" r:id="rId7"/>
    <sheet name="orders" sheetId="17" r:id="rId8"/>
    <sheet name="customers" sheetId="13" r:id="rId9"/>
    <sheet name="products" sheetId="2" r:id="rId10"/>
  </sheets>
  <definedNames>
    <definedName name="_xlnm._FilterDatabase" localSheetId="3" hidden="1">'Conditional Fomating'!$A$1:$O$1001</definedName>
    <definedName name="_xlnm._FilterDatabase" localSheetId="7" hidden="1">orders!$A$1:$O$1001</definedName>
    <definedName name="_xlnm._FilterDatabase" localSheetId="9" hidden="1">products!$A$1:$G$49</definedName>
    <definedName name="_xlcn.WorksheetConnection_ResearchdatacoffeeOrdersData1.xlsxTable11" hidden="1">Table1[]</definedName>
    <definedName name="Slicer_Coffee_fullname">#N/A</definedName>
    <definedName name="Slicer_Country">#N/A</definedName>
    <definedName name="Slicer_Years__Order_Date">#N/A</definedName>
  </definedNames>
  <calcPr calcId="191028"/>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Research data coffeeOrdersData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37" i="18" l="1"/>
  <c r="D136" i="18"/>
  <c r="D135" i="18"/>
  <c r="D134" i="18"/>
  <c r="D133" i="18"/>
  <c r="T1001" i="26"/>
  <c r="O1001" i="26"/>
  <c r="Q1001" i="26" s="1"/>
  <c r="N1001" i="26"/>
  <c r="P1001" i="26" s="1"/>
  <c r="M1001" i="26"/>
  <c r="L1001" i="26"/>
  <c r="K1001" i="26"/>
  <c r="J1001" i="26"/>
  <c r="I1001" i="26"/>
  <c r="H1001" i="26"/>
  <c r="G1001" i="26"/>
  <c r="F1001" i="26"/>
  <c r="T1000" i="26"/>
  <c r="O1000" i="26"/>
  <c r="Q1000" i="26" s="1"/>
  <c r="N1000" i="26"/>
  <c r="P1000" i="26" s="1"/>
  <c r="R1000" i="26" s="1"/>
  <c r="S1000" i="26" s="1"/>
  <c r="M1000" i="26"/>
  <c r="K1000" i="26"/>
  <c r="L1000" i="26" s="1"/>
  <c r="I1000" i="26"/>
  <c r="J1000" i="26" s="1"/>
  <c r="H1000" i="26"/>
  <c r="G1000" i="26"/>
  <c r="F1000" i="26"/>
  <c r="T999" i="26"/>
  <c r="O999" i="26"/>
  <c r="Q999" i="26" s="1"/>
  <c r="N999" i="26"/>
  <c r="P999" i="26" s="1"/>
  <c r="M999" i="26"/>
  <c r="L999" i="26"/>
  <c r="K999" i="26"/>
  <c r="J999" i="26"/>
  <c r="I999" i="26"/>
  <c r="H999" i="26"/>
  <c r="G999" i="26"/>
  <c r="F999" i="26"/>
  <c r="T998" i="26"/>
  <c r="Q998" i="26"/>
  <c r="O998" i="26"/>
  <c r="N998" i="26"/>
  <c r="P998" i="26" s="1"/>
  <c r="R998" i="26" s="1"/>
  <c r="S998" i="26" s="1"/>
  <c r="M998" i="26"/>
  <c r="K998" i="26"/>
  <c r="L998" i="26" s="1"/>
  <c r="I998" i="26"/>
  <c r="J998" i="26" s="1"/>
  <c r="H998" i="26"/>
  <c r="G998" i="26"/>
  <c r="F998" i="26"/>
  <c r="T997" i="26"/>
  <c r="Q997" i="26"/>
  <c r="O997" i="26"/>
  <c r="N997" i="26"/>
  <c r="P997" i="26" s="1"/>
  <c r="R997" i="26" s="1"/>
  <c r="S997" i="26" s="1"/>
  <c r="M997" i="26"/>
  <c r="K997" i="26"/>
  <c r="L997" i="26" s="1"/>
  <c r="J997" i="26"/>
  <c r="I997" i="26"/>
  <c r="H997" i="26"/>
  <c r="G997" i="26"/>
  <c r="F997" i="26"/>
  <c r="T996" i="26"/>
  <c r="Q996" i="26"/>
  <c r="O996" i="26"/>
  <c r="N996" i="26"/>
  <c r="P996" i="26" s="1"/>
  <c r="R996" i="26" s="1"/>
  <c r="S996" i="26" s="1"/>
  <c r="M996" i="26"/>
  <c r="K996" i="26"/>
  <c r="L996" i="26" s="1"/>
  <c r="I996" i="26"/>
  <c r="J996" i="26" s="1"/>
  <c r="H996" i="26"/>
  <c r="G996" i="26"/>
  <c r="F996" i="26"/>
  <c r="T995" i="26"/>
  <c r="Q995" i="26"/>
  <c r="P995" i="26"/>
  <c r="R995" i="26" s="1"/>
  <c r="S995" i="26" s="1"/>
  <c r="O995" i="26"/>
  <c r="N995" i="26"/>
  <c r="M995" i="26"/>
  <c r="K995" i="26"/>
  <c r="L995" i="26" s="1"/>
  <c r="I995" i="26"/>
  <c r="J995" i="26" s="1"/>
  <c r="H995" i="26"/>
  <c r="G995" i="26"/>
  <c r="F995" i="26"/>
  <c r="T994" i="26"/>
  <c r="P994" i="26"/>
  <c r="O994" i="26"/>
  <c r="Q994" i="26" s="1"/>
  <c r="N994" i="26"/>
  <c r="M994" i="26"/>
  <c r="L994" i="26"/>
  <c r="K994" i="26"/>
  <c r="I994" i="26"/>
  <c r="J994" i="26" s="1"/>
  <c r="H994" i="26"/>
  <c r="G994" i="26"/>
  <c r="F994" i="26"/>
  <c r="T993" i="26"/>
  <c r="O993" i="26"/>
  <c r="Q993" i="26" s="1"/>
  <c r="N993" i="26"/>
  <c r="P993" i="26" s="1"/>
  <c r="R993" i="26" s="1"/>
  <c r="S993" i="26" s="1"/>
  <c r="M993" i="26"/>
  <c r="K993" i="26"/>
  <c r="L993" i="26" s="1"/>
  <c r="I993" i="26"/>
  <c r="J993" i="26" s="1"/>
  <c r="H993" i="26"/>
  <c r="G993" i="26"/>
  <c r="F993" i="26"/>
  <c r="T992" i="26"/>
  <c r="O992" i="26"/>
  <c r="Q992" i="26" s="1"/>
  <c r="N992" i="26"/>
  <c r="P992" i="26" s="1"/>
  <c r="M992" i="26"/>
  <c r="K992" i="26"/>
  <c r="L992" i="26" s="1"/>
  <c r="J992" i="26"/>
  <c r="I992" i="26"/>
  <c r="H992" i="26"/>
  <c r="G992" i="26"/>
  <c r="F992" i="26"/>
  <c r="T991" i="26"/>
  <c r="O991" i="26"/>
  <c r="Q991" i="26" s="1"/>
  <c r="N991" i="26"/>
  <c r="P991" i="26" s="1"/>
  <c r="M991" i="26"/>
  <c r="L991" i="26"/>
  <c r="K991" i="26"/>
  <c r="I991" i="26"/>
  <c r="J991" i="26" s="1"/>
  <c r="H991" i="26"/>
  <c r="G991" i="26"/>
  <c r="F991" i="26"/>
  <c r="T990" i="26"/>
  <c r="Q990" i="26"/>
  <c r="O990" i="26"/>
  <c r="N990" i="26"/>
  <c r="P990" i="26" s="1"/>
  <c r="R990" i="26" s="1"/>
  <c r="S990" i="26" s="1"/>
  <c r="M990" i="26"/>
  <c r="K990" i="26"/>
  <c r="L990" i="26" s="1"/>
  <c r="I990" i="26"/>
  <c r="J990" i="26" s="1"/>
  <c r="H990" i="26"/>
  <c r="G990" i="26"/>
  <c r="F990" i="26"/>
  <c r="T989" i="26"/>
  <c r="O989" i="26"/>
  <c r="Q989" i="26" s="1"/>
  <c r="N989" i="26"/>
  <c r="P989" i="26" s="1"/>
  <c r="R989" i="26" s="1"/>
  <c r="S989" i="26" s="1"/>
  <c r="M989" i="26"/>
  <c r="K989" i="26"/>
  <c r="L989" i="26" s="1"/>
  <c r="J989" i="26"/>
  <c r="I989" i="26"/>
  <c r="H989" i="26"/>
  <c r="G989" i="26"/>
  <c r="F989" i="26"/>
  <c r="T988" i="26"/>
  <c r="Q988" i="26"/>
  <c r="O988" i="26"/>
  <c r="N988" i="26"/>
  <c r="P988" i="26" s="1"/>
  <c r="M988" i="26"/>
  <c r="K988" i="26"/>
  <c r="L988" i="26" s="1"/>
  <c r="I988" i="26"/>
  <c r="J988" i="26" s="1"/>
  <c r="H988" i="26"/>
  <c r="G988" i="26"/>
  <c r="F988" i="26"/>
  <c r="T987" i="26"/>
  <c r="Q987" i="26"/>
  <c r="P987" i="26"/>
  <c r="R987" i="26" s="1"/>
  <c r="S987" i="26" s="1"/>
  <c r="O987" i="26"/>
  <c r="N987" i="26"/>
  <c r="M987" i="26"/>
  <c r="K987" i="26"/>
  <c r="L987" i="26" s="1"/>
  <c r="I987" i="26"/>
  <c r="J987" i="26" s="1"/>
  <c r="H987" i="26"/>
  <c r="G987" i="26"/>
  <c r="F987" i="26"/>
  <c r="T986" i="26"/>
  <c r="P986" i="26"/>
  <c r="O986" i="26"/>
  <c r="Q986" i="26" s="1"/>
  <c r="N986" i="26"/>
  <c r="M986" i="26"/>
  <c r="L986" i="26"/>
  <c r="K986" i="26"/>
  <c r="I986" i="26"/>
  <c r="J986" i="26" s="1"/>
  <c r="H986" i="26"/>
  <c r="G986" i="26"/>
  <c r="F986" i="26"/>
  <c r="T985" i="26"/>
  <c r="O985" i="26"/>
  <c r="Q985" i="26" s="1"/>
  <c r="N985" i="26"/>
  <c r="P985" i="26" s="1"/>
  <c r="R985" i="26" s="1"/>
  <c r="S985" i="26" s="1"/>
  <c r="M985" i="26"/>
  <c r="K985" i="26"/>
  <c r="L985" i="26" s="1"/>
  <c r="I985" i="26"/>
  <c r="J985" i="26" s="1"/>
  <c r="H985" i="26"/>
  <c r="G985" i="26"/>
  <c r="F985" i="26"/>
  <c r="T984" i="26"/>
  <c r="O984" i="26"/>
  <c r="Q984" i="26" s="1"/>
  <c r="N984" i="26"/>
  <c r="P984" i="26" s="1"/>
  <c r="M984" i="26"/>
  <c r="K984" i="26"/>
  <c r="L984" i="26" s="1"/>
  <c r="J984" i="26"/>
  <c r="I984" i="26"/>
  <c r="H984" i="26"/>
  <c r="G984" i="26"/>
  <c r="F984" i="26"/>
  <c r="T983" i="26"/>
  <c r="Q983" i="26"/>
  <c r="O983" i="26"/>
  <c r="N983" i="26"/>
  <c r="P983" i="26" s="1"/>
  <c r="R983" i="26" s="1"/>
  <c r="S983" i="26" s="1"/>
  <c r="M983" i="26"/>
  <c r="L983" i="26"/>
  <c r="K983" i="26"/>
  <c r="I983" i="26"/>
  <c r="J983" i="26" s="1"/>
  <c r="H983" i="26"/>
  <c r="G983" i="26"/>
  <c r="F983" i="26"/>
  <c r="T982" i="26"/>
  <c r="S982" i="26"/>
  <c r="Q982" i="26"/>
  <c r="O982" i="26"/>
  <c r="N982" i="26"/>
  <c r="P982" i="26" s="1"/>
  <c r="R982" i="26" s="1"/>
  <c r="M982" i="26"/>
  <c r="K982" i="26"/>
  <c r="L982" i="26" s="1"/>
  <c r="I982" i="26"/>
  <c r="J982" i="26" s="1"/>
  <c r="H982" i="26"/>
  <c r="G982" i="26"/>
  <c r="F982" i="26"/>
  <c r="T981" i="26"/>
  <c r="P981" i="26"/>
  <c r="O981" i="26"/>
  <c r="Q981" i="26" s="1"/>
  <c r="R981" i="26" s="1"/>
  <c r="S981" i="26" s="1"/>
  <c r="N981" i="26"/>
  <c r="M981" i="26"/>
  <c r="K981" i="26"/>
  <c r="L981" i="26" s="1"/>
  <c r="J981" i="26"/>
  <c r="I981" i="26"/>
  <c r="H981" i="26"/>
  <c r="G981" i="26"/>
  <c r="F981" i="26"/>
  <c r="T980" i="26"/>
  <c r="Q980" i="26"/>
  <c r="O980" i="26"/>
  <c r="N980" i="26"/>
  <c r="P980" i="26" s="1"/>
  <c r="R980" i="26" s="1"/>
  <c r="S980" i="26" s="1"/>
  <c r="M980" i="26"/>
  <c r="K980" i="26"/>
  <c r="L980" i="26" s="1"/>
  <c r="I980" i="26"/>
  <c r="J980" i="26" s="1"/>
  <c r="H980" i="26"/>
  <c r="G980" i="26"/>
  <c r="F980" i="26"/>
  <c r="T979" i="26"/>
  <c r="Q979" i="26"/>
  <c r="P979" i="26"/>
  <c r="R979" i="26" s="1"/>
  <c r="S979" i="26" s="1"/>
  <c r="O979" i="26"/>
  <c r="N979" i="26"/>
  <c r="M979" i="26"/>
  <c r="K979" i="26"/>
  <c r="L979" i="26" s="1"/>
  <c r="I979" i="26"/>
  <c r="J979" i="26" s="1"/>
  <c r="H979" i="26"/>
  <c r="G979" i="26"/>
  <c r="F979" i="26"/>
  <c r="T978" i="26"/>
  <c r="P978" i="26"/>
  <c r="O978" i="26"/>
  <c r="Q978" i="26" s="1"/>
  <c r="N978" i="26"/>
  <c r="M978" i="26"/>
  <c r="L978" i="26"/>
  <c r="K978" i="26"/>
  <c r="I978" i="26"/>
  <c r="J978" i="26" s="1"/>
  <c r="H978" i="26"/>
  <c r="G978" i="26"/>
  <c r="F978" i="26"/>
  <c r="T977" i="26"/>
  <c r="O977" i="26"/>
  <c r="Q977" i="26" s="1"/>
  <c r="N977" i="26"/>
  <c r="P977" i="26" s="1"/>
  <c r="R977" i="26" s="1"/>
  <c r="S977" i="26" s="1"/>
  <c r="M977" i="26"/>
  <c r="L977" i="26"/>
  <c r="K977" i="26"/>
  <c r="I977" i="26"/>
  <c r="J977" i="26" s="1"/>
  <c r="H977" i="26"/>
  <c r="G977" i="26"/>
  <c r="F977" i="26"/>
  <c r="T976" i="26"/>
  <c r="O976" i="26"/>
  <c r="Q976" i="26" s="1"/>
  <c r="N976" i="26"/>
  <c r="P976" i="26" s="1"/>
  <c r="M976" i="26"/>
  <c r="K976" i="26"/>
  <c r="L976" i="26" s="1"/>
  <c r="J976" i="26"/>
  <c r="I976" i="26"/>
  <c r="H976" i="26"/>
  <c r="G976" i="26"/>
  <c r="F976" i="26"/>
  <c r="T975" i="26"/>
  <c r="Q975" i="26"/>
  <c r="O975" i="26"/>
  <c r="N975" i="26"/>
  <c r="P975" i="26" s="1"/>
  <c r="R975" i="26" s="1"/>
  <c r="S975" i="26" s="1"/>
  <c r="M975" i="26"/>
  <c r="L975" i="26"/>
  <c r="K975" i="26"/>
  <c r="J975" i="26"/>
  <c r="I975" i="26"/>
  <c r="H975" i="26"/>
  <c r="G975" i="26"/>
  <c r="F975" i="26"/>
  <c r="T974" i="26"/>
  <c r="S974" i="26"/>
  <c r="Q974" i="26"/>
  <c r="O974" i="26"/>
  <c r="N974" i="26"/>
  <c r="P974" i="26" s="1"/>
  <c r="R974" i="26" s="1"/>
  <c r="M974" i="26"/>
  <c r="K974" i="26"/>
  <c r="L974" i="26" s="1"/>
  <c r="I974" i="26"/>
  <c r="J974" i="26" s="1"/>
  <c r="H974" i="26"/>
  <c r="G974" i="26"/>
  <c r="F974" i="26"/>
  <c r="T973" i="26"/>
  <c r="P973" i="26"/>
  <c r="O973" i="26"/>
  <c r="Q973" i="26" s="1"/>
  <c r="R973" i="26" s="1"/>
  <c r="S973" i="26" s="1"/>
  <c r="N973" i="26"/>
  <c r="M973" i="26"/>
  <c r="K973" i="26"/>
  <c r="L973" i="26" s="1"/>
  <c r="J973" i="26"/>
  <c r="I973" i="26"/>
  <c r="H973" i="26"/>
  <c r="G973" i="26"/>
  <c r="F973" i="26"/>
  <c r="T972" i="26"/>
  <c r="Q972" i="26"/>
  <c r="O972" i="26"/>
  <c r="N972" i="26"/>
  <c r="P972" i="26" s="1"/>
  <c r="R972" i="26" s="1"/>
  <c r="S972" i="26" s="1"/>
  <c r="M972" i="26"/>
  <c r="K972" i="26"/>
  <c r="L972" i="26" s="1"/>
  <c r="I972" i="26"/>
  <c r="J972" i="26" s="1"/>
  <c r="H972" i="26"/>
  <c r="G972" i="26"/>
  <c r="F972" i="26"/>
  <c r="T971" i="26"/>
  <c r="Q971" i="26"/>
  <c r="P971" i="26"/>
  <c r="R971" i="26" s="1"/>
  <c r="S971" i="26" s="1"/>
  <c r="O971" i="26"/>
  <c r="N971" i="26"/>
  <c r="M971" i="26"/>
  <c r="K971" i="26"/>
  <c r="L971" i="26" s="1"/>
  <c r="I971" i="26"/>
  <c r="J971" i="26" s="1"/>
  <c r="H971" i="26"/>
  <c r="G971" i="26"/>
  <c r="F971" i="26"/>
  <c r="T970" i="26"/>
  <c r="P970" i="26"/>
  <c r="O970" i="26"/>
  <c r="Q970" i="26" s="1"/>
  <c r="N970" i="26"/>
  <c r="M970" i="26"/>
  <c r="L970" i="26"/>
  <c r="K970" i="26"/>
  <c r="I970" i="26"/>
  <c r="J970" i="26" s="1"/>
  <c r="H970" i="26"/>
  <c r="G970" i="26"/>
  <c r="F970" i="26"/>
  <c r="T969" i="26"/>
  <c r="O969" i="26"/>
  <c r="Q969" i="26" s="1"/>
  <c r="N969" i="26"/>
  <c r="P969" i="26" s="1"/>
  <c r="R969" i="26" s="1"/>
  <c r="S969" i="26" s="1"/>
  <c r="M969" i="26"/>
  <c r="L969" i="26"/>
  <c r="K969" i="26"/>
  <c r="I969" i="26"/>
  <c r="J969" i="26" s="1"/>
  <c r="H969" i="26"/>
  <c r="G969" i="26"/>
  <c r="F969" i="26"/>
  <c r="T968" i="26"/>
  <c r="O968" i="26"/>
  <c r="Q968" i="26" s="1"/>
  <c r="N968" i="26"/>
  <c r="P968" i="26" s="1"/>
  <c r="M968" i="26"/>
  <c r="K968" i="26"/>
  <c r="L968" i="26" s="1"/>
  <c r="J968" i="26"/>
  <c r="I968" i="26"/>
  <c r="H968" i="26"/>
  <c r="G968" i="26"/>
  <c r="F968" i="26"/>
  <c r="T967" i="26"/>
  <c r="Q967" i="26"/>
  <c r="O967" i="26"/>
  <c r="N967" i="26"/>
  <c r="P967" i="26" s="1"/>
  <c r="R967" i="26" s="1"/>
  <c r="S967" i="26" s="1"/>
  <c r="M967" i="26"/>
  <c r="L967" i="26"/>
  <c r="K967" i="26"/>
  <c r="J967" i="26"/>
  <c r="I967" i="26"/>
  <c r="H967" i="26"/>
  <c r="G967" i="26"/>
  <c r="F967" i="26"/>
  <c r="T966" i="26"/>
  <c r="Q966" i="26"/>
  <c r="P966" i="26"/>
  <c r="R966" i="26" s="1"/>
  <c r="S966" i="26" s="1"/>
  <c r="O966" i="26"/>
  <c r="N966" i="26"/>
  <c r="M966" i="26"/>
  <c r="K966" i="26"/>
  <c r="L966" i="26" s="1"/>
  <c r="I966" i="26"/>
  <c r="J966" i="26" s="1"/>
  <c r="H966" i="26"/>
  <c r="G966" i="26"/>
  <c r="F966" i="26"/>
  <c r="T965" i="26"/>
  <c r="P965" i="26"/>
  <c r="O965" i="26"/>
  <c r="Q965" i="26" s="1"/>
  <c r="R965" i="26" s="1"/>
  <c r="S965" i="26" s="1"/>
  <c r="N965" i="26"/>
  <c r="M965" i="26"/>
  <c r="K965" i="26"/>
  <c r="L965" i="26" s="1"/>
  <c r="J965" i="26"/>
  <c r="I965" i="26"/>
  <c r="H965" i="26"/>
  <c r="G965" i="26"/>
  <c r="F965" i="26"/>
  <c r="T964" i="26"/>
  <c r="Q964" i="26"/>
  <c r="O964" i="26"/>
  <c r="N964" i="26"/>
  <c r="P964" i="26" s="1"/>
  <c r="R964" i="26" s="1"/>
  <c r="S964" i="26" s="1"/>
  <c r="M964" i="26"/>
  <c r="K964" i="26"/>
  <c r="L964" i="26" s="1"/>
  <c r="I964" i="26"/>
  <c r="J964" i="26" s="1"/>
  <c r="H964" i="26"/>
  <c r="G964" i="26"/>
  <c r="F964" i="26"/>
  <c r="T963" i="26"/>
  <c r="Q963" i="26"/>
  <c r="P963" i="26"/>
  <c r="R963" i="26" s="1"/>
  <c r="S963" i="26" s="1"/>
  <c r="O963" i="26"/>
  <c r="N963" i="26"/>
  <c r="M963" i="26"/>
  <c r="K963" i="26"/>
  <c r="L963" i="26" s="1"/>
  <c r="I963" i="26"/>
  <c r="J963" i="26" s="1"/>
  <c r="H963" i="26"/>
  <c r="G963" i="26"/>
  <c r="F963" i="26"/>
  <c r="T962" i="26"/>
  <c r="P962" i="26"/>
  <c r="R962" i="26" s="1"/>
  <c r="S962" i="26" s="1"/>
  <c r="O962" i="26"/>
  <c r="Q962" i="26" s="1"/>
  <c r="N962" i="26"/>
  <c r="M962" i="26"/>
  <c r="L962" i="26"/>
  <c r="K962" i="26"/>
  <c r="I962" i="26"/>
  <c r="J962" i="26" s="1"/>
  <c r="H962" i="26"/>
  <c r="G962" i="26"/>
  <c r="F962" i="26"/>
  <c r="T961" i="26"/>
  <c r="O961" i="26"/>
  <c r="Q961" i="26" s="1"/>
  <c r="N961" i="26"/>
  <c r="P961" i="26" s="1"/>
  <c r="R961" i="26" s="1"/>
  <c r="S961" i="26" s="1"/>
  <c r="M961" i="26"/>
  <c r="L961" i="26"/>
  <c r="K961" i="26"/>
  <c r="I961" i="26"/>
  <c r="J961" i="26" s="1"/>
  <c r="H961" i="26"/>
  <c r="G961" i="26"/>
  <c r="F961" i="26"/>
  <c r="T960" i="26"/>
  <c r="O960" i="26"/>
  <c r="Q960" i="26" s="1"/>
  <c r="N960" i="26"/>
  <c r="P960" i="26" s="1"/>
  <c r="M960" i="26"/>
  <c r="K960" i="26"/>
  <c r="L960" i="26" s="1"/>
  <c r="J960" i="26"/>
  <c r="I960" i="26"/>
  <c r="H960" i="26"/>
  <c r="G960" i="26"/>
  <c r="F960" i="26"/>
  <c r="T959" i="26"/>
  <c r="Q959" i="26"/>
  <c r="O959" i="26"/>
  <c r="N959" i="26"/>
  <c r="P959" i="26" s="1"/>
  <c r="R959" i="26" s="1"/>
  <c r="S959" i="26" s="1"/>
  <c r="M959" i="26"/>
  <c r="L959" i="26"/>
  <c r="K959" i="26"/>
  <c r="J959" i="26"/>
  <c r="I959" i="26"/>
  <c r="H959" i="26"/>
  <c r="G959" i="26"/>
  <c r="F959" i="26"/>
  <c r="T958" i="26"/>
  <c r="Q958" i="26"/>
  <c r="P958" i="26"/>
  <c r="R958" i="26" s="1"/>
  <c r="S958" i="26" s="1"/>
  <c r="O958" i="26"/>
  <c r="N958" i="26"/>
  <c r="M958" i="26"/>
  <c r="K958" i="26"/>
  <c r="L958" i="26" s="1"/>
  <c r="I958" i="26"/>
  <c r="J958" i="26" s="1"/>
  <c r="H958" i="26"/>
  <c r="G958" i="26"/>
  <c r="F958" i="26"/>
  <c r="T957" i="26"/>
  <c r="P957" i="26"/>
  <c r="R957" i="26" s="1"/>
  <c r="S957" i="26" s="1"/>
  <c r="O957" i="26"/>
  <c r="Q957" i="26" s="1"/>
  <c r="N957" i="26"/>
  <c r="M957" i="26"/>
  <c r="K957" i="26"/>
  <c r="L957" i="26" s="1"/>
  <c r="J957" i="26"/>
  <c r="I957" i="26"/>
  <c r="H957" i="26"/>
  <c r="G957" i="26"/>
  <c r="F957" i="26"/>
  <c r="T956" i="26"/>
  <c r="R956" i="26"/>
  <c r="S956" i="26" s="1"/>
  <c r="Q956" i="26"/>
  <c r="O956" i="26"/>
  <c r="N956" i="26"/>
  <c r="P956" i="26" s="1"/>
  <c r="M956" i="26"/>
  <c r="K956" i="26"/>
  <c r="L956" i="26" s="1"/>
  <c r="I956" i="26"/>
  <c r="J956" i="26" s="1"/>
  <c r="H956" i="26"/>
  <c r="G956" i="26"/>
  <c r="F956" i="26"/>
  <c r="T955" i="26"/>
  <c r="Q955" i="26"/>
  <c r="O955" i="26"/>
  <c r="N955" i="26"/>
  <c r="P955" i="26" s="1"/>
  <c r="R955" i="26" s="1"/>
  <c r="S955" i="26" s="1"/>
  <c r="M955" i="26"/>
  <c r="K955" i="26"/>
  <c r="L955" i="26" s="1"/>
  <c r="I955" i="26"/>
  <c r="J955" i="26" s="1"/>
  <c r="H955" i="26"/>
  <c r="G955" i="26"/>
  <c r="F955" i="26"/>
  <c r="T954" i="26"/>
  <c r="P954" i="26"/>
  <c r="O954" i="26"/>
  <c r="Q954" i="26" s="1"/>
  <c r="N954" i="26"/>
  <c r="M954" i="26"/>
  <c r="L954" i="26"/>
  <c r="K954" i="26"/>
  <c r="I954" i="26"/>
  <c r="J954" i="26" s="1"/>
  <c r="H954" i="26"/>
  <c r="G954" i="26"/>
  <c r="F954" i="26"/>
  <c r="T953" i="26"/>
  <c r="O953" i="26"/>
  <c r="Q953" i="26" s="1"/>
  <c r="N953" i="26"/>
  <c r="P953" i="26" s="1"/>
  <c r="R953" i="26" s="1"/>
  <c r="S953" i="26" s="1"/>
  <c r="M953" i="26"/>
  <c r="L953" i="26"/>
  <c r="K953" i="26"/>
  <c r="I953" i="26"/>
  <c r="J953" i="26" s="1"/>
  <c r="H953" i="26"/>
  <c r="G953" i="26"/>
  <c r="F953" i="26"/>
  <c r="T952" i="26"/>
  <c r="O952" i="26"/>
  <c r="Q952" i="26" s="1"/>
  <c r="N952" i="26"/>
  <c r="P952" i="26" s="1"/>
  <c r="R952" i="26" s="1"/>
  <c r="S952" i="26" s="1"/>
  <c r="M952" i="26"/>
  <c r="K952" i="26"/>
  <c r="L952" i="26" s="1"/>
  <c r="J952" i="26"/>
  <c r="I952" i="26"/>
  <c r="H952" i="26"/>
  <c r="G952" i="26"/>
  <c r="F952" i="26"/>
  <c r="T951" i="26"/>
  <c r="R951" i="26"/>
  <c r="S951" i="26" s="1"/>
  <c r="Q951" i="26"/>
  <c r="O951" i="26"/>
  <c r="N951" i="26"/>
  <c r="P951" i="26" s="1"/>
  <c r="M951" i="26"/>
  <c r="L951" i="26"/>
  <c r="K951" i="26"/>
  <c r="J951" i="26"/>
  <c r="I951" i="26"/>
  <c r="H951" i="26"/>
  <c r="G951" i="26"/>
  <c r="F951" i="26"/>
  <c r="T950" i="26"/>
  <c r="Q950" i="26"/>
  <c r="P950" i="26"/>
  <c r="R950" i="26" s="1"/>
  <c r="S950" i="26" s="1"/>
  <c r="O950" i="26"/>
  <c r="N950" i="26"/>
  <c r="M950" i="26"/>
  <c r="K950" i="26"/>
  <c r="L950" i="26" s="1"/>
  <c r="I950" i="26"/>
  <c r="J950" i="26" s="1"/>
  <c r="H950" i="26"/>
  <c r="G950" i="26"/>
  <c r="F950" i="26"/>
  <c r="T949" i="26"/>
  <c r="P949" i="26"/>
  <c r="R949" i="26" s="1"/>
  <c r="S949" i="26" s="1"/>
  <c r="O949" i="26"/>
  <c r="Q949" i="26" s="1"/>
  <c r="N949" i="26"/>
  <c r="M949" i="26"/>
  <c r="K949" i="26"/>
  <c r="L949" i="26" s="1"/>
  <c r="J949" i="26"/>
  <c r="I949" i="26"/>
  <c r="H949" i="26"/>
  <c r="G949" i="26"/>
  <c r="F949" i="26"/>
  <c r="T948" i="26"/>
  <c r="O948" i="26"/>
  <c r="Q948" i="26" s="1"/>
  <c r="N948" i="26"/>
  <c r="P948" i="26" s="1"/>
  <c r="R948" i="26" s="1"/>
  <c r="S948" i="26" s="1"/>
  <c r="M948" i="26"/>
  <c r="K948" i="26"/>
  <c r="L948" i="26" s="1"/>
  <c r="I948" i="26"/>
  <c r="J948" i="26" s="1"/>
  <c r="H948" i="26"/>
  <c r="G948" i="26"/>
  <c r="F948" i="26"/>
  <c r="T947" i="26"/>
  <c r="Q947" i="26"/>
  <c r="P947" i="26"/>
  <c r="R947" i="26" s="1"/>
  <c r="S947" i="26" s="1"/>
  <c r="O947" i="26"/>
  <c r="N947" i="26"/>
  <c r="M947" i="26"/>
  <c r="L947" i="26"/>
  <c r="K947" i="26"/>
  <c r="I947" i="26"/>
  <c r="J947" i="26" s="1"/>
  <c r="H947" i="26"/>
  <c r="G947" i="26"/>
  <c r="F947" i="26"/>
  <c r="T946" i="26"/>
  <c r="P946" i="26"/>
  <c r="O946" i="26"/>
  <c r="Q946" i="26" s="1"/>
  <c r="N946" i="26"/>
  <c r="M946" i="26"/>
  <c r="K946" i="26"/>
  <c r="L946" i="26" s="1"/>
  <c r="J946" i="26"/>
  <c r="I946" i="26"/>
  <c r="H946" i="26"/>
  <c r="G946" i="26"/>
  <c r="F946" i="26"/>
  <c r="T945" i="26"/>
  <c r="O945" i="26"/>
  <c r="Q945" i="26" s="1"/>
  <c r="N945" i="26"/>
  <c r="P945" i="26" s="1"/>
  <c r="M945" i="26"/>
  <c r="L945" i="26"/>
  <c r="K945" i="26"/>
  <c r="J945" i="26"/>
  <c r="I945" i="26"/>
  <c r="H945" i="26"/>
  <c r="G945" i="26"/>
  <c r="F945" i="26"/>
  <c r="T944" i="26"/>
  <c r="Q944" i="26"/>
  <c r="O944" i="26"/>
  <c r="N944" i="26"/>
  <c r="P944" i="26" s="1"/>
  <c r="R944" i="26" s="1"/>
  <c r="S944" i="26" s="1"/>
  <c r="M944" i="26"/>
  <c r="K944" i="26"/>
  <c r="L944" i="26" s="1"/>
  <c r="I944" i="26"/>
  <c r="J944" i="26" s="1"/>
  <c r="H944" i="26"/>
  <c r="G944" i="26"/>
  <c r="F944" i="26"/>
  <c r="T943" i="26"/>
  <c r="R943" i="26"/>
  <c r="S943" i="26" s="1"/>
  <c r="Q943" i="26"/>
  <c r="P943" i="26"/>
  <c r="O943" i="26"/>
  <c r="N943" i="26"/>
  <c r="M943" i="26"/>
  <c r="L943" i="26"/>
  <c r="K943" i="26"/>
  <c r="J943" i="26"/>
  <c r="I943" i="26"/>
  <c r="H943" i="26"/>
  <c r="G943" i="26"/>
  <c r="F943" i="26"/>
  <c r="T942" i="26"/>
  <c r="Q942" i="26"/>
  <c r="P942" i="26"/>
  <c r="R942" i="26" s="1"/>
  <c r="S942" i="26" s="1"/>
  <c r="O942" i="26"/>
  <c r="N942" i="26"/>
  <c r="M942" i="26"/>
  <c r="K942" i="26"/>
  <c r="L942" i="26" s="1"/>
  <c r="I942" i="26"/>
  <c r="J942" i="26" s="1"/>
  <c r="H942" i="26"/>
  <c r="G942" i="26"/>
  <c r="F942" i="26"/>
  <c r="T941" i="26"/>
  <c r="P941" i="26"/>
  <c r="R941" i="26" s="1"/>
  <c r="S941" i="26" s="1"/>
  <c r="O941" i="26"/>
  <c r="Q941" i="26" s="1"/>
  <c r="N941" i="26"/>
  <c r="M941" i="26"/>
  <c r="K941" i="26"/>
  <c r="L941" i="26" s="1"/>
  <c r="J941" i="26"/>
  <c r="I941" i="26"/>
  <c r="H941" i="26"/>
  <c r="G941" i="26"/>
  <c r="F941" i="26"/>
  <c r="T940" i="26"/>
  <c r="Q940" i="26"/>
  <c r="R940" i="26" s="1"/>
  <c r="S940" i="26" s="1"/>
  <c r="O940" i="26"/>
  <c r="N940" i="26"/>
  <c r="P940" i="26" s="1"/>
  <c r="M940" i="26"/>
  <c r="L940" i="26"/>
  <c r="K940" i="26"/>
  <c r="I940" i="26"/>
  <c r="J940" i="26" s="1"/>
  <c r="H940" i="26"/>
  <c r="G940" i="26"/>
  <c r="F940" i="26"/>
  <c r="T939" i="26"/>
  <c r="Q939" i="26"/>
  <c r="O939" i="26"/>
  <c r="N939" i="26"/>
  <c r="P939" i="26" s="1"/>
  <c r="R939" i="26" s="1"/>
  <c r="S939" i="26" s="1"/>
  <c r="M939" i="26"/>
  <c r="L939" i="26"/>
  <c r="K939" i="26"/>
  <c r="I939" i="26"/>
  <c r="J939" i="26" s="1"/>
  <c r="H939" i="26"/>
  <c r="G939" i="26"/>
  <c r="F939" i="26"/>
  <c r="T938" i="26"/>
  <c r="P938" i="26"/>
  <c r="R938" i="26" s="1"/>
  <c r="S938" i="26" s="1"/>
  <c r="O938" i="26"/>
  <c r="Q938" i="26" s="1"/>
  <c r="N938" i="26"/>
  <c r="M938" i="26"/>
  <c r="K938" i="26"/>
  <c r="L938" i="26" s="1"/>
  <c r="J938" i="26"/>
  <c r="I938" i="26"/>
  <c r="H938" i="26"/>
  <c r="G938" i="26"/>
  <c r="F938" i="26"/>
  <c r="T937" i="26"/>
  <c r="O937" i="26"/>
  <c r="Q937" i="26" s="1"/>
  <c r="N937" i="26"/>
  <c r="P937" i="26" s="1"/>
  <c r="R937" i="26" s="1"/>
  <c r="S937" i="26" s="1"/>
  <c r="M937" i="26"/>
  <c r="L937" i="26"/>
  <c r="K937" i="26"/>
  <c r="J937" i="26"/>
  <c r="I937" i="26"/>
  <c r="H937" i="26"/>
  <c r="G937" i="26"/>
  <c r="F937" i="26"/>
  <c r="T936" i="26"/>
  <c r="Q936" i="26"/>
  <c r="O936" i="26"/>
  <c r="N936" i="26"/>
  <c r="P936" i="26" s="1"/>
  <c r="R936" i="26" s="1"/>
  <c r="S936" i="26" s="1"/>
  <c r="M936" i="26"/>
  <c r="K936" i="26"/>
  <c r="L936" i="26" s="1"/>
  <c r="I936" i="26"/>
  <c r="J936" i="26" s="1"/>
  <c r="H936" i="26"/>
  <c r="G936" i="26"/>
  <c r="F936" i="26"/>
  <c r="T935" i="26"/>
  <c r="R935" i="26"/>
  <c r="S935" i="26" s="1"/>
  <c r="Q935" i="26"/>
  <c r="P935" i="26"/>
  <c r="O935" i="26"/>
  <c r="N935" i="26"/>
  <c r="M935" i="26"/>
  <c r="L935" i="26"/>
  <c r="K935" i="26"/>
  <c r="J935" i="26"/>
  <c r="I935" i="26"/>
  <c r="H935" i="26"/>
  <c r="G935" i="26"/>
  <c r="F935" i="26"/>
  <c r="T934" i="26"/>
  <c r="Q934" i="26"/>
  <c r="O934" i="26"/>
  <c r="N934" i="26"/>
  <c r="P934" i="26" s="1"/>
  <c r="M934" i="26"/>
  <c r="L934" i="26"/>
  <c r="K934" i="26"/>
  <c r="I934" i="26"/>
  <c r="J934" i="26" s="1"/>
  <c r="H934" i="26"/>
  <c r="G934" i="26"/>
  <c r="F934" i="26"/>
  <c r="T933" i="26"/>
  <c r="P933" i="26"/>
  <c r="O933" i="26"/>
  <c r="Q933" i="26" s="1"/>
  <c r="R933" i="26" s="1"/>
  <c r="S933" i="26" s="1"/>
  <c r="N933" i="26"/>
  <c r="M933" i="26"/>
  <c r="K933" i="26"/>
  <c r="L933" i="26" s="1"/>
  <c r="J933" i="26"/>
  <c r="I933" i="26"/>
  <c r="H933" i="26"/>
  <c r="G933" i="26"/>
  <c r="F933" i="26"/>
  <c r="T932" i="26"/>
  <c r="R932" i="26"/>
  <c r="S932" i="26" s="1"/>
  <c r="Q932" i="26"/>
  <c r="O932" i="26"/>
  <c r="N932" i="26"/>
  <c r="P932" i="26" s="1"/>
  <c r="M932" i="26"/>
  <c r="L932" i="26"/>
  <c r="K932" i="26"/>
  <c r="I932" i="26"/>
  <c r="J932" i="26" s="1"/>
  <c r="H932" i="26"/>
  <c r="G932" i="26"/>
  <c r="F932" i="26"/>
  <c r="T931" i="26"/>
  <c r="Q931" i="26"/>
  <c r="O931" i="26"/>
  <c r="N931" i="26"/>
  <c r="P931" i="26" s="1"/>
  <c r="R931" i="26" s="1"/>
  <c r="S931" i="26" s="1"/>
  <c r="M931" i="26"/>
  <c r="L931" i="26"/>
  <c r="K931" i="26"/>
  <c r="I931" i="26"/>
  <c r="J931" i="26" s="1"/>
  <c r="H931" i="26"/>
  <c r="G931" i="26"/>
  <c r="F931" i="26"/>
  <c r="T930" i="26"/>
  <c r="P930" i="26"/>
  <c r="R930" i="26" s="1"/>
  <c r="S930" i="26" s="1"/>
  <c r="O930" i="26"/>
  <c r="Q930" i="26" s="1"/>
  <c r="N930" i="26"/>
  <c r="M930" i="26"/>
  <c r="K930" i="26"/>
  <c r="L930" i="26" s="1"/>
  <c r="J930" i="26"/>
  <c r="I930" i="26"/>
  <c r="H930" i="26"/>
  <c r="G930" i="26"/>
  <c r="F930" i="26"/>
  <c r="T929" i="26"/>
  <c r="O929" i="26"/>
  <c r="Q929" i="26" s="1"/>
  <c r="N929" i="26"/>
  <c r="P929" i="26" s="1"/>
  <c r="M929" i="26"/>
  <c r="L929" i="26"/>
  <c r="K929" i="26"/>
  <c r="J929" i="26"/>
  <c r="I929" i="26"/>
  <c r="H929" i="26"/>
  <c r="G929" i="26"/>
  <c r="F929" i="26"/>
  <c r="T928" i="26"/>
  <c r="S928" i="26"/>
  <c r="Q928" i="26"/>
  <c r="O928" i="26"/>
  <c r="N928" i="26"/>
  <c r="P928" i="26" s="1"/>
  <c r="R928" i="26" s="1"/>
  <c r="M928" i="26"/>
  <c r="K928" i="26"/>
  <c r="L928" i="26" s="1"/>
  <c r="I928" i="26"/>
  <c r="J928" i="26" s="1"/>
  <c r="H928" i="26"/>
  <c r="G928" i="26"/>
  <c r="F928" i="26"/>
  <c r="T927" i="26"/>
  <c r="R927" i="26"/>
  <c r="S927" i="26" s="1"/>
  <c r="P927" i="26"/>
  <c r="O927" i="26"/>
  <c r="Q927" i="26" s="1"/>
  <c r="N927" i="26"/>
  <c r="M927" i="26"/>
  <c r="L927" i="26"/>
  <c r="K927" i="26"/>
  <c r="J927" i="26"/>
  <c r="I927" i="26"/>
  <c r="H927" i="26"/>
  <c r="G927" i="26"/>
  <c r="F927" i="26"/>
  <c r="T926" i="26"/>
  <c r="Q926" i="26"/>
  <c r="O926" i="26"/>
  <c r="N926" i="26"/>
  <c r="P926" i="26" s="1"/>
  <c r="M926" i="26"/>
  <c r="L926" i="26"/>
  <c r="K926" i="26"/>
  <c r="I926" i="26"/>
  <c r="J926" i="26" s="1"/>
  <c r="H926" i="26"/>
  <c r="G926" i="26"/>
  <c r="F926" i="26"/>
  <c r="T925" i="26"/>
  <c r="P925" i="26"/>
  <c r="O925" i="26"/>
  <c r="Q925" i="26" s="1"/>
  <c r="R925" i="26" s="1"/>
  <c r="S925" i="26" s="1"/>
  <c r="N925" i="26"/>
  <c r="M925" i="26"/>
  <c r="K925" i="26"/>
  <c r="L925" i="26" s="1"/>
  <c r="J925" i="26"/>
  <c r="I925" i="26"/>
  <c r="H925" i="26"/>
  <c r="G925" i="26"/>
  <c r="F925" i="26"/>
  <c r="T924" i="26"/>
  <c r="R924" i="26"/>
  <c r="S924" i="26" s="1"/>
  <c r="Q924" i="26"/>
  <c r="O924" i="26"/>
  <c r="N924" i="26"/>
  <c r="P924" i="26" s="1"/>
  <c r="M924" i="26"/>
  <c r="L924" i="26"/>
  <c r="K924" i="26"/>
  <c r="I924" i="26"/>
  <c r="J924" i="26" s="1"/>
  <c r="H924" i="26"/>
  <c r="G924" i="26"/>
  <c r="F924" i="26"/>
  <c r="T923" i="26"/>
  <c r="Q923" i="26"/>
  <c r="O923" i="26"/>
  <c r="N923" i="26"/>
  <c r="P923" i="26" s="1"/>
  <c r="R923" i="26" s="1"/>
  <c r="S923" i="26" s="1"/>
  <c r="M923" i="26"/>
  <c r="L923" i="26"/>
  <c r="K923" i="26"/>
  <c r="I923" i="26"/>
  <c r="J923" i="26" s="1"/>
  <c r="H923" i="26"/>
  <c r="G923" i="26"/>
  <c r="F923" i="26"/>
  <c r="T922" i="26"/>
  <c r="P922" i="26"/>
  <c r="R922" i="26" s="1"/>
  <c r="S922" i="26" s="1"/>
  <c r="O922" i="26"/>
  <c r="Q922" i="26" s="1"/>
  <c r="N922" i="26"/>
  <c r="M922" i="26"/>
  <c r="K922" i="26"/>
  <c r="L922" i="26" s="1"/>
  <c r="J922" i="26"/>
  <c r="I922" i="26"/>
  <c r="H922" i="26"/>
  <c r="G922" i="26"/>
  <c r="F922" i="26"/>
  <c r="T921" i="26"/>
  <c r="O921" i="26"/>
  <c r="Q921" i="26" s="1"/>
  <c r="N921" i="26"/>
  <c r="P921" i="26" s="1"/>
  <c r="M921" i="26"/>
  <c r="L921" i="26"/>
  <c r="K921" i="26"/>
  <c r="J921" i="26"/>
  <c r="I921" i="26"/>
  <c r="H921" i="26"/>
  <c r="G921" i="26"/>
  <c r="F921" i="26"/>
  <c r="T920" i="26"/>
  <c r="S920" i="26"/>
  <c r="Q920" i="26"/>
  <c r="O920" i="26"/>
  <c r="N920" i="26"/>
  <c r="P920" i="26" s="1"/>
  <c r="R920" i="26" s="1"/>
  <c r="M920" i="26"/>
  <c r="K920" i="26"/>
  <c r="L920" i="26" s="1"/>
  <c r="I920" i="26"/>
  <c r="J920" i="26" s="1"/>
  <c r="H920" i="26"/>
  <c r="G920" i="26"/>
  <c r="F920" i="26"/>
  <c r="T919" i="26"/>
  <c r="R919" i="26"/>
  <c r="S919" i="26" s="1"/>
  <c r="P919" i="26"/>
  <c r="O919" i="26"/>
  <c r="Q919" i="26" s="1"/>
  <c r="N919" i="26"/>
  <c r="M919" i="26"/>
  <c r="L919" i="26"/>
  <c r="K919" i="26"/>
  <c r="J919" i="26"/>
  <c r="I919" i="26"/>
  <c r="H919" i="26"/>
  <c r="G919" i="26"/>
  <c r="F919" i="26"/>
  <c r="T918" i="26"/>
  <c r="Q918" i="26"/>
  <c r="O918" i="26"/>
  <c r="N918" i="26"/>
  <c r="P918" i="26" s="1"/>
  <c r="M918" i="26"/>
  <c r="L918" i="26"/>
  <c r="K918" i="26"/>
  <c r="I918" i="26"/>
  <c r="J918" i="26" s="1"/>
  <c r="H918" i="26"/>
  <c r="G918" i="26"/>
  <c r="F918" i="26"/>
  <c r="T917" i="26"/>
  <c r="P917" i="26"/>
  <c r="O917" i="26"/>
  <c r="Q917" i="26" s="1"/>
  <c r="R917" i="26" s="1"/>
  <c r="S917" i="26" s="1"/>
  <c r="N917" i="26"/>
  <c r="M917" i="26"/>
  <c r="K917" i="26"/>
  <c r="L917" i="26" s="1"/>
  <c r="J917" i="26"/>
  <c r="I917" i="26"/>
  <c r="H917" i="26"/>
  <c r="G917" i="26"/>
  <c r="F917" i="26"/>
  <c r="T916" i="26"/>
  <c r="R916" i="26"/>
  <c r="S916" i="26" s="1"/>
  <c r="Q916" i="26"/>
  <c r="O916" i="26"/>
  <c r="N916" i="26"/>
  <c r="P916" i="26" s="1"/>
  <c r="M916" i="26"/>
  <c r="L916" i="26"/>
  <c r="K916" i="26"/>
  <c r="I916" i="26"/>
  <c r="J916" i="26" s="1"/>
  <c r="H916" i="26"/>
  <c r="G916" i="26"/>
  <c r="F916" i="26"/>
  <c r="T915" i="26"/>
  <c r="Q915" i="26"/>
  <c r="O915" i="26"/>
  <c r="N915" i="26"/>
  <c r="P915" i="26" s="1"/>
  <c r="R915" i="26" s="1"/>
  <c r="S915" i="26" s="1"/>
  <c r="M915" i="26"/>
  <c r="L915" i="26"/>
  <c r="K915" i="26"/>
  <c r="I915" i="26"/>
  <c r="J915" i="26" s="1"/>
  <c r="H915" i="26"/>
  <c r="G915" i="26"/>
  <c r="F915" i="26"/>
  <c r="T914" i="26"/>
  <c r="P914" i="26"/>
  <c r="R914" i="26" s="1"/>
  <c r="S914" i="26" s="1"/>
  <c r="O914" i="26"/>
  <c r="Q914" i="26" s="1"/>
  <c r="N914" i="26"/>
  <c r="M914" i="26"/>
  <c r="K914" i="26"/>
  <c r="L914" i="26" s="1"/>
  <c r="J914" i="26"/>
  <c r="I914" i="26"/>
  <c r="H914" i="26"/>
  <c r="G914" i="26"/>
  <c r="F914" i="26"/>
  <c r="T913" i="26"/>
  <c r="O913" i="26"/>
  <c r="Q913" i="26" s="1"/>
  <c r="N913" i="26"/>
  <c r="P913" i="26" s="1"/>
  <c r="M913" i="26"/>
  <c r="L913" i="26"/>
  <c r="K913" i="26"/>
  <c r="J913" i="26"/>
  <c r="I913" i="26"/>
  <c r="H913" i="26"/>
  <c r="G913" i="26"/>
  <c r="F913" i="26"/>
  <c r="T912" i="26"/>
  <c r="S912" i="26"/>
  <c r="Q912" i="26"/>
  <c r="O912" i="26"/>
  <c r="N912" i="26"/>
  <c r="P912" i="26" s="1"/>
  <c r="R912" i="26" s="1"/>
  <c r="M912" i="26"/>
  <c r="K912" i="26"/>
  <c r="L912" i="26" s="1"/>
  <c r="I912" i="26"/>
  <c r="J912" i="26" s="1"/>
  <c r="H912" i="26"/>
  <c r="G912" i="26"/>
  <c r="F912" i="26"/>
  <c r="T911" i="26"/>
  <c r="R911" i="26"/>
  <c r="S911" i="26" s="1"/>
  <c r="P911" i="26"/>
  <c r="O911" i="26"/>
  <c r="Q911" i="26" s="1"/>
  <c r="N911" i="26"/>
  <c r="M911" i="26"/>
  <c r="L911" i="26"/>
  <c r="K911" i="26"/>
  <c r="J911" i="26"/>
  <c r="I911" i="26"/>
  <c r="H911" i="26"/>
  <c r="G911" i="26"/>
  <c r="F911" i="26"/>
  <c r="T910" i="26"/>
  <c r="Q910" i="26"/>
  <c r="O910" i="26"/>
  <c r="N910" i="26"/>
  <c r="P910" i="26" s="1"/>
  <c r="M910" i="26"/>
  <c r="L910" i="26"/>
  <c r="K910" i="26"/>
  <c r="I910" i="26"/>
  <c r="J910" i="26" s="1"/>
  <c r="H910" i="26"/>
  <c r="G910" i="26"/>
  <c r="F910" i="26"/>
  <c r="T909" i="26"/>
  <c r="P909" i="26"/>
  <c r="O909" i="26"/>
  <c r="Q909" i="26" s="1"/>
  <c r="R909" i="26" s="1"/>
  <c r="S909" i="26" s="1"/>
  <c r="N909" i="26"/>
  <c r="M909" i="26"/>
  <c r="K909" i="26"/>
  <c r="L909" i="26" s="1"/>
  <c r="J909" i="26"/>
  <c r="I909" i="26"/>
  <c r="H909" i="26"/>
  <c r="G909" i="26"/>
  <c r="F909" i="26"/>
  <c r="T908" i="26"/>
  <c r="R908" i="26"/>
  <c r="S908" i="26" s="1"/>
  <c r="Q908" i="26"/>
  <c r="O908" i="26"/>
  <c r="N908" i="26"/>
  <c r="P908" i="26" s="1"/>
  <c r="M908" i="26"/>
  <c r="L908" i="26"/>
  <c r="K908" i="26"/>
  <c r="I908" i="26"/>
  <c r="J908" i="26" s="1"/>
  <c r="H908" i="26"/>
  <c r="G908" i="26"/>
  <c r="F908" i="26"/>
  <c r="T907" i="26"/>
  <c r="Q907" i="26"/>
  <c r="O907" i="26"/>
  <c r="N907" i="26"/>
  <c r="P907" i="26" s="1"/>
  <c r="R907" i="26" s="1"/>
  <c r="S907" i="26" s="1"/>
  <c r="M907" i="26"/>
  <c r="L907" i="26"/>
  <c r="K907" i="26"/>
  <c r="I907" i="26"/>
  <c r="J907" i="26" s="1"/>
  <c r="H907" i="26"/>
  <c r="G907" i="26"/>
  <c r="F907" i="26"/>
  <c r="T906" i="26"/>
  <c r="P906" i="26"/>
  <c r="R906" i="26" s="1"/>
  <c r="S906" i="26" s="1"/>
  <c r="O906" i="26"/>
  <c r="Q906" i="26" s="1"/>
  <c r="N906" i="26"/>
  <c r="M906" i="26"/>
  <c r="K906" i="26"/>
  <c r="L906" i="26" s="1"/>
  <c r="J906" i="26"/>
  <c r="I906" i="26"/>
  <c r="H906" i="26"/>
  <c r="G906" i="26"/>
  <c r="F906" i="26"/>
  <c r="T905" i="26"/>
  <c r="O905" i="26"/>
  <c r="Q905" i="26" s="1"/>
  <c r="N905" i="26"/>
  <c r="P905" i="26" s="1"/>
  <c r="M905" i="26"/>
  <c r="L905" i="26"/>
  <c r="K905" i="26"/>
  <c r="J905" i="26"/>
  <c r="I905" i="26"/>
  <c r="H905" i="26"/>
  <c r="G905" i="26"/>
  <c r="F905" i="26"/>
  <c r="T904" i="26"/>
  <c r="S904" i="26"/>
  <c r="Q904" i="26"/>
  <c r="O904" i="26"/>
  <c r="N904" i="26"/>
  <c r="P904" i="26" s="1"/>
  <c r="R904" i="26" s="1"/>
  <c r="M904" i="26"/>
  <c r="K904" i="26"/>
  <c r="L904" i="26" s="1"/>
  <c r="I904" i="26"/>
  <c r="J904" i="26" s="1"/>
  <c r="H904" i="26"/>
  <c r="G904" i="26"/>
  <c r="F904" i="26"/>
  <c r="T903" i="26"/>
  <c r="P903" i="26"/>
  <c r="O903" i="26"/>
  <c r="Q903" i="26" s="1"/>
  <c r="R903" i="26" s="1"/>
  <c r="S903" i="26" s="1"/>
  <c r="N903" i="26"/>
  <c r="M903" i="26"/>
  <c r="L903" i="26"/>
  <c r="K903" i="26"/>
  <c r="J903" i="26"/>
  <c r="I903" i="26"/>
  <c r="H903" i="26"/>
  <c r="G903" i="26"/>
  <c r="F903" i="26"/>
  <c r="T902" i="26"/>
  <c r="Q902" i="26"/>
  <c r="O902" i="26"/>
  <c r="N902" i="26"/>
  <c r="P902" i="26" s="1"/>
  <c r="M902" i="26"/>
  <c r="L902" i="26"/>
  <c r="K902" i="26"/>
  <c r="I902" i="26"/>
  <c r="J902" i="26" s="1"/>
  <c r="H902" i="26"/>
  <c r="G902" i="26"/>
  <c r="F902" i="26"/>
  <c r="T901" i="26"/>
  <c r="R901" i="26"/>
  <c r="S901" i="26" s="1"/>
  <c r="P901" i="26"/>
  <c r="O901" i="26"/>
  <c r="Q901" i="26" s="1"/>
  <c r="N901" i="26"/>
  <c r="M901" i="26"/>
  <c r="K901" i="26"/>
  <c r="L901" i="26" s="1"/>
  <c r="J901" i="26"/>
  <c r="I901" i="26"/>
  <c r="H901" i="26"/>
  <c r="G901" i="26"/>
  <c r="F901" i="26"/>
  <c r="T900" i="26"/>
  <c r="R900" i="26"/>
  <c r="S900" i="26" s="1"/>
  <c r="Q900" i="26"/>
  <c r="O900" i="26"/>
  <c r="N900" i="26"/>
  <c r="P900" i="26" s="1"/>
  <c r="M900" i="26"/>
  <c r="L900" i="26"/>
  <c r="K900" i="26"/>
  <c r="I900" i="26"/>
  <c r="J900" i="26" s="1"/>
  <c r="H900" i="26"/>
  <c r="G900" i="26"/>
  <c r="F900" i="26"/>
  <c r="T899" i="26"/>
  <c r="Q899" i="26"/>
  <c r="O899" i="26"/>
  <c r="N899" i="26"/>
  <c r="P899" i="26" s="1"/>
  <c r="R899" i="26" s="1"/>
  <c r="S899" i="26" s="1"/>
  <c r="M899" i="26"/>
  <c r="L899" i="26"/>
  <c r="K899" i="26"/>
  <c r="I899" i="26"/>
  <c r="J899" i="26" s="1"/>
  <c r="H899" i="26"/>
  <c r="G899" i="26"/>
  <c r="F899" i="26"/>
  <c r="T898" i="26"/>
  <c r="S898" i="26"/>
  <c r="P898" i="26"/>
  <c r="R898" i="26" s="1"/>
  <c r="O898" i="26"/>
  <c r="Q898" i="26" s="1"/>
  <c r="N898" i="26"/>
  <c r="M898" i="26"/>
  <c r="K898" i="26"/>
  <c r="L898" i="26" s="1"/>
  <c r="J898" i="26"/>
  <c r="I898" i="26"/>
  <c r="H898" i="26"/>
  <c r="G898" i="26"/>
  <c r="F898" i="26"/>
  <c r="T897" i="26"/>
  <c r="O897" i="26"/>
  <c r="Q897" i="26" s="1"/>
  <c r="N897" i="26"/>
  <c r="P897" i="26" s="1"/>
  <c r="R897" i="26" s="1"/>
  <c r="S897" i="26" s="1"/>
  <c r="M897" i="26"/>
  <c r="L897" i="26"/>
  <c r="K897" i="26"/>
  <c r="J897" i="26"/>
  <c r="I897" i="26"/>
  <c r="H897" i="26"/>
  <c r="G897" i="26"/>
  <c r="F897" i="26"/>
  <c r="T896" i="26"/>
  <c r="S896" i="26"/>
  <c r="Q896" i="26"/>
  <c r="O896" i="26"/>
  <c r="N896" i="26"/>
  <c r="P896" i="26" s="1"/>
  <c r="R896" i="26" s="1"/>
  <c r="M896" i="26"/>
  <c r="K896" i="26"/>
  <c r="L896" i="26" s="1"/>
  <c r="I896" i="26"/>
  <c r="J896" i="26" s="1"/>
  <c r="H896" i="26"/>
  <c r="G896" i="26"/>
  <c r="F896" i="26"/>
  <c r="T895" i="26"/>
  <c r="R895" i="26"/>
  <c r="S895" i="26" s="1"/>
  <c r="P895" i="26"/>
  <c r="O895" i="26"/>
  <c r="Q895" i="26" s="1"/>
  <c r="N895" i="26"/>
  <c r="M895" i="26"/>
  <c r="L895" i="26"/>
  <c r="K895" i="26"/>
  <c r="J895" i="26"/>
  <c r="I895" i="26"/>
  <c r="H895" i="26"/>
  <c r="G895" i="26"/>
  <c r="F895" i="26"/>
  <c r="T894" i="26"/>
  <c r="S894" i="26"/>
  <c r="Q894" i="26"/>
  <c r="O894" i="26"/>
  <c r="N894" i="26"/>
  <c r="P894" i="26" s="1"/>
  <c r="R894" i="26" s="1"/>
  <c r="M894" i="26"/>
  <c r="K894" i="26"/>
  <c r="L894" i="26" s="1"/>
  <c r="I894" i="26"/>
  <c r="J894" i="26" s="1"/>
  <c r="H894" i="26"/>
  <c r="G894" i="26"/>
  <c r="F894" i="26"/>
  <c r="T893" i="26"/>
  <c r="O893" i="26"/>
  <c r="Q893" i="26" s="1"/>
  <c r="N893" i="26"/>
  <c r="P893" i="26" s="1"/>
  <c r="R893" i="26" s="1"/>
  <c r="S893" i="26" s="1"/>
  <c r="M893" i="26"/>
  <c r="K893" i="26"/>
  <c r="L893" i="26" s="1"/>
  <c r="J893" i="26"/>
  <c r="I893" i="26"/>
  <c r="H893" i="26"/>
  <c r="G893" i="26"/>
  <c r="F893" i="26"/>
  <c r="T892" i="26"/>
  <c r="O892" i="26"/>
  <c r="Q892" i="26" s="1"/>
  <c r="R892" i="26" s="1"/>
  <c r="S892" i="26" s="1"/>
  <c r="N892" i="26"/>
  <c r="P892" i="26" s="1"/>
  <c r="M892" i="26"/>
  <c r="L892" i="26"/>
  <c r="K892" i="26"/>
  <c r="J892" i="26"/>
  <c r="I892" i="26"/>
  <c r="H892" i="26"/>
  <c r="G892" i="26"/>
  <c r="F892" i="26"/>
  <c r="T891" i="26"/>
  <c r="Q891" i="26"/>
  <c r="P891" i="26"/>
  <c r="O891" i="26"/>
  <c r="N891" i="26"/>
  <c r="M891" i="26"/>
  <c r="K891" i="26"/>
  <c r="L891" i="26" s="1"/>
  <c r="I891" i="26"/>
  <c r="J891" i="26" s="1"/>
  <c r="H891" i="26"/>
  <c r="G891" i="26"/>
  <c r="F891" i="26"/>
  <c r="T890" i="26"/>
  <c r="P890" i="26"/>
  <c r="R890" i="26" s="1"/>
  <c r="S890" i="26" s="1"/>
  <c r="O890" i="26"/>
  <c r="Q890" i="26" s="1"/>
  <c r="N890" i="26"/>
  <c r="M890" i="26"/>
  <c r="L890" i="26"/>
  <c r="K890" i="26"/>
  <c r="J890" i="26"/>
  <c r="I890" i="26"/>
  <c r="H890" i="26"/>
  <c r="G890" i="26"/>
  <c r="F890" i="26"/>
  <c r="T889" i="26"/>
  <c r="Q889" i="26"/>
  <c r="O889" i="26"/>
  <c r="N889" i="26"/>
  <c r="P889" i="26" s="1"/>
  <c r="R889" i="26" s="1"/>
  <c r="S889" i="26" s="1"/>
  <c r="M889" i="26"/>
  <c r="L889" i="26"/>
  <c r="K889" i="26"/>
  <c r="J889" i="26"/>
  <c r="I889" i="26"/>
  <c r="H889" i="26"/>
  <c r="G889" i="26"/>
  <c r="F889" i="26"/>
  <c r="T888" i="26"/>
  <c r="O888" i="26"/>
  <c r="Q888" i="26" s="1"/>
  <c r="N888" i="26"/>
  <c r="P888" i="26" s="1"/>
  <c r="M888" i="26"/>
  <c r="K888" i="26"/>
  <c r="L888" i="26" s="1"/>
  <c r="J888" i="26"/>
  <c r="I888" i="26"/>
  <c r="H888" i="26"/>
  <c r="G888" i="26"/>
  <c r="F888" i="26"/>
  <c r="T887" i="26"/>
  <c r="R887" i="26"/>
  <c r="S887" i="26" s="1"/>
  <c r="Q887" i="26"/>
  <c r="O887" i="26"/>
  <c r="N887" i="26"/>
  <c r="P887" i="26" s="1"/>
  <c r="M887" i="26"/>
  <c r="K887" i="26"/>
  <c r="L887" i="26" s="1"/>
  <c r="J887" i="26"/>
  <c r="I887" i="26"/>
  <c r="H887" i="26"/>
  <c r="G887" i="26"/>
  <c r="F887" i="26"/>
  <c r="T886" i="26"/>
  <c r="Q886" i="26"/>
  <c r="P886" i="26"/>
  <c r="O886" i="26"/>
  <c r="N886" i="26"/>
  <c r="M886" i="26"/>
  <c r="K886" i="26"/>
  <c r="L886" i="26" s="1"/>
  <c r="I886" i="26"/>
  <c r="J886" i="26" s="1"/>
  <c r="H886" i="26"/>
  <c r="G886" i="26"/>
  <c r="F886" i="26"/>
  <c r="T885" i="26"/>
  <c r="P885" i="26"/>
  <c r="R885" i="26" s="1"/>
  <c r="S885" i="26" s="1"/>
  <c r="O885" i="26"/>
  <c r="Q885" i="26" s="1"/>
  <c r="N885" i="26"/>
  <c r="M885" i="26"/>
  <c r="L885" i="26"/>
  <c r="K885" i="26"/>
  <c r="I885" i="26"/>
  <c r="J885" i="26" s="1"/>
  <c r="H885" i="26"/>
  <c r="G885" i="26"/>
  <c r="F885" i="26"/>
  <c r="T884" i="26"/>
  <c r="O884" i="26"/>
  <c r="Q884" i="26" s="1"/>
  <c r="N884" i="26"/>
  <c r="P884" i="26" s="1"/>
  <c r="M884" i="26"/>
  <c r="K884" i="26"/>
  <c r="L884" i="26" s="1"/>
  <c r="I884" i="26"/>
  <c r="J884" i="26" s="1"/>
  <c r="H884" i="26"/>
  <c r="G884" i="26"/>
  <c r="F884" i="26"/>
  <c r="T883" i="26"/>
  <c r="O883" i="26"/>
  <c r="Q883" i="26" s="1"/>
  <c r="N883" i="26"/>
  <c r="P883" i="26" s="1"/>
  <c r="R883" i="26" s="1"/>
  <c r="S883" i="26" s="1"/>
  <c r="M883" i="26"/>
  <c r="L883" i="26"/>
  <c r="K883" i="26"/>
  <c r="J883" i="26"/>
  <c r="I883" i="26"/>
  <c r="H883" i="26"/>
  <c r="G883" i="26"/>
  <c r="F883" i="26"/>
  <c r="T882" i="26"/>
  <c r="O882" i="26"/>
  <c r="Q882" i="26" s="1"/>
  <c r="N882" i="26"/>
  <c r="P882" i="26" s="1"/>
  <c r="M882" i="26"/>
  <c r="L882" i="26"/>
  <c r="K882" i="26"/>
  <c r="I882" i="26"/>
  <c r="J882" i="26" s="1"/>
  <c r="H882" i="26"/>
  <c r="G882" i="26"/>
  <c r="F882" i="26"/>
  <c r="T881" i="26"/>
  <c r="O881" i="26"/>
  <c r="Q881" i="26" s="1"/>
  <c r="N881" i="26"/>
  <c r="P881" i="26" s="1"/>
  <c r="R881" i="26" s="1"/>
  <c r="S881" i="26" s="1"/>
  <c r="M881" i="26"/>
  <c r="L881" i="26"/>
  <c r="K881" i="26"/>
  <c r="J881" i="26"/>
  <c r="I881" i="26"/>
  <c r="H881" i="26"/>
  <c r="G881" i="26"/>
  <c r="F881" i="26"/>
  <c r="T880" i="26"/>
  <c r="O880" i="26"/>
  <c r="Q880" i="26" s="1"/>
  <c r="N880" i="26"/>
  <c r="P880" i="26" s="1"/>
  <c r="M880" i="26"/>
  <c r="K880" i="26"/>
  <c r="L880" i="26" s="1"/>
  <c r="J880" i="26"/>
  <c r="I880" i="26"/>
  <c r="H880" i="26"/>
  <c r="G880" i="26"/>
  <c r="F880" i="26"/>
  <c r="T879" i="26"/>
  <c r="Q879" i="26"/>
  <c r="O879" i="26"/>
  <c r="N879" i="26"/>
  <c r="P879" i="26" s="1"/>
  <c r="R879" i="26" s="1"/>
  <c r="S879" i="26" s="1"/>
  <c r="M879" i="26"/>
  <c r="K879" i="26"/>
  <c r="L879" i="26" s="1"/>
  <c r="J879" i="26"/>
  <c r="I879" i="26"/>
  <c r="H879" i="26"/>
  <c r="G879" i="26"/>
  <c r="F879" i="26"/>
  <c r="T878" i="26"/>
  <c r="Q878" i="26"/>
  <c r="P878" i="26"/>
  <c r="O878" i="26"/>
  <c r="N878" i="26"/>
  <c r="M878" i="26"/>
  <c r="K878" i="26"/>
  <c r="L878" i="26" s="1"/>
  <c r="I878" i="26"/>
  <c r="J878" i="26" s="1"/>
  <c r="H878" i="26"/>
  <c r="G878" i="26"/>
  <c r="F878" i="26"/>
  <c r="T877" i="26"/>
  <c r="P877" i="26"/>
  <c r="O877" i="26"/>
  <c r="Q877" i="26" s="1"/>
  <c r="N877" i="26"/>
  <c r="M877" i="26"/>
  <c r="L877" i="26"/>
  <c r="K877" i="26"/>
  <c r="I877" i="26"/>
  <c r="J877" i="26" s="1"/>
  <c r="H877" i="26"/>
  <c r="G877" i="26"/>
  <c r="F877" i="26"/>
  <c r="T876" i="26"/>
  <c r="O876" i="26"/>
  <c r="Q876" i="26" s="1"/>
  <c r="N876" i="26"/>
  <c r="P876" i="26" s="1"/>
  <c r="R876" i="26" s="1"/>
  <c r="S876" i="26" s="1"/>
  <c r="M876" i="26"/>
  <c r="K876" i="26"/>
  <c r="L876" i="26" s="1"/>
  <c r="I876" i="26"/>
  <c r="J876" i="26" s="1"/>
  <c r="H876" i="26"/>
  <c r="G876" i="26"/>
  <c r="F876" i="26"/>
  <c r="T875" i="26"/>
  <c r="O875" i="26"/>
  <c r="Q875" i="26" s="1"/>
  <c r="N875" i="26"/>
  <c r="P875" i="26" s="1"/>
  <c r="M875" i="26"/>
  <c r="L875" i="26"/>
  <c r="K875" i="26"/>
  <c r="J875" i="26"/>
  <c r="I875" i="26"/>
  <c r="H875" i="26"/>
  <c r="G875" i="26"/>
  <c r="F875" i="26"/>
  <c r="T874" i="26"/>
  <c r="Q874" i="26"/>
  <c r="O874" i="26"/>
  <c r="N874" i="26"/>
  <c r="P874" i="26" s="1"/>
  <c r="R874" i="26" s="1"/>
  <c r="S874" i="26" s="1"/>
  <c r="M874" i="26"/>
  <c r="L874" i="26"/>
  <c r="K874" i="26"/>
  <c r="I874" i="26"/>
  <c r="J874" i="26" s="1"/>
  <c r="H874" i="26"/>
  <c r="G874" i="26"/>
  <c r="F874" i="26"/>
  <c r="T873" i="26"/>
  <c r="O873" i="26"/>
  <c r="Q873" i="26" s="1"/>
  <c r="N873" i="26"/>
  <c r="P873" i="26" s="1"/>
  <c r="R873" i="26" s="1"/>
  <c r="S873" i="26" s="1"/>
  <c r="M873" i="26"/>
  <c r="L873" i="26"/>
  <c r="K873" i="26"/>
  <c r="J873" i="26"/>
  <c r="I873" i="26"/>
  <c r="H873" i="26"/>
  <c r="G873" i="26"/>
  <c r="F873" i="26"/>
  <c r="T872" i="26"/>
  <c r="O872" i="26"/>
  <c r="Q872" i="26" s="1"/>
  <c r="N872" i="26"/>
  <c r="P872" i="26" s="1"/>
  <c r="R872" i="26" s="1"/>
  <c r="S872" i="26" s="1"/>
  <c r="M872" i="26"/>
  <c r="K872" i="26"/>
  <c r="L872" i="26" s="1"/>
  <c r="J872" i="26"/>
  <c r="I872" i="26"/>
  <c r="H872" i="26"/>
  <c r="G872" i="26"/>
  <c r="F872" i="26"/>
  <c r="T871" i="26"/>
  <c r="Q871" i="26"/>
  <c r="O871" i="26"/>
  <c r="N871" i="26"/>
  <c r="P871" i="26" s="1"/>
  <c r="R871" i="26" s="1"/>
  <c r="S871" i="26" s="1"/>
  <c r="M871" i="26"/>
  <c r="K871" i="26"/>
  <c r="L871" i="26" s="1"/>
  <c r="J871" i="26"/>
  <c r="I871" i="26"/>
  <c r="H871" i="26"/>
  <c r="G871" i="26"/>
  <c r="F871" i="26"/>
  <c r="T870" i="26"/>
  <c r="Q870" i="26"/>
  <c r="P870" i="26"/>
  <c r="O870" i="26"/>
  <c r="N870" i="26"/>
  <c r="M870" i="26"/>
  <c r="K870" i="26"/>
  <c r="L870" i="26" s="1"/>
  <c r="I870" i="26"/>
  <c r="J870" i="26" s="1"/>
  <c r="H870" i="26"/>
  <c r="G870" i="26"/>
  <c r="F870" i="26"/>
  <c r="T869" i="26"/>
  <c r="P869" i="26"/>
  <c r="R869" i="26" s="1"/>
  <c r="S869" i="26" s="1"/>
  <c r="O869" i="26"/>
  <c r="Q869" i="26" s="1"/>
  <c r="N869" i="26"/>
  <c r="M869" i="26"/>
  <c r="L869" i="26"/>
  <c r="K869" i="26"/>
  <c r="I869" i="26"/>
  <c r="J869" i="26" s="1"/>
  <c r="H869" i="26"/>
  <c r="G869" i="26"/>
  <c r="F869" i="26"/>
  <c r="T868" i="26"/>
  <c r="O868" i="26"/>
  <c r="Q868" i="26" s="1"/>
  <c r="N868" i="26"/>
  <c r="P868" i="26" s="1"/>
  <c r="R868" i="26" s="1"/>
  <c r="S868" i="26" s="1"/>
  <c r="M868" i="26"/>
  <c r="K868" i="26"/>
  <c r="L868" i="26" s="1"/>
  <c r="I868" i="26"/>
  <c r="J868" i="26" s="1"/>
  <c r="H868" i="26"/>
  <c r="G868" i="26"/>
  <c r="F868" i="26"/>
  <c r="T867" i="26"/>
  <c r="O867" i="26"/>
  <c r="Q867" i="26" s="1"/>
  <c r="N867" i="26"/>
  <c r="P867" i="26" s="1"/>
  <c r="R867" i="26" s="1"/>
  <c r="S867" i="26" s="1"/>
  <c r="M867" i="26"/>
  <c r="L867" i="26"/>
  <c r="K867" i="26"/>
  <c r="J867" i="26"/>
  <c r="I867" i="26"/>
  <c r="H867" i="26"/>
  <c r="G867" i="26"/>
  <c r="F867" i="26"/>
  <c r="T866" i="26"/>
  <c r="Q866" i="26"/>
  <c r="O866" i="26"/>
  <c r="N866" i="26"/>
  <c r="P866" i="26" s="1"/>
  <c r="R866" i="26" s="1"/>
  <c r="S866" i="26" s="1"/>
  <c r="M866" i="26"/>
  <c r="L866" i="26"/>
  <c r="K866" i="26"/>
  <c r="I866" i="26"/>
  <c r="J866" i="26" s="1"/>
  <c r="H866" i="26"/>
  <c r="G866" i="26"/>
  <c r="F866" i="26"/>
  <c r="T865" i="26"/>
  <c r="O865" i="26"/>
  <c r="Q865" i="26" s="1"/>
  <c r="N865" i="26"/>
  <c r="P865" i="26" s="1"/>
  <c r="M865" i="26"/>
  <c r="L865" i="26"/>
  <c r="K865" i="26"/>
  <c r="J865" i="26"/>
  <c r="I865" i="26"/>
  <c r="H865" i="26"/>
  <c r="G865" i="26"/>
  <c r="F865" i="26"/>
  <c r="T864" i="26"/>
  <c r="O864" i="26"/>
  <c r="Q864" i="26" s="1"/>
  <c r="N864" i="26"/>
  <c r="P864" i="26" s="1"/>
  <c r="M864" i="26"/>
  <c r="K864" i="26"/>
  <c r="L864" i="26" s="1"/>
  <c r="J864" i="26"/>
  <c r="I864" i="26"/>
  <c r="H864" i="26"/>
  <c r="G864" i="26"/>
  <c r="F864" i="26"/>
  <c r="T863" i="26"/>
  <c r="Q863" i="26"/>
  <c r="O863" i="26"/>
  <c r="N863" i="26"/>
  <c r="P863" i="26" s="1"/>
  <c r="R863" i="26" s="1"/>
  <c r="S863" i="26" s="1"/>
  <c r="M863" i="26"/>
  <c r="K863" i="26"/>
  <c r="L863" i="26" s="1"/>
  <c r="J863" i="26"/>
  <c r="I863" i="26"/>
  <c r="H863" i="26"/>
  <c r="G863" i="26"/>
  <c r="F863" i="26"/>
  <c r="T862" i="26"/>
  <c r="Q862" i="26"/>
  <c r="P862" i="26"/>
  <c r="R862" i="26" s="1"/>
  <c r="S862" i="26" s="1"/>
  <c r="O862" i="26"/>
  <c r="N862" i="26"/>
  <c r="M862" i="26"/>
  <c r="K862" i="26"/>
  <c r="L862" i="26" s="1"/>
  <c r="I862" i="26"/>
  <c r="J862" i="26" s="1"/>
  <c r="H862" i="26"/>
  <c r="G862" i="26"/>
  <c r="F862" i="26"/>
  <c r="T861" i="26"/>
  <c r="P861" i="26"/>
  <c r="O861" i="26"/>
  <c r="Q861" i="26" s="1"/>
  <c r="N861" i="26"/>
  <c r="M861" i="26"/>
  <c r="L861" i="26"/>
  <c r="K861" i="26"/>
  <c r="I861" i="26"/>
  <c r="J861" i="26" s="1"/>
  <c r="H861" i="26"/>
  <c r="G861" i="26"/>
  <c r="F861" i="26"/>
  <c r="T860" i="26"/>
  <c r="O860" i="26"/>
  <c r="Q860" i="26" s="1"/>
  <c r="N860" i="26"/>
  <c r="P860" i="26" s="1"/>
  <c r="M860" i="26"/>
  <c r="K860" i="26"/>
  <c r="L860" i="26" s="1"/>
  <c r="I860" i="26"/>
  <c r="J860" i="26" s="1"/>
  <c r="H860" i="26"/>
  <c r="G860" i="26"/>
  <c r="F860" i="26"/>
  <c r="T859" i="26"/>
  <c r="O859" i="26"/>
  <c r="Q859" i="26" s="1"/>
  <c r="N859" i="26"/>
  <c r="P859" i="26" s="1"/>
  <c r="R859" i="26" s="1"/>
  <c r="S859" i="26" s="1"/>
  <c r="M859" i="26"/>
  <c r="L859" i="26"/>
  <c r="K859" i="26"/>
  <c r="J859" i="26"/>
  <c r="I859" i="26"/>
  <c r="H859" i="26"/>
  <c r="G859" i="26"/>
  <c r="F859" i="26"/>
  <c r="T858" i="26"/>
  <c r="Q858" i="26"/>
  <c r="O858" i="26"/>
  <c r="N858" i="26"/>
  <c r="P858" i="26" s="1"/>
  <c r="R858" i="26" s="1"/>
  <c r="S858" i="26" s="1"/>
  <c r="M858" i="26"/>
  <c r="L858" i="26"/>
  <c r="K858" i="26"/>
  <c r="I858" i="26"/>
  <c r="J858" i="26" s="1"/>
  <c r="H858" i="26"/>
  <c r="G858" i="26"/>
  <c r="F858" i="26"/>
  <c r="T857" i="26"/>
  <c r="P857" i="26"/>
  <c r="O857" i="26"/>
  <c r="Q857" i="26" s="1"/>
  <c r="N857" i="26"/>
  <c r="M857" i="26"/>
  <c r="L857" i="26"/>
  <c r="K857" i="26"/>
  <c r="J857" i="26"/>
  <c r="I857" i="26"/>
  <c r="H857" i="26"/>
  <c r="G857" i="26"/>
  <c r="F857" i="26"/>
  <c r="T856" i="26"/>
  <c r="O856" i="26"/>
  <c r="Q856" i="26" s="1"/>
  <c r="N856" i="26"/>
  <c r="P856" i="26" s="1"/>
  <c r="M856" i="26"/>
  <c r="K856" i="26"/>
  <c r="L856" i="26" s="1"/>
  <c r="J856" i="26"/>
  <c r="I856" i="26"/>
  <c r="H856" i="26"/>
  <c r="G856" i="26"/>
  <c r="F856" i="26"/>
  <c r="T855" i="26"/>
  <c r="Q855" i="26"/>
  <c r="O855" i="26"/>
  <c r="N855" i="26"/>
  <c r="P855" i="26" s="1"/>
  <c r="R855" i="26" s="1"/>
  <c r="S855" i="26" s="1"/>
  <c r="M855" i="26"/>
  <c r="K855" i="26"/>
  <c r="L855" i="26" s="1"/>
  <c r="J855" i="26"/>
  <c r="I855" i="26"/>
  <c r="H855" i="26"/>
  <c r="G855" i="26"/>
  <c r="F855" i="26"/>
  <c r="T854" i="26"/>
  <c r="Q854" i="26"/>
  <c r="P854" i="26"/>
  <c r="R854" i="26" s="1"/>
  <c r="S854" i="26" s="1"/>
  <c r="O854" i="26"/>
  <c r="N854" i="26"/>
  <c r="M854" i="26"/>
  <c r="K854" i="26"/>
  <c r="L854" i="26" s="1"/>
  <c r="I854" i="26"/>
  <c r="J854" i="26" s="1"/>
  <c r="H854" i="26"/>
  <c r="G854" i="26"/>
  <c r="F854" i="26"/>
  <c r="T853" i="26"/>
  <c r="P853" i="26"/>
  <c r="O853" i="26"/>
  <c r="Q853" i="26" s="1"/>
  <c r="N853" i="26"/>
  <c r="M853" i="26"/>
  <c r="L853" i="26"/>
  <c r="K853" i="26"/>
  <c r="I853" i="26"/>
  <c r="J853" i="26" s="1"/>
  <c r="H853" i="26"/>
  <c r="G853" i="26"/>
  <c r="F853" i="26"/>
  <c r="T852" i="26"/>
  <c r="O852" i="26"/>
  <c r="Q852" i="26" s="1"/>
  <c r="N852" i="26"/>
  <c r="P852" i="26" s="1"/>
  <c r="M852" i="26"/>
  <c r="K852" i="26"/>
  <c r="L852" i="26" s="1"/>
  <c r="I852" i="26"/>
  <c r="J852" i="26" s="1"/>
  <c r="H852" i="26"/>
  <c r="G852" i="26"/>
  <c r="F852" i="26"/>
  <c r="T851" i="26"/>
  <c r="O851" i="26"/>
  <c r="Q851" i="26" s="1"/>
  <c r="N851" i="26"/>
  <c r="P851" i="26" s="1"/>
  <c r="R851" i="26" s="1"/>
  <c r="S851" i="26" s="1"/>
  <c r="M851" i="26"/>
  <c r="L851" i="26"/>
  <c r="K851" i="26"/>
  <c r="J851" i="26"/>
  <c r="I851" i="26"/>
  <c r="H851" i="26"/>
  <c r="G851" i="26"/>
  <c r="F851" i="26"/>
  <c r="T850" i="26"/>
  <c r="Q850" i="26"/>
  <c r="O850" i="26"/>
  <c r="N850" i="26"/>
  <c r="P850" i="26" s="1"/>
  <c r="R850" i="26" s="1"/>
  <c r="S850" i="26" s="1"/>
  <c r="M850" i="26"/>
  <c r="L850" i="26"/>
  <c r="K850" i="26"/>
  <c r="I850" i="26"/>
  <c r="J850" i="26" s="1"/>
  <c r="H850" i="26"/>
  <c r="G850" i="26"/>
  <c r="F850" i="26"/>
  <c r="T849" i="26"/>
  <c r="P849" i="26"/>
  <c r="O849" i="26"/>
  <c r="Q849" i="26" s="1"/>
  <c r="N849" i="26"/>
  <c r="M849" i="26"/>
  <c r="L849" i="26"/>
  <c r="K849" i="26"/>
  <c r="J849" i="26"/>
  <c r="I849" i="26"/>
  <c r="H849" i="26"/>
  <c r="G849" i="26"/>
  <c r="F849" i="26"/>
  <c r="T848" i="26"/>
  <c r="O848" i="26"/>
  <c r="Q848" i="26" s="1"/>
  <c r="N848" i="26"/>
  <c r="P848" i="26" s="1"/>
  <c r="M848" i="26"/>
  <c r="K848" i="26"/>
  <c r="L848" i="26" s="1"/>
  <c r="J848" i="26"/>
  <c r="I848" i="26"/>
  <c r="H848" i="26"/>
  <c r="G848" i="26"/>
  <c r="F848" i="26"/>
  <c r="T847" i="26"/>
  <c r="Q847" i="26"/>
  <c r="O847" i="26"/>
  <c r="N847" i="26"/>
  <c r="P847" i="26" s="1"/>
  <c r="R847" i="26" s="1"/>
  <c r="S847" i="26" s="1"/>
  <c r="M847" i="26"/>
  <c r="K847" i="26"/>
  <c r="L847" i="26" s="1"/>
  <c r="J847" i="26"/>
  <c r="I847" i="26"/>
  <c r="H847" i="26"/>
  <c r="G847" i="26"/>
  <c r="F847" i="26"/>
  <c r="T846" i="26"/>
  <c r="Q846" i="26"/>
  <c r="P846" i="26"/>
  <c r="R846" i="26" s="1"/>
  <c r="S846" i="26" s="1"/>
  <c r="O846" i="26"/>
  <c r="N846" i="26"/>
  <c r="M846" i="26"/>
  <c r="K846" i="26"/>
  <c r="L846" i="26" s="1"/>
  <c r="I846" i="26"/>
  <c r="J846" i="26" s="1"/>
  <c r="H846" i="26"/>
  <c r="G846" i="26"/>
  <c r="F846" i="26"/>
  <c r="T845" i="26"/>
  <c r="P845" i="26"/>
  <c r="O845" i="26"/>
  <c r="Q845" i="26" s="1"/>
  <c r="N845" i="26"/>
  <c r="M845" i="26"/>
  <c r="L845" i="26"/>
  <c r="K845" i="26"/>
  <c r="I845" i="26"/>
  <c r="J845" i="26" s="1"/>
  <c r="H845" i="26"/>
  <c r="G845" i="26"/>
  <c r="F845" i="26"/>
  <c r="T844" i="26"/>
  <c r="O844" i="26"/>
  <c r="Q844" i="26" s="1"/>
  <c r="N844" i="26"/>
  <c r="P844" i="26" s="1"/>
  <c r="M844" i="26"/>
  <c r="K844" i="26"/>
  <c r="L844" i="26" s="1"/>
  <c r="I844" i="26"/>
  <c r="J844" i="26" s="1"/>
  <c r="H844" i="26"/>
  <c r="G844" i="26"/>
  <c r="F844" i="26"/>
  <c r="T843" i="26"/>
  <c r="O843" i="26"/>
  <c r="Q843" i="26" s="1"/>
  <c r="N843" i="26"/>
  <c r="P843" i="26" s="1"/>
  <c r="R843" i="26" s="1"/>
  <c r="S843" i="26" s="1"/>
  <c r="M843" i="26"/>
  <c r="L843" i="26"/>
  <c r="K843" i="26"/>
  <c r="J843" i="26"/>
  <c r="I843" i="26"/>
  <c r="H843" i="26"/>
  <c r="G843" i="26"/>
  <c r="F843" i="26"/>
  <c r="T842" i="26"/>
  <c r="Q842" i="26"/>
  <c r="O842" i="26"/>
  <c r="N842" i="26"/>
  <c r="P842" i="26" s="1"/>
  <c r="R842" i="26" s="1"/>
  <c r="S842" i="26" s="1"/>
  <c r="M842" i="26"/>
  <c r="L842" i="26"/>
  <c r="K842" i="26"/>
  <c r="I842" i="26"/>
  <c r="J842" i="26" s="1"/>
  <c r="H842" i="26"/>
  <c r="G842" i="26"/>
  <c r="F842" i="26"/>
  <c r="T841" i="26"/>
  <c r="P841" i="26"/>
  <c r="O841" i="26"/>
  <c r="Q841" i="26" s="1"/>
  <c r="N841" i="26"/>
  <c r="M841" i="26"/>
  <c r="L841" i="26"/>
  <c r="K841" i="26"/>
  <c r="J841" i="26"/>
  <c r="I841" i="26"/>
  <c r="H841" i="26"/>
  <c r="G841" i="26"/>
  <c r="F841" i="26"/>
  <c r="T840" i="26"/>
  <c r="O840" i="26"/>
  <c r="Q840" i="26" s="1"/>
  <c r="N840" i="26"/>
  <c r="P840" i="26" s="1"/>
  <c r="M840" i="26"/>
  <c r="K840" i="26"/>
  <c r="L840" i="26" s="1"/>
  <c r="J840" i="26"/>
  <c r="I840" i="26"/>
  <c r="H840" i="26"/>
  <c r="G840" i="26"/>
  <c r="F840" i="26"/>
  <c r="T839" i="26"/>
  <c r="R839" i="26"/>
  <c r="S839" i="26" s="1"/>
  <c r="Q839" i="26"/>
  <c r="O839" i="26"/>
  <c r="N839" i="26"/>
  <c r="P839" i="26" s="1"/>
  <c r="M839" i="26"/>
  <c r="K839" i="26"/>
  <c r="L839" i="26" s="1"/>
  <c r="J839" i="26"/>
  <c r="I839" i="26"/>
  <c r="H839" i="26"/>
  <c r="G839" i="26"/>
  <c r="F839" i="26"/>
  <c r="T838" i="26"/>
  <c r="Q838" i="26"/>
  <c r="P838" i="26"/>
  <c r="R838" i="26" s="1"/>
  <c r="S838" i="26" s="1"/>
  <c r="O838" i="26"/>
  <c r="N838" i="26"/>
  <c r="M838" i="26"/>
  <c r="K838" i="26"/>
  <c r="L838" i="26" s="1"/>
  <c r="I838" i="26"/>
  <c r="J838" i="26" s="1"/>
  <c r="H838" i="26"/>
  <c r="G838" i="26"/>
  <c r="F838" i="26"/>
  <c r="T837" i="26"/>
  <c r="P837" i="26"/>
  <c r="O837" i="26"/>
  <c r="Q837" i="26" s="1"/>
  <c r="N837" i="26"/>
  <c r="M837" i="26"/>
  <c r="L837" i="26"/>
  <c r="K837" i="26"/>
  <c r="I837" i="26"/>
  <c r="J837" i="26" s="1"/>
  <c r="H837" i="26"/>
  <c r="G837" i="26"/>
  <c r="F837" i="26"/>
  <c r="T836" i="26"/>
  <c r="O836" i="26"/>
  <c r="Q836" i="26" s="1"/>
  <c r="N836" i="26"/>
  <c r="P836" i="26" s="1"/>
  <c r="M836" i="26"/>
  <c r="K836" i="26"/>
  <c r="L836" i="26" s="1"/>
  <c r="I836" i="26"/>
  <c r="J836" i="26" s="1"/>
  <c r="H836" i="26"/>
  <c r="G836" i="26"/>
  <c r="F836" i="26"/>
  <c r="T835" i="26"/>
  <c r="O835" i="26"/>
  <c r="Q835" i="26" s="1"/>
  <c r="N835" i="26"/>
  <c r="P835" i="26" s="1"/>
  <c r="R835" i="26" s="1"/>
  <c r="S835" i="26" s="1"/>
  <c r="M835" i="26"/>
  <c r="L835" i="26"/>
  <c r="K835" i="26"/>
  <c r="J835" i="26"/>
  <c r="I835" i="26"/>
  <c r="H835" i="26"/>
  <c r="G835" i="26"/>
  <c r="F835" i="26"/>
  <c r="T834" i="26"/>
  <c r="Q834" i="26"/>
  <c r="O834" i="26"/>
  <c r="N834" i="26"/>
  <c r="P834" i="26" s="1"/>
  <c r="R834" i="26" s="1"/>
  <c r="S834" i="26" s="1"/>
  <c r="M834" i="26"/>
  <c r="L834" i="26"/>
  <c r="K834" i="26"/>
  <c r="I834" i="26"/>
  <c r="J834" i="26" s="1"/>
  <c r="H834" i="26"/>
  <c r="G834" i="26"/>
  <c r="F834" i="26"/>
  <c r="T833" i="26"/>
  <c r="P833" i="26"/>
  <c r="O833" i="26"/>
  <c r="Q833" i="26" s="1"/>
  <c r="N833" i="26"/>
  <c r="M833" i="26"/>
  <c r="L833" i="26"/>
  <c r="K833" i="26"/>
  <c r="J833" i="26"/>
  <c r="I833" i="26"/>
  <c r="H833" i="26"/>
  <c r="G833" i="26"/>
  <c r="F833" i="26"/>
  <c r="T832" i="26"/>
  <c r="O832" i="26"/>
  <c r="Q832" i="26" s="1"/>
  <c r="N832" i="26"/>
  <c r="P832" i="26" s="1"/>
  <c r="M832" i="26"/>
  <c r="K832" i="26"/>
  <c r="L832" i="26" s="1"/>
  <c r="J832" i="26"/>
  <c r="I832" i="26"/>
  <c r="H832" i="26"/>
  <c r="G832" i="26"/>
  <c r="F832" i="26"/>
  <c r="T831" i="26"/>
  <c r="R831" i="26"/>
  <c r="S831" i="26" s="1"/>
  <c r="Q831" i="26"/>
  <c r="O831" i="26"/>
  <c r="N831" i="26"/>
  <c r="P831" i="26" s="1"/>
  <c r="M831" i="26"/>
  <c r="K831" i="26"/>
  <c r="L831" i="26" s="1"/>
  <c r="J831" i="26"/>
  <c r="I831" i="26"/>
  <c r="H831" i="26"/>
  <c r="G831" i="26"/>
  <c r="F831" i="26"/>
  <c r="T830" i="26"/>
  <c r="Q830" i="26"/>
  <c r="P830" i="26"/>
  <c r="O830" i="26"/>
  <c r="N830" i="26"/>
  <c r="M830" i="26"/>
  <c r="K830" i="26"/>
  <c r="L830" i="26" s="1"/>
  <c r="I830" i="26"/>
  <c r="J830" i="26" s="1"/>
  <c r="H830" i="26"/>
  <c r="G830" i="26"/>
  <c r="F830" i="26"/>
  <c r="T829" i="26"/>
  <c r="P829" i="26"/>
  <c r="O829" i="26"/>
  <c r="Q829" i="26" s="1"/>
  <c r="N829" i="26"/>
  <c r="M829" i="26"/>
  <c r="L829" i="26"/>
  <c r="K829" i="26"/>
  <c r="I829" i="26"/>
  <c r="J829" i="26" s="1"/>
  <c r="H829" i="26"/>
  <c r="G829" i="26"/>
  <c r="F829" i="26"/>
  <c r="T828" i="26"/>
  <c r="O828" i="26"/>
  <c r="Q828" i="26" s="1"/>
  <c r="N828" i="26"/>
  <c r="P828" i="26" s="1"/>
  <c r="M828" i="26"/>
  <c r="K828" i="26"/>
  <c r="L828" i="26" s="1"/>
  <c r="I828" i="26"/>
  <c r="J828" i="26" s="1"/>
  <c r="H828" i="26"/>
  <c r="G828" i="26"/>
  <c r="F828" i="26"/>
  <c r="T827" i="26"/>
  <c r="O827" i="26"/>
  <c r="Q827" i="26" s="1"/>
  <c r="N827" i="26"/>
  <c r="P827" i="26" s="1"/>
  <c r="R827" i="26" s="1"/>
  <c r="S827" i="26" s="1"/>
  <c r="M827" i="26"/>
  <c r="L827" i="26"/>
  <c r="K827" i="26"/>
  <c r="J827" i="26"/>
  <c r="I827" i="26"/>
  <c r="H827" i="26"/>
  <c r="G827" i="26"/>
  <c r="F827" i="26"/>
  <c r="T826" i="26"/>
  <c r="Q826" i="26"/>
  <c r="O826" i="26"/>
  <c r="N826" i="26"/>
  <c r="P826" i="26" s="1"/>
  <c r="R826" i="26" s="1"/>
  <c r="S826" i="26" s="1"/>
  <c r="M826" i="26"/>
  <c r="L826" i="26"/>
  <c r="K826" i="26"/>
  <c r="I826" i="26"/>
  <c r="J826" i="26" s="1"/>
  <c r="H826" i="26"/>
  <c r="G826" i="26"/>
  <c r="F826" i="26"/>
  <c r="T825" i="26"/>
  <c r="P825" i="26"/>
  <c r="O825" i="26"/>
  <c r="Q825" i="26" s="1"/>
  <c r="N825" i="26"/>
  <c r="M825" i="26"/>
  <c r="L825" i="26"/>
  <c r="K825" i="26"/>
  <c r="J825" i="26"/>
  <c r="I825" i="26"/>
  <c r="H825" i="26"/>
  <c r="G825" i="26"/>
  <c r="F825" i="26"/>
  <c r="T824" i="26"/>
  <c r="O824" i="26"/>
  <c r="Q824" i="26" s="1"/>
  <c r="N824" i="26"/>
  <c r="P824" i="26" s="1"/>
  <c r="M824" i="26"/>
  <c r="K824" i="26"/>
  <c r="L824" i="26" s="1"/>
  <c r="J824" i="26"/>
  <c r="I824" i="26"/>
  <c r="H824" i="26"/>
  <c r="G824" i="26"/>
  <c r="F824" i="26"/>
  <c r="T823" i="26"/>
  <c r="R823" i="26"/>
  <c r="S823" i="26" s="1"/>
  <c r="Q823" i="26"/>
  <c r="O823" i="26"/>
  <c r="N823" i="26"/>
  <c r="P823" i="26" s="1"/>
  <c r="M823" i="26"/>
  <c r="K823" i="26"/>
  <c r="L823" i="26" s="1"/>
  <c r="J823" i="26"/>
  <c r="I823" i="26"/>
  <c r="H823" i="26"/>
  <c r="G823" i="26"/>
  <c r="F823" i="26"/>
  <c r="T822" i="26"/>
  <c r="Q822" i="26"/>
  <c r="P822" i="26"/>
  <c r="O822" i="26"/>
  <c r="N822" i="26"/>
  <c r="M822" i="26"/>
  <c r="K822" i="26"/>
  <c r="L822" i="26" s="1"/>
  <c r="I822" i="26"/>
  <c r="J822" i="26" s="1"/>
  <c r="H822" i="26"/>
  <c r="G822" i="26"/>
  <c r="F822" i="26"/>
  <c r="T821" i="26"/>
  <c r="P821" i="26"/>
  <c r="O821" i="26"/>
  <c r="Q821" i="26" s="1"/>
  <c r="N821" i="26"/>
  <c r="M821" i="26"/>
  <c r="L821" i="26"/>
  <c r="K821" i="26"/>
  <c r="I821" i="26"/>
  <c r="J821" i="26" s="1"/>
  <c r="H821" i="26"/>
  <c r="G821" i="26"/>
  <c r="F821" i="26"/>
  <c r="T820" i="26"/>
  <c r="O820" i="26"/>
  <c r="Q820" i="26" s="1"/>
  <c r="N820" i="26"/>
  <c r="P820" i="26" s="1"/>
  <c r="M820" i="26"/>
  <c r="K820" i="26"/>
  <c r="L820" i="26" s="1"/>
  <c r="I820" i="26"/>
  <c r="J820" i="26" s="1"/>
  <c r="H820" i="26"/>
  <c r="G820" i="26"/>
  <c r="F820" i="26"/>
  <c r="T819" i="26"/>
  <c r="O819" i="26"/>
  <c r="Q819" i="26" s="1"/>
  <c r="N819" i="26"/>
  <c r="P819" i="26" s="1"/>
  <c r="R819" i="26" s="1"/>
  <c r="S819" i="26" s="1"/>
  <c r="M819" i="26"/>
  <c r="L819" i="26"/>
  <c r="K819" i="26"/>
  <c r="J819" i="26"/>
  <c r="I819" i="26"/>
  <c r="H819" i="26"/>
  <c r="G819" i="26"/>
  <c r="F819" i="26"/>
  <c r="T818" i="26"/>
  <c r="Q818" i="26"/>
  <c r="O818" i="26"/>
  <c r="N818" i="26"/>
  <c r="P818" i="26" s="1"/>
  <c r="R818" i="26" s="1"/>
  <c r="S818" i="26" s="1"/>
  <c r="M818" i="26"/>
  <c r="L818" i="26"/>
  <c r="K818" i="26"/>
  <c r="I818" i="26"/>
  <c r="J818" i="26" s="1"/>
  <c r="H818" i="26"/>
  <c r="G818" i="26"/>
  <c r="F818" i="26"/>
  <c r="T817" i="26"/>
  <c r="P817" i="26"/>
  <c r="R817" i="26" s="1"/>
  <c r="S817" i="26" s="1"/>
  <c r="O817" i="26"/>
  <c r="Q817" i="26" s="1"/>
  <c r="N817" i="26"/>
  <c r="M817" i="26"/>
  <c r="L817" i="26"/>
  <c r="K817" i="26"/>
  <c r="J817" i="26"/>
  <c r="I817" i="26"/>
  <c r="H817" i="26"/>
  <c r="G817" i="26"/>
  <c r="F817" i="26"/>
  <c r="T816" i="26"/>
  <c r="O816" i="26"/>
  <c r="Q816" i="26" s="1"/>
  <c r="N816" i="26"/>
  <c r="P816" i="26" s="1"/>
  <c r="R816" i="26" s="1"/>
  <c r="S816" i="26" s="1"/>
  <c r="M816" i="26"/>
  <c r="K816" i="26"/>
  <c r="L816" i="26" s="1"/>
  <c r="J816" i="26"/>
  <c r="I816" i="26"/>
  <c r="H816" i="26"/>
  <c r="G816" i="26"/>
  <c r="F816" i="26"/>
  <c r="T815" i="26"/>
  <c r="Q815" i="26"/>
  <c r="O815" i="26"/>
  <c r="N815" i="26"/>
  <c r="P815" i="26" s="1"/>
  <c r="R815" i="26" s="1"/>
  <c r="S815" i="26" s="1"/>
  <c r="M815" i="26"/>
  <c r="K815" i="26"/>
  <c r="L815" i="26" s="1"/>
  <c r="J815" i="26"/>
  <c r="I815" i="26"/>
  <c r="H815" i="26"/>
  <c r="G815" i="26"/>
  <c r="F815" i="26"/>
  <c r="T814" i="26"/>
  <c r="Q814" i="26"/>
  <c r="P814" i="26"/>
  <c r="O814" i="26"/>
  <c r="N814" i="26"/>
  <c r="M814" i="26"/>
  <c r="K814" i="26"/>
  <c r="L814" i="26" s="1"/>
  <c r="I814" i="26"/>
  <c r="J814" i="26" s="1"/>
  <c r="H814" i="26"/>
  <c r="G814" i="26"/>
  <c r="F814" i="26"/>
  <c r="T813" i="26"/>
  <c r="P813" i="26"/>
  <c r="O813" i="26"/>
  <c r="Q813" i="26" s="1"/>
  <c r="N813" i="26"/>
  <c r="M813" i="26"/>
  <c r="L813" i="26"/>
  <c r="K813" i="26"/>
  <c r="I813" i="26"/>
  <c r="J813" i="26" s="1"/>
  <c r="H813" i="26"/>
  <c r="G813" i="26"/>
  <c r="F813" i="26"/>
  <c r="T812" i="26"/>
  <c r="O812" i="26"/>
  <c r="Q812" i="26" s="1"/>
  <c r="N812" i="26"/>
  <c r="P812" i="26" s="1"/>
  <c r="M812" i="26"/>
  <c r="K812" i="26"/>
  <c r="L812" i="26" s="1"/>
  <c r="I812" i="26"/>
  <c r="J812" i="26" s="1"/>
  <c r="H812" i="26"/>
  <c r="G812" i="26"/>
  <c r="F812" i="26"/>
  <c r="T811" i="26"/>
  <c r="O811" i="26"/>
  <c r="Q811" i="26" s="1"/>
  <c r="N811" i="26"/>
  <c r="P811" i="26" s="1"/>
  <c r="R811" i="26" s="1"/>
  <c r="S811" i="26" s="1"/>
  <c r="M811" i="26"/>
  <c r="L811" i="26"/>
  <c r="K811" i="26"/>
  <c r="J811" i="26"/>
  <c r="I811" i="26"/>
  <c r="H811" i="26"/>
  <c r="G811" i="26"/>
  <c r="F811" i="26"/>
  <c r="T810" i="26"/>
  <c r="Q810" i="26"/>
  <c r="O810" i="26"/>
  <c r="N810" i="26"/>
  <c r="P810" i="26" s="1"/>
  <c r="R810" i="26" s="1"/>
  <c r="S810" i="26" s="1"/>
  <c r="M810" i="26"/>
  <c r="K810" i="26"/>
  <c r="L810" i="26" s="1"/>
  <c r="I810" i="26"/>
  <c r="J810" i="26" s="1"/>
  <c r="H810" i="26"/>
  <c r="G810" i="26"/>
  <c r="F810" i="26"/>
  <c r="T809" i="26"/>
  <c r="P809" i="26"/>
  <c r="R809" i="26" s="1"/>
  <c r="S809" i="26" s="1"/>
  <c r="O809" i="26"/>
  <c r="Q809" i="26" s="1"/>
  <c r="N809" i="26"/>
  <c r="M809" i="26"/>
  <c r="K809" i="26"/>
  <c r="L809" i="26" s="1"/>
  <c r="J809" i="26"/>
  <c r="I809" i="26"/>
  <c r="H809" i="26"/>
  <c r="G809" i="26"/>
  <c r="F809" i="26"/>
  <c r="T808" i="26"/>
  <c r="R808" i="26"/>
  <c r="S808" i="26" s="1"/>
  <c r="Q808" i="26"/>
  <c r="O808" i="26"/>
  <c r="N808" i="26"/>
  <c r="P808" i="26" s="1"/>
  <c r="M808" i="26"/>
  <c r="L808" i="26"/>
  <c r="K808" i="26"/>
  <c r="I808" i="26"/>
  <c r="J808" i="26" s="1"/>
  <c r="H808" i="26"/>
  <c r="G808" i="26"/>
  <c r="F808" i="26"/>
  <c r="T807" i="26"/>
  <c r="Q807" i="26"/>
  <c r="P807" i="26"/>
  <c r="O807" i="26"/>
  <c r="N807" i="26"/>
  <c r="M807" i="26"/>
  <c r="K807" i="26"/>
  <c r="L807" i="26" s="1"/>
  <c r="J807" i="26"/>
  <c r="I807" i="26"/>
  <c r="H807" i="26"/>
  <c r="G807" i="26"/>
  <c r="F807" i="26"/>
  <c r="T806" i="26"/>
  <c r="P806" i="26"/>
  <c r="O806" i="26"/>
  <c r="Q806" i="26" s="1"/>
  <c r="N806" i="26"/>
  <c r="M806" i="26"/>
  <c r="K806" i="26"/>
  <c r="L806" i="26" s="1"/>
  <c r="I806" i="26"/>
  <c r="J806" i="26" s="1"/>
  <c r="H806" i="26"/>
  <c r="G806" i="26"/>
  <c r="F806" i="26"/>
  <c r="T805" i="26"/>
  <c r="Q805" i="26"/>
  <c r="O805" i="26"/>
  <c r="N805" i="26"/>
  <c r="P805" i="26" s="1"/>
  <c r="R805" i="26" s="1"/>
  <c r="S805" i="26" s="1"/>
  <c r="M805" i="26"/>
  <c r="L805" i="26"/>
  <c r="K805" i="26"/>
  <c r="I805" i="26"/>
  <c r="J805" i="26" s="1"/>
  <c r="H805" i="26"/>
  <c r="G805" i="26"/>
  <c r="F805" i="26"/>
  <c r="T804" i="26"/>
  <c r="O804" i="26"/>
  <c r="Q804" i="26" s="1"/>
  <c r="N804" i="26"/>
  <c r="P804" i="26" s="1"/>
  <c r="R804" i="26" s="1"/>
  <c r="S804" i="26" s="1"/>
  <c r="M804" i="26"/>
  <c r="K804" i="26"/>
  <c r="L804" i="26" s="1"/>
  <c r="I804" i="26"/>
  <c r="J804" i="26" s="1"/>
  <c r="H804" i="26"/>
  <c r="G804" i="26"/>
  <c r="F804" i="26"/>
  <c r="T803" i="26"/>
  <c r="P803" i="26"/>
  <c r="R803" i="26" s="1"/>
  <c r="S803" i="26" s="1"/>
  <c r="O803" i="26"/>
  <c r="Q803" i="26" s="1"/>
  <c r="N803" i="26"/>
  <c r="M803" i="26"/>
  <c r="L803" i="26"/>
  <c r="K803" i="26"/>
  <c r="J803" i="26"/>
  <c r="I803" i="26"/>
  <c r="H803" i="26"/>
  <c r="G803" i="26"/>
  <c r="F803" i="26"/>
  <c r="T802" i="26"/>
  <c r="Q802" i="26"/>
  <c r="O802" i="26"/>
  <c r="N802" i="26"/>
  <c r="P802" i="26" s="1"/>
  <c r="M802" i="26"/>
  <c r="L802" i="26"/>
  <c r="K802" i="26"/>
  <c r="I802" i="26"/>
  <c r="J802" i="26" s="1"/>
  <c r="H802" i="26"/>
  <c r="G802" i="26"/>
  <c r="F802" i="26"/>
  <c r="T801" i="26"/>
  <c r="O801" i="26"/>
  <c r="Q801" i="26" s="1"/>
  <c r="N801" i="26"/>
  <c r="P801" i="26" s="1"/>
  <c r="R801" i="26" s="1"/>
  <c r="S801" i="26" s="1"/>
  <c r="M801" i="26"/>
  <c r="K801" i="26"/>
  <c r="L801" i="26" s="1"/>
  <c r="J801" i="26"/>
  <c r="I801" i="26"/>
  <c r="H801" i="26"/>
  <c r="G801" i="26"/>
  <c r="F801" i="26"/>
  <c r="T800" i="26"/>
  <c r="R800" i="26"/>
  <c r="S800" i="26" s="1"/>
  <c r="Q800" i="26"/>
  <c r="O800" i="26"/>
  <c r="N800" i="26"/>
  <c r="P800" i="26" s="1"/>
  <c r="M800" i="26"/>
  <c r="K800" i="26"/>
  <c r="L800" i="26" s="1"/>
  <c r="I800" i="26"/>
  <c r="J800" i="26" s="1"/>
  <c r="H800" i="26"/>
  <c r="G800" i="26"/>
  <c r="F800" i="26"/>
  <c r="T799" i="26"/>
  <c r="Q799" i="26"/>
  <c r="P799" i="26"/>
  <c r="R799" i="26" s="1"/>
  <c r="S799" i="26" s="1"/>
  <c r="O799" i="26"/>
  <c r="N799" i="26"/>
  <c r="M799" i="26"/>
  <c r="L799" i="26"/>
  <c r="K799" i="26"/>
  <c r="J799" i="26"/>
  <c r="I799" i="26"/>
  <c r="H799" i="26"/>
  <c r="G799" i="26"/>
  <c r="F799" i="26"/>
  <c r="T798" i="26"/>
  <c r="Q798" i="26"/>
  <c r="P798" i="26"/>
  <c r="R798" i="26" s="1"/>
  <c r="S798" i="26" s="1"/>
  <c r="O798" i="26"/>
  <c r="N798" i="26"/>
  <c r="M798" i="26"/>
  <c r="K798" i="26"/>
  <c r="L798" i="26" s="1"/>
  <c r="J798" i="26"/>
  <c r="I798" i="26"/>
  <c r="H798" i="26"/>
  <c r="G798" i="26"/>
  <c r="F798" i="26"/>
  <c r="T797" i="26"/>
  <c r="O797" i="26"/>
  <c r="Q797" i="26" s="1"/>
  <c r="N797" i="26"/>
  <c r="P797" i="26" s="1"/>
  <c r="R797" i="26" s="1"/>
  <c r="S797" i="26" s="1"/>
  <c r="M797" i="26"/>
  <c r="L797" i="26"/>
  <c r="K797" i="26"/>
  <c r="J797" i="26"/>
  <c r="I797" i="26"/>
  <c r="H797" i="26"/>
  <c r="G797" i="26"/>
  <c r="F797" i="26"/>
  <c r="T796" i="26"/>
  <c r="Q796" i="26"/>
  <c r="O796" i="26"/>
  <c r="N796" i="26"/>
  <c r="P796" i="26" s="1"/>
  <c r="M796" i="26"/>
  <c r="K796" i="26"/>
  <c r="L796" i="26" s="1"/>
  <c r="I796" i="26"/>
  <c r="J796" i="26" s="1"/>
  <c r="H796" i="26"/>
  <c r="G796" i="26"/>
  <c r="F796" i="26"/>
  <c r="T795" i="26"/>
  <c r="O795" i="26"/>
  <c r="Q795" i="26" s="1"/>
  <c r="N795" i="26"/>
  <c r="P795" i="26" s="1"/>
  <c r="R795" i="26" s="1"/>
  <c r="S795" i="26" s="1"/>
  <c r="M795" i="26"/>
  <c r="L795" i="26"/>
  <c r="K795" i="26"/>
  <c r="J795" i="26"/>
  <c r="I795" i="26"/>
  <c r="H795" i="26"/>
  <c r="G795" i="26"/>
  <c r="F795" i="26"/>
  <c r="T794" i="26"/>
  <c r="O794" i="26"/>
  <c r="Q794" i="26" s="1"/>
  <c r="N794" i="26"/>
  <c r="P794" i="26" s="1"/>
  <c r="M794" i="26"/>
  <c r="K794" i="26"/>
  <c r="L794" i="26" s="1"/>
  <c r="I794" i="26"/>
  <c r="J794" i="26" s="1"/>
  <c r="H794" i="26"/>
  <c r="G794" i="26"/>
  <c r="F794" i="26"/>
  <c r="T793" i="26"/>
  <c r="P793" i="26"/>
  <c r="O793" i="26"/>
  <c r="Q793" i="26" s="1"/>
  <c r="N793" i="26"/>
  <c r="M793" i="26"/>
  <c r="L793" i="26"/>
  <c r="K793" i="26"/>
  <c r="J793" i="26"/>
  <c r="I793" i="26"/>
  <c r="H793" i="26"/>
  <c r="G793" i="26"/>
  <c r="F793" i="26"/>
  <c r="T792" i="26"/>
  <c r="O792" i="26"/>
  <c r="Q792" i="26" s="1"/>
  <c r="N792" i="26"/>
  <c r="P792" i="26" s="1"/>
  <c r="R792" i="26" s="1"/>
  <c r="S792" i="26" s="1"/>
  <c r="M792" i="26"/>
  <c r="K792" i="26"/>
  <c r="L792" i="26" s="1"/>
  <c r="I792" i="26"/>
  <c r="J792" i="26" s="1"/>
  <c r="H792" i="26"/>
  <c r="G792" i="26"/>
  <c r="F792" i="26"/>
  <c r="T791" i="26"/>
  <c r="P791" i="26"/>
  <c r="R791" i="26" s="1"/>
  <c r="S791" i="26" s="1"/>
  <c r="O791" i="26"/>
  <c r="Q791" i="26" s="1"/>
  <c r="N791" i="26"/>
  <c r="M791" i="26"/>
  <c r="L791" i="26"/>
  <c r="K791" i="26"/>
  <c r="J791" i="26"/>
  <c r="I791" i="26"/>
  <c r="H791" i="26"/>
  <c r="G791" i="26"/>
  <c r="F791" i="26"/>
  <c r="T790" i="26"/>
  <c r="O790" i="26"/>
  <c r="Q790" i="26" s="1"/>
  <c r="N790" i="26"/>
  <c r="P790" i="26" s="1"/>
  <c r="R790" i="26" s="1"/>
  <c r="S790" i="26" s="1"/>
  <c r="M790" i="26"/>
  <c r="L790" i="26"/>
  <c r="K790" i="26"/>
  <c r="I790" i="26"/>
  <c r="J790" i="26" s="1"/>
  <c r="H790" i="26"/>
  <c r="G790" i="26"/>
  <c r="F790" i="26"/>
  <c r="T789" i="26"/>
  <c r="O789" i="26"/>
  <c r="Q789" i="26" s="1"/>
  <c r="N789" i="26"/>
  <c r="P789" i="26" s="1"/>
  <c r="R789" i="26" s="1"/>
  <c r="S789" i="26" s="1"/>
  <c r="M789" i="26"/>
  <c r="K789" i="26"/>
  <c r="L789" i="26" s="1"/>
  <c r="J789" i="26"/>
  <c r="I789" i="26"/>
  <c r="H789" i="26"/>
  <c r="G789" i="26"/>
  <c r="F789" i="26"/>
  <c r="T788" i="26"/>
  <c r="R788" i="26"/>
  <c r="S788" i="26" s="1"/>
  <c r="O788" i="26"/>
  <c r="Q788" i="26" s="1"/>
  <c r="N788" i="26"/>
  <c r="P788" i="26" s="1"/>
  <c r="M788" i="26"/>
  <c r="K788" i="26"/>
  <c r="L788" i="26" s="1"/>
  <c r="J788" i="26"/>
  <c r="I788" i="26"/>
  <c r="H788" i="26"/>
  <c r="G788" i="26"/>
  <c r="F788" i="26"/>
  <c r="T787" i="26"/>
  <c r="Q787" i="26"/>
  <c r="O787" i="26"/>
  <c r="N787" i="26"/>
  <c r="P787" i="26" s="1"/>
  <c r="R787" i="26" s="1"/>
  <c r="S787" i="26" s="1"/>
  <c r="M787" i="26"/>
  <c r="L787" i="26"/>
  <c r="K787" i="26"/>
  <c r="J787" i="26"/>
  <c r="I787" i="26"/>
  <c r="H787" i="26"/>
  <c r="G787" i="26"/>
  <c r="F787" i="26"/>
  <c r="T786" i="26"/>
  <c r="S786" i="26"/>
  <c r="Q786" i="26"/>
  <c r="P786" i="26"/>
  <c r="R786" i="26" s="1"/>
  <c r="O786" i="26"/>
  <c r="N786" i="26"/>
  <c r="M786" i="26"/>
  <c r="K786" i="26"/>
  <c r="L786" i="26" s="1"/>
  <c r="I786" i="26"/>
  <c r="J786" i="26" s="1"/>
  <c r="H786" i="26"/>
  <c r="G786" i="26"/>
  <c r="F786" i="26"/>
  <c r="T785" i="26"/>
  <c r="P785" i="26"/>
  <c r="R785" i="26" s="1"/>
  <c r="S785" i="26" s="1"/>
  <c r="O785" i="26"/>
  <c r="Q785" i="26" s="1"/>
  <c r="N785" i="26"/>
  <c r="M785" i="26"/>
  <c r="L785" i="26"/>
  <c r="K785" i="26"/>
  <c r="J785" i="26"/>
  <c r="I785" i="26"/>
  <c r="H785" i="26"/>
  <c r="G785" i="26"/>
  <c r="F785" i="26"/>
  <c r="T784" i="26"/>
  <c r="O784" i="26"/>
  <c r="Q784" i="26" s="1"/>
  <c r="N784" i="26"/>
  <c r="P784" i="26" s="1"/>
  <c r="M784" i="26"/>
  <c r="K784" i="26"/>
  <c r="L784" i="26" s="1"/>
  <c r="I784" i="26"/>
  <c r="J784" i="26" s="1"/>
  <c r="H784" i="26"/>
  <c r="G784" i="26"/>
  <c r="F784" i="26"/>
  <c r="T783" i="26"/>
  <c r="O783" i="26"/>
  <c r="Q783" i="26" s="1"/>
  <c r="N783" i="26"/>
  <c r="P783" i="26" s="1"/>
  <c r="R783" i="26" s="1"/>
  <c r="S783" i="26" s="1"/>
  <c r="M783" i="26"/>
  <c r="L783" i="26"/>
  <c r="K783" i="26"/>
  <c r="J783" i="26"/>
  <c r="I783" i="26"/>
  <c r="H783" i="26"/>
  <c r="G783" i="26"/>
  <c r="F783" i="26"/>
  <c r="T782" i="26"/>
  <c r="O782" i="26"/>
  <c r="Q782" i="26" s="1"/>
  <c r="N782" i="26"/>
  <c r="P782" i="26" s="1"/>
  <c r="R782" i="26" s="1"/>
  <c r="S782" i="26" s="1"/>
  <c r="M782" i="26"/>
  <c r="L782" i="26"/>
  <c r="K782" i="26"/>
  <c r="I782" i="26"/>
  <c r="J782" i="26" s="1"/>
  <c r="H782" i="26"/>
  <c r="G782" i="26"/>
  <c r="F782" i="26"/>
  <c r="T781" i="26"/>
  <c r="O781" i="26"/>
  <c r="Q781" i="26" s="1"/>
  <c r="N781" i="26"/>
  <c r="P781" i="26" s="1"/>
  <c r="M781" i="26"/>
  <c r="L781" i="26"/>
  <c r="K781" i="26"/>
  <c r="J781" i="26"/>
  <c r="I781" i="26"/>
  <c r="H781" i="26"/>
  <c r="G781" i="26"/>
  <c r="F781" i="26"/>
  <c r="T780" i="26"/>
  <c r="S780" i="26"/>
  <c r="O780" i="26"/>
  <c r="Q780" i="26" s="1"/>
  <c r="N780" i="26"/>
  <c r="P780" i="26" s="1"/>
  <c r="R780" i="26" s="1"/>
  <c r="M780" i="26"/>
  <c r="K780" i="26"/>
  <c r="L780" i="26" s="1"/>
  <c r="J780" i="26"/>
  <c r="I780" i="26"/>
  <c r="H780" i="26"/>
  <c r="G780" i="26"/>
  <c r="F780" i="26"/>
  <c r="T779" i="26"/>
  <c r="Q779" i="26"/>
  <c r="O779" i="26"/>
  <c r="N779" i="26"/>
  <c r="P779" i="26" s="1"/>
  <c r="R779" i="26" s="1"/>
  <c r="S779" i="26" s="1"/>
  <c r="M779" i="26"/>
  <c r="L779" i="26"/>
  <c r="K779" i="26"/>
  <c r="J779" i="26"/>
  <c r="I779" i="26"/>
  <c r="H779" i="26"/>
  <c r="G779" i="26"/>
  <c r="F779" i="26"/>
  <c r="T778" i="26"/>
  <c r="Q778" i="26"/>
  <c r="P778" i="26"/>
  <c r="R778" i="26" s="1"/>
  <c r="S778" i="26" s="1"/>
  <c r="O778" i="26"/>
  <c r="N778" i="26"/>
  <c r="M778" i="26"/>
  <c r="K778" i="26"/>
  <c r="L778" i="26" s="1"/>
  <c r="I778" i="26"/>
  <c r="J778" i="26" s="1"/>
  <c r="H778" i="26"/>
  <c r="G778" i="26"/>
  <c r="F778" i="26"/>
  <c r="T777" i="26"/>
  <c r="P777" i="26"/>
  <c r="O777" i="26"/>
  <c r="Q777" i="26" s="1"/>
  <c r="R777" i="26" s="1"/>
  <c r="S777" i="26" s="1"/>
  <c r="N777" i="26"/>
  <c r="M777" i="26"/>
  <c r="L777" i="26"/>
  <c r="K777" i="26"/>
  <c r="J777" i="26"/>
  <c r="I777" i="26"/>
  <c r="H777" i="26"/>
  <c r="G777" i="26"/>
  <c r="F777" i="26"/>
  <c r="T776" i="26"/>
  <c r="O776" i="26"/>
  <c r="Q776" i="26" s="1"/>
  <c r="N776" i="26"/>
  <c r="P776" i="26" s="1"/>
  <c r="M776" i="26"/>
  <c r="K776" i="26"/>
  <c r="L776" i="26" s="1"/>
  <c r="I776" i="26"/>
  <c r="J776" i="26" s="1"/>
  <c r="H776" i="26"/>
  <c r="G776" i="26"/>
  <c r="F776" i="26"/>
  <c r="T775" i="26"/>
  <c r="O775" i="26"/>
  <c r="Q775" i="26" s="1"/>
  <c r="N775" i="26"/>
  <c r="P775" i="26" s="1"/>
  <c r="R775" i="26" s="1"/>
  <c r="S775" i="26" s="1"/>
  <c r="M775" i="26"/>
  <c r="L775" i="26"/>
  <c r="K775" i="26"/>
  <c r="J775" i="26"/>
  <c r="I775" i="26"/>
  <c r="H775" i="26"/>
  <c r="G775" i="26"/>
  <c r="F775" i="26"/>
  <c r="T774" i="26"/>
  <c r="O774" i="26"/>
  <c r="Q774" i="26" s="1"/>
  <c r="N774" i="26"/>
  <c r="P774" i="26" s="1"/>
  <c r="M774" i="26"/>
  <c r="L774" i="26"/>
  <c r="K774" i="26"/>
  <c r="I774" i="26"/>
  <c r="J774" i="26" s="1"/>
  <c r="H774" i="26"/>
  <c r="G774" i="26"/>
  <c r="F774" i="26"/>
  <c r="T773" i="26"/>
  <c r="O773" i="26"/>
  <c r="Q773" i="26" s="1"/>
  <c r="N773" i="26"/>
  <c r="P773" i="26" s="1"/>
  <c r="M773" i="26"/>
  <c r="K773" i="26"/>
  <c r="L773" i="26" s="1"/>
  <c r="J773" i="26"/>
  <c r="I773" i="26"/>
  <c r="H773" i="26"/>
  <c r="G773" i="26"/>
  <c r="F773" i="26"/>
  <c r="T772" i="26"/>
  <c r="O772" i="26"/>
  <c r="Q772" i="26" s="1"/>
  <c r="N772" i="26"/>
  <c r="P772" i="26" s="1"/>
  <c r="M772" i="26"/>
  <c r="K772" i="26"/>
  <c r="L772" i="26" s="1"/>
  <c r="J772" i="26"/>
  <c r="I772" i="26"/>
  <c r="H772" i="26"/>
  <c r="G772" i="26"/>
  <c r="F772" i="26"/>
  <c r="T771" i="26"/>
  <c r="Q771" i="26"/>
  <c r="R771" i="26" s="1"/>
  <c r="S771" i="26" s="1"/>
  <c r="O771" i="26"/>
  <c r="N771" i="26"/>
  <c r="P771" i="26" s="1"/>
  <c r="M771" i="26"/>
  <c r="L771" i="26"/>
  <c r="K771" i="26"/>
  <c r="J771" i="26"/>
  <c r="I771" i="26"/>
  <c r="H771" i="26"/>
  <c r="G771" i="26"/>
  <c r="F771" i="26"/>
  <c r="T770" i="26"/>
  <c r="Q770" i="26"/>
  <c r="P770" i="26"/>
  <c r="O770" i="26"/>
  <c r="N770" i="26"/>
  <c r="M770" i="26"/>
  <c r="K770" i="26"/>
  <c r="L770" i="26" s="1"/>
  <c r="I770" i="26"/>
  <c r="J770" i="26" s="1"/>
  <c r="H770" i="26"/>
  <c r="G770" i="26"/>
  <c r="F770" i="26"/>
  <c r="T769" i="26"/>
  <c r="R769" i="26"/>
  <c r="S769" i="26" s="1"/>
  <c r="P769" i="26"/>
  <c r="O769" i="26"/>
  <c r="Q769" i="26" s="1"/>
  <c r="N769" i="26"/>
  <c r="M769" i="26"/>
  <c r="L769" i="26"/>
  <c r="K769" i="26"/>
  <c r="J769" i="26"/>
  <c r="I769" i="26"/>
  <c r="H769" i="26"/>
  <c r="G769" i="26"/>
  <c r="F769" i="26"/>
  <c r="T768" i="26"/>
  <c r="Q768" i="26"/>
  <c r="O768" i="26"/>
  <c r="N768" i="26"/>
  <c r="P768" i="26" s="1"/>
  <c r="M768" i="26"/>
  <c r="K768" i="26"/>
  <c r="L768" i="26" s="1"/>
  <c r="I768" i="26"/>
  <c r="J768" i="26" s="1"/>
  <c r="H768" i="26"/>
  <c r="G768" i="26"/>
  <c r="F768" i="26"/>
  <c r="T767" i="26"/>
  <c r="P767" i="26"/>
  <c r="O767" i="26"/>
  <c r="Q767" i="26" s="1"/>
  <c r="N767" i="26"/>
  <c r="M767" i="26"/>
  <c r="L767" i="26"/>
  <c r="K767" i="26"/>
  <c r="J767" i="26"/>
  <c r="I767" i="26"/>
  <c r="H767" i="26"/>
  <c r="G767" i="26"/>
  <c r="F767" i="26"/>
  <c r="T766" i="26"/>
  <c r="O766" i="26"/>
  <c r="Q766" i="26" s="1"/>
  <c r="N766" i="26"/>
  <c r="P766" i="26" s="1"/>
  <c r="R766" i="26" s="1"/>
  <c r="S766" i="26" s="1"/>
  <c r="M766" i="26"/>
  <c r="L766" i="26"/>
  <c r="K766" i="26"/>
  <c r="I766" i="26"/>
  <c r="J766" i="26" s="1"/>
  <c r="H766" i="26"/>
  <c r="G766" i="26"/>
  <c r="F766" i="26"/>
  <c r="T765" i="26"/>
  <c r="O765" i="26"/>
  <c r="Q765" i="26" s="1"/>
  <c r="N765" i="26"/>
  <c r="P765" i="26" s="1"/>
  <c r="M765" i="26"/>
  <c r="K765" i="26"/>
  <c r="L765" i="26" s="1"/>
  <c r="J765" i="26"/>
  <c r="I765" i="26"/>
  <c r="H765" i="26"/>
  <c r="G765" i="26"/>
  <c r="F765" i="26"/>
  <c r="T764" i="26"/>
  <c r="O764" i="26"/>
  <c r="Q764" i="26" s="1"/>
  <c r="N764" i="26"/>
  <c r="P764" i="26" s="1"/>
  <c r="R764" i="26" s="1"/>
  <c r="S764" i="26" s="1"/>
  <c r="M764" i="26"/>
  <c r="K764" i="26"/>
  <c r="L764" i="26" s="1"/>
  <c r="J764" i="26"/>
  <c r="I764" i="26"/>
  <c r="H764" i="26"/>
  <c r="G764" i="26"/>
  <c r="F764" i="26"/>
  <c r="T763" i="26"/>
  <c r="R763" i="26"/>
  <c r="S763" i="26" s="1"/>
  <c r="Q763" i="26"/>
  <c r="O763" i="26"/>
  <c r="N763" i="26"/>
  <c r="P763" i="26" s="1"/>
  <c r="M763" i="26"/>
  <c r="L763" i="26"/>
  <c r="K763" i="26"/>
  <c r="I763" i="26"/>
  <c r="J763" i="26" s="1"/>
  <c r="H763" i="26"/>
  <c r="G763" i="26"/>
  <c r="F763" i="26"/>
  <c r="T762" i="26"/>
  <c r="Q762" i="26"/>
  <c r="P762" i="26"/>
  <c r="R762" i="26" s="1"/>
  <c r="S762" i="26" s="1"/>
  <c r="O762" i="26"/>
  <c r="N762" i="26"/>
  <c r="M762" i="26"/>
  <c r="K762" i="26"/>
  <c r="L762" i="26" s="1"/>
  <c r="I762" i="26"/>
  <c r="J762" i="26" s="1"/>
  <c r="H762" i="26"/>
  <c r="G762" i="26"/>
  <c r="F762" i="26"/>
  <c r="T761" i="26"/>
  <c r="P761" i="26"/>
  <c r="O761" i="26"/>
  <c r="Q761" i="26" s="1"/>
  <c r="R761" i="26" s="1"/>
  <c r="S761" i="26" s="1"/>
  <c r="N761" i="26"/>
  <c r="M761" i="26"/>
  <c r="L761" i="26"/>
  <c r="K761" i="26"/>
  <c r="J761" i="26"/>
  <c r="I761" i="26"/>
  <c r="H761" i="26"/>
  <c r="G761" i="26"/>
  <c r="F761" i="26"/>
  <c r="T760" i="26"/>
  <c r="O760" i="26"/>
  <c r="Q760" i="26" s="1"/>
  <c r="N760" i="26"/>
  <c r="P760" i="26" s="1"/>
  <c r="R760" i="26" s="1"/>
  <c r="S760" i="26" s="1"/>
  <c r="M760" i="26"/>
  <c r="K760" i="26"/>
  <c r="L760" i="26" s="1"/>
  <c r="I760" i="26"/>
  <c r="J760" i="26" s="1"/>
  <c r="H760" i="26"/>
  <c r="G760" i="26"/>
  <c r="F760" i="26"/>
  <c r="T759" i="26"/>
  <c r="P759" i="26"/>
  <c r="R759" i="26" s="1"/>
  <c r="S759" i="26" s="1"/>
  <c r="O759" i="26"/>
  <c r="Q759" i="26" s="1"/>
  <c r="N759" i="26"/>
  <c r="M759" i="26"/>
  <c r="L759" i="26"/>
  <c r="K759" i="26"/>
  <c r="J759" i="26"/>
  <c r="I759" i="26"/>
  <c r="H759" i="26"/>
  <c r="G759" i="26"/>
  <c r="F759" i="26"/>
  <c r="T758" i="26"/>
  <c r="O758" i="26"/>
  <c r="Q758" i="26" s="1"/>
  <c r="N758" i="26"/>
  <c r="P758" i="26" s="1"/>
  <c r="R758" i="26" s="1"/>
  <c r="S758" i="26" s="1"/>
  <c r="M758" i="26"/>
  <c r="L758" i="26"/>
  <c r="K758" i="26"/>
  <c r="I758" i="26"/>
  <c r="J758" i="26" s="1"/>
  <c r="H758" i="26"/>
  <c r="G758" i="26"/>
  <c r="F758" i="26"/>
  <c r="T757" i="26"/>
  <c r="O757" i="26"/>
  <c r="Q757" i="26" s="1"/>
  <c r="N757" i="26"/>
  <c r="P757" i="26" s="1"/>
  <c r="R757" i="26" s="1"/>
  <c r="S757" i="26" s="1"/>
  <c r="M757" i="26"/>
  <c r="K757" i="26"/>
  <c r="L757" i="26" s="1"/>
  <c r="J757" i="26"/>
  <c r="I757" i="26"/>
  <c r="H757" i="26"/>
  <c r="G757" i="26"/>
  <c r="F757" i="26"/>
  <c r="T756" i="26"/>
  <c r="R756" i="26"/>
  <c r="S756" i="26" s="1"/>
  <c r="O756" i="26"/>
  <c r="Q756" i="26" s="1"/>
  <c r="N756" i="26"/>
  <c r="P756" i="26" s="1"/>
  <c r="M756" i="26"/>
  <c r="K756" i="26"/>
  <c r="L756" i="26" s="1"/>
  <c r="J756" i="26"/>
  <c r="I756" i="26"/>
  <c r="H756" i="26"/>
  <c r="G756" i="26"/>
  <c r="F756" i="26"/>
  <c r="T755" i="26"/>
  <c r="Q755" i="26"/>
  <c r="O755" i="26"/>
  <c r="N755" i="26"/>
  <c r="P755" i="26" s="1"/>
  <c r="R755" i="26" s="1"/>
  <c r="S755" i="26" s="1"/>
  <c r="M755" i="26"/>
  <c r="L755" i="26"/>
  <c r="K755" i="26"/>
  <c r="J755" i="26"/>
  <c r="I755" i="26"/>
  <c r="H755" i="26"/>
  <c r="G755" i="26"/>
  <c r="F755" i="26"/>
  <c r="T754" i="26"/>
  <c r="S754" i="26"/>
  <c r="Q754" i="26"/>
  <c r="P754" i="26"/>
  <c r="R754" i="26" s="1"/>
  <c r="O754" i="26"/>
  <c r="N754" i="26"/>
  <c r="M754" i="26"/>
  <c r="K754" i="26"/>
  <c r="L754" i="26" s="1"/>
  <c r="I754" i="26"/>
  <c r="J754" i="26" s="1"/>
  <c r="H754" i="26"/>
  <c r="G754" i="26"/>
  <c r="F754" i="26"/>
  <c r="T753" i="26"/>
  <c r="P753" i="26"/>
  <c r="R753" i="26" s="1"/>
  <c r="S753" i="26" s="1"/>
  <c r="O753" i="26"/>
  <c r="Q753" i="26" s="1"/>
  <c r="N753" i="26"/>
  <c r="M753" i="26"/>
  <c r="L753" i="26"/>
  <c r="K753" i="26"/>
  <c r="J753" i="26"/>
  <c r="I753" i="26"/>
  <c r="H753" i="26"/>
  <c r="G753" i="26"/>
  <c r="F753" i="26"/>
  <c r="T752" i="26"/>
  <c r="O752" i="26"/>
  <c r="Q752" i="26" s="1"/>
  <c r="N752" i="26"/>
  <c r="P752" i="26" s="1"/>
  <c r="M752" i="26"/>
  <c r="K752" i="26"/>
  <c r="L752" i="26" s="1"/>
  <c r="I752" i="26"/>
  <c r="J752" i="26" s="1"/>
  <c r="H752" i="26"/>
  <c r="G752" i="26"/>
  <c r="F752" i="26"/>
  <c r="T751" i="26"/>
  <c r="O751" i="26"/>
  <c r="Q751" i="26" s="1"/>
  <c r="N751" i="26"/>
  <c r="P751" i="26" s="1"/>
  <c r="R751" i="26" s="1"/>
  <c r="S751" i="26" s="1"/>
  <c r="M751" i="26"/>
  <c r="L751" i="26"/>
  <c r="K751" i="26"/>
  <c r="J751" i="26"/>
  <c r="I751" i="26"/>
  <c r="H751" i="26"/>
  <c r="G751" i="26"/>
  <c r="F751" i="26"/>
  <c r="T750" i="26"/>
  <c r="O750" i="26"/>
  <c r="Q750" i="26" s="1"/>
  <c r="N750" i="26"/>
  <c r="P750" i="26" s="1"/>
  <c r="R750" i="26" s="1"/>
  <c r="S750" i="26" s="1"/>
  <c r="M750" i="26"/>
  <c r="L750" i="26"/>
  <c r="K750" i="26"/>
  <c r="I750" i="26"/>
  <c r="J750" i="26" s="1"/>
  <c r="H750" i="26"/>
  <c r="G750" i="26"/>
  <c r="F750" i="26"/>
  <c r="T749" i="26"/>
  <c r="O749" i="26"/>
  <c r="Q749" i="26" s="1"/>
  <c r="N749" i="26"/>
  <c r="P749" i="26" s="1"/>
  <c r="M749" i="26"/>
  <c r="L749" i="26"/>
  <c r="K749" i="26"/>
  <c r="J749" i="26"/>
  <c r="I749" i="26"/>
  <c r="H749" i="26"/>
  <c r="G749" i="26"/>
  <c r="F749" i="26"/>
  <c r="T748" i="26"/>
  <c r="S748" i="26"/>
  <c r="O748" i="26"/>
  <c r="Q748" i="26" s="1"/>
  <c r="N748" i="26"/>
  <c r="P748" i="26" s="1"/>
  <c r="R748" i="26" s="1"/>
  <c r="M748" i="26"/>
  <c r="K748" i="26"/>
  <c r="L748" i="26" s="1"/>
  <c r="J748" i="26"/>
  <c r="I748" i="26"/>
  <c r="H748" i="26"/>
  <c r="G748" i="26"/>
  <c r="F748" i="26"/>
  <c r="T747" i="26"/>
  <c r="Q747" i="26"/>
  <c r="O747" i="26"/>
  <c r="N747" i="26"/>
  <c r="P747" i="26" s="1"/>
  <c r="R747" i="26" s="1"/>
  <c r="S747" i="26" s="1"/>
  <c r="M747" i="26"/>
  <c r="L747" i="26"/>
  <c r="K747" i="26"/>
  <c r="J747" i="26"/>
  <c r="I747" i="26"/>
  <c r="H747" i="26"/>
  <c r="G747" i="26"/>
  <c r="F747" i="26"/>
  <c r="T746" i="26"/>
  <c r="Q746" i="26"/>
  <c r="P746" i="26"/>
  <c r="R746" i="26" s="1"/>
  <c r="S746" i="26" s="1"/>
  <c r="O746" i="26"/>
  <c r="N746" i="26"/>
  <c r="M746" i="26"/>
  <c r="K746" i="26"/>
  <c r="L746" i="26" s="1"/>
  <c r="I746" i="26"/>
  <c r="J746" i="26" s="1"/>
  <c r="H746" i="26"/>
  <c r="G746" i="26"/>
  <c r="F746" i="26"/>
  <c r="T745" i="26"/>
  <c r="P745" i="26"/>
  <c r="O745" i="26"/>
  <c r="Q745" i="26" s="1"/>
  <c r="R745" i="26" s="1"/>
  <c r="S745" i="26" s="1"/>
  <c r="N745" i="26"/>
  <c r="M745" i="26"/>
  <c r="L745" i="26"/>
  <c r="K745" i="26"/>
  <c r="J745" i="26"/>
  <c r="I745" i="26"/>
  <c r="H745" i="26"/>
  <c r="G745" i="26"/>
  <c r="F745" i="26"/>
  <c r="T744" i="26"/>
  <c r="O744" i="26"/>
  <c r="Q744" i="26" s="1"/>
  <c r="N744" i="26"/>
  <c r="P744" i="26" s="1"/>
  <c r="M744" i="26"/>
  <c r="K744" i="26"/>
  <c r="L744" i="26" s="1"/>
  <c r="I744" i="26"/>
  <c r="J744" i="26" s="1"/>
  <c r="H744" i="26"/>
  <c r="G744" i="26"/>
  <c r="F744" i="26"/>
  <c r="T743" i="26"/>
  <c r="O743" i="26"/>
  <c r="Q743" i="26" s="1"/>
  <c r="N743" i="26"/>
  <c r="P743" i="26" s="1"/>
  <c r="R743" i="26" s="1"/>
  <c r="S743" i="26" s="1"/>
  <c r="M743" i="26"/>
  <c r="L743" i="26"/>
  <c r="K743" i="26"/>
  <c r="J743" i="26"/>
  <c r="I743" i="26"/>
  <c r="H743" i="26"/>
  <c r="G743" i="26"/>
  <c r="F743" i="26"/>
  <c r="T742" i="26"/>
  <c r="O742" i="26"/>
  <c r="Q742" i="26" s="1"/>
  <c r="N742" i="26"/>
  <c r="P742" i="26" s="1"/>
  <c r="M742" i="26"/>
  <c r="L742" i="26"/>
  <c r="K742" i="26"/>
  <c r="I742" i="26"/>
  <c r="J742" i="26" s="1"/>
  <c r="H742" i="26"/>
  <c r="G742" i="26"/>
  <c r="F742" i="26"/>
  <c r="T741" i="26"/>
  <c r="O741" i="26"/>
  <c r="Q741" i="26" s="1"/>
  <c r="N741" i="26"/>
  <c r="P741" i="26" s="1"/>
  <c r="M741" i="26"/>
  <c r="K741" i="26"/>
  <c r="L741" i="26" s="1"/>
  <c r="J741" i="26"/>
  <c r="I741" i="26"/>
  <c r="H741" i="26"/>
  <c r="G741" i="26"/>
  <c r="F741" i="26"/>
  <c r="T740" i="26"/>
  <c r="O740" i="26"/>
  <c r="Q740" i="26" s="1"/>
  <c r="N740" i="26"/>
  <c r="P740" i="26" s="1"/>
  <c r="M740" i="26"/>
  <c r="K740" i="26"/>
  <c r="L740" i="26" s="1"/>
  <c r="J740" i="26"/>
  <c r="I740" i="26"/>
  <c r="H740" i="26"/>
  <c r="G740" i="26"/>
  <c r="F740" i="26"/>
  <c r="T739" i="26"/>
  <c r="Q739" i="26"/>
  <c r="R739" i="26" s="1"/>
  <c r="S739" i="26" s="1"/>
  <c r="O739" i="26"/>
  <c r="N739" i="26"/>
  <c r="P739" i="26" s="1"/>
  <c r="M739" i="26"/>
  <c r="L739" i="26"/>
  <c r="K739" i="26"/>
  <c r="J739" i="26"/>
  <c r="I739" i="26"/>
  <c r="H739" i="26"/>
  <c r="G739" i="26"/>
  <c r="F739" i="26"/>
  <c r="T738" i="26"/>
  <c r="Q738" i="26"/>
  <c r="P738" i="26"/>
  <c r="O738" i="26"/>
  <c r="N738" i="26"/>
  <c r="M738" i="26"/>
  <c r="K738" i="26"/>
  <c r="L738" i="26" s="1"/>
  <c r="I738" i="26"/>
  <c r="J738" i="26" s="1"/>
  <c r="H738" i="26"/>
  <c r="G738" i="26"/>
  <c r="F738" i="26"/>
  <c r="T737" i="26"/>
  <c r="R737" i="26"/>
  <c r="S737" i="26" s="1"/>
  <c r="P737" i="26"/>
  <c r="O737" i="26"/>
  <c r="Q737" i="26" s="1"/>
  <c r="N737" i="26"/>
  <c r="M737" i="26"/>
  <c r="L737" i="26"/>
  <c r="K737" i="26"/>
  <c r="J737" i="26"/>
  <c r="I737" i="26"/>
  <c r="H737" i="26"/>
  <c r="G737" i="26"/>
  <c r="F737" i="26"/>
  <c r="T736" i="26"/>
  <c r="Q736" i="26"/>
  <c r="O736" i="26"/>
  <c r="N736" i="26"/>
  <c r="P736" i="26" s="1"/>
  <c r="M736" i="26"/>
  <c r="K736" i="26"/>
  <c r="L736" i="26" s="1"/>
  <c r="I736" i="26"/>
  <c r="J736" i="26" s="1"/>
  <c r="H736" i="26"/>
  <c r="G736" i="26"/>
  <c r="F736" i="26"/>
  <c r="T735" i="26"/>
  <c r="P735" i="26"/>
  <c r="O735" i="26"/>
  <c r="Q735" i="26" s="1"/>
  <c r="N735" i="26"/>
  <c r="M735" i="26"/>
  <c r="L735" i="26"/>
  <c r="K735" i="26"/>
  <c r="J735" i="26"/>
  <c r="I735" i="26"/>
  <c r="H735" i="26"/>
  <c r="G735" i="26"/>
  <c r="F735" i="26"/>
  <c r="T734" i="26"/>
  <c r="O734" i="26"/>
  <c r="Q734" i="26" s="1"/>
  <c r="N734" i="26"/>
  <c r="P734" i="26" s="1"/>
  <c r="R734" i="26" s="1"/>
  <c r="S734" i="26" s="1"/>
  <c r="M734" i="26"/>
  <c r="L734" i="26"/>
  <c r="K734" i="26"/>
  <c r="I734" i="26"/>
  <c r="J734" i="26" s="1"/>
  <c r="H734" i="26"/>
  <c r="G734" i="26"/>
  <c r="F734" i="26"/>
  <c r="T733" i="26"/>
  <c r="O733" i="26"/>
  <c r="Q733" i="26" s="1"/>
  <c r="N733" i="26"/>
  <c r="P733" i="26" s="1"/>
  <c r="M733" i="26"/>
  <c r="K733" i="26"/>
  <c r="L733" i="26" s="1"/>
  <c r="J733" i="26"/>
  <c r="I733" i="26"/>
  <c r="H733" i="26"/>
  <c r="G733" i="26"/>
  <c r="F733" i="26"/>
  <c r="T732" i="26"/>
  <c r="O732" i="26"/>
  <c r="Q732" i="26" s="1"/>
  <c r="N732" i="26"/>
  <c r="P732" i="26" s="1"/>
  <c r="R732" i="26" s="1"/>
  <c r="S732" i="26" s="1"/>
  <c r="M732" i="26"/>
  <c r="K732" i="26"/>
  <c r="L732" i="26" s="1"/>
  <c r="J732" i="26"/>
  <c r="I732" i="26"/>
  <c r="H732" i="26"/>
  <c r="G732" i="26"/>
  <c r="F732" i="26"/>
  <c r="T731" i="26"/>
  <c r="R731" i="26"/>
  <c r="S731" i="26" s="1"/>
  <c r="Q731" i="26"/>
  <c r="O731" i="26"/>
  <c r="N731" i="26"/>
  <c r="P731" i="26" s="1"/>
  <c r="M731" i="26"/>
  <c r="L731" i="26"/>
  <c r="K731" i="26"/>
  <c r="I731" i="26"/>
  <c r="J731" i="26" s="1"/>
  <c r="H731" i="26"/>
  <c r="G731" i="26"/>
  <c r="F731" i="26"/>
  <c r="T730" i="26"/>
  <c r="Q730" i="26"/>
  <c r="P730" i="26"/>
  <c r="R730" i="26" s="1"/>
  <c r="S730" i="26" s="1"/>
  <c r="O730" i="26"/>
  <c r="N730" i="26"/>
  <c r="M730" i="26"/>
  <c r="K730" i="26"/>
  <c r="L730" i="26" s="1"/>
  <c r="I730" i="26"/>
  <c r="J730" i="26" s="1"/>
  <c r="H730" i="26"/>
  <c r="G730" i="26"/>
  <c r="F730" i="26"/>
  <c r="T729" i="26"/>
  <c r="P729" i="26"/>
  <c r="O729" i="26"/>
  <c r="Q729" i="26" s="1"/>
  <c r="R729" i="26" s="1"/>
  <c r="S729" i="26" s="1"/>
  <c r="N729" i="26"/>
  <c r="M729" i="26"/>
  <c r="L729" i="26"/>
  <c r="K729" i="26"/>
  <c r="J729" i="26"/>
  <c r="I729" i="26"/>
  <c r="H729" i="26"/>
  <c r="G729" i="26"/>
  <c r="F729" i="26"/>
  <c r="T728" i="26"/>
  <c r="O728" i="26"/>
  <c r="Q728" i="26" s="1"/>
  <c r="N728" i="26"/>
  <c r="P728" i="26" s="1"/>
  <c r="M728" i="26"/>
  <c r="K728" i="26"/>
  <c r="L728" i="26" s="1"/>
  <c r="I728" i="26"/>
  <c r="J728" i="26" s="1"/>
  <c r="H728" i="26"/>
  <c r="G728" i="26"/>
  <c r="F728" i="26"/>
  <c r="T727" i="26"/>
  <c r="P727" i="26"/>
  <c r="R727" i="26" s="1"/>
  <c r="S727" i="26" s="1"/>
  <c r="O727" i="26"/>
  <c r="Q727" i="26" s="1"/>
  <c r="N727" i="26"/>
  <c r="M727" i="26"/>
  <c r="L727" i="26"/>
  <c r="K727" i="26"/>
  <c r="J727" i="26"/>
  <c r="I727" i="26"/>
  <c r="H727" i="26"/>
  <c r="G727" i="26"/>
  <c r="F727" i="26"/>
  <c r="T726" i="26"/>
  <c r="O726" i="26"/>
  <c r="Q726" i="26" s="1"/>
  <c r="N726" i="26"/>
  <c r="P726" i="26" s="1"/>
  <c r="R726" i="26" s="1"/>
  <c r="S726" i="26" s="1"/>
  <c r="M726" i="26"/>
  <c r="L726" i="26"/>
  <c r="K726" i="26"/>
  <c r="I726" i="26"/>
  <c r="J726" i="26" s="1"/>
  <c r="H726" i="26"/>
  <c r="G726" i="26"/>
  <c r="F726" i="26"/>
  <c r="T725" i="26"/>
  <c r="O725" i="26"/>
  <c r="Q725" i="26" s="1"/>
  <c r="N725" i="26"/>
  <c r="P725" i="26" s="1"/>
  <c r="R725" i="26" s="1"/>
  <c r="S725" i="26" s="1"/>
  <c r="M725" i="26"/>
  <c r="K725" i="26"/>
  <c r="L725" i="26" s="1"/>
  <c r="J725" i="26"/>
  <c r="I725" i="26"/>
  <c r="H725" i="26"/>
  <c r="G725" i="26"/>
  <c r="F725" i="26"/>
  <c r="T724" i="26"/>
  <c r="R724" i="26"/>
  <c r="S724" i="26" s="1"/>
  <c r="O724" i="26"/>
  <c r="Q724" i="26" s="1"/>
  <c r="N724" i="26"/>
  <c r="P724" i="26" s="1"/>
  <c r="M724" i="26"/>
  <c r="K724" i="26"/>
  <c r="L724" i="26" s="1"/>
  <c r="J724" i="26"/>
  <c r="I724" i="26"/>
  <c r="H724" i="26"/>
  <c r="G724" i="26"/>
  <c r="F724" i="26"/>
  <c r="T723" i="26"/>
  <c r="Q723" i="26"/>
  <c r="O723" i="26"/>
  <c r="N723" i="26"/>
  <c r="P723" i="26" s="1"/>
  <c r="R723" i="26" s="1"/>
  <c r="S723" i="26" s="1"/>
  <c r="M723" i="26"/>
  <c r="L723" i="26"/>
  <c r="K723" i="26"/>
  <c r="J723" i="26"/>
  <c r="I723" i="26"/>
  <c r="H723" i="26"/>
  <c r="G723" i="26"/>
  <c r="F723" i="26"/>
  <c r="T722" i="26"/>
  <c r="S722" i="26"/>
  <c r="Q722" i="26"/>
  <c r="P722" i="26"/>
  <c r="R722" i="26" s="1"/>
  <c r="O722" i="26"/>
  <c r="N722" i="26"/>
  <c r="M722" i="26"/>
  <c r="K722" i="26"/>
  <c r="L722" i="26" s="1"/>
  <c r="I722" i="26"/>
  <c r="J722" i="26" s="1"/>
  <c r="H722" i="26"/>
  <c r="G722" i="26"/>
  <c r="F722" i="26"/>
  <c r="T721" i="26"/>
  <c r="P721" i="26"/>
  <c r="R721" i="26" s="1"/>
  <c r="S721" i="26" s="1"/>
  <c r="O721" i="26"/>
  <c r="Q721" i="26" s="1"/>
  <c r="N721" i="26"/>
  <c r="M721" i="26"/>
  <c r="L721" i="26"/>
  <c r="K721" i="26"/>
  <c r="J721" i="26"/>
  <c r="I721" i="26"/>
  <c r="H721" i="26"/>
  <c r="G721" i="26"/>
  <c r="F721" i="26"/>
  <c r="T720" i="26"/>
  <c r="Q720" i="26"/>
  <c r="O720" i="26"/>
  <c r="N720" i="26"/>
  <c r="P720" i="26" s="1"/>
  <c r="R720" i="26" s="1"/>
  <c r="S720" i="26" s="1"/>
  <c r="M720" i="26"/>
  <c r="K720" i="26"/>
  <c r="L720" i="26" s="1"/>
  <c r="I720" i="26"/>
  <c r="J720" i="26" s="1"/>
  <c r="H720" i="26"/>
  <c r="G720" i="26"/>
  <c r="F720" i="26"/>
  <c r="T719" i="26"/>
  <c r="P719" i="26"/>
  <c r="R719" i="26" s="1"/>
  <c r="S719" i="26" s="1"/>
  <c r="O719" i="26"/>
  <c r="Q719" i="26" s="1"/>
  <c r="N719" i="26"/>
  <c r="M719" i="26"/>
  <c r="L719" i="26"/>
  <c r="K719" i="26"/>
  <c r="J719" i="26"/>
  <c r="I719" i="26"/>
  <c r="H719" i="26"/>
  <c r="G719" i="26"/>
  <c r="F719" i="26"/>
  <c r="T718" i="26"/>
  <c r="Q718" i="26"/>
  <c r="O718" i="26"/>
  <c r="N718" i="26"/>
  <c r="P718" i="26" s="1"/>
  <c r="R718" i="26" s="1"/>
  <c r="S718" i="26" s="1"/>
  <c r="M718" i="26"/>
  <c r="L718" i="26"/>
  <c r="K718" i="26"/>
  <c r="I718" i="26"/>
  <c r="J718" i="26" s="1"/>
  <c r="H718" i="26"/>
  <c r="G718" i="26"/>
  <c r="F718" i="26"/>
  <c r="T717" i="26"/>
  <c r="P717" i="26"/>
  <c r="O717" i="26"/>
  <c r="Q717" i="26" s="1"/>
  <c r="R717" i="26" s="1"/>
  <c r="S717" i="26" s="1"/>
  <c r="N717" i="26"/>
  <c r="M717" i="26"/>
  <c r="K717" i="26"/>
  <c r="L717" i="26" s="1"/>
  <c r="J717" i="26"/>
  <c r="I717" i="26"/>
  <c r="H717" i="26"/>
  <c r="G717" i="26"/>
  <c r="F717" i="26"/>
  <c r="T716" i="26"/>
  <c r="Q716" i="26"/>
  <c r="O716" i="26"/>
  <c r="N716" i="26"/>
  <c r="P716" i="26" s="1"/>
  <c r="R716" i="26" s="1"/>
  <c r="S716" i="26" s="1"/>
  <c r="M716" i="26"/>
  <c r="K716" i="26"/>
  <c r="L716" i="26" s="1"/>
  <c r="J716" i="26"/>
  <c r="I716" i="26"/>
  <c r="H716" i="26"/>
  <c r="G716" i="26"/>
  <c r="F716" i="26"/>
  <c r="T715" i="26"/>
  <c r="R715" i="26"/>
  <c r="S715" i="26" s="1"/>
  <c r="Q715" i="26"/>
  <c r="O715" i="26"/>
  <c r="N715" i="26"/>
  <c r="P715" i="26" s="1"/>
  <c r="M715" i="26"/>
  <c r="L715" i="26"/>
  <c r="K715" i="26"/>
  <c r="J715" i="26"/>
  <c r="I715" i="26"/>
  <c r="H715" i="26"/>
  <c r="G715" i="26"/>
  <c r="F715" i="26"/>
  <c r="T714" i="26"/>
  <c r="Q714" i="26"/>
  <c r="P714" i="26"/>
  <c r="R714" i="26" s="1"/>
  <c r="S714" i="26" s="1"/>
  <c r="O714" i="26"/>
  <c r="N714" i="26"/>
  <c r="M714" i="26"/>
  <c r="K714" i="26"/>
  <c r="L714" i="26" s="1"/>
  <c r="I714" i="26"/>
  <c r="J714" i="26" s="1"/>
  <c r="H714" i="26"/>
  <c r="G714" i="26"/>
  <c r="F714" i="26"/>
  <c r="T713" i="26"/>
  <c r="O713" i="26"/>
  <c r="Q713" i="26" s="1"/>
  <c r="N713" i="26"/>
  <c r="P713" i="26" s="1"/>
  <c r="R713" i="26" s="1"/>
  <c r="S713" i="26" s="1"/>
  <c r="M713" i="26"/>
  <c r="L713" i="26"/>
  <c r="K713" i="26"/>
  <c r="J713" i="26"/>
  <c r="I713" i="26"/>
  <c r="H713" i="26"/>
  <c r="G713" i="26"/>
  <c r="F713" i="26"/>
  <c r="T712" i="26"/>
  <c r="Q712" i="26"/>
  <c r="O712" i="26"/>
  <c r="N712" i="26"/>
  <c r="P712" i="26" s="1"/>
  <c r="M712" i="26"/>
  <c r="K712" i="26"/>
  <c r="L712" i="26" s="1"/>
  <c r="I712" i="26"/>
  <c r="J712" i="26" s="1"/>
  <c r="H712" i="26"/>
  <c r="G712" i="26"/>
  <c r="F712" i="26"/>
  <c r="T711" i="26"/>
  <c r="O711" i="26"/>
  <c r="Q711" i="26" s="1"/>
  <c r="N711" i="26"/>
  <c r="P711" i="26" s="1"/>
  <c r="R711" i="26" s="1"/>
  <c r="S711" i="26" s="1"/>
  <c r="M711" i="26"/>
  <c r="L711" i="26"/>
  <c r="K711" i="26"/>
  <c r="J711" i="26"/>
  <c r="I711" i="26"/>
  <c r="H711" i="26"/>
  <c r="G711" i="26"/>
  <c r="F711" i="26"/>
  <c r="T710" i="26"/>
  <c r="Q710" i="26"/>
  <c r="O710" i="26"/>
  <c r="N710" i="26"/>
  <c r="P710" i="26" s="1"/>
  <c r="M710" i="26"/>
  <c r="K710" i="26"/>
  <c r="L710" i="26" s="1"/>
  <c r="I710" i="26"/>
  <c r="J710" i="26" s="1"/>
  <c r="H710" i="26"/>
  <c r="G710" i="26"/>
  <c r="F710" i="26"/>
  <c r="T709" i="26"/>
  <c r="P709" i="26"/>
  <c r="R709" i="26" s="1"/>
  <c r="S709" i="26" s="1"/>
  <c r="O709" i="26"/>
  <c r="Q709" i="26" s="1"/>
  <c r="N709" i="26"/>
  <c r="M709" i="26"/>
  <c r="K709" i="26"/>
  <c r="L709" i="26" s="1"/>
  <c r="J709" i="26"/>
  <c r="I709" i="26"/>
  <c r="H709" i="26"/>
  <c r="G709" i="26"/>
  <c r="F709" i="26"/>
  <c r="T708" i="26"/>
  <c r="O708" i="26"/>
  <c r="Q708" i="26" s="1"/>
  <c r="N708" i="26"/>
  <c r="P708" i="26" s="1"/>
  <c r="M708" i="26"/>
  <c r="K708" i="26"/>
  <c r="L708" i="26" s="1"/>
  <c r="I708" i="26"/>
  <c r="J708" i="26" s="1"/>
  <c r="H708" i="26"/>
  <c r="G708" i="26"/>
  <c r="F708" i="26"/>
  <c r="T707" i="26"/>
  <c r="R707" i="26"/>
  <c r="S707" i="26" s="1"/>
  <c r="Q707" i="26"/>
  <c r="O707" i="26"/>
  <c r="N707" i="26"/>
  <c r="P707" i="26" s="1"/>
  <c r="M707" i="26"/>
  <c r="L707" i="26"/>
  <c r="K707" i="26"/>
  <c r="J707" i="26"/>
  <c r="I707" i="26"/>
  <c r="H707" i="26"/>
  <c r="G707" i="26"/>
  <c r="F707" i="26"/>
  <c r="T706" i="26"/>
  <c r="Q706" i="26"/>
  <c r="R706" i="26" s="1"/>
  <c r="S706" i="26" s="1"/>
  <c r="P706" i="26"/>
  <c r="O706" i="26"/>
  <c r="N706" i="26"/>
  <c r="M706" i="26"/>
  <c r="K706" i="26"/>
  <c r="L706" i="26" s="1"/>
  <c r="J706" i="26"/>
  <c r="I706" i="26"/>
  <c r="H706" i="26"/>
  <c r="G706" i="26"/>
  <c r="F706" i="26"/>
  <c r="T705" i="26"/>
  <c r="Q705" i="26"/>
  <c r="O705" i="26"/>
  <c r="N705" i="26"/>
  <c r="P705" i="26" s="1"/>
  <c r="M705" i="26"/>
  <c r="L705" i="26"/>
  <c r="K705" i="26"/>
  <c r="I705" i="26"/>
  <c r="J705" i="26" s="1"/>
  <c r="H705" i="26"/>
  <c r="G705" i="26"/>
  <c r="F705" i="26"/>
  <c r="T704" i="26"/>
  <c r="P704" i="26"/>
  <c r="O704" i="26"/>
  <c r="Q704" i="26" s="1"/>
  <c r="N704" i="26"/>
  <c r="M704" i="26"/>
  <c r="K704" i="26"/>
  <c r="L704" i="26" s="1"/>
  <c r="J704" i="26"/>
  <c r="I704" i="26"/>
  <c r="H704" i="26"/>
  <c r="G704" i="26"/>
  <c r="F704" i="26"/>
  <c r="T703" i="26"/>
  <c r="O703" i="26"/>
  <c r="Q703" i="26" s="1"/>
  <c r="N703" i="26"/>
  <c r="P703" i="26" s="1"/>
  <c r="R703" i="26" s="1"/>
  <c r="S703" i="26" s="1"/>
  <c r="M703" i="26"/>
  <c r="L703" i="26"/>
  <c r="K703" i="26"/>
  <c r="J703" i="26"/>
  <c r="I703" i="26"/>
  <c r="H703" i="26"/>
  <c r="G703" i="26"/>
  <c r="F703" i="26"/>
  <c r="T702" i="26"/>
  <c r="Q702" i="26"/>
  <c r="P702" i="26"/>
  <c r="R702" i="26" s="1"/>
  <c r="S702" i="26" s="1"/>
  <c r="O702" i="26"/>
  <c r="N702" i="26"/>
  <c r="M702" i="26"/>
  <c r="K702" i="26"/>
  <c r="L702" i="26" s="1"/>
  <c r="I702" i="26"/>
  <c r="J702" i="26" s="1"/>
  <c r="H702" i="26"/>
  <c r="G702" i="26"/>
  <c r="F702" i="26"/>
  <c r="T701" i="26"/>
  <c r="P701" i="26"/>
  <c r="R701" i="26" s="1"/>
  <c r="S701" i="26" s="1"/>
  <c r="O701" i="26"/>
  <c r="Q701" i="26" s="1"/>
  <c r="N701" i="26"/>
  <c r="M701" i="26"/>
  <c r="K701" i="26"/>
  <c r="L701" i="26" s="1"/>
  <c r="J701" i="26"/>
  <c r="I701" i="26"/>
  <c r="H701" i="26"/>
  <c r="G701" i="26"/>
  <c r="F701" i="26"/>
  <c r="T700" i="26"/>
  <c r="O700" i="26"/>
  <c r="Q700" i="26" s="1"/>
  <c r="N700" i="26"/>
  <c r="P700" i="26" s="1"/>
  <c r="M700" i="26"/>
  <c r="K700" i="26"/>
  <c r="L700" i="26" s="1"/>
  <c r="I700" i="26"/>
  <c r="J700" i="26" s="1"/>
  <c r="H700" i="26"/>
  <c r="G700" i="26"/>
  <c r="F700" i="26"/>
  <c r="T699" i="26"/>
  <c r="R699" i="26"/>
  <c r="S699" i="26" s="1"/>
  <c r="Q699" i="26"/>
  <c r="O699" i="26"/>
  <c r="N699" i="26"/>
  <c r="P699" i="26" s="1"/>
  <c r="M699" i="26"/>
  <c r="L699" i="26"/>
  <c r="K699" i="26"/>
  <c r="J699" i="26"/>
  <c r="I699" i="26"/>
  <c r="H699" i="26"/>
  <c r="G699" i="26"/>
  <c r="F699" i="26"/>
  <c r="T698" i="26"/>
  <c r="Q698" i="26"/>
  <c r="R698" i="26" s="1"/>
  <c r="S698" i="26" s="1"/>
  <c r="P698" i="26"/>
  <c r="O698" i="26"/>
  <c r="N698" i="26"/>
  <c r="M698" i="26"/>
  <c r="L698" i="26"/>
  <c r="K698" i="26"/>
  <c r="I698" i="26"/>
  <c r="J698" i="26" s="1"/>
  <c r="H698" i="26"/>
  <c r="G698" i="26"/>
  <c r="F698" i="26"/>
  <c r="T697" i="26"/>
  <c r="Q697" i="26"/>
  <c r="P697" i="26"/>
  <c r="R697" i="26" s="1"/>
  <c r="S697" i="26" s="1"/>
  <c r="O697" i="26"/>
  <c r="N697" i="26"/>
  <c r="M697" i="26"/>
  <c r="K697" i="26"/>
  <c r="L697" i="26" s="1"/>
  <c r="J697" i="26"/>
  <c r="I697" i="26"/>
  <c r="H697" i="26"/>
  <c r="G697" i="26"/>
  <c r="F697" i="26"/>
  <c r="T696" i="26"/>
  <c r="R696" i="26"/>
  <c r="S696" i="26" s="1"/>
  <c r="P696" i="26"/>
  <c r="O696" i="26"/>
  <c r="Q696" i="26" s="1"/>
  <c r="N696" i="26"/>
  <c r="M696" i="26"/>
  <c r="K696" i="26"/>
  <c r="L696" i="26" s="1"/>
  <c r="I696" i="26"/>
  <c r="J696" i="26" s="1"/>
  <c r="H696" i="26"/>
  <c r="G696" i="26"/>
  <c r="F696" i="26"/>
  <c r="T695" i="26"/>
  <c r="O695" i="26"/>
  <c r="Q695" i="26" s="1"/>
  <c r="N695" i="26"/>
  <c r="P695" i="26" s="1"/>
  <c r="R695" i="26" s="1"/>
  <c r="S695" i="26" s="1"/>
  <c r="M695" i="26"/>
  <c r="L695" i="26"/>
  <c r="K695" i="26"/>
  <c r="J695" i="26"/>
  <c r="I695" i="26"/>
  <c r="H695" i="26"/>
  <c r="G695" i="26"/>
  <c r="F695" i="26"/>
  <c r="T694" i="26"/>
  <c r="O694" i="26"/>
  <c r="Q694" i="26" s="1"/>
  <c r="N694" i="26"/>
  <c r="P694" i="26" s="1"/>
  <c r="M694" i="26"/>
  <c r="L694" i="26"/>
  <c r="K694" i="26"/>
  <c r="I694" i="26"/>
  <c r="J694" i="26" s="1"/>
  <c r="H694" i="26"/>
  <c r="G694" i="26"/>
  <c r="F694" i="26"/>
  <c r="T693" i="26"/>
  <c r="S693" i="26"/>
  <c r="P693" i="26"/>
  <c r="O693" i="26"/>
  <c r="Q693" i="26" s="1"/>
  <c r="R693" i="26" s="1"/>
  <c r="N693" i="26"/>
  <c r="M693" i="26"/>
  <c r="K693" i="26"/>
  <c r="L693" i="26" s="1"/>
  <c r="J693" i="26"/>
  <c r="I693" i="26"/>
  <c r="H693" i="26"/>
  <c r="G693" i="26"/>
  <c r="F693" i="26"/>
  <c r="T692" i="26"/>
  <c r="Q692" i="26"/>
  <c r="O692" i="26"/>
  <c r="N692" i="26"/>
  <c r="P692" i="26" s="1"/>
  <c r="R692" i="26" s="1"/>
  <c r="S692" i="26" s="1"/>
  <c r="M692" i="26"/>
  <c r="K692" i="26"/>
  <c r="L692" i="26" s="1"/>
  <c r="I692" i="26"/>
  <c r="J692" i="26" s="1"/>
  <c r="H692" i="26"/>
  <c r="G692" i="26"/>
  <c r="F692" i="26"/>
  <c r="T691" i="26"/>
  <c r="Q691" i="26"/>
  <c r="O691" i="26"/>
  <c r="N691" i="26"/>
  <c r="P691" i="26" s="1"/>
  <c r="R691" i="26" s="1"/>
  <c r="S691" i="26" s="1"/>
  <c r="M691" i="26"/>
  <c r="L691" i="26"/>
  <c r="K691" i="26"/>
  <c r="J691" i="26"/>
  <c r="I691" i="26"/>
  <c r="H691" i="26"/>
  <c r="G691" i="26"/>
  <c r="F691" i="26"/>
  <c r="T690" i="26"/>
  <c r="O690" i="26"/>
  <c r="Q690" i="26" s="1"/>
  <c r="N690" i="26"/>
  <c r="P690" i="26" s="1"/>
  <c r="R690" i="26" s="1"/>
  <c r="S690" i="26" s="1"/>
  <c r="M690" i="26"/>
  <c r="K690" i="26"/>
  <c r="L690" i="26" s="1"/>
  <c r="I690" i="26"/>
  <c r="J690" i="26" s="1"/>
  <c r="H690" i="26"/>
  <c r="G690" i="26"/>
  <c r="F690" i="26"/>
  <c r="T689" i="26"/>
  <c r="O689" i="26"/>
  <c r="Q689" i="26" s="1"/>
  <c r="N689" i="26"/>
  <c r="P689" i="26" s="1"/>
  <c r="R689" i="26" s="1"/>
  <c r="S689" i="26" s="1"/>
  <c r="M689" i="26"/>
  <c r="L689" i="26"/>
  <c r="K689" i="26"/>
  <c r="J689" i="26"/>
  <c r="I689" i="26"/>
  <c r="H689" i="26"/>
  <c r="G689" i="26"/>
  <c r="F689" i="26"/>
  <c r="T688" i="26"/>
  <c r="Q688" i="26"/>
  <c r="O688" i="26"/>
  <c r="N688" i="26"/>
  <c r="P688" i="26" s="1"/>
  <c r="M688" i="26"/>
  <c r="L688" i="26"/>
  <c r="K688" i="26"/>
  <c r="I688" i="26"/>
  <c r="J688" i="26" s="1"/>
  <c r="H688" i="26"/>
  <c r="G688" i="26"/>
  <c r="F688" i="26"/>
  <c r="T687" i="26"/>
  <c r="Q687" i="26"/>
  <c r="P687" i="26"/>
  <c r="R687" i="26" s="1"/>
  <c r="S687" i="26" s="1"/>
  <c r="O687" i="26"/>
  <c r="N687" i="26"/>
  <c r="M687" i="26"/>
  <c r="K687" i="26"/>
  <c r="L687" i="26" s="1"/>
  <c r="J687" i="26"/>
  <c r="I687" i="26"/>
  <c r="H687" i="26"/>
  <c r="G687" i="26"/>
  <c r="F687" i="26"/>
  <c r="T686" i="26"/>
  <c r="R686" i="26"/>
  <c r="S686" i="26" s="1"/>
  <c r="P686" i="26"/>
  <c r="O686" i="26"/>
  <c r="Q686" i="26" s="1"/>
  <c r="N686" i="26"/>
  <c r="M686" i="26"/>
  <c r="K686" i="26"/>
  <c r="L686" i="26" s="1"/>
  <c r="J686" i="26"/>
  <c r="I686" i="26"/>
  <c r="H686" i="26"/>
  <c r="G686" i="26"/>
  <c r="F686" i="26"/>
  <c r="T685" i="26"/>
  <c r="Q685" i="26"/>
  <c r="O685" i="26"/>
  <c r="N685" i="26"/>
  <c r="P685" i="26" s="1"/>
  <c r="R685" i="26" s="1"/>
  <c r="S685" i="26" s="1"/>
  <c r="M685" i="26"/>
  <c r="L685" i="26"/>
  <c r="K685" i="26"/>
  <c r="I685" i="26"/>
  <c r="J685" i="26" s="1"/>
  <c r="H685" i="26"/>
  <c r="G685" i="26"/>
  <c r="F685" i="26"/>
  <c r="T684" i="26"/>
  <c r="P684" i="26"/>
  <c r="O684" i="26"/>
  <c r="Q684" i="26" s="1"/>
  <c r="N684" i="26"/>
  <c r="M684" i="26"/>
  <c r="K684" i="26"/>
  <c r="L684" i="26" s="1"/>
  <c r="I684" i="26"/>
  <c r="J684" i="26" s="1"/>
  <c r="H684" i="26"/>
  <c r="G684" i="26"/>
  <c r="F684" i="26"/>
  <c r="T683" i="26"/>
  <c r="O683" i="26"/>
  <c r="Q683" i="26" s="1"/>
  <c r="N683" i="26"/>
  <c r="P683" i="26" s="1"/>
  <c r="M683" i="26"/>
  <c r="L683" i="26"/>
  <c r="K683" i="26"/>
  <c r="J683" i="26"/>
  <c r="I683" i="26"/>
  <c r="H683" i="26"/>
  <c r="G683" i="26"/>
  <c r="F683" i="26"/>
  <c r="T682" i="26"/>
  <c r="O682" i="26"/>
  <c r="Q682" i="26" s="1"/>
  <c r="N682" i="26"/>
  <c r="P682" i="26" s="1"/>
  <c r="M682" i="26"/>
  <c r="K682" i="26"/>
  <c r="L682" i="26" s="1"/>
  <c r="I682" i="26"/>
  <c r="J682" i="26" s="1"/>
  <c r="H682" i="26"/>
  <c r="G682" i="26"/>
  <c r="F682" i="26"/>
  <c r="T681" i="26"/>
  <c r="R681" i="26"/>
  <c r="S681" i="26" s="1"/>
  <c r="Q681" i="26"/>
  <c r="O681" i="26"/>
  <c r="N681" i="26"/>
  <c r="P681" i="26" s="1"/>
  <c r="M681" i="26"/>
  <c r="L681" i="26"/>
  <c r="K681" i="26"/>
  <c r="J681" i="26"/>
  <c r="I681" i="26"/>
  <c r="H681" i="26"/>
  <c r="G681" i="26"/>
  <c r="F681" i="26"/>
  <c r="T680" i="26"/>
  <c r="Q680" i="26"/>
  <c r="O680" i="26"/>
  <c r="N680" i="26"/>
  <c r="P680" i="26" s="1"/>
  <c r="R680" i="26" s="1"/>
  <c r="S680" i="26" s="1"/>
  <c r="M680" i="26"/>
  <c r="L680" i="26"/>
  <c r="K680" i="26"/>
  <c r="I680" i="26"/>
  <c r="J680" i="26" s="1"/>
  <c r="H680" i="26"/>
  <c r="G680" i="26"/>
  <c r="F680" i="26"/>
  <c r="T679" i="26"/>
  <c r="Q679" i="26"/>
  <c r="P679" i="26"/>
  <c r="R679" i="26" s="1"/>
  <c r="S679" i="26" s="1"/>
  <c r="O679" i="26"/>
  <c r="N679" i="26"/>
  <c r="M679" i="26"/>
  <c r="K679" i="26"/>
  <c r="L679" i="26" s="1"/>
  <c r="J679" i="26"/>
  <c r="I679" i="26"/>
  <c r="H679" i="26"/>
  <c r="G679" i="26"/>
  <c r="F679" i="26"/>
  <c r="T678" i="26"/>
  <c r="P678" i="26"/>
  <c r="O678" i="26"/>
  <c r="Q678" i="26" s="1"/>
  <c r="R678" i="26" s="1"/>
  <c r="S678" i="26" s="1"/>
  <c r="N678" i="26"/>
  <c r="M678" i="26"/>
  <c r="K678" i="26"/>
  <c r="L678" i="26" s="1"/>
  <c r="J678" i="26"/>
  <c r="I678" i="26"/>
  <c r="H678" i="26"/>
  <c r="G678" i="26"/>
  <c r="F678" i="26"/>
  <c r="T677" i="26"/>
  <c r="Q677" i="26"/>
  <c r="O677" i="26"/>
  <c r="N677" i="26"/>
  <c r="P677" i="26" s="1"/>
  <c r="M677" i="26"/>
  <c r="L677" i="26"/>
  <c r="K677" i="26"/>
  <c r="I677" i="26"/>
  <c r="J677" i="26" s="1"/>
  <c r="H677" i="26"/>
  <c r="G677" i="26"/>
  <c r="F677" i="26"/>
  <c r="T676" i="26"/>
  <c r="P676" i="26"/>
  <c r="R676" i="26" s="1"/>
  <c r="S676" i="26" s="1"/>
  <c r="O676" i="26"/>
  <c r="Q676" i="26" s="1"/>
  <c r="N676" i="26"/>
  <c r="M676" i="26"/>
  <c r="K676" i="26"/>
  <c r="L676" i="26" s="1"/>
  <c r="I676" i="26"/>
  <c r="J676" i="26" s="1"/>
  <c r="H676" i="26"/>
  <c r="G676" i="26"/>
  <c r="F676" i="26"/>
  <c r="T675" i="26"/>
  <c r="O675" i="26"/>
  <c r="Q675" i="26" s="1"/>
  <c r="N675" i="26"/>
  <c r="P675" i="26" s="1"/>
  <c r="R675" i="26" s="1"/>
  <c r="S675" i="26" s="1"/>
  <c r="M675" i="26"/>
  <c r="L675" i="26"/>
  <c r="K675" i="26"/>
  <c r="J675" i="26"/>
  <c r="I675" i="26"/>
  <c r="H675" i="26"/>
  <c r="G675" i="26"/>
  <c r="F675" i="26"/>
  <c r="T674" i="26"/>
  <c r="O674" i="26"/>
  <c r="Q674" i="26" s="1"/>
  <c r="N674" i="26"/>
  <c r="P674" i="26" s="1"/>
  <c r="M674" i="26"/>
  <c r="K674" i="26"/>
  <c r="L674" i="26" s="1"/>
  <c r="I674" i="26"/>
  <c r="J674" i="26" s="1"/>
  <c r="H674" i="26"/>
  <c r="G674" i="26"/>
  <c r="F674" i="26"/>
  <c r="T673" i="26"/>
  <c r="R673" i="26"/>
  <c r="S673" i="26" s="1"/>
  <c r="Q673" i="26"/>
  <c r="O673" i="26"/>
  <c r="N673" i="26"/>
  <c r="P673" i="26" s="1"/>
  <c r="M673" i="26"/>
  <c r="L673" i="26"/>
  <c r="K673" i="26"/>
  <c r="J673" i="26"/>
  <c r="I673" i="26"/>
  <c r="H673" i="26"/>
  <c r="G673" i="26"/>
  <c r="F673" i="26"/>
  <c r="T672" i="26"/>
  <c r="Q672" i="26"/>
  <c r="O672" i="26"/>
  <c r="N672" i="26"/>
  <c r="P672" i="26" s="1"/>
  <c r="R672" i="26" s="1"/>
  <c r="S672" i="26" s="1"/>
  <c r="M672" i="26"/>
  <c r="L672" i="26"/>
  <c r="K672" i="26"/>
  <c r="I672" i="26"/>
  <c r="J672" i="26" s="1"/>
  <c r="H672" i="26"/>
  <c r="G672" i="26"/>
  <c r="F672" i="26"/>
  <c r="T671" i="26"/>
  <c r="S671" i="26"/>
  <c r="Q671" i="26"/>
  <c r="P671" i="26"/>
  <c r="R671" i="26" s="1"/>
  <c r="O671" i="26"/>
  <c r="N671" i="26"/>
  <c r="M671" i="26"/>
  <c r="K671" i="26"/>
  <c r="L671" i="26" s="1"/>
  <c r="J671" i="26"/>
  <c r="I671" i="26"/>
  <c r="H671" i="26"/>
  <c r="G671" i="26"/>
  <c r="F671" i="26"/>
  <c r="T670" i="26"/>
  <c r="P670" i="26"/>
  <c r="O670" i="26"/>
  <c r="Q670" i="26" s="1"/>
  <c r="R670" i="26" s="1"/>
  <c r="S670" i="26" s="1"/>
  <c r="N670" i="26"/>
  <c r="M670" i="26"/>
  <c r="K670" i="26"/>
  <c r="L670" i="26" s="1"/>
  <c r="J670" i="26"/>
  <c r="I670" i="26"/>
  <c r="H670" i="26"/>
  <c r="G670" i="26"/>
  <c r="F670" i="26"/>
  <c r="T669" i="26"/>
  <c r="Q669" i="26"/>
  <c r="O669" i="26"/>
  <c r="N669" i="26"/>
  <c r="P669" i="26" s="1"/>
  <c r="R669" i="26" s="1"/>
  <c r="S669" i="26" s="1"/>
  <c r="M669" i="26"/>
  <c r="L669" i="26"/>
  <c r="K669" i="26"/>
  <c r="I669" i="26"/>
  <c r="J669" i="26" s="1"/>
  <c r="H669" i="26"/>
  <c r="G669" i="26"/>
  <c r="F669" i="26"/>
  <c r="T668" i="26"/>
  <c r="P668" i="26"/>
  <c r="R668" i="26" s="1"/>
  <c r="S668" i="26" s="1"/>
  <c r="O668" i="26"/>
  <c r="Q668" i="26" s="1"/>
  <c r="N668" i="26"/>
  <c r="M668" i="26"/>
  <c r="K668" i="26"/>
  <c r="L668" i="26" s="1"/>
  <c r="I668" i="26"/>
  <c r="J668" i="26" s="1"/>
  <c r="H668" i="26"/>
  <c r="G668" i="26"/>
  <c r="F668" i="26"/>
  <c r="T667" i="26"/>
  <c r="O667" i="26"/>
  <c r="Q667" i="26" s="1"/>
  <c r="N667" i="26"/>
  <c r="P667" i="26" s="1"/>
  <c r="R667" i="26" s="1"/>
  <c r="S667" i="26" s="1"/>
  <c r="M667" i="26"/>
  <c r="L667" i="26"/>
  <c r="K667" i="26"/>
  <c r="J667" i="26"/>
  <c r="I667" i="26"/>
  <c r="H667" i="26"/>
  <c r="G667" i="26"/>
  <c r="F667" i="26"/>
  <c r="T666" i="26"/>
  <c r="O666" i="26"/>
  <c r="Q666" i="26" s="1"/>
  <c r="N666" i="26"/>
  <c r="P666" i="26" s="1"/>
  <c r="R666" i="26" s="1"/>
  <c r="S666" i="26" s="1"/>
  <c r="M666" i="26"/>
  <c r="K666" i="26"/>
  <c r="L666" i="26" s="1"/>
  <c r="I666" i="26"/>
  <c r="J666" i="26" s="1"/>
  <c r="H666" i="26"/>
  <c r="G666" i="26"/>
  <c r="F666" i="26"/>
  <c r="T665" i="26"/>
  <c r="Q665" i="26"/>
  <c r="O665" i="26"/>
  <c r="N665" i="26"/>
  <c r="P665" i="26" s="1"/>
  <c r="R665" i="26" s="1"/>
  <c r="S665" i="26" s="1"/>
  <c r="M665" i="26"/>
  <c r="L665" i="26"/>
  <c r="K665" i="26"/>
  <c r="J665" i="26"/>
  <c r="I665" i="26"/>
  <c r="H665" i="26"/>
  <c r="G665" i="26"/>
  <c r="F665" i="26"/>
  <c r="T664" i="26"/>
  <c r="S664" i="26"/>
  <c r="Q664" i="26"/>
  <c r="O664" i="26"/>
  <c r="N664" i="26"/>
  <c r="P664" i="26" s="1"/>
  <c r="R664" i="26" s="1"/>
  <c r="M664" i="26"/>
  <c r="L664" i="26"/>
  <c r="K664" i="26"/>
  <c r="I664" i="26"/>
  <c r="J664" i="26" s="1"/>
  <c r="H664" i="26"/>
  <c r="G664" i="26"/>
  <c r="F664" i="26"/>
  <c r="T663" i="26"/>
  <c r="Q663" i="26"/>
  <c r="P663" i="26"/>
  <c r="R663" i="26" s="1"/>
  <c r="S663" i="26" s="1"/>
  <c r="O663" i="26"/>
  <c r="N663" i="26"/>
  <c r="M663" i="26"/>
  <c r="K663" i="26"/>
  <c r="L663" i="26" s="1"/>
  <c r="J663" i="26"/>
  <c r="I663" i="26"/>
  <c r="H663" i="26"/>
  <c r="G663" i="26"/>
  <c r="F663" i="26"/>
  <c r="T662" i="26"/>
  <c r="P662" i="26"/>
  <c r="O662" i="26"/>
  <c r="Q662" i="26" s="1"/>
  <c r="R662" i="26" s="1"/>
  <c r="S662" i="26" s="1"/>
  <c r="N662" i="26"/>
  <c r="M662" i="26"/>
  <c r="K662" i="26"/>
  <c r="L662" i="26" s="1"/>
  <c r="I662" i="26"/>
  <c r="J662" i="26" s="1"/>
  <c r="H662" i="26"/>
  <c r="G662" i="26"/>
  <c r="F662" i="26"/>
  <c r="T661" i="26"/>
  <c r="Q661" i="26"/>
  <c r="P661" i="26"/>
  <c r="O661" i="26"/>
  <c r="N661" i="26"/>
  <c r="M661" i="26"/>
  <c r="L661" i="26"/>
  <c r="K661" i="26"/>
  <c r="I661" i="26"/>
  <c r="J661" i="26" s="1"/>
  <c r="H661" i="26"/>
  <c r="G661" i="26"/>
  <c r="F661" i="26"/>
  <c r="T660" i="26"/>
  <c r="P660" i="26"/>
  <c r="O660" i="26"/>
  <c r="Q660" i="26" s="1"/>
  <c r="N660" i="26"/>
  <c r="M660" i="26"/>
  <c r="K660" i="26"/>
  <c r="L660" i="26" s="1"/>
  <c r="I660" i="26"/>
  <c r="J660" i="26" s="1"/>
  <c r="H660" i="26"/>
  <c r="G660" i="26"/>
  <c r="F660" i="26"/>
  <c r="T659" i="26"/>
  <c r="O659" i="26"/>
  <c r="Q659" i="26" s="1"/>
  <c r="N659" i="26"/>
  <c r="P659" i="26" s="1"/>
  <c r="M659" i="26"/>
  <c r="L659" i="26"/>
  <c r="K659" i="26"/>
  <c r="J659" i="26"/>
  <c r="I659" i="26"/>
  <c r="H659" i="26"/>
  <c r="G659" i="26"/>
  <c r="F659" i="26"/>
  <c r="T658" i="26"/>
  <c r="S658" i="26"/>
  <c r="O658" i="26"/>
  <c r="Q658" i="26" s="1"/>
  <c r="N658" i="26"/>
  <c r="P658" i="26" s="1"/>
  <c r="R658" i="26" s="1"/>
  <c r="M658" i="26"/>
  <c r="L658" i="26"/>
  <c r="K658" i="26"/>
  <c r="I658" i="26"/>
  <c r="J658" i="26" s="1"/>
  <c r="H658" i="26"/>
  <c r="G658" i="26"/>
  <c r="F658" i="26"/>
  <c r="T657" i="26"/>
  <c r="R657" i="26"/>
  <c r="S657" i="26" s="1"/>
  <c r="O657" i="26"/>
  <c r="Q657" i="26" s="1"/>
  <c r="N657" i="26"/>
  <c r="P657" i="26" s="1"/>
  <c r="M657" i="26"/>
  <c r="L657" i="26"/>
  <c r="K657" i="26"/>
  <c r="J657" i="26"/>
  <c r="I657" i="26"/>
  <c r="H657" i="26"/>
  <c r="G657" i="26"/>
  <c r="F657" i="26"/>
  <c r="T656" i="26"/>
  <c r="Q656" i="26"/>
  <c r="O656" i="26"/>
  <c r="N656" i="26"/>
  <c r="P656" i="26" s="1"/>
  <c r="R656" i="26" s="1"/>
  <c r="S656" i="26" s="1"/>
  <c r="M656" i="26"/>
  <c r="K656" i="26"/>
  <c r="L656" i="26" s="1"/>
  <c r="J656" i="26"/>
  <c r="I656" i="26"/>
  <c r="H656" i="26"/>
  <c r="G656" i="26"/>
  <c r="F656" i="26"/>
  <c r="T655" i="26"/>
  <c r="R655" i="26"/>
  <c r="S655" i="26" s="1"/>
  <c r="Q655" i="26"/>
  <c r="P655" i="26"/>
  <c r="O655" i="26"/>
  <c r="N655" i="26"/>
  <c r="M655" i="26"/>
  <c r="K655" i="26"/>
  <c r="L655" i="26" s="1"/>
  <c r="I655" i="26"/>
  <c r="J655" i="26" s="1"/>
  <c r="H655" i="26"/>
  <c r="G655" i="26"/>
  <c r="F655" i="26"/>
  <c r="T654" i="26"/>
  <c r="P654" i="26"/>
  <c r="O654" i="26"/>
  <c r="Q654" i="26" s="1"/>
  <c r="R654" i="26" s="1"/>
  <c r="S654" i="26" s="1"/>
  <c r="N654" i="26"/>
  <c r="M654" i="26"/>
  <c r="K654" i="26"/>
  <c r="L654" i="26" s="1"/>
  <c r="I654" i="26"/>
  <c r="J654" i="26" s="1"/>
  <c r="H654" i="26"/>
  <c r="G654" i="26"/>
  <c r="F654" i="26"/>
  <c r="T653" i="26"/>
  <c r="O653" i="26"/>
  <c r="Q653" i="26" s="1"/>
  <c r="N653" i="26"/>
  <c r="P653" i="26" s="1"/>
  <c r="M653" i="26"/>
  <c r="L653" i="26"/>
  <c r="K653" i="26"/>
  <c r="I653" i="26"/>
  <c r="J653" i="26" s="1"/>
  <c r="H653" i="26"/>
  <c r="G653" i="26"/>
  <c r="F653" i="26"/>
  <c r="T652" i="26"/>
  <c r="O652" i="26"/>
  <c r="Q652" i="26" s="1"/>
  <c r="N652" i="26"/>
  <c r="P652" i="26" s="1"/>
  <c r="R652" i="26" s="1"/>
  <c r="S652" i="26" s="1"/>
  <c r="M652" i="26"/>
  <c r="K652" i="26"/>
  <c r="L652" i="26" s="1"/>
  <c r="I652" i="26"/>
  <c r="J652" i="26" s="1"/>
  <c r="H652" i="26"/>
  <c r="G652" i="26"/>
  <c r="F652" i="26"/>
  <c r="T651" i="26"/>
  <c r="O651" i="26"/>
  <c r="Q651" i="26" s="1"/>
  <c r="N651" i="26"/>
  <c r="P651" i="26" s="1"/>
  <c r="M651" i="26"/>
  <c r="L651" i="26"/>
  <c r="K651" i="26"/>
  <c r="J651" i="26"/>
  <c r="I651" i="26"/>
  <c r="H651" i="26"/>
  <c r="G651" i="26"/>
  <c r="F651" i="26"/>
  <c r="T650" i="26"/>
  <c r="Q650" i="26"/>
  <c r="O650" i="26"/>
  <c r="N650" i="26"/>
  <c r="P650" i="26" s="1"/>
  <c r="R650" i="26" s="1"/>
  <c r="S650" i="26" s="1"/>
  <c r="M650" i="26"/>
  <c r="L650" i="26"/>
  <c r="K650" i="26"/>
  <c r="I650" i="26"/>
  <c r="J650" i="26" s="1"/>
  <c r="H650" i="26"/>
  <c r="G650" i="26"/>
  <c r="F650" i="26"/>
  <c r="T649" i="26"/>
  <c r="Q649" i="26"/>
  <c r="O649" i="26"/>
  <c r="N649" i="26"/>
  <c r="P649" i="26" s="1"/>
  <c r="R649" i="26" s="1"/>
  <c r="S649" i="26" s="1"/>
  <c r="M649" i="26"/>
  <c r="L649" i="26"/>
  <c r="K649" i="26"/>
  <c r="J649" i="26"/>
  <c r="I649" i="26"/>
  <c r="H649" i="26"/>
  <c r="G649" i="26"/>
  <c r="F649" i="26"/>
  <c r="T648" i="26"/>
  <c r="Q648" i="26"/>
  <c r="R648" i="26" s="1"/>
  <c r="S648" i="26" s="1"/>
  <c r="P648" i="26"/>
  <c r="O648" i="26"/>
  <c r="N648" i="26"/>
  <c r="M648" i="26"/>
  <c r="L648" i="26"/>
  <c r="K648" i="26"/>
  <c r="I648" i="26"/>
  <c r="J648" i="26" s="1"/>
  <c r="H648" i="26"/>
  <c r="G648" i="26"/>
  <c r="F648" i="26"/>
  <c r="T647" i="26"/>
  <c r="Q647" i="26"/>
  <c r="P647" i="26"/>
  <c r="R647" i="26" s="1"/>
  <c r="S647" i="26" s="1"/>
  <c r="O647" i="26"/>
  <c r="N647" i="26"/>
  <c r="M647" i="26"/>
  <c r="K647" i="26"/>
  <c r="L647" i="26" s="1"/>
  <c r="J647" i="26"/>
  <c r="I647" i="26"/>
  <c r="H647" i="26"/>
  <c r="G647" i="26"/>
  <c r="F647" i="26"/>
  <c r="T646" i="26"/>
  <c r="P646" i="26"/>
  <c r="O646" i="26"/>
  <c r="Q646" i="26" s="1"/>
  <c r="R646" i="26" s="1"/>
  <c r="S646" i="26" s="1"/>
  <c r="N646" i="26"/>
  <c r="M646" i="26"/>
  <c r="K646" i="26"/>
  <c r="L646" i="26" s="1"/>
  <c r="I646" i="26"/>
  <c r="J646" i="26" s="1"/>
  <c r="H646" i="26"/>
  <c r="G646" i="26"/>
  <c r="F646" i="26"/>
  <c r="T645" i="26"/>
  <c r="O645" i="26"/>
  <c r="Q645" i="26" s="1"/>
  <c r="N645" i="26"/>
  <c r="P645" i="26" s="1"/>
  <c r="R645" i="26" s="1"/>
  <c r="S645" i="26" s="1"/>
  <c r="M645" i="26"/>
  <c r="L645" i="26"/>
  <c r="K645" i="26"/>
  <c r="I645" i="26"/>
  <c r="J645" i="26" s="1"/>
  <c r="H645" i="26"/>
  <c r="G645" i="26"/>
  <c r="F645" i="26"/>
  <c r="T644" i="26"/>
  <c r="Q644" i="26"/>
  <c r="O644" i="26"/>
  <c r="N644" i="26"/>
  <c r="P644" i="26" s="1"/>
  <c r="R644" i="26" s="1"/>
  <c r="S644" i="26" s="1"/>
  <c r="M644" i="26"/>
  <c r="K644" i="26"/>
  <c r="L644" i="26" s="1"/>
  <c r="I644" i="26"/>
  <c r="J644" i="26" s="1"/>
  <c r="H644" i="26"/>
  <c r="G644" i="26"/>
  <c r="F644" i="26"/>
  <c r="T643" i="26"/>
  <c r="P643" i="26"/>
  <c r="R643" i="26" s="1"/>
  <c r="S643" i="26" s="1"/>
  <c r="O643" i="26"/>
  <c r="Q643" i="26" s="1"/>
  <c r="N643" i="26"/>
  <c r="M643" i="26"/>
  <c r="L643" i="26"/>
  <c r="K643" i="26"/>
  <c r="J643" i="26"/>
  <c r="I643" i="26"/>
  <c r="H643" i="26"/>
  <c r="G643" i="26"/>
  <c r="F643" i="26"/>
  <c r="T642" i="26"/>
  <c r="O642" i="26"/>
  <c r="Q642" i="26" s="1"/>
  <c r="N642" i="26"/>
  <c r="P642" i="26" s="1"/>
  <c r="M642" i="26"/>
  <c r="L642" i="26"/>
  <c r="K642" i="26"/>
  <c r="I642" i="26"/>
  <c r="J642" i="26" s="1"/>
  <c r="H642" i="26"/>
  <c r="G642" i="26"/>
  <c r="F642" i="26"/>
  <c r="T641" i="26"/>
  <c r="Q641" i="26"/>
  <c r="P641" i="26"/>
  <c r="R641" i="26" s="1"/>
  <c r="S641" i="26" s="1"/>
  <c r="O641" i="26"/>
  <c r="N641" i="26"/>
  <c r="M641" i="26"/>
  <c r="K641" i="26"/>
  <c r="L641" i="26" s="1"/>
  <c r="J641" i="26"/>
  <c r="I641" i="26"/>
  <c r="H641" i="26"/>
  <c r="G641" i="26"/>
  <c r="F641" i="26"/>
  <c r="T640" i="26"/>
  <c r="P640" i="26"/>
  <c r="O640" i="26"/>
  <c r="Q640" i="26" s="1"/>
  <c r="R640" i="26" s="1"/>
  <c r="S640" i="26" s="1"/>
  <c r="N640" i="26"/>
  <c r="M640" i="26"/>
  <c r="K640" i="26"/>
  <c r="L640" i="26" s="1"/>
  <c r="J640" i="26"/>
  <c r="I640" i="26"/>
  <c r="H640" i="26"/>
  <c r="G640" i="26"/>
  <c r="F640" i="26"/>
  <c r="T639" i="26"/>
  <c r="Q639" i="26"/>
  <c r="O639" i="26"/>
  <c r="N639" i="26"/>
  <c r="P639" i="26" s="1"/>
  <c r="R639" i="26" s="1"/>
  <c r="S639" i="26" s="1"/>
  <c r="M639" i="26"/>
  <c r="K639" i="26"/>
  <c r="L639" i="26" s="1"/>
  <c r="I639" i="26"/>
  <c r="J639" i="26" s="1"/>
  <c r="H639" i="26"/>
  <c r="G639" i="26"/>
  <c r="F639" i="26"/>
  <c r="T638" i="26"/>
  <c r="P638" i="26"/>
  <c r="R638" i="26" s="1"/>
  <c r="S638" i="26" s="1"/>
  <c r="O638" i="26"/>
  <c r="Q638" i="26" s="1"/>
  <c r="N638" i="26"/>
  <c r="M638" i="26"/>
  <c r="K638" i="26"/>
  <c r="L638" i="26" s="1"/>
  <c r="I638" i="26"/>
  <c r="J638" i="26" s="1"/>
  <c r="H638" i="26"/>
  <c r="G638" i="26"/>
  <c r="F638" i="26"/>
  <c r="T637" i="26"/>
  <c r="O637" i="26"/>
  <c r="Q637" i="26" s="1"/>
  <c r="N637" i="26"/>
  <c r="P637" i="26" s="1"/>
  <c r="R637" i="26" s="1"/>
  <c r="S637" i="26" s="1"/>
  <c r="M637" i="26"/>
  <c r="L637" i="26"/>
  <c r="K637" i="26"/>
  <c r="J637" i="26"/>
  <c r="I637" i="26"/>
  <c r="H637" i="26"/>
  <c r="G637" i="26"/>
  <c r="F637" i="26"/>
  <c r="T636" i="26"/>
  <c r="Q636" i="26"/>
  <c r="P636" i="26"/>
  <c r="R636" i="26" s="1"/>
  <c r="S636" i="26" s="1"/>
  <c r="O636" i="26"/>
  <c r="N636" i="26"/>
  <c r="M636" i="26"/>
  <c r="K636" i="26"/>
  <c r="L636" i="26" s="1"/>
  <c r="I636" i="26"/>
  <c r="J636" i="26" s="1"/>
  <c r="H636" i="26"/>
  <c r="G636" i="26"/>
  <c r="F636" i="26"/>
  <c r="T635" i="26"/>
  <c r="O635" i="26"/>
  <c r="Q635" i="26" s="1"/>
  <c r="N635" i="26"/>
  <c r="P635" i="26" s="1"/>
  <c r="R635" i="26" s="1"/>
  <c r="S635" i="26" s="1"/>
  <c r="M635" i="26"/>
  <c r="L635" i="26"/>
  <c r="K635" i="26"/>
  <c r="J635" i="26"/>
  <c r="I635" i="26"/>
  <c r="H635" i="26"/>
  <c r="G635" i="26"/>
  <c r="F635" i="26"/>
  <c r="T634" i="26"/>
  <c r="Q634" i="26"/>
  <c r="O634" i="26"/>
  <c r="N634" i="26"/>
  <c r="P634" i="26" s="1"/>
  <c r="M634" i="26"/>
  <c r="K634" i="26"/>
  <c r="L634" i="26" s="1"/>
  <c r="I634" i="26"/>
  <c r="J634" i="26" s="1"/>
  <c r="H634" i="26"/>
  <c r="G634" i="26"/>
  <c r="F634" i="26"/>
  <c r="T633" i="26"/>
  <c r="Q633" i="26"/>
  <c r="O633" i="26"/>
  <c r="N633" i="26"/>
  <c r="P633" i="26" s="1"/>
  <c r="R633" i="26" s="1"/>
  <c r="S633" i="26" s="1"/>
  <c r="M633" i="26"/>
  <c r="K633" i="26"/>
  <c r="L633" i="26" s="1"/>
  <c r="J633" i="26"/>
  <c r="I633" i="26"/>
  <c r="H633" i="26"/>
  <c r="G633" i="26"/>
  <c r="F633" i="26"/>
  <c r="T632" i="26"/>
  <c r="P632" i="26"/>
  <c r="O632" i="26"/>
  <c r="Q632" i="26" s="1"/>
  <c r="R632" i="26" s="1"/>
  <c r="S632" i="26" s="1"/>
  <c r="N632" i="26"/>
  <c r="M632" i="26"/>
  <c r="L632" i="26"/>
  <c r="K632" i="26"/>
  <c r="I632" i="26"/>
  <c r="J632" i="26" s="1"/>
  <c r="H632" i="26"/>
  <c r="G632" i="26"/>
  <c r="F632" i="26"/>
  <c r="T631" i="26"/>
  <c r="Q631" i="26"/>
  <c r="O631" i="26"/>
  <c r="N631" i="26"/>
  <c r="P631" i="26" s="1"/>
  <c r="R631" i="26" s="1"/>
  <c r="S631" i="26" s="1"/>
  <c r="M631" i="26"/>
  <c r="L631" i="26"/>
  <c r="K631" i="26"/>
  <c r="I631" i="26"/>
  <c r="J631" i="26" s="1"/>
  <c r="H631" i="26"/>
  <c r="G631" i="26"/>
  <c r="F631" i="26"/>
  <c r="T630" i="26"/>
  <c r="P630" i="26"/>
  <c r="R630" i="26" s="1"/>
  <c r="S630" i="26" s="1"/>
  <c r="O630" i="26"/>
  <c r="Q630" i="26" s="1"/>
  <c r="N630" i="26"/>
  <c r="M630" i="26"/>
  <c r="K630" i="26"/>
  <c r="L630" i="26" s="1"/>
  <c r="J630" i="26"/>
  <c r="I630" i="26"/>
  <c r="H630" i="26"/>
  <c r="G630" i="26"/>
  <c r="F630" i="26"/>
  <c r="T629" i="26"/>
  <c r="Q629" i="26"/>
  <c r="P629" i="26"/>
  <c r="R629" i="26" s="1"/>
  <c r="S629" i="26" s="1"/>
  <c r="O629" i="26"/>
  <c r="N629" i="26"/>
  <c r="M629" i="26"/>
  <c r="L629" i="26"/>
  <c r="K629" i="26"/>
  <c r="J629" i="26"/>
  <c r="I629" i="26"/>
  <c r="H629" i="26"/>
  <c r="G629" i="26"/>
  <c r="F629" i="26"/>
  <c r="T628" i="26"/>
  <c r="Q628" i="26"/>
  <c r="O628" i="26"/>
  <c r="N628" i="26"/>
  <c r="P628" i="26" s="1"/>
  <c r="R628" i="26" s="1"/>
  <c r="S628" i="26" s="1"/>
  <c r="M628" i="26"/>
  <c r="K628" i="26"/>
  <c r="L628" i="26" s="1"/>
  <c r="I628" i="26"/>
  <c r="J628" i="26" s="1"/>
  <c r="H628" i="26"/>
  <c r="G628" i="26"/>
  <c r="F628" i="26"/>
  <c r="T627" i="26"/>
  <c r="O627" i="26"/>
  <c r="Q627" i="26" s="1"/>
  <c r="N627" i="26"/>
  <c r="P627" i="26" s="1"/>
  <c r="R627" i="26" s="1"/>
  <c r="S627" i="26" s="1"/>
  <c r="M627" i="26"/>
  <c r="K627" i="26"/>
  <c r="L627" i="26" s="1"/>
  <c r="J627" i="26"/>
  <c r="I627" i="26"/>
  <c r="H627" i="26"/>
  <c r="G627" i="26"/>
  <c r="F627" i="26"/>
  <c r="T626" i="26"/>
  <c r="O626" i="26"/>
  <c r="Q626" i="26" s="1"/>
  <c r="N626" i="26"/>
  <c r="P626" i="26" s="1"/>
  <c r="R626" i="26" s="1"/>
  <c r="S626" i="26" s="1"/>
  <c r="M626" i="26"/>
  <c r="L626" i="26"/>
  <c r="K626" i="26"/>
  <c r="J626" i="26"/>
  <c r="I626" i="26"/>
  <c r="H626" i="26"/>
  <c r="G626" i="26"/>
  <c r="F626" i="26"/>
  <c r="T625" i="26"/>
  <c r="Q625" i="26"/>
  <c r="O625" i="26"/>
  <c r="N625" i="26"/>
  <c r="P625" i="26" s="1"/>
  <c r="R625" i="26" s="1"/>
  <c r="S625" i="26" s="1"/>
  <c r="M625" i="26"/>
  <c r="L625" i="26"/>
  <c r="K625" i="26"/>
  <c r="I625" i="26"/>
  <c r="J625" i="26" s="1"/>
  <c r="H625" i="26"/>
  <c r="G625" i="26"/>
  <c r="F625" i="26"/>
  <c r="T624" i="26"/>
  <c r="S624" i="26"/>
  <c r="Q624" i="26"/>
  <c r="P624" i="26"/>
  <c r="R624" i="26" s="1"/>
  <c r="O624" i="26"/>
  <c r="N624" i="26"/>
  <c r="M624" i="26"/>
  <c r="K624" i="26"/>
  <c r="L624" i="26" s="1"/>
  <c r="J624" i="26"/>
  <c r="I624" i="26"/>
  <c r="H624" i="26"/>
  <c r="G624" i="26"/>
  <c r="F624" i="26"/>
  <c r="T623" i="26"/>
  <c r="P623" i="26"/>
  <c r="O623" i="26"/>
  <c r="Q623" i="26" s="1"/>
  <c r="R623" i="26" s="1"/>
  <c r="S623" i="26" s="1"/>
  <c r="N623" i="26"/>
  <c r="M623" i="26"/>
  <c r="K623" i="26"/>
  <c r="L623" i="26" s="1"/>
  <c r="J623" i="26"/>
  <c r="I623" i="26"/>
  <c r="H623" i="26"/>
  <c r="G623" i="26"/>
  <c r="F623" i="26"/>
  <c r="T622" i="26"/>
  <c r="Q622" i="26"/>
  <c r="O622" i="26"/>
  <c r="N622" i="26"/>
  <c r="P622" i="26" s="1"/>
  <c r="R622" i="26" s="1"/>
  <c r="S622" i="26" s="1"/>
  <c r="M622" i="26"/>
  <c r="K622" i="26"/>
  <c r="L622" i="26" s="1"/>
  <c r="I622" i="26"/>
  <c r="J622" i="26" s="1"/>
  <c r="H622" i="26"/>
  <c r="G622" i="26"/>
  <c r="F622" i="26"/>
  <c r="T621" i="26"/>
  <c r="P621" i="26"/>
  <c r="R621" i="26" s="1"/>
  <c r="S621" i="26" s="1"/>
  <c r="O621" i="26"/>
  <c r="Q621" i="26" s="1"/>
  <c r="N621" i="26"/>
  <c r="M621" i="26"/>
  <c r="L621" i="26"/>
  <c r="K621" i="26"/>
  <c r="I621" i="26"/>
  <c r="J621" i="26" s="1"/>
  <c r="H621" i="26"/>
  <c r="G621" i="26"/>
  <c r="F621" i="26"/>
  <c r="T620" i="26"/>
  <c r="O620" i="26"/>
  <c r="Q620" i="26" s="1"/>
  <c r="N620" i="26"/>
  <c r="P620" i="26" s="1"/>
  <c r="M620" i="26"/>
  <c r="L620" i="26"/>
  <c r="K620" i="26"/>
  <c r="I620" i="26"/>
  <c r="J620" i="26" s="1"/>
  <c r="H620" i="26"/>
  <c r="G620" i="26"/>
  <c r="F620" i="26"/>
  <c r="T619" i="26"/>
  <c r="O619" i="26"/>
  <c r="Q619" i="26" s="1"/>
  <c r="N619" i="26"/>
  <c r="P619" i="26" s="1"/>
  <c r="M619" i="26"/>
  <c r="K619" i="26"/>
  <c r="L619" i="26" s="1"/>
  <c r="J619" i="26"/>
  <c r="I619" i="26"/>
  <c r="H619" i="26"/>
  <c r="G619" i="26"/>
  <c r="F619" i="26"/>
  <c r="T618" i="26"/>
  <c r="O618" i="26"/>
  <c r="Q618" i="26" s="1"/>
  <c r="N618" i="26"/>
  <c r="P618" i="26" s="1"/>
  <c r="R618" i="26" s="1"/>
  <c r="S618" i="26" s="1"/>
  <c r="M618" i="26"/>
  <c r="L618" i="26"/>
  <c r="K618" i="26"/>
  <c r="J618" i="26"/>
  <c r="I618" i="26"/>
  <c r="H618" i="26"/>
  <c r="G618" i="26"/>
  <c r="F618" i="26"/>
  <c r="T617" i="26"/>
  <c r="Q617" i="26"/>
  <c r="O617" i="26"/>
  <c r="N617" i="26"/>
  <c r="P617" i="26" s="1"/>
  <c r="R617" i="26" s="1"/>
  <c r="S617" i="26" s="1"/>
  <c r="M617" i="26"/>
  <c r="L617" i="26"/>
  <c r="K617" i="26"/>
  <c r="I617" i="26"/>
  <c r="J617" i="26" s="1"/>
  <c r="H617" i="26"/>
  <c r="G617" i="26"/>
  <c r="F617" i="26"/>
  <c r="T616" i="26"/>
  <c r="S616" i="26"/>
  <c r="Q616" i="26"/>
  <c r="P616" i="26"/>
  <c r="R616" i="26" s="1"/>
  <c r="O616" i="26"/>
  <c r="N616" i="26"/>
  <c r="M616" i="26"/>
  <c r="K616" i="26"/>
  <c r="L616" i="26" s="1"/>
  <c r="J616" i="26"/>
  <c r="I616" i="26"/>
  <c r="H616" i="26"/>
  <c r="G616" i="26"/>
  <c r="F616" i="26"/>
  <c r="T615" i="26"/>
  <c r="P615" i="26"/>
  <c r="O615" i="26"/>
  <c r="Q615" i="26" s="1"/>
  <c r="R615" i="26" s="1"/>
  <c r="S615" i="26" s="1"/>
  <c r="N615" i="26"/>
  <c r="M615" i="26"/>
  <c r="K615" i="26"/>
  <c r="L615" i="26" s="1"/>
  <c r="J615" i="26"/>
  <c r="I615" i="26"/>
  <c r="H615" i="26"/>
  <c r="G615" i="26"/>
  <c r="F615" i="26"/>
  <c r="T614" i="26"/>
  <c r="Q614" i="26"/>
  <c r="O614" i="26"/>
  <c r="N614" i="26"/>
  <c r="P614" i="26" s="1"/>
  <c r="R614" i="26" s="1"/>
  <c r="S614" i="26" s="1"/>
  <c r="M614" i="26"/>
  <c r="K614" i="26"/>
  <c r="L614" i="26" s="1"/>
  <c r="I614" i="26"/>
  <c r="J614" i="26" s="1"/>
  <c r="H614" i="26"/>
  <c r="G614" i="26"/>
  <c r="F614" i="26"/>
  <c r="T613" i="26"/>
  <c r="P613" i="26"/>
  <c r="R613" i="26" s="1"/>
  <c r="S613" i="26" s="1"/>
  <c r="O613" i="26"/>
  <c r="Q613" i="26" s="1"/>
  <c r="N613" i="26"/>
  <c r="M613" i="26"/>
  <c r="L613" i="26"/>
  <c r="K613" i="26"/>
  <c r="I613" i="26"/>
  <c r="J613" i="26" s="1"/>
  <c r="H613" i="26"/>
  <c r="G613" i="26"/>
  <c r="F613" i="26"/>
  <c r="T612" i="26"/>
  <c r="O612" i="26"/>
  <c r="Q612" i="26" s="1"/>
  <c r="N612" i="26"/>
  <c r="P612" i="26" s="1"/>
  <c r="M612" i="26"/>
  <c r="L612" i="26"/>
  <c r="K612" i="26"/>
  <c r="I612" i="26"/>
  <c r="J612" i="26" s="1"/>
  <c r="H612" i="26"/>
  <c r="G612" i="26"/>
  <c r="F612" i="26"/>
  <c r="T611" i="26"/>
  <c r="O611" i="26"/>
  <c r="Q611" i="26" s="1"/>
  <c r="N611" i="26"/>
  <c r="P611" i="26" s="1"/>
  <c r="M611" i="26"/>
  <c r="K611" i="26"/>
  <c r="L611" i="26" s="1"/>
  <c r="J611" i="26"/>
  <c r="I611" i="26"/>
  <c r="H611" i="26"/>
  <c r="G611" i="26"/>
  <c r="F611" i="26"/>
  <c r="T610" i="26"/>
  <c r="O610" i="26"/>
  <c r="Q610" i="26" s="1"/>
  <c r="N610" i="26"/>
  <c r="P610" i="26" s="1"/>
  <c r="R610" i="26" s="1"/>
  <c r="S610" i="26" s="1"/>
  <c r="M610" i="26"/>
  <c r="L610" i="26"/>
  <c r="K610" i="26"/>
  <c r="J610" i="26"/>
  <c r="I610" i="26"/>
  <c r="H610" i="26"/>
  <c r="G610" i="26"/>
  <c r="F610" i="26"/>
  <c r="T609" i="26"/>
  <c r="Q609" i="26"/>
  <c r="O609" i="26"/>
  <c r="N609" i="26"/>
  <c r="P609" i="26" s="1"/>
  <c r="R609" i="26" s="1"/>
  <c r="S609" i="26" s="1"/>
  <c r="M609" i="26"/>
  <c r="L609" i="26"/>
  <c r="K609" i="26"/>
  <c r="I609" i="26"/>
  <c r="J609" i="26" s="1"/>
  <c r="H609" i="26"/>
  <c r="G609" i="26"/>
  <c r="F609" i="26"/>
  <c r="T608" i="26"/>
  <c r="Q608" i="26"/>
  <c r="P608" i="26"/>
  <c r="R608" i="26" s="1"/>
  <c r="S608" i="26" s="1"/>
  <c r="O608" i="26"/>
  <c r="N608" i="26"/>
  <c r="M608" i="26"/>
  <c r="K608" i="26"/>
  <c r="L608" i="26" s="1"/>
  <c r="J608" i="26"/>
  <c r="I608" i="26"/>
  <c r="H608" i="26"/>
  <c r="G608" i="26"/>
  <c r="F608" i="26"/>
  <c r="T607" i="26"/>
  <c r="P607" i="26"/>
  <c r="O607" i="26"/>
  <c r="Q607" i="26" s="1"/>
  <c r="R607" i="26" s="1"/>
  <c r="S607" i="26" s="1"/>
  <c r="N607" i="26"/>
  <c r="M607" i="26"/>
  <c r="K607" i="26"/>
  <c r="L607" i="26" s="1"/>
  <c r="J607" i="26"/>
  <c r="I607" i="26"/>
  <c r="H607" i="26"/>
  <c r="G607" i="26"/>
  <c r="F607" i="26"/>
  <c r="T606" i="26"/>
  <c r="Q606" i="26"/>
  <c r="O606" i="26"/>
  <c r="N606" i="26"/>
  <c r="P606" i="26" s="1"/>
  <c r="R606" i="26" s="1"/>
  <c r="S606" i="26" s="1"/>
  <c r="M606" i="26"/>
  <c r="K606" i="26"/>
  <c r="L606" i="26" s="1"/>
  <c r="I606" i="26"/>
  <c r="J606" i="26" s="1"/>
  <c r="H606" i="26"/>
  <c r="G606" i="26"/>
  <c r="F606" i="26"/>
  <c r="T605" i="26"/>
  <c r="P605" i="26"/>
  <c r="R605" i="26" s="1"/>
  <c r="S605" i="26" s="1"/>
  <c r="O605" i="26"/>
  <c r="Q605" i="26" s="1"/>
  <c r="N605" i="26"/>
  <c r="M605" i="26"/>
  <c r="L605" i="26"/>
  <c r="K605" i="26"/>
  <c r="I605" i="26"/>
  <c r="J605" i="26" s="1"/>
  <c r="H605" i="26"/>
  <c r="G605" i="26"/>
  <c r="F605" i="26"/>
  <c r="T604" i="26"/>
  <c r="O604" i="26"/>
  <c r="Q604" i="26" s="1"/>
  <c r="N604" i="26"/>
  <c r="P604" i="26" s="1"/>
  <c r="R604" i="26" s="1"/>
  <c r="S604" i="26" s="1"/>
  <c r="M604" i="26"/>
  <c r="L604" i="26"/>
  <c r="K604" i="26"/>
  <c r="I604" i="26"/>
  <c r="J604" i="26" s="1"/>
  <c r="H604" i="26"/>
  <c r="G604" i="26"/>
  <c r="F604" i="26"/>
  <c r="T603" i="26"/>
  <c r="O603" i="26"/>
  <c r="Q603" i="26" s="1"/>
  <c r="N603" i="26"/>
  <c r="P603" i="26" s="1"/>
  <c r="R603" i="26" s="1"/>
  <c r="S603" i="26" s="1"/>
  <c r="M603" i="26"/>
  <c r="K603" i="26"/>
  <c r="L603" i="26" s="1"/>
  <c r="J603" i="26"/>
  <c r="I603" i="26"/>
  <c r="H603" i="26"/>
  <c r="G603" i="26"/>
  <c r="F603" i="26"/>
  <c r="T602" i="26"/>
  <c r="R602" i="26"/>
  <c r="S602" i="26" s="1"/>
  <c r="O602" i="26"/>
  <c r="Q602" i="26" s="1"/>
  <c r="N602" i="26"/>
  <c r="P602" i="26" s="1"/>
  <c r="M602" i="26"/>
  <c r="L602" i="26"/>
  <c r="K602" i="26"/>
  <c r="J602" i="26"/>
  <c r="I602" i="26"/>
  <c r="H602" i="26"/>
  <c r="G602" i="26"/>
  <c r="F602" i="26"/>
  <c r="T601" i="26"/>
  <c r="Q601" i="26"/>
  <c r="O601" i="26"/>
  <c r="N601" i="26"/>
  <c r="P601" i="26" s="1"/>
  <c r="M601" i="26"/>
  <c r="L601" i="26"/>
  <c r="K601" i="26"/>
  <c r="I601" i="26"/>
  <c r="J601" i="26" s="1"/>
  <c r="H601" i="26"/>
  <c r="G601" i="26"/>
  <c r="F601" i="26"/>
  <c r="T600" i="26"/>
  <c r="S600" i="26"/>
  <c r="Q600" i="26"/>
  <c r="P600" i="26"/>
  <c r="R600" i="26" s="1"/>
  <c r="O600" i="26"/>
  <c r="N600" i="26"/>
  <c r="M600" i="26"/>
  <c r="K600" i="26"/>
  <c r="L600" i="26" s="1"/>
  <c r="J600" i="26"/>
  <c r="I600" i="26"/>
  <c r="H600" i="26"/>
  <c r="G600" i="26"/>
  <c r="F600" i="26"/>
  <c r="T599" i="26"/>
  <c r="R599" i="26"/>
  <c r="S599" i="26" s="1"/>
  <c r="P599" i="26"/>
  <c r="O599" i="26"/>
  <c r="Q599" i="26" s="1"/>
  <c r="N599" i="26"/>
  <c r="M599" i="26"/>
  <c r="K599" i="26"/>
  <c r="L599" i="26" s="1"/>
  <c r="J599" i="26"/>
  <c r="I599" i="26"/>
  <c r="H599" i="26"/>
  <c r="G599" i="26"/>
  <c r="F599" i="26"/>
  <c r="T598" i="26"/>
  <c r="Q598" i="26"/>
  <c r="O598" i="26"/>
  <c r="N598" i="26"/>
  <c r="P598" i="26" s="1"/>
  <c r="M598" i="26"/>
  <c r="K598" i="26"/>
  <c r="L598" i="26" s="1"/>
  <c r="I598" i="26"/>
  <c r="J598" i="26" s="1"/>
  <c r="H598" i="26"/>
  <c r="G598" i="26"/>
  <c r="F598" i="26"/>
  <c r="T597" i="26"/>
  <c r="P597" i="26"/>
  <c r="R597" i="26" s="1"/>
  <c r="S597" i="26" s="1"/>
  <c r="O597" i="26"/>
  <c r="Q597" i="26" s="1"/>
  <c r="N597" i="26"/>
  <c r="M597" i="26"/>
  <c r="L597" i="26"/>
  <c r="K597" i="26"/>
  <c r="I597" i="26"/>
  <c r="J597" i="26" s="1"/>
  <c r="H597" i="26"/>
  <c r="G597" i="26"/>
  <c r="F597" i="26"/>
  <c r="T596" i="26"/>
  <c r="O596" i="26"/>
  <c r="Q596" i="26" s="1"/>
  <c r="N596" i="26"/>
  <c r="P596" i="26" s="1"/>
  <c r="M596" i="26"/>
  <c r="L596" i="26"/>
  <c r="K596" i="26"/>
  <c r="I596" i="26"/>
  <c r="J596" i="26" s="1"/>
  <c r="H596" i="26"/>
  <c r="G596" i="26"/>
  <c r="F596" i="26"/>
  <c r="T595" i="26"/>
  <c r="O595" i="26"/>
  <c r="Q595" i="26" s="1"/>
  <c r="N595" i="26"/>
  <c r="P595" i="26" s="1"/>
  <c r="M595" i="26"/>
  <c r="K595" i="26"/>
  <c r="L595" i="26" s="1"/>
  <c r="J595" i="26"/>
  <c r="I595" i="26"/>
  <c r="H595" i="26"/>
  <c r="G595" i="26"/>
  <c r="F595" i="26"/>
  <c r="T594" i="26"/>
  <c r="R594" i="26"/>
  <c r="S594" i="26" s="1"/>
  <c r="Q594" i="26"/>
  <c r="O594" i="26"/>
  <c r="N594" i="26"/>
  <c r="P594" i="26" s="1"/>
  <c r="M594" i="26"/>
  <c r="L594" i="26"/>
  <c r="K594" i="26"/>
  <c r="J594" i="26"/>
  <c r="I594" i="26"/>
  <c r="H594" i="26"/>
  <c r="G594" i="26"/>
  <c r="F594" i="26"/>
  <c r="T593" i="26"/>
  <c r="Q593" i="26"/>
  <c r="R593" i="26" s="1"/>
  <c r="S593" i="26" s="1"/>
  <c r="P593" i="26"/>
  <c r="O593" i="26"/>
  <c r="N593" i="26"/>
  <c r="M593" i="26"/>
  <c r="L593" i="26"/>
  <c r="K593" i="26"/>
  <c r="I593" i="26"/>
  <c r="J593" i="26" s="1"/>
  <c r="H593" i="26"/>
  <c r="G593" i="26"/>
  <c r="F593" i="26"/>
  <c r="T592" i="26"/>
  <c r="Q592" i="26"/>
  <c r="P592" i="26"/>
  <c r="R592" i="26" s="1"/>
  <c r="S592" i="26" s="1"/>
  <c r="O592" i="26"/>
  <c r="N592" i="26"/>
  <c r="M592" i="26"/>
  <c r="K592" i="26"/>
  <c r="L592" i="26" s="1"/>
  <c r="J592" i="26"/>
  <c r="I592" i="26"/>
  <c r="H592" i="26"/>
  <c r="G592" i="26"/>
  <c r="F592" i="26"/>
  <c r="T591" i="26"/>
  <c r="R591" i="26"/>
  <c r="S591" i="26" s="1"/>
  <c r="P591" i="26"/>
  <c r="O591" i="26"/>
  <c r="Q591" i="26" s="1"/>
  <c r="N591" i="26"/>
  <c r="M591" i="26"/>
  <c r="K591" i="26"/>
  <c r="L591" i="26" s="1"/>
  <c r="J591" i="26"/>
  <c r="I591" i="26"/>
  <c r="H591" i="26"/>
  <c r="G591" i="26"/>
  <c r="F591" i="26"/>
  <c r="T590" i="26"/>
  <c r="Q590" i="26"/>
  <c r="O590" i="26"/>
  <c r="N590" i="26"/>
  <c r="P590" i="26" s="1"/>
  <c r="M590" i="26"/>
  <c r="K590" i="26"/>
  <c r="L590" i="26" s="1"/>
  <c r="I590" i="26"/>
  <c r="J590" i="26" s="1"/>
  <c r="H590" i="26"/>
  <c r="G590" i="26"/>
  <c r="F590" i="26"/>
  <c r="T589" i="26"/>
  <c r="P589" i="26"/>
  <c r="O589" i="26"/>
  <c r="Q589" i="26" s="1"/>
  <c r="N589" i="26"/>
  <c r="M589" i="26"/>
  <c r="L589" i="26"/>
  <c r="K589" i="26"/>
  <c r="I589" i="26"/>
  <c r="J589" i="26" s="1"/>
  <c r="H589" i="26"/>
  <c r="G589" i="26"/>
  <c r="F589" i="26"/>
  <c r="T588" i="26"/>
  <c r="O588" i="26"/>
  <c r="Q588" i="26" s="1"/>
  <c r="N588" i="26"/>
  <c r="P588" i="26" s="1"/>
  <c r="R588" i="26" s="1"/>
  <c r="S588" i="26" s="1"/>
  <c r="M588" i="26"/>
  <c r="L588" i="26"/>
  <c r="K588" i="26"/>
  <c r="I588" i="26"/>
  <c r="J588" i="26" s="1"/>
  <c r="H588" i="26"/>
  <c r="G588" i="26"/>
  <c r="F588" i="26"/>
  <c r="T587" i="26"/>
  <c r="O587" i="26"/>
  <c r="Q587" i="26" s="1"/>
  <c r="N587" i="26"/>
  <c r="P587" i="26" s="1"/>
  <c r="M587" i="26"/>
  <c r="K587" i="26"/>
  <c r="L587" i="26" s="1"/>
  <c r="J587" i="26"/>
  <c r="I587" i="26"/>
  <c r="H587" i="26"/>
  <c r="G587" i="26"/>
  <c r="F587" i="26"/>
  <c r="T586" i="26"/>
  <c r="R586" i="26"/>
  <c r="S586" i="26" s="1"/>
  <c r="Q586" i="26"/>
  <c r="O586" i="26"/>
  <c r="N586" i="26"/>
  <c r="P586" i="26" s="1"/>
  <c r="M586" i="26"/>
  <c r="L586" i="26"/>
  <c r="K586" i="26"/>
  <c r="J586" i="26"/>
  <c r="I586" i="26"/>
  <c r="H586" i="26"/>
  <c r="G586" i="26"/>
  <c r="F586" i="26"/>
  <c r="T585" i="26"/>
  <c r="Q585" i="26"/>
  <c r="R585" i="26" s="1"/>
  <c r="S585" i="26" s="1"/>
  <c r="P585" i="26"/>
  <c r="O585" i="26"/>
  <c r="N585" i="26"/>
  <c r="M585" i="26"/>
  <c r="L585" i="26"/>
  <c r="K585" i="26"/>
  <c r="I585" i="26"/>
  <c r="J585" i="26" s="1"/>
  <c r="H585" i="26"/>
  <c r="G585" i="26"/>
  <c r="F585" i="26"/>
  <c r="T584" i="26"/>
  <c r="S584" i="26"/>
  <c r="Q584" i="26"/>
  <c r="P584" i="26"/>
  <c r="R584" i="26" s="1"/>
  <c r="O584" i="26"/>
  <c r="N584" i="26"/>
  <c r="M584" i="26"/>
  <c r="K584" i="26"/>
  <c r="L584" i="26" s="1"/>
  <c r="J584" i="26"/>
  <c r="I584" i="26"/>
  <c r="H584" i="26"/>
  <c r="G584" i="26"/>
  <c r="F584" i="26"/>
  <c r="T583" i="26"/>
  <c r="R583" i="26"/>
  <c r="S583" i="26" s="1"/>
  <c r="P583" i="26"/>
  <c r="O583" i="26"/>
  <c r="Q583" i="26" s="1"/>
  <c r="N583" i="26"/>
  <c r="M583" i="26"/>
  <c r="K583" i="26"/>
  <c r="L583" i="26" s="1"/>
  <c r="J583" i="26"/>
  <c r="I583" i="26"/>
  <c r="H583" i="26"/>
  <c r="G583" i="26"/>
  <c r="F583" i="26"/>
  <c r="T582" i="26"/>
  <c r="Q582" i="26"/>
  <c r="O582" i="26"/>
  <c r="N582" i="26"/>
  <c r="P582" i="26" s="1"/>
  <c r="R582" i="26" s="1"/>
  <c r="S582" i="26" s="1"/>
  <c r="M582" i="26"/>
  <c r="K582" i="26"/>
  <c r="L582" i="26" s="1"/>
  <c r="I582" i="26"/>
  <c r="J582" i="26" s="1"/>
  <c r="H582" i="26"/>
  <c r="G582" i="26"/>
  <c r="F582" i="26"/>
  <c r="T581" i="26"/>
  <c r="P581" i="26"/>
  <c r="R581" i="26" s="1"/>
  <c r="S581" i="26" s="1"/>
  <c r="O581" i="26"/>
  <c r="Q581" i="26" s="1"/>
  <c r="N581" i="26"/>
  <c r="M581" i="26"/>
  <c r="L581" i="26"/>
  <c r="K581" i="26"/>
  <c r="J581" i="26"/>
  <c r="I581" i="26"/>
  <c r="H581" i="26"/>
  <c r="G581" i="26"/>
  <c r="F581" i="26"/>
  <c r="T580" i="26"/>
  <c r="O580" i="26"/>
  <c r="Q580" i="26" s="1"/>
  <c r="N580" i="26"/>
  <c r="P580" i="26" s="1"/>
  <c r="R580" i="26" s="1"/>
  <c r="S580" i="26" s="1"/>
  <c r="M580" i="26"/>
  <c r="L580" i="26"/>
  <c r="K580" i="26"/>
  <c r="I580" i="26"/>
  <c r="J580" i="26" s="1"/>
  <c r="H580" i="26"/>
  <c r="G580" i="26"/>
  <c r="F580" i="26"/>
  <c r="T579" i="26"/>
  <c r="O579" i="26"/>
  <c r="Q579" i="26" s="1"/>
  <c r="N579" i="26"/>
  <c r="P579" i="26" s="1"/>
  <c r="R579" i="26" s="1"/>
  <c r="S579" i="26" s="1"/>
  <c r="M579" i="26"/>
  <c r="K579" i="26"/>
  <c r="L579" i="26" s="1"/>
  <c r="J579" i="26"/>
  <c r="I579" i="26"/>
  <c r="H579" i="26"/>
  <c r="G579" i="26"/>
  <c r="F579" i="26"/>
  <c r="T578" i="26"/>
  <c r="Q578" i="26"/>
  <c r="O578" i="26"/>
  <c r="N578" i="26"/>
  <c r="P578" i="26" s="1"/>
  <c r="R578" i="26" s="1"/>
  <c r="S578" i="26" s="1"/>
  <c r="M578" i="26"/>
  <c r="L578" i="26"/>
  <c r="K578" i="26"/>
  <c r="J578" i="26"/>
  <c r="I578" i="26"/>
  <c r="H578" i="26"/>
  <c r="G578" i="26"/>
  <c r="F578" i="26"/>
  <c r="T577" i="26"/>
  <c r="Q577" i="26"/>
  <c r="R577" i="26" s="1"/>
  <c r="S577" i="26" s="1"/>
  <c r="P577" i="26"/>
  <c r="O577" i="26"/>
  <c r="N577" i="26"/>
  <c r="M577" i="26"/>
  <c r="L577" i="26"/>
  <c r="K577" i="26"/>
  <c r="I577" i="26"/>
  <c r="J577" i="26" s="1"/>
  <c r="H577" i="26"/>
  <c r="G577" i="26"/>
  <c r="F577" i="26"/>
  <c r="T576" i="26"/>
  <c r="S576" i="26"/>
  <c r="Q576" i="26"/>
  <c r="P576" i="26"/>
  <c r="R576" i="26" s="1"/>
  <c r="O576" i="26"/>
  <c r="N576" i="26"/>
  <c r="M576" i="26"/>
  <c r="K576" i="26"/>
  <c r="L576" i="26" s="1"/>
  <c r="J576" i="26"/>
  <c r="I576" i="26"/>
  <c r="H576" i="26"/>
  <c r="G576" i="26"/>
  <c r="F576" i="26"/>
  <c r="T575" i="26"/>
  <c r="R575" i="26"/>
  <c r="S575" i="26" s="1"/>
  <c r="P575" i="26"/>
  <c r="O575" i="26"/>
  <c r="Q575" i="26" s="1"/>
  <c r="N575" i="26"/>
  <c r="M575" i="26"/>
  <c r="L575" i="26"/>
  <c r="K575" i="26"/>
  <c r="J575" i="26"/>
  <c r="I575" i="26"/>
  <c r="H575" i="26"/>
  <c r="G575" i="26"/>
  <c r="F575" i="26"/>
  <c r="T574" i="26"/>
  <c r="Q574" i="26"/>
  <c r="O574" i="26"/>
  <c r="N574" i="26"/>
  <c r="P574" i="26" s="1"/>
  <c r="R574" i="26" s="1"/>
  <c r="S574" i="26" s="1"/>
  <c r="M574" i="26"/>
  <c r="K574" i="26"/>
  <c r="L574" i="26" s="1"/>
  <c r="I574" i="26"/>
  <c r="J574" i="26" s="1"/>
  <c r="H574" i="26"/>
  <c r="G574" i="26"/>
  <c r="F574" i="26"/>
  <c r="T573" i="26"/>
  <c r="P573" i="26"/>
  <c r="R573" i="26" s="1"/>
  <c r="S573" i="26" s="1"/>
  <c r="O573" i="26"/>
  <c r="Q573" i="26" s="1"/>
  <c r="N573" i="26"/>
  <c r="M573" i="26"/>
  <c r="L573" i="26"/>
  <c r="K573" i="26"/>
  <c r="J573" i="26"/>
  <c r="I573" i="26"/>
  <c r="H573" i="26"/>
  <c r="G573" i="26"/>
  <c r="F573" i="26"/>
  <c r="T572" i="26"/>
  <c r="O572" i="26"/>
  <c r="Q572" i="26" s="1"/>
  <c r="N572" i="26"/>
  <c r="P572" i="26" s="1"/>
  <c r="M572" i="26"/>
  <c r="L572" i="26"/>
  <c r="K572" i="26"/>
  <c r="I572" i="26"/>
  <c r="J572" i="26" s="1"/>
  <c r="H572" i="26"/>
  <c r="G572" i="26"/>
  <c r="F572" i="26"/>
  <c r="T571" i="26"/>
  <c r="O571" i="26"/>
  <c r="Q571" i="26" s="1"/>
  <c r="N571" i="26"/>
  <c r="P571" i="26" s="1"/>
  <c r="M571" i="26"/>
  <c r="K571" i="26"/>
  <c r="L571" i="26" s="1"/>
  <c r="J571" i="26"/>
  <c r="I571" i="26"/>
  <c r="H571" i="26"/>
  <c r="G571" i="26"/>
  <c r="F571" i="26"/>
  <c r="T570" i="26"/>
  <c r="Q570" i="26"/>
  <c r="O570" i="26"/>
  <c r="N570" i="26"/>
  <c r="P570" i="26" s="1"/>
  <c r="R570" i="26" s="1"/>
  <c r="S570" i="26" s="1"/>
  <c r="M570" i="26"/>
  <c r="L570" i="26"/>
  <c r="K570" i="26"/>
  <c r="J570" i="26"/>
  <c r="I570" i="26"/>
  <c r="H570" i="26"/>
  <c r="G570" i="26"/>
  <c r="F570" i="26"/>
  <c r="T569" i="26"/>
  <c r="Q569" i="26"/>
  <c r="R569" i="26" s="1"/>
  <c r="S569" i="26" s="1"/>
  <c r="P569" i="26"/>
  <c r="O569" i="26"/>
  <c r="N569" i="26"/>
  <c r="M569" i="26"/>
  <c r="L569" i="26"/>
  <c r="K569" i="26"/>
  <c r="I569" i="26"/>
  <c r="J569" i="26" s="1"/>
  <c r="H569" i="26"/>
  <c r="G569" i="26"/>
  <c r="F569" i="26"/>
  <c r="T568" i="26"/>
  <c r="Q568" i="26"/>
  <c r="P568" i="26"/>
  <c r="R568" i="26" s="1"/>
  <c r="S568" i="26" s="1"/>
  <c r="O568" i="26"/>
  <c r="N568" i="26"/>
  <c r="M568" i="26"/>
  <c r="K568" i="26"/>
  <c r="L568" i="26" s="1"/>
  <c r="J568" i="26"/>
  <c r="I568" i="26"/>
  <c r="H568" i="26"/>
  <c r="G568" i="26"/>
  <c r="F568" i="26"/>
  <c r="T567" i="26"/>
  <c r="R567" i="26"/>
  <c r="S567" i="26" s="1"/>
  <c r="P567" i="26"/>
  <c r="O567" i="26"/>
  <c r="Q567" i="26" s="1"/>
  <c r="N567" i="26"/>
  <c r="M567" i="26"/>
  <c r="L567" i="26"/>
  <c r="K567" i="26"/>
  <c r="J567" i="26"/>
  <c r="I567" i="26"/>
  <c r="H567" i="26"/>
  <c r="G567" i="26"/>
  <c r="F567" i="26"/>
  <c r="T566" i="26"/>
  <c r="Q566" i="26"/>
  <c r="O566" i="26"/>
  <c r="N566" i="26"/>
  <c r="P566" i="26" s="1"/>
  <c r="M566" i="26"/>
  <c r="K566" i="26"/>
  <c r="L566" i="26" s="1"/>
  <c r="I566" i="26"/>
  <c r="J566" i="26" s="1"/>
  <c r="H566" i="26"/>
  <c r="G566" i="26"/>
  <c r="F566" i="26"/>
  <c r="T565" i="26"/>
  <c r="P565" i="26"/>
  <c r="O565" i="26"/>
  <c r="Q565" i="26" s="1"/>
  <c r="N565" i="26"/>
  <c r="M565" i="26"/>
  <c r="L565" i="26"/>
  <c r="K565" i="26"/>
  <c r="J565" i="26"/>
  <c r="I565" i="26"/>
  <c r="H565" i="26"/>
  <c r="G565" i="26"/>
  <c r="F565" i="26"/>
  <c r="T564" i="26"/>
  <c r="O564" i="26"/>
  <c r="Q564" i="26" s="1"/>
  <c r="N564" i="26"/>
  <c r="P564" i="26" s="1"/>
  <c r="M564" i="26"/>
  <c r="L564" i="26"/>
  <c r="K564" i="26"/>
  <c r="I564" i="26"/>
  <c r="J564" i="26" s="1"/>
  <c r="H564" i="26"/>
  <c r="G564" i="26"/>
  <c r="F564" i="26"/>
  <c r="T563" i="26"/>
  <c r="O563" i="26"/>
  <c r="Q563" i="26" s="1"/>
  <c r="N563" i="26"/>
  <c r="P563" i="26" s="1"/>
  <c r="M563" i="26"/>
  <c r="K563" i="26"/>
  <c r="L563" i="26" s="1"/>
  <c r="J563" i="26"/>
  <c r="I563" i="26"/>
  <c r="H563" i="26"/>
  <c r="G563" i="26"/>
  <c r="F563" i="26"/>
  <c r="T562" i="26"/>
  <c r="R562" i="26"/>
  <c r="S562" i="26" s="1"/>
  <c r="Q562" i="26"/>
  <c r="O562" i="26"/>
  <c r="N562" i="26"/>
  <c r="P562" i="26" s="1"/>
  <c r="M562" i="26"/>
  <c r="L562" i="26"/>
  <c r="K562" i="26"/>
  <c r="J562" i="26"/>
  <c r="I562" i="26"/>
  <c r="H562" i="26"/>
  <c r="G562" i="26"/>
  <c r="F562" i="26"/>
  <c r="T561" i="26"/>
  <c r="Q561" i="26"/>
  <c r="R561" i="26" s="1"/>
  <c r="S561" i="26" s="1"/>
  <c r="P561" i="26"/>
  <c r="O561" i="26"/>
  <c r="N561" i="26"/>
  <c r="M561" i="26"/>
  <c r="L561" i="26"/>
  <c r="K561" i="26"/>
  <c r="I561" i="26"/>
  <c r="J561" i="26" s="1"/>
  <c r="H561" i="26"/>
  <c r="G561" i="26"/>
  <c r="F561" i="26"/>
  <c r="T560" i="26"/>
  <c r="S560" i="26"/>
  <c r="Q560" i="26"/>
  <c r="P560" i="26"/>
  <c r="R560" i="26" s="1"/>
  <c r="O560" i="26"/>
  <c r="N560" i="26"/>
  <c r="M560" i="26"/>
  <c r="K560" i="26"/>
  <c r="L560" i="26" s="1"/>
  <c r="J560" i="26"/>
  <c r="I560" i="26"/>
  <c r="H560" i="26"/>
  <c r="G560" i="26"/>
  <c r="F560" i="26"/>
  <c r="T559" i="26"/>
  <c r="P559" i="26"/>
  <c r="O559" i="26"/>
  <c r="Q559" i="26" s="1"/>
  <c r="R559" i="26" s="1"/>
  <c r="S559" i="26" s="1"/>
  <c r="N559" i="26"/>
  <c r="M559" i="26"/>
  <c r="L559" i="26"/>
  <c r="K559" i="26"/>
  <c r="J559" i="26"/>
  <c r="I559" i="26"/>
  <c r="H559" i="26"/>
  <c r="G559" i="26"/>
  <c r="F559" i="26"/>
  <c r="T558" i="26"/>
  <c r="Q558" i="26"/>
  <c r="O558" i="26"/>
  <c r="N558" i="26"/>
  <c r="P558" i="26" s="1"/>
  <c r="R558" i="26" s="1"/>
  <c r="S558" i="26" s="1"/>
  <c r="M558" i="26"/>
  <c r="K558" i="26"/>
  <c r="L558" i="26" s="1"/>
  <c r="I558" i="26"/>
  <c r="J558" i="26" s="1"/>
  <c r="H558" i="26"/>
  <c r="G558" i="26"/>
  <c r="F558" i="26"/>
  <c r="T557" i="26"/>
  <c r="P557" i="26"/>
  <c r="R557" i="26" s="1"/>
  <c r="S557" i="26" s="1"/>
  <c r="O557" i="26"/>
  <c r="Q557" i="26" s="1"/>
  <c r="N557" i="26"/>
  <c r="M557" i="26"/>
  <c r="L557" i="26"/>
  <c r="K557" i="26"/>
  <c r="J557" i="26"/>
  <c r="I557" i="26"/>
  <c r="H557" i="26"/>
  <c r="G557" i="26"/>
  <c r="F557" i="26"/>
  <c r="T556" i="26"/>
  <c r="O556" i="26"/>
  <c r="Q556" i="26" s="1"/>
  <c r="N556" i="26"/>
  <c r="P556" i="26" s="1"/>
  <c r="M556" i="26"/>
  <c r="L556" i="26"/>
  <c r="K556" i="26"/>
  <c r="I556" i="26"/>
  <c r="J556" i="26" s="1"/>
  <c r="H556" i="26"/>
  <c r="G556" i="26"/>
  <c r="F556" i="26"/>
  <c r="T555" i="26"/>
  <c r="O555" i="26"/>
  <c r="Q555" i="26" s="1"/>
  <c r="N555" i="26"/>
  <c r="P555" i="26" s="1"/>
  <c r="R555" i="26" s="1"/>
  <c r="S555" i="26" s="1"/>
  <c r="M555" i="26"/>
  <c r="K555" i="26"/>
  <c r="L555" i="26" s="1"/>
  <c r="J555" i="26"/>
  <c r="I555" i="26"/>
  <c r="H555" i="26"/>
  <c r="G555" i="26"/>
  <c r="F555" i="26"/>
  <c r="T554" i="26"/>
  <c r="R554" i="26"/>
  <c r="S554" i="26" s="1"/>
  <c r="Q554" i="26"/>
  <c r="O554" i="26"/>
  <c r="N554" i="26"/>
  <c r="P554" i="26" s="1"/>
  <c r="M554" i="26"/>
  <c r="L554" i="26"/>
  <c r="K554" i="26"/>
  <c r="J554" i="26"/>
  <c r="I554" i="26"/>
  <c r="H554" i="26"/>
  <c r="G554" i="26"/>
  <c r="F554" i="26"/>
  <c r="T553" i="26"/>
  <c r="Q553" i="26"/>
  <c r="R553" i="26" s="1"/>
  <c r="S553" i="26" s="1"/>
  <c r="P553" i="26"/>
  <c r="O553" i="26"/>
  <c r="N553" i="26"/>
  <c r="M553" i="26"/>
  <c r="L553" i="26"/>
  <c r="K553" i="26"/>
  <c r="I553" i="26"/>
  <c r="J553" i="26" s="1"/>
  <c r="H553" i="26"/>
  <c r="G553" i="26"/>
  <c r="F553" i="26"/>
  <c r="T552" i="26"/>
  <c r="Q552" i="26"/>
  <c r="P552" i="26"/>
  <c r="R552" i="26" s="1"/>
  <c r="S552" i="26" s="1"/>
  <c r="O552" i="26"/>
  <c r="N552" i="26"/>
  <c r="M552" i="26"/>
  <c r="K552" i="26"/>
  <c r="L552" i="26" s="1"/>
  <c r="J552" i="26"/>
  <c r="I552" i="26"/>
  <c r="H552" i="26"/>
  <c r="G552" i="26"/>
  <c r="F552" i="26"/>
  <c r="T551" i="26"/>
  <c r="P551" i="26"/>
  <c r="O551" i="26"/>
  <c r="Q551" i="26" s="1"/>
  <c r="R551" i="26" s="1"/>
  <c r="S551" i="26" s="1"/>
  <c r="N551" i="26"/>
  <c r="M551" i="26"/>
  <c r="L551" i="26"/>
  <c r="K551" i="26"/>
  <c r="J551" i="26"/>
  <c r="I551" i="26"/>
  <c r="H551" i="26"/>
  <c r="G551" i="26"/>
  <c r="F551" i="26"/>
  <c r="T550" i="26"/>
  <c r="Q550" i="26"/>
  <c r="O550" i="26"/>
  <c r="N550" i="26"/>
  <c r="P550" i="26" s="1"/>
  <c r="R550" i="26" s="1"/>
  <c r="S550" i="26" s="1"/>
  <c r="M550" i="26"/>
  <c r="K550" i="26"/>
  <c r="L550" i="26" s="1"/>
  <c r="I550" i="26"/>
  <c r="J550" i="26" s="1"/>
  <c r="H550" i="26"/>
  <c r="G550" i="26"/>
  <c r="F550" i="26"/>
  <c r="T549" i="26"/>
  <c r="P549" i="26"/>
  <c r="R549" i="26" s="1"/>
  <c r="S549" i="26" s="1"/>
  <c r="O549" i="26"/>
  <c r="Q549" i="26" s="1"/>
  <c r="N549" i="26"/>
  <c r="M549" i="26"/>
  <c r="L549" i="26"/>
  <c r="K549" i="26"/>
  <c r="J549" i="26"/>
  <c r="I549" i="26"/>
  <c r="H549" i="26"/>
  <c r="G549" i="26"/>
  <c r="F549" i="26"/>
  <c r="T548" i="26"/>
  <c r="O548" i="26"/>
  <c r="Q548" i="26" s="1"/>
  <c r="N548" i="26"/>
  <c r="P548" i="26" s="1"/>
  <c r="R548" i="26" s="1"/>
  <c r="S548" i="26" s="1"/>
  <c r="M548" i="26"/>
  <c r="L548" i="26"/>
  <c r="K548" i="26"/>
  <c r="I548" i="26"/>
  <c r="J548" i="26" s="1"/>
  <c r="H548" i="26"/>
  <c r="G548" i="26"/>
  <c r="F548" i="26"/>
  <c r="T547" i="26"/>
  <c r="O547" i="26"/>
  <c r="Q547" i="26" s="1"/>
  <c r="N547" i="26"/>
  <c r="P547" i="26" s="1"/>
  <c r="R547" i="26" s="1"/>
  <c r="S547" i="26" s="1"/>
  <c r="M547" i="26"/>
  <c r="K547" i="26"/>
  <c r="L547" i="26" s="1"/>
  <c r="J547" i="26"/>
  <c r="I547" i="26"/>
  <c r="H547" i="26"/>
  <c r="G547" i="26"/>
  <c r="F547" i="26"/>
  <c r="T546" i="26"/>
  <c r="Q546" i="26"/>
  <c r="O546" i="26"/>
  <c r="N546" i="26"/>
  <c r="P546" i="26" s="1"/>
  <c r="R546" i="26" s="1"/>
  <c r="S546" i="26" s="1"/>
  <c r="M546" i="26"/>
  <c r="L546" i="26"/>
  <c r="K546" i="26"/>
  <c r="J546" i="26"/>
  <c r="I546" i="26"/>
  <c r="H546" i="26"/>
  <c r="G546" i="26"/>
  <c r="F546" i="26"/>
  <c r="T545" i="26"/>
  <c r="Q545" i="26"/>
  <c r="R545" i="26" s="1"/>
  <c r="S545" i="26" s="1"/>
  <c r="P545" i="26"/>
  <c r="O545" i="26"/>
  <c r="N545" i="26"/>
  <c r="M545" i="26"/>
  <c r="L545" i="26"/>
  <c r="K545" i="26"/>
  <c r="I545" i="26"/>
  <c r="J545" i="26" s="1"/>
  <c r="H545" i="26"/>
  <c r="G545" i="26"/>
  <c r="F545" i="26"/>
  <c r="T544" i="26"/>
  <c r="S544" i="26"/>
  <c r="Q544" i="26"/>
  <c r="P544" i="26"/>
  <c r="R544" i="26" s="1"/>
  <c r="O544" i="26"/>
  <c r="N544" i="26"/>
  <c r="M544" i="26"/>
  <c r="K544" i="26"/>
  <c r="L544" i="26" s="1"/>
  <c r="J544" i="26"/>
  <c r="I544" i="26"/>
  <c r="H544" i="26"/>
  <c r="G544" i="26"/>
  <c r="F544" i="26"/>
  <c r="T543" i="26"/>
  <c r="R543" i="26"/>
  <c r="S543" i="26" s="1"/>
  <c r="P543" i="26"/>
  <c r="O543" i="26"/>
  <c r="Q543" i="26" s="1"/>
  <c r="N543" i="26"/>
  <c r="M543" i="26"/>
  <c r="L543" i="26"/>
  <c r="K543" i="26"/>
  <c r="J543" i="26"/>
  <c r="I543" i="26"/>
  <c r="H543" i="26"/>
  <c r="G543" i="26"/>
  <c r="F543" i="26"/>
  <c r="T542" i="26"/>
  <c r="Q542" i="26"/>
  <c r="O542" i="26"/>
  <c r="N542" i="26"/>
  <c r="P542" i="26" s="1"/>
  <c r="R542" i="26" s="1"/>
  <c r="S542" i="26" s="1"/>
  <c r="M542" i="26"/>
  <c r="K542" i="26"/>
  <c r="L542" i="26" s="1"/>
  <c r="I542" i="26"/>
  <c r="J542" i="26" s="1"/>
  <c r="H542" i="26"/>
  <c r="G542" i="26"/>
  <c r="F542" i="26"/>
  <c r="T541" i="26"/>
  <c r="P541" i="26"/>
  <c r="R541" i="26" s="1"/>
  <c r="S541" i="26" s="1"/>
  <c r="O541" i="26"/>
  <c r="Q541" i="26" s="1"/>
  <c r="N541" i="26"/>
  <c r="M541" i="26"/>
  <c r="L541" i="26"/>
  <c r="K541" i="26"/>
  <c r="J541" i="26"/>
  <c r="I541" i="26"/>
  <c r="H541" i="26"/>
  <c r="G541" i="26"/>
  <c r="F541" i="26"/>
  <c r="T540" i="26"/>
  <c r="O540" i="26"/>
  <c r="Q540" i="26" s="1"/>
  <c r="N540" i="26"/>
  <c r="P540" i="26" s="1"/>
  <c r="M540" i="26"/>
  <c r="L540" i="26"/>
  <c r="K540" i="26"/>
  <c r="I540" i="26"/>
  <c r="J540" i="26" s="1"/>
  <c r="H540" i="26"/>
  <c r="G540" i="26"/>
  <c r="F540" i="26"/>
  <c r="T539" i="26"/>
  <c r="O539" i="26"/>
  <c r="Q539" i="26" s="1"/>
  <c r="N539" i="26"/>
  <c r="P539" i="26" s="1"/>
  <c r="M539" i="26"/>
  <c r="K539" i="26"/>
  <c r="L539" i="26" s="1"/>
  <c r="J539" i="26"/>
  <c r="I539" i="26"/>
  <c r="H539" i="26"/>
  <c r="G539" i="26"/>
  <c r="F539" i="26"/>
  <c r="T538" i="26"/>
  <c r="Q538" i="26"/>
  <c r="O538" i="26"/>
  <c r="N538" i="26"/>
  <c r="P538" i="26" s="1"/>
  <c r="R538" i="26" s="1"/>
  <c r="S538" i="26" s="1"/>
  <c r="M538" i="26"/>
  <c r="L538" i="26"/>
  <c r="K538" i="26"/>
  <c r="J538" i="26"/>
  <c r="I538" i="26"/>
  <c r="H538" i="26"/>
  <c r="G538" i="26"/>
  <c r="F538" i="26"/>
  <c r="T537" i="26"/>
  <c r="Q537" i="26"/>
  <c r="R537" i="26" s="1"/>
  <c r="S537" i="26" s="1"/>
  <c r="P537" i="26"/>
  <c r="O537" i="26"/>
  <c r="N537" i="26"/>
  <c r="M537" i="26"/>
  <c r="L537" i="26"/>
  <c r="K537" i="26"/>
  <c r="I537" i="26"/>
  <c r="J537" i="26" s="1"/>
  <c r="H537" i="26"/>
  <c r="G537" i="26"/>
  <c r="F537" i="26"/>
  <c r="T536" i="26"/>
  <c r="Q536" i="26"/>
  <c r="P536" i="26"/>
  <c r="R536" i="26" s="1"/>
  <c r="S536" i="26" s="1"/>
  <c r="O536" i="26"/>
  <c r="N536" i="26"/>
  <c r="M536" i="26"/>
  <c r="K536" i="26"/>
  <c r="L536" i="26" s="1"/>
  <c r="J536" i="26"/>
  <c r="I536" i="26"/>
  <c r="H536" i="26"/>
  <c r="G536" i="26"/>
  <c r="F536" i="26"/>
  <c r="T535" i="26"/>
  <c r="R535" i="26"/>
  <c r="S535" i="26" s="1"/>
  <c r="P535" i="26"/>
  <c r="O535" i="26"/>
  <c r="Q535" i="26" s="1"/>
  <c r="N535" i="26"/>
  <c r="M535" i="26"/>
  <c r="L535" i="26"/>
  <c r="K535" i="26"/>
  <c r="J535" i="26"/>
  <c r="I535" i="26"/>
  <c r="H535" i="26"/>
  <c r="G535" i="26"/>
  <c r="F535" i="26"/>
  <c r="T534" i="26"/>
  <c r="Q534" i="26"/>
  <c r="O534" i="26"/>
  <c r="N534" i="26"/>
  <c r="P534" i="26" s="1"/>
  <c r="M534" i="26"/>
  <c r="K534" i="26"/>
  <c r="L534" i="26" s="1"/>
  <c r="I534" i="26"/>
  <c r="J534" i="26" s="1"/>
  <c r="H534" i="26"/>
  <c r="G534" i="26"/>
  <c r="F534" i="26"/>
  <c r="T533" i="26"/>
  <c r="P533" i="26"/>
  <c r="O533" i="26"/>
  <c r="Q533" i="26" s="1"/>
  <c r="N533" i="26"/>
  <c r="M533" i="26"/>
  <c r="L533" i="26"/>
  <c r="K533" i="26"/>
  <c r="J533" i="26"/>
  <c r="I533" i="26"/>
  <c r="H533" i="26"/>
  <c r="G533" i="26"/>
  <c r="F533" i="26"/>
  <c r="T532" i="26"/>
  <c r="O532" i="26"/>
  <c r="Q532" i="26" s="1"/>
  <c r="N532" i="26"/>
  <c r="P532" i="26" s="1"/>
  <c r="M532" i="26"/>
  <c r="L532" i="26"/>
  <c r="K532" i="26"/>
  <c r="I532" i="26"/>
  <c r="J532" i="26" s="1"/>
  <c r="H532" i="26"/>
  <c r="G532" i="26"/>
  <c r="F532" i="26"/>
  <c r="T531" i="26"/>
  <c r="O531" i="26"/>
  <c r="Q531" i="26" s="1"/>
  <c r="N531" i="26"/>
  <c r="P531" i="26" s="1"/>
  <c r="M531" i="26"/>
  <c r="K531" i="26"/>
  <c r="L531" i="26" s="1"/>
  <c r="J531" i="26"/>
  <c r="I531" i="26"/>
  <c r="H531" i="26"/>
  <c r="G531" i="26"/>
  <c r="F531" i="26"/>
  <c r="T530" i="26"/>
  <c r="R530" i="26"/>
  <c r="S530" i="26" s="1"/>
  <c r="Q530" i="26"/>
  <c r="O530" i="26"/>
  <c r="N530" i="26"/>
  <c r="P530" i="26" s="1"/>
  <c r="M530" i="26"/>
  <c r="L530" i="26"/>
  <c r="K530" i="26"/>
  <c r="J530" i="26"/>
  <c r="I530" i="26"/>
  <c r="H530" i="26"/>
  <c r="G530" i="26"/>
  <c r="F530" i="26"/>
  <c r="T529" i="26"/>
  <c r="Q529" i="26"/>
  <c r="R529" i="26" s="1"/>
  <c r="S529" i="26" s="1"/>
  <c r="P529" i="26"/>
  <c r="O529" i="26"/>
  <c r="N529" i="26"/>
  <c r="M529" i="26"/>
  <c r="L529" i="26"/>
  <c r="K529" i="26"/>
  <c r="I529" i="26"/>
  <c r="J529" i="26" s="1"/>
  <c r="H529" i="26"/>
  <c r="G529" i="26"/>
  <c r="F529" i="26"/>
  <c r="T528" i="26"/>
  <c r="S528" i="26"/>
  <c r="Q528" i="26"/>
  <c r="P528" i="26"/>
  <c r="R528" i="26" s="1"/>
  <c r="O528" i="26"/>
  <c r="N528" i="26"/>
  <c r="M528" i="26"/>
  <c r="K528" i="26"/>
  <c r="L528" i="26" s="1"/>
  <c r="J528" i="26"/>
  <c r="I528" i="26"/>
  <c r="H528" i="26"/>
  <c r="G528" i="26"/>
  <c r="F528" i="26"/>
  <c r="T527" i="26"/>
  <c r="P527" i="26"/>
  <c r="O527" i="26"/>
  <c r="Q527" i="26" s="1"/>
  <c r="R527" i="26" s="1"/>
  <c r="S527" i="26" s="1"/>
  <c r="N527" i="26"/>
  <c r="M527" i="26"/>
  <c r="L527" i="26"/>
  <c r="K527" i="26"/>
  <c r="J527" i="26"/>
  <c r="I527" i="26"/>
  <c r="H527" i="26"/>
  <c r="G527" i="26"/>
  <c r="F527" i="26"/>
  <c r="T526" i="26"/>
  <c r="Q526" i="26"/>
  <c r="O526" i="26"/>
  <c r="N526" i="26"/>
  <c r="P526" i="26" s="1"/>
  <c r="R526" i="26" s="1"/>
  <c r="S526" i="26" s="1"/>
  <c r="M526" i="26"/>
  <c r="K526" i="26"/>
  <c r="L526" i="26" s="1"/>
  <c r="I526" i="26"/>
  <c r="J526" i="26" s="1"/>
  <c r="H526" i="26"/>
  <c r="G526" i="26"/>
  <c r="F526" i="26"/>
  <c r="T525" i="26"/>
  <c r="P525" i="26"/>
  <c r="R525" i="26" s="1"/>
  <c r="S525" i="26" s="1"/>
  <c r="O525" i="26"/>
  <c r="Q525" i="26" s="1"/>
  <c r="N525" i="26"/>
  <c r="M525" i="26"/>
  <c r="L525" i="26"/>
  <c r="K525" i="26"/>
  <c r="J525" i="26"/>
  <c r="I525" i="26"/>
  <c r="H525" i="26"/>
  <c r="G525" i="26"/>
  <c r="F525" i="26"/>
  <c r="T524" i="26"/>
  <c r="O524" i="26"/>
  <c r="Q524" i="26" s="1"/>
  <c r="N524" i="26"/>
  <c r="P524" i="26" s="1"/>
  <c r="M524" i="26"/>
  <c r="L524" i="26"/>
  <c r="K524" i="26"/>
  <c r="I524" i="26"/>
  <c r="J524" i="26" s="1"/>
  <c r="H524" i="26"/>
  <c r="G524" i="26"/>
  <c r="F524" i="26"/>
  <c r="T523" i="26"/>
  <c r="O523" i="26"/>
  <c r="Q523" i="26" s="1"/>
  <c r="N523" i="26"/>
  <c r="P523" i="26" s="1"/>
  <c r="R523" i="26" s="1"/>
  <c r="S523" i="26" s="1"/>
  <c r="M523" i="26"/>
  <c r="K523" i="26"/>
  <c r="L523" i="26" s="1"/>
  <c r="J523" i="26"/>
  <c r="I523" i="26"/>
  <c r="H523" i="26"/>
  <c r="G523" i="26"/>
  <c r="F523" i="26"/>
  <c r="T522" i="26"/>
  <c r="R522" i="26"/>
  <c r="S522" i="26" s="1"/>
  <c r="Q522" i="26"/>
  <c r="O522" i="26"/>
  <c r="N522" i="26"/>
  <c r="P522" i="26" s="1"/>
  <c r="M522" i="26"/>
  <c r="L522" i="26"/>
  <c r="K522" i="26"/>
  <c r="J522" i="26"/>
  <c r="I522" i="26"/>
  <c r="H522" i="26"/>
  <c r="G522" i="26"/>
  <c r="F522" i="26"/>
  <c r="T521" i="26"/>
  <c r="Q521" i="26"/>
  <c r="R521" i="26" s="1"/>
  <c r="S521" i="26" s="1"/>
  <c r="P521" i="26"/>
  <c r="O521" i="26"/>
  <c r="N521" i="26"/>
  <c r="M521" i="26"/>
  <c r="L521" i="26"/>
  <c r="K521" i="26"/>
  <c r="I521" i="26"/>
  <c r="J521" i="26" s="1"/>
  <c r="H521" i="26"/>
  <c r="G521" i="26"/>
  <c r="F521" i="26"/>
  <c r="T520" i="26"/>
  <c r="Q520" i="26"/>
  <c r="P520" i="26"/>
  <c r="R520" i="26" s="1"/>
  <c r="S520" i="26" s="1"/>
  <c r="O520" i="26"/>
  <c r="N520" i="26"/>
  <c r="M520" i="26"/>
  <c r="K520" i="26"/>
  <c r="L520" i="26" s="1"/>
  <c r="J520" i="26"/>
  <c r="I520" i="26"/>
  <c r="H520" i="26"/>
  <c r="G520" i="26"/>
  <c r="F520" i="26"/>
  <c r="T519" i="26"/>
  <c r="P519" i="26"/>
  <c r="O519" i="26"/>
  <c r="Q519" i="26" s="1"/>
  <c r="R519" i="26" s="1"/>
  <c r="S519" i="26" s="1"/>
  <c r="N519" i="26"/>
  <c r="M519" i="26"/>
  <c r="L519" i="26"/>
  <c r="K519" i="26"/>
  <c r="J519" i="26"/>
  <c r="I519" i="26"/>
  <c r="H519" i="26"/>
  <c r="G519" i="26"/>
  <c r="F519" i="26"/>
  <c r="T518" i="26"/>
  <c r="Q518" i="26"/>
  <c r="O518" i="26"/>
  <c r="N518" i="26"/>
  <c r="P518" i="26" s="1"/>
  <c r="R518" i="26" s="1"/>
  <c r="S518" i="26" s="1"/>
  <c r="M518" i="26"/>
  <c r="K518" i="26"/>
  <c r="L518" i="26" s="1"/>
  <c r="I518" i="26"/>
  <c r="J518" i="26" s="1"/>
  <c r="H518" i="26"/>
  <c r="G518" i="26"/>
  <c r="F518" i="26"/>
  <c r="T517" i="26"/>
  <c r="P517" i="26"/>
  <c r="R517" i="26" s="1"/>
  <c r="S517" i="26" s="1"/>
  <c r="O517" i="26"/>
  <c r="Q517" i="26" s="1"/>
  <c r="N517" i="26"/>
  <c r="M517" i="26"/>
  <c r="L517" i="26"/>
  <c r="K517" i="26"/>
  <c r="J517" i="26"/>
  <c r="I517" i="26"/>
  <c r="H517" i="26"/>
  <c r="G517" i="26"/>
  <c r="F517" i="26"/>
  <c r="T516" i="26"/>
  <c r="O516" i="26"/>
  <c r="Q516" i="26" s="1"/>
  <c r="N516" i="26"/>
  <c r="P516" i="26" s="1"/>
  <c r="R516" i="26" s="1"/>
  <c r="S516" i="26" s="1"/>
  <c r="M516" i="26"/>
  <c r="L516" i="26"/>
  <c r="K516" i="26"/>
  <c r="I516" i="26"/>
  <c r="J516" i="26" s="1"/>
  <c r="H516" i="26"/>
  <c r="G516" i="26"/>
  <c r="F516" i="26"/>
  <c r="T515" i="26"/>
  <c r="O515" i="26"/>
  <c r="Q515" i="26" s="1"/>
  <c r="N515" i="26"/>
  <c r="P515" i="26" s="1"/>
  <c r="R515" i="26" s="1"/>
  <c r="S515" i="26" s="1"/>
  <c r="M515" i="26"/>
  <c r="K515" i="26"/>
  <c r="L515" i="26" s="1"/>
  <c r="J515" i="26"/>
  <c r="I515" i="26"/>
  <c r="H515" i="26"/>
  <c r="G515" i="26"/>
  <c r="F515" i="26"/>
  <c r="T514" i="26"/>
  <c r="Q514" i="26"/>
  <c r="O514" i="26"/>
  <c r="N514" i="26"/>
  <c r="P514" i="26" s="1"/>
  <c r="R514" i="26" s="1"/>
  <c r="S514" i="26" s="1"/>
  <c r="M514" i="26"/>
  <c r="L514" i="26"/>
  <c r="K514" i="26"/>
  <c r="J514" i="26"/>
  <c r="I514" i="26"/>
  <c r="H514" i="26"/>
  <c r="G514" i="26"/>
  <c r="F514" i="26"/>
  <c r="T513" i="26"/>
  <c r="Q513" i="26"/>
  <c r="R513" i="26" s="1"/>
  <c r="S513" i="26" s="1"/>
  <c r="P513" i="26"/>
  <c r="O513" i="26"/>
  <c r="N513" i="26"/>
  <c r="M513" i="26"/>
  <c r="L513" i="26"/>
  <c r="K513" i="26"/>
  <c r="I513" i="26"/>
  <c r="J513" i="26" s="1"/>
  <c r="H513" i="26"/>
  <c r="G513" i="26"/>
  <c r="F513" i="26"/>
  <c r="T512" i="26"/>
  <c r="S512" i="26"/>
  <c r="Q512" i="26"/>
  <c r="P512" i="26"/>
  <c r="R512" i="26" s="1"/>
  <c r="O512" i="26"/>
  <c r="N512" i="26"/>
  <c r="M512" i="26"/>
  <c r="K512" i="26"/>
  <c r="L512" i="26" s="1"/>
  <c r="J512" i="26"/>
  <c r="I512" i="26"/>
  <c r="H512" i="26"/>
  <c r="G512" i="26"/>
  <c r="F512" i="26"/>
  <c r="T511" i="26"/>
  <c r="P511" i="26"/>
  <c r="O511" i="26"/>
  <c r="Q511" i="26" s="1"/>
  <c r="R511" i="26" s="1"/>
  <c r="S511" i="26" s="1"/>
  <c r="N511" i="26"/>
  <c r="M511" i="26"/>
  <c r="L511" i="26"/>
  <c r="K511" i="26"/>
  <c r="J511" i="26"/>
  <c r="I511" i="26"/>
  <c r="H511" i="26"/>
  <c r="G511" i="26"/>
  <c r="F511" i="26"/>
  <c r="T510" i="26"/>
  <c r="Q510" i="26"/>
  <c r="O510" i="26"/>
  <c r="N510" i="26"/>
  <c r="P510" i="26" s="1"/>
  <c r="R510" i="26" s="1"/>
  <c r="S510" i="26" s="1"/>
  <c r="M510" i="26"/>
  <c r="K510" i="26"/>
  <c r="L510" i="26" s="1"/>
  <c r="I510" i="26"/>
  <c r="J510" i="26" s="1"/>
  <c r="H510" i="26"/>
  <c r="G510" i="26"/>
  <c r="F510" i="26"/>
  <c r="T509" i="26"/>
  <c r="P509" i="26"/>
  <c r="R509" i="26" s="1"/>
  <c r="S509" i="26" s="1"/>
  <c r="O509" i="26"/>
  <c r="Q509" i="26" s="1"/>
  <c r="N509" i="26"/>
  <c r="M509" i="26"/>
  <c r="L509" i="26"/>
  <c r="K509" i="26"/>
  <c r="J509" i="26"/>
  <c r="I509" i="26"/>
  <c r="H509" i="26"/>
  <c r="G509" i="26"/>
  <c r="F509" i="26"/>
  <c r="T508" i="26"/>
  <c r="O508" i="26"/>
  <c r="Q508" i="26" s="1"/>
  <c r="N508" i="26"/>
  <c r="P508" i="26" s="1"/>
  <c r="M508" i="26"/>
  <c r="L508" i="26"/>
  <c r="K508" i="26"/>
  <c r="I508" i="26"/>
  <c r="J508" i="26" s="1"/>
  <c r="H508" i="26"/>
  <c r="G508" i="26"/>
  <c r="F508" i="26"/>
  <c r="T507" i="26"/>
  <c r="O507" i="26"/>
  <c r="Q507" i="26" s="1"/>
  <c r="N507" i="26"/>
  <c r="P507" i="26" s="1"/>
  <c r="M507" i="26"/>
  <c r="K507" i="26"/>
  <c r="L507" i="26" s="1"/>
  <c r="J507" i="26"/>
  <c r="I507" i="26"/>
  <c r="H507" i="26"/>
  <c r="G507" i="26"/>
  <c r="F507" i="26"/>
  <c r="T506" i="26"/>
  <c r="Q506" i="26"/>
  <c r="O506" i="26"/>
  <c r="N506" i="26"/>
  <c r="P506" i="26" s="1"/>
  <c r="R506" i="26" s="1"/>
  <c r="S506" i="26" s="1"/>
  <c r="M506" i="26"/>
  <c r="L506" i="26"/>
  <c r="K506" i="26"/>
  <c r="J506" i="26"/>
  <c r="I506" i="26"/>
  <c r="H506" i="26"/>
  <c r="G506" i="26"/>
  <c r="F506" i="26"/>
  <c r="T505" i="26"/>
  <c r="Q505" i="26"/>
  <c r="R505" i="26" s="1"/>
  <c r="S505" i="26" s="1"/>
  <c r="P505" i="26"/>
  <c r="O505" i="26"/>
  <c r="N505" i="26"/>
  <c r="M505" i="26"/>
  <c r="L505" i="26"/>
  <c r="K505" i="26"/>
  <c r="I505" i="26"/>
  <c r="J505" i="26" s="1"/>
  <c r="H505" i="26"/>
  <c r="G505" i="26"/>
  <c r="F505" i="26"/>
  <c r="T504" i="26"/>
  <c r="Q504" i="26"/>
  <c r="P504" i="26"/>
  <c r="R504" i="26" s="1"/>
  <c r="S504" i="26" s="1"/>
  <c r="O504" i="26"/>
  <c r="N504" i="26"/>
  <c r="M504" i="26"/>
  <c r="K504" i="26"/>
  <c r="L504" i="26" s="1"/>
  <c r="J504" i="26"/>
  <c r="I504" i="26"/>
  <c r="H504" i="26"/>
  <c r="G504" i="26"/>
  <c r="F504" i="26"/>
  <c r="T503" i="26"/>
  <c r="R503" i="26"/>
  <c r="S503" i="26" s="1"/>
  <c r="P503" i="26"/>
  <c r="O503" i="26"/>
  <c r="Q503" i="26" s="1"/>
  <c r="N503" i="26"/>
  <c r="M503" i="26"/>
  <c r="L503" i="26"/>
  <c r="K503" i="26"/>
  <c r="J503" i="26"/>
  <c r="I503" i="26"/>
  <c r="H503" i="26"/>
  <c r="G503" i="26"/>
  <c r="F503" i="26"/>
  <c r="T502" i="26"/>
  <c r="Q502" i="26"/>
  <c r="O502" i="26"/>
  <c r="N502" i="26"/>
  <c r="P502" i="26" s="1"/>
  <c r="M502" i="26"/>
  <c r="K502" i="26"/>
  <c r="L502" i="26" s="1"/>
  <c r="I502" i="26"/>
  <c r="J502" i="26" s="1"/>
  <c r="H502" i="26"/>
  <c r="G502" i="26"/>
  <c r="F502" i="26"/>
  <c r="T501" i="26"/>
  <c r="P501" i="26"/>
  <c r="O501" i="26"/>
  <c r="Q501" i="26" s="1"/>
  <c r="N501" i="26"/>
  <c r="M501" i="26"/>
  <c r="L501" i="26"/>
  <c r="K501" i="26"/>
  <c r="J501" i="26"/>
  <c r="I501" i="26"/>
  <c r="H501" i="26"/>
  <c r="G501" i="26"/>
  <c r="F501" i="26"/>
  <c r="T500" i="26"/>
  <c r="O500" i="26"/>
  <c r="Q500" i="26" s="1"/>
  <c r="N500" i="26"/>
  <c r="P500" i="26" s="1"/>
  <c r="M500" i="26"/>
  <c r="L500" i="26"/>
  <c r="K500" i="26"/>
  <c r="I500" i="26"/>
  <c r="J500" i="26" s="1"/>
  <c r="H500" i="26"/>
  <c r="G500" i="26"/>
  <c r="F500" i="26"/>
  <c r="T499" i="26"/>
  <c r="O499" i="26"/>
  <c r="Q499" i="26" s="1"/>
  <c r="N499" i="26"/>
  <c r="P499" i="26" s="1"/>
  <c r="M499" i="26"/>
  <c r="K499" i="26"/>
  <c r="L499" i="26" s="1"/>
  <c r="J499" i="26"/>
  <c r="I499" i="26"/>
  <c r="H499" i="26"/>
  <c r="G499" i="26"/>
  <c r="F499" i="26"/>
  <c r="T498" i="26"/>
  <c r="R498" i="26"/>
  <c r="S498" i="26" s="1"/>
  <c r="Q498" i="26"/>
  <c r="O498" i="26"/>
  <c r="N498" i="26"/>
  <c r="P498" i="26" s="1"/>
  <c r="M498" i="26"/>
  <c r="L498" i="26"/>
  <c r="K498" i="26"/>
  <c r="J498" i="26"/>
  <c r="I498" i="26"/>
  <c r="H498" i="26"/>
  <c r="G498" i="26"/>
  <c r="F498" i="26"/>
  <c r="T497" i="26"/>
  <c r="S497" i="26"/>
  <c r="Q497" i="26"/>
  <c r="R497" i="26" s="1"/>
  <c r="P497" i="26"/>
  <c r="O497" i="26"/>
  <c r="N497" i="26"/>
  <c r="M497" i="26"/>
  <c r="L497" i="26"/>
  <c r="K497" i="26"/>
  <c r="I497" i="26"/>
  <c r="J497" i="26" s="1"/>
  <c r="H497" i="26"/>
  <c r="G497" i="26"/>
  <c r="F497" i="26"/>
  <c r="T496" i="26"/>
  <c r="Q496" i="26"/>
  <c r="P496" i="26"/>
  <c r="R496" i="26" s="1"/>
  <c r="S496" i="26" s="1"/>
  <c r="O496" i="26"/>
  <c r="N496" i="26"/>
  <c r="M496" i="26"/>
  <c r="K496" i="26"/>
  <c r="L496" i="26" s="1"/>
  <c r="J496" i="26"/>
  <c r="I496" i="26"/>
  <c r="H496" i="26"/>
  <c r="G496" i="26"/>
  <c r="F496" i="26"/>
  <c r="T495" i="26"/>
  <c r="R495" i="26"/>
  <c r="S495" i="26" s="1"/>
  <c r="Q495" i="26"/>
  <c r="P495" i="26"/>
  <c r="O495" i="26"/>
  <c r="N495" i="26"/>
  <c r="M495" i="26"/>
  <c r="L495" i="26"/>
  <c r="K495" i="26"/>
  <c r="J495" i="26"/>
  <c r="I495" i="26"/>
  <c r="H495" i="26"/>
  <c r="G495" i="26"/>
  <c r="F495" i="26"/>
  <c r="T494" i="26"/>
  <c r="Q494" i="26"/>
  <c r="O494" i="26"/>
  <c r="N494" i="26"/>
  <c r="P494" i="26" s="1"/>
  <c r="R494" i="26" s="1"/>
  <c r="S494" i="26" s="1"/>
  <c r="M494" i="26"/>
  <c r="K494" i="26"/>
  <c r="L494" i="26" s="1"/>
  <c r="I494" i="26"/>
  <c r="J494" i="26" s="1"/>
  <c r="H494" i="26"/>
  <c r="G494" i="26"/>
  <c r="F494" i="26"/>
  <c r="T493" i="26"/>
  <c r="P493" i="26"/>
  <c r="R493" i="26" s="1"/>
  <c r="S493" i="26" s="1"/>
  <c r="O493" i="26"/>
  <c r="Q493" i="26" s="1"/>
  <c r="N493" i="26"/>
  <c r="M493" i="26"/>
  <c r="L493" i="26"/>
  <c r="K493" i="26"/>
  <c r="J493" i="26"/>
  <c r="I493" i="26"/>
  <c r="H493" i="26"/>
  <c r="G493" i="26"/>
  <c r="F493" i="26"/>
  <c r="T492" i="26"/>
  <c r="O492" i="26"/>
  <c r="Q492" i="26" s="1"/>
  <c r="N492" i="26"/>
  <c r="P492" i="26" s="1"/>
  <c r="M492" i="26"/>
  <c r="L492" i="26"/>
  <c r="K492" i="26"/>
  <c r="I492" i="26"/>
  <c r="J492" i="26" s="1"/>
  <c r="H492" i="26"/>
  <c r="G492" i="26"/>
  <c r="F492" i="26"/>
  <c r="T491" i="26"/>
  <c r="O491" i="26"/>
  <c r="Q491" i="26" s="1"/>
  <c r="N491" i="26"/>
  <c r="P491" i="26" s="1"/>
  <c r="M491" i="26"/>
  <c r="K491" i="26"/>
  <c r="L491" i="26" s="1"/>
  <c r="J491" i="26"/>
  <c r="I491" i="26"/>
  <c r="H491" i="26"/>
  <c r="G491" i="26"/>
  <c r="F491" i="26"/>
  <c r="T490" i="26"/>
  <c r="Q490" i="26"/>
  <c r="O490" i="26"/>
  <c r="N490" i="26"/>
  <c r="P490" i="26" s="1"/>
  <c r="R490" i="26" s="1"/>
  <c r="S490" i="26" s="1"/>
  <c r="M490" i="26"/>
  <c r="L490" i="26"/>
  <c r="K490" i="26"/>
  <c r="J490" i="26"/>
  <c r="I490" i="26"/>
  <c r="H490" i="26"/>
  <c r="G490" i="26"/>
  <c r="F490" i="26"/>
  <c r="T489" i="26"/>
  <c r="Q489" i="26"/>
  <c r="R489" i="26" s="1"/>
  <c r="S489" i="26" s="1"/>
  <c r="P489" i="26"/>
  <c r="O489" i="26"/>
  <c r="N489" i="26"/>
  <c r="M489" i="26"/>
  <c r="L489" i="26"/>
  <c r="K489" i="26"/>
  <c r="I489" i="26"/>
  <c r="J489" i="26" s="1"/>
  <c r="H489" i="26"/>
  <c r="G489" i="26"/>
  <c r="F489" i="26"/>
  <c r="T488" i="26"/>
  <c r="R488" i="26"/>
  <c r="S488" i="26" s="1"/>
  <c r="Q488" i="26"/>
  <c r="P488" i="26"/>
  <c r="O488" i="26"/>
  <c r="N488" i="26"/>
  <c r="M488" i="26"/>
  <c r="K488" i="26"/>
  <c r="L488" i="26" s="1"/>
  <c r="I488" i="26"/>
  <c r="J488" i="26" s="1"/>
  <c r="H488" i="26"/>
  <c r="G488" i="26"/>
  <c r="F488" i="26"/>
  <c r="T487" i="26"/>
  <c r="P487" i="26"/>
  <c r="R487" i="26" s="1"/>
  <c r="S487" i="26" s="1"/>
  <c r="O487" i="26"/>
  <c r="Q487" i="26" s="1"/>
  <c r="N487" i="26"/>
  <c r="M487" i="26"/>
  <c r="L487" i="26"/>
  <c r="K487" i="26"/>
  <c r="I487" i="26"/>
  <c r="J487" i="26" s="1"/>
  <c r="H487" i="26"/>
  <c r="G487" i="26"/>
  <c r="F487" i="26"/>
  <c r="T486" i="26"/>
  <c r="Q486" i="26"/>
  <c r="O486" i="26"/>
  <c r="N486" i="26"/>
  <c r="P486" i="26" s="1"/>
  <c r="R486" i="26" s="1"/>
  <c r="S486" i="26" s="1"/>
  <c r="M486" i="26"/>
  <c r="K486" i="26"/>
  <c r="L486" i="26" s="1"/>
  <c r="I486" i="26"/>
  <c r="J486" i="26" s="1"/>
  <c r="H486" i="26"/>
  <c r="G486" i="26"/>
  <c r="F486" i="26"/>
  <c r="T485" i="26"/>
  <c r="O485" i="26"/>
  <c r="Q485" i="26" s="1"/>
  <c r="N485" i="26"/>
  <c r="P485" i="26" s="1"/>
  <c r="R485" i="26" s="1"/>
  <c r="S485" i="26" s="1"/>
  <c r="M485" i="26"/>
  <c r="L485" i="26"/>
  <c r="K485" i="26"/>
  <c r="J485" i="26"/>
  <c r="I485" i="26"/>
  <c r="H485" i="26"/>
  <c r="G485" i="26"/>
  <c r="F485" i="26"/>
  <c r="T484" i="26"/>
  <c r="O484" i="26"/>
  <c r="Q484" i="26" s="1"/>
  <c r="N484" i="26"/>
  <c r="P484" i="26" s="1"/>
  <c r="R484" i="26" s="1"/>
  <c r="S484" i="26" s="1"/>
  <c r="M484" i="26"/>
  <c r="L484" i="26"/>
  <c r="K484" i="26"/>
  <c r="I484" i="26"/>
  <c r="J484" i="26" s="1"/>
  <c r="H484" i="26"/>
  <c r="G484" i="26"/>
  <c r="F484" i="26"/>
  <c r="T483" i="26"/>
  <c r="O483" i="26"/>
  <c r="Q483" i="26" s="1"/>
  <c r="N483" i="26"/>
  <c r="P483" i="26" s="1"/>
  <c r="R483" i="26" s="1"/>
  <c r="S483" i="26" s="1"/>
  <c r="M483" i="26"/>
  <c r="L483" i="26"/>
  <c r="K483" i="26"/>
  <c r="J483" i="26"/>
  <c r="I483" i="26"/>
  <c r="H483" i="26"/>
  <c r="G483" i="26"/>
  <c r="F483" i="26"/>
  <c r="T482" i="26"/>
  <c r="Q482" i="26"/>
  <c r="R482" i="26" s="1"/>
  <c r="S482" i="26" s="1"/>
  <c r="O482" i="26"/>
  <c r="N482" i="26"/>
  <c r="P482" i="26" s="1"/>
  <c r="M482" i="26"/>
  <c r="K482" i="26"/>
  <c r="L482" i="26" s="1"/>
  <c r="J482" i="26"/>
  <c r="I482" i="26"/>
  <c r="H482" i="26"/>
  <c r="G482" i="26"/>
  <c r="F482" i="26"/>
  <c r="T481" i="26"/>
  <c r="Q481" i="26"/>
  <c r="O481" i="26"/>
  <c r="N481" i="26"/>
  <c r="P481" i="26" s="1"/>
  <c r="R481" i="26" s="1"/>
  <c r="S481" i="26" s="1"/>
  <c r="M481" i="26"/>
  <c r="L481" i="26"/>
  <c r="K481" i="26"/>
  <c r="J481" i="26"/>
  <c r="I481" i="26"/>
  <c r="H481" i="26"/>
  <c r="G481" i="26"/>
  <c r="F481" i="26"/>
  <c r="T480" i="26"/>
  <c r="Q480" i="26"/>
  <c r="P480" i="26"/>
  <c r="R480" i="26" s="1"/>
  <c r="S480" i="26" s="1"/>
  <c r="O480" i="26"/>
  <c r="N480" i="26"/>
  <c r="M480" i="26"/>
  <c r="K480" i="26"/>
  <c r="L480" i="26" s="1"/>
  <c r="J480" i="26"/>
  <c r="I480" i="26"/>
  <c r="H480" i="26"/>
  <c r="G480" i="26"/>
  <c r="F480" i="26"/>
  <c r="T479" i="26"/>
  <c r="O479" i="26"/>
  <c r="Q479" i="26" s="1"/>
  <c r="N479" i="26"/>
  <c r="P479" i="26" s="1"/>
  <c r="R479" i="26" s="1"/>
  <c r="S479" i="26" s="1"/>
  <c r="M479" i="26"/>
  <c r="L479" i="26"/>
  <c r="K479" i="26"/>
  <c r="J479" i="26"/>
  <c r="I479" i="26"/>
  <c r="H479" i="26"/>
  <c r="G479" i="26"/>
  <c r="F479" i="26"/>
  <c r="T478" i="26"/>
  <c r="Q478" i="26"/>
  <c r="O478" i="26"/>
  <c r="N478" i="26"/>
  <c r="P478" i="26" s="1"/>
  <c r="R478" i="26" s="1"/>
  <c r="S478" i="26" s="1"/>
  <c r="M478" i="26"/>
  <c r="K478" i="26"/>
  <c r="L478" i="26" s="1"/>
  <c r="I478" i="26"/>
  <c r="J478" i="26" s="1"/>
  <c r="H478" i="26"/>
  <c r="G478" i="26"/>
  <c r="F478" i="26"/>
  <c r="T477" i="26"/>
  <c r="O477" i="26"/>
  <c r="Q477" i="26" s="1"/>
  <c r="N477" i="26"/>
  <c r="P477" i="26" s="1"/>
  <c r="R477" i="26" s="1"/>
  <c r="S477" i="26" s="1"/>
  <c r="M477" i="26"/>
  <c r="L477" i="26"/>
  <c r="K477" i="26"/>
  <c r="J477" i="26"/>
  <c r="I477" i="26"/>
  <c r="H477" i="26"/>
  <c r="G477" i="26"/>
  <c r="F477" i="26"/>
  <c r="T476" i="26"/>
  <c r="S476" i="26"/>
  <c r="Q476" i="26"/>
  <c r="O476" i="26"/>
  <c r="N476" i="26"/>
  <c r="P476" i="26" s="1"/>
  <c r="R476" i="26" s="1"/>
  <c r="M476" i="26"/>
  <c r="L476" i="26"/>
  <c r="K476" i="26"/>
  <c r="I476" i="26"/>
  <c r="J476" i="26" s="1"/>
  <c r="H476" i="26"/>
  <c r="G476" i="26"/>
  <c r="F476" i="26"/>
  <c r="T475" i="26"/>
  <c r="O475" i="26"/>
  <c r="Q475" i="26" s="1"/>
  <c r="N475" i="26"/>
  <c r="P475" i="26" s="1"/>
  <c r="R475" i="26" s="1"/>
  <c r="S475" i="26" s="1"/>
  <c r="M475" i="26"/>
  <c r="K475" i="26"/>
  <c r="L475" i="26" s="1"/>
  <c r="J475" i="26"/>
  <c r="I475" i="26"/>
  <c r="H475" i="26"/>
  <c r="G475" i="26"/>
  <c r="F475" i="26"/>
  <c r="T474" i="26"/>
  <c r="O474" i="26"/>
  <c r="Q474" i="26" s="1"/>
  <c r="N474" i="26"/>
  <c r="P474" i="26" s="1"/>
  <c r="R474" i="26" s="1"/>
  <c r="S474" i="26" s="1"/>
  <c r="M474" i="26"/>
  <c r="L474" i="26"/>
  <c r="K474" i="26"/>
  <c r="I474" i="26"/>
  <c r="J474" i="26" s="1"/>
  <c r="H474" i="26"/>
  <c r="G474" i="26"/>
  <c r="F474" i="26"/>
  <c r="T473" i="26"/>
  <c r="Q473" i="26"/>
  <c r="O473" i="26"/>
  <c r="N473" i="26"/>
  <c r="P473" i="26" s="1"/>
  <c r="R473" i="26" s="1"/>
  <c r="S473" i="26" s="1"/>
  <c r="M473" i="26"/>
  <c r="K473" i="26"/>
  <c r="L473" i="26" s="1"/>
  <c r="J473" i="26"/>
  <c r="I473" i="26"/>
  <c r="H473" i="26"/>
  <c r="G473" i="26"/>
  <c r="F473" i="26"/>
  <c r="T472" i="26"/>
  <c r="P472" i="26"/>
  <c r="O472" i="26"/>
  <c r="Q472" i="26" s="1"/>
  <c r="R472" i="26" s="1"/>
  <c r="S472" i="26" s="1"/>
  <c r="N472" i="26"/>
  <c r="M472" i="26"/>
  <c r="K472" i="26"/>
  <c r="L472" i="26" s="1"/>
  <c r="I472" i="26"/>
  <c r="J472" i="26" s="1"/>
  <c r="H472" i="26"/>
  <c r="G472" i="26"/>
  <c r="F472" i="26"/>
  <c r="T471" i="26"/>
  <c r="O471" i="26"/>
  <c r="Q471" i="26" s="1"/>
  <c r="N471" i="26"/>
  <c r="P471" i="26" s="1"/>
  <c r="R471" i="26" s="1"/>
  <c r="S471" i="26" s="1"/>
  <c r="M471" i="26"/>
  <c r="L471" i="26"/>
  <c r="K471" i="26"/>
  <c r="J471" i="26"/>
  <c r="I471" i="26"/>
  <c r="H471" i="26"/>
  <c r="G471" i="26"/>
  <c r="F471" i="26"/>
  <c r="T470" i="26"/>
  <c r="Q470" i="26"/>
  <c r="O470" i="26"/>
  <c r="N470" i="26"/>
  <c r="P470" i="26" s="1"/>
  <c r="R470" i="26" s="1"/>
  <c r="S470" i="26" s="1"/>
  <c r="M470" i="26"/>
  <c r="K470" i="26"/>
  <c r="L470" i="26" s="1"/>
  <c r="I470" i="26"/>
  <c r="J470" i="26" s="1"/>
  <c r="H470" i="26"/>
  <c r="G470" i="26"/>
  <c r="F470" i="26"/>
  <c r="T469" i="26"/>
  <c r="P469" i="26"/>
  <c r="R469" i="26" s="1"/>
  <c r="S469" i="26" s="1"/>
  <c r="O469" i="26"/>
  <c r="Q469" i="26" s="1"/>
  <c r="N469" i="26"/>
  <c r="M469" i="26"/>
  <c r="L469" i="26"/>
  <c r="K469" i="26"/>
  <c r="J469" i="26"/>
  <c r="I469" i="26"/>
  <c r="H469" i="26"/>
  <c r="G469" i="26"/>
  <c r="F469" i="26"/>
  <c r="T468" i="26"/>
  <c r="O468" i="26"/>
  <c r="Q468" i="26" s="1"/>
  <c r="N468" i="26"/>
  <c r="P468" i="26" s="1"/>
  <c r="R468" i="26" s="1"/>
  <c r="S468" i="26" s="1"/>
  <c r="M468" i="26"/>
  <c r="L468" i="26"/>
  <c r="K468" i="26"/>
  <c r="I468" i="26"/>
  <c r="J468" i="26" s="1"/>
  <c r="H468" i="26"/>
  <c r="G468" i="26"/>
  <c r="F468" i="26"/>
  <c r="T467" i="26"/>
  <c r="O467" i="26"/>
  <c r="Q467" i="26" s="1"/>
  <c r="N467" i="26"/>
  <c r="P467" i="26" s="1"/>
  <c r="R467" i="26" s="1"/>
  <c r="S467" i="26" s="1"/>
  <c r="M467" i="26"/>
  <c r="K467" i="26"/>
  <c r="L467" i="26" s="1"/>
  <c r="J467" i="26"/>
  <c r="I467" i="26"/>
  <c r="H467" i="26"/>
  <c r="G467" i="26"/>
  <c r="F467" i="26"/>
  <c r="T466" i="26"/>
  <c r="Q466" i="26"/>
  <c r="O466" i="26"/>
  <c r="N466" i="26"/>
  <c r="P466" i="26" s="1"/>
  <c r="R466" i="26" s="1"/>
  <c r="S466" i="26" s="1"/>
  <c r="M466" i="26"/>
  <c r="L466" i="26"/>
  <c r="K466" i="26"/>
  <c r="J466" i="26"/>
  <c r="I466" i="26"/>
  <c r="H466" i="26"/>
  <c r="G466" i="26"/>
  <c r="F466" i="26"/>
  <c r="T465" i="26"/>
  <c r="Q465" i="26"/>
  <c r="O465" i="26"/>
  <c r="N465" i="26"/>
  <c r="P465" i="26" s="1"/>
  <c r="R465" i="26" s="1"/>
  <c r="S465" i="26" s="1"/>
  <c r="M465" i="26"/>
  <c r="L465" i="26"/>
  <c r="K465" i="26"/>
  <c r="I465" i="26"/>
  <c r="J465" i="26" s="1"/>
  <c r="H465" i="26"/>
  <c r="G465" i="26"/>
  <c r="F465" i="26"/>
  <c r="T464" i="26"/>
  <c r="P464" i="26"/>
  <c r="O464" i="26"/>
  <c r="Q464" i="26" s="1"/>
  <c r="N464" i="26"/>
  <c r="M464" i="26"/>
  <c r="K464" i="26"/>
  <c r="L464" i="26" s="1"/>
  <c r="J464" i="26"/>
  <c r="I464" i="26"/>
  <c r="H464" i="26"/>
  <c r="G464" i="26"/>
  <c r="F464" i="26"/>
  <c r="T463" i="26"/>
  <c r="O463" i="26"/>
  <c r="Q463" i="26" s="1"/>
  <c r="N463" i="26"/>
  <c r="P463" i="26" s="1"/>
  <c r="R463" i="26" s="1"/>
  <c r="S463" i="26" s="1"/>
  <c r="M463" i="26"/>
  <c r="L463" i="26"/>
  <c r="K463" i="26"/>
  <c r="J463" i="26"/>
  <c r="I463" i="26"/>
  <c r="H463" i="26"/>
  <c r="G463" i="26"/>
  <c r="F463" i="26"/>
  <c r="T462" i="26"/>
  <c r="Q462" i="26"/>
  <c r="O462" i="26"/>
  <c r="N462" i="26"/>
  <c r="P462" i="26" s="1"/>
  <c r="R462" i="26" s="1"/>
  <c r="S462" i="26" s="1"/>
  <c r="M462" i="26"/>
  <c r="K462" i="26"/>
  <c r="L462" i="26" s="1"/>
  <c r="I462" i="26"/>
  <c r="J462" i="26" s="1"/>
  <c r="H462" i="26"/>
  <c r="G462" i="26"/>
  <c r="F462" i="26"/>
  <c r="T461" i="26"/>
  <c r="P461" i="26"/>
  <c r="O461" i="26"/>
  <c r="Q461" i="26" s="1"/>
  <c r="N461" i="26"/>
  <c r="M461" i="26"/>
  <c r="L461" i="26"/>
  <c r="K461" i="26"/>
  <c r="J461" i="26"/>
  <c r="I461" i="26"/>
  <c r="H461" i="26"/>
  <c r="G461" i="26"/>
  <c r="F461" i="26"/>
  <c r="T460" i="26"/>
  <c r="O460" i="26"/>
  <c r="Q460" i="26" s="1"/>
  <c r="N460" i="26"/>
  <c r="P460" i="26" s="1"/>
  <c r="R460" i="26" s="1"/>
  <c r="S460" i="26" s="1"/>
  <c r="M460" i="26"/>
  <c r="L460" i="26"/>
  <c r="K460" i="26"/>
  <c r="I460" i="26"/>
  <c r="J460" i="26" s="1"/>
  <c r="H460" i="26"/>
  <c r="G460" i="26"/>
  <c r="F460" i="26"/>
  <c r="T459" i="26"/>
  <c r="O459" i="26"/>
  <c r="Q459" i="26" s="1"/>
  <c r="N459" i="26"/>
  <c r="P459" i="26" s="1"/>
  <c r="M459" i="26"/>
  <c r="K459" i="26"/>
  <c r="L459" i="26" s="1"/>
  <c r="J459" i="26"/>
  <c r="I459" i="26"/>
  <c r="H459" i="26"/>
  <c r="G459" i="26"/>
  <c r="F459" i="26"/>
  <c r="T458" i="26"/>
  <c r="Q458" i="26"/>
  <c r="O458" i="26"/>
  <c r="N458" i="26"/>
  <c r="P458" i="26" s="1"/>
  <c r="R458" i="26" s="1"/>
  <c r="S458" i="26" s="1"/>
  <c r="M458" i="26"/>
  <c r="L458" i="26"/>
  <c r="K458" i="26"/>
  <c r="J458" i="26"/>
  <c r="I458" i="26"/>
  <c r="H458" i="26"/>
  <c r="G458" i="26"/>
  <c r="F458" i="26"/>
  <c r="T457" i="26"/>
  <c r="Q457" i="26"/>
  <c r="O457" i="26"/>
  <c r="N457" i="26"/>
  <c r="P457" i="26" s="1"/>
  <c r="R457" i="26" s="1"/>
  <c r="S457" i="26" s="1"/>
  <c r="M457" i="26"/>
  <c r="L457" i="26"/>
  <c r="K457" i="26"/>
  <c r="I457" i="26"/>
  <c r="J457" i="26" s="1"/>
  <c r="H457" i="26"/>
  <c r="G457" i="26"/>
  <c r="F457" i="26"/>
  <c r="T456" i="26"/>
  <c r="P456" i="26"/>
  <c r="O456" i="26"/>
  <c r="Q456" i="26" s="1"/>
  <c r="N456" i="26"/>
  <c r="M456" i="26"/>
  <c r="K456" i="26"/>
  <c r="L456" i="26" s="1"/>
  <c r="J456" i="26"/>
  <c r="I456" i="26"/>
  <c r="H456" i="26"/>
  <c r="G456" i="26"/>
  <c r="F456" i="26"/>
  <c r="T455" i="26"/>
  <c r="O455" i="26"/>
  <c r="Q455" i="26" s="1"/>
  <c r="N455" i="26"/>
  <c r="P455" i="26" s="1"/>
  <c r="M455" i="26"/>
  <c r="L455" i="26"/>
  <c r="K455" i="26"/>
  <c r="J455" i="26"/>
  <c r="I455" i="26"/>
  <c r="H455" i="26"/>
  <c r="G455" i="26"/>
  <c r="F455" i="26"/>
  <c r="T454" i="26"/>
  <c r="Q454" i="26"/>
  <c r="O454" i="26"/>
  <c r="N454" i="26"/>
  <c r="P454" i="26" s="1"/>
  <c r="R454" i="26" s="1"/>
  <c r="S454" i="26" s="1"/>
  <c r="M454" i="26"/>
  <c r="K454" i="26"/>
  <c r="L454" i="26" s="1"/>
  <c r="I454" i="26"/>
  <c r="J454" i="26" s="1"/>
  <c r="H454" i="26"/>
  <c r="G454" i="26"/>
  <c r="F454" i="26"/>
  <c r="T453" i="26"/>
  <c r="P453" i="26"/>
  <c r="O453" i="26"/>
  <c r="Q453" i="26" s="1"/>
  <c r="N453" i="26"/>
  <c r="M453" i="26"/>
  <c r="L453" i="26"/>
  <c r="K453" i="26"/>
  <c r="J453" i="26"/>
  <c r="I453" i="26"/>
  <c r="H453" i="26"/>
  <c r="G453" i="26"/>
  <c r="F453" i="26"/>
  <c r="T452" i="26"/>
  <c r="O452" i="26"/>
  <c r="Q452" i="26" s="1"/>
  <c r="N452" i="26"/>
  <c r="P452" i="26" s="1"/>
  <c r="R452" i="26" s="1"/>
  <c r="S452" i="26" s="1"/>
  <c r="M452" i="26"/>
  <c r="L452" i="26"/>
  <c r="K452" i="26"/>
  <c r="I452" i="26"/>
  <c r="J452" i="26" s="1"/>
  <c r="H452" i="26"/>
  <c r="G452" i="26"/>
  <c r="F452" i="26"/>
  <c r="T451" i="26"/>
  <c r="O451" i="26"/>
  <c r="Q451" i="26" s="1"/>
  <c r="N451" i="26"/>
  <c r="P451" i="26" s="1"/>
  <c r="R451" i="26" s="1"/>
  <c r="S451" i="26" s="1"/>
  <c r="M451" i="26"/>
  <c r="K451" i="26"/>
  <c r="L451" i="26" s="1"/>
  <c r="J451" i="26"/>
  <c r="I451" i="26"/>
  <c r="H451" i="26"/>
  <c r="G451" i="26"/>
  <c r="F451" i="26"/>
  <c r="T450" i="26"/>
  <c r="Q450" i="26"/>
  <c r="O450" i="26"/>
  <c r="N450" i="26"/>
  <c r="P450" i="26" s="1"/>
  <c r="R450" i="26" s="1"/>
  <c r="S450" i="26" s="1"/>
  <c r="M450" i="26"/>
  <c r="L450" i="26"/>
  <c r="K450" i="26"/>
  <c r="J450" i="26"/>
  <c r="I450" i="26"/>
  <c r="H450" i="26"/>
  <c r="G450" i="26"/>
  <c r="F450" i="26"/>
  <c r="T449" i="26"/>
  <c r="Q449" i="26"/>
  <c r="O449" i="26"/>
  <c r="N449" i="26"/>
  <c r="P449" i="26" s="1"/>
  <c r="R449" i="26" s="1"/>
  <c r="S449" i="26" s="1"/>
  <c r="M449" i="26"/>
  <c r="L449" i="26"/>
  <c r="K449" i="26"/>
  <c r="I449" i="26"/>
  <c r="J449" i="26" s="1"/>
  <c r="H449" i="26"/>
  <c r="G449" i="26"/>
  <c r="F449" i="26"/>
  <c r="T448" i="26"/>
  <c r="P448" i="26"/>
  <c r="R448" i="26" s="1"/>
  <c r="S448" i="26" s="1"/>
  <c r="O448" i="26"/>
  <c r="Q448" i="26" s="1"/>
  <c r="N448" i="26"/>
  <c r="M448" i="26"/>
  <c r="K448" i="26"/>
  <c r="L448" i="26" s="1"/>
  <c r="J448" i="26"/>
  <c r="I448" i="26"/>
  <c r="H448" i="26"/>
  <c r="G448" i="26"/>
  <c r="F448" i="26"/>
  <c r="T447" i="26"/>
  <c r="O447" i="26"/>
  <c r="Q447" i="26" s="1"/>
  <c r="N447" i="26"/>
  <c r="P447" i="26" s="1"/>
  <c r="M447" i="26"/>
  <c r="L447" i="26"/>
  <c r="K447" i="26"/>
  <c r="J447" i="26"/>
  <c r="I447" i="26"/>
  <c r="H447" i="26"/>
  <c r="G447" i="26"/>
  <c r="F447" i="26"/>
  <c r="T446" i="26"/>
  <c r="Q446" i="26"/>
  <c r="O446" i="26"/>
  <c r="N446" i="26"/>
  <c r="P446" i="26" s="1"/>
  <c r="R446" i="26" s="1"/>
  <c r="S446" i="26" s="1"/>
  <c r="M446" i="26"/>
  <c r="K446" i="26"/>
  <c r="L446" i="26" s="1"/>
  <c r="I446" i="26"/>
  <c r="J446" i="26" s="1"/>
  <c r="H446" i="26"/>
  <c r="G446" i="26"/>
  <c r="F446" i="26"/>
  <c r="T445" i="26"/>
  <c r="P445" i="26"/>
  <c r="R445" i="26" s="1"/>
  <c r="S445" i="26" s="1"/>
  <c r="O445" i="26"/>
  <c r="Q445" i="26" s="1"/>
  <c r="N445" i="26"/>
  <c r="M445" i="26"/>
  <c r="L445" i="26"/>
  <c r="K445" i="26"/>
  <c r="J445" i="26"/>
  <c r="I445" i="26"/>
  <c r="H445" i="26"/>
  <c r="G445" i="26"/>
  <c r="F445" i="26"/>
  <c r="T444" i="26"/>
  <c r="O444" i="26"/>
  <c r="Q444" i="26" s="1"/>
  <c r="N444" i="26"/>
  <c r="P444" i="26" s="1"/>
  <c r="M444" i="26"/>
  <c r="L444" i="26"/>
  <c r="K444" i="26"/>
  <c r="I444" i="26"/>
  <c r="J444" i="26" s="1"/>
  <c r="H444" i="26"/>
  <c r="G444" i="26"/>
  <c r="F444" i="26"/>
  <c r="T443" i="26"/>
  <c r="O443" i="26"/>
  <c r="Q443" i="26" s="1"/>
  <c r="N443" i="26"/>
  <c r="P443" i="26" s="1"/>
  <c r="R443" i="26" s="1"/>
  <c r="S443" i="26" s="1"/>
  <c r="M443" i="26"/>
  <c r="K443" i="26"/>
  <c r="L443" i="26" s="1"/>
  <c r="J443" i="26"/>
  <c r="I443" i="26"/>
  <c r="H443" i="26"/>
  <c r="G443" i="26"/>
  <c r="F443" i="26"/>
  <c r="T442" i="26"/>
  <c r="Q442" i="26"/>
  <c r="O442" i="26"/>
  <c r="N442" i="26"/>
  <c r="P442" i="26" s="1"/>
  <c r="R442" i="26" s="1"/>
  <c r="S442" i="26" s="1"/>
  <c r="M442" i="26"/>
  <c r="L442" i="26"/>
  <c r="K442" i="26"/>
  <c r="J442" i="26"/>
  <c r="I442" i="26"/>
  <c r="H442" i="26"/>
  <c r="G442" i="26"/>
  <c r="F442" i="26"/>
  <c r="T441" i="26"/>
  <c r="Q441" i="26"/>
  <c r="O441" i="26"/>
  <c r="N441" i="26"/>
  <c r="P441" i="26" s="1"/>
  <c r="R441" i="26" s="1"/>
  <c r="S441" i="26" s="1"/>
  <c r="M441" i="26"/>
  <c r="L441" i="26"/>
  <c r="K441" i="26"/>
  <c r="I441" i="26"/>
  <c r="J441" i="26" s="1"/>
  <c r="H441" i="26"/>
  <c r="G441" i="26"/>
  <c r="F441" i="26"/>
  <c r="T440" i="26"/>
  <c r="P440" i="26"/>
  <c r="O440" i="26"/>
  <c r="Q440" i="26" s="1"/>
  <c r="N440" i="26"/>
  <c r="M440" i="26"/>
  <c r="K440" i="26"/>
  <c r="L440" i="26" s="1"/>
  <c r="J440" i="26"/>
  <c r="I440" i="26"/>
  <c r="H440" i="26"/>
  <c r="G440" i="26"/>
  <c r="F440" i="26"/>
  <c r="T439" i="26"/>
  <c r="O439" i="26"/>
  <c r="Q439" i="26" s="1"/>
  <c r="N439" i="26"/>
  <c r="P439" i="26" s="1"/>
  <c r="R439" i="26" s="1"/>
  <c r="S439" i="26" s="1"/>
  <c r="M439" i="26"/>
  <c r="L439" i="26"/>
  <c r="K439" i="26"/>
  <c r="J439" i="26"/>
  <c r="I439" i="26"/>
  <c r="H439" i="26"/>
  <c r="G439" i="26"/>
  <c r="F439" i="26"/>
  <c r="T438" i="26"/>
  <c r="Q438" i="26"/>
  <c r="O438" i="26"/>
  <c r="N438" i="26"/>
  <c r="P438" i="26" s="1"/>
  <c r="R438" i="26" s="1"/>
  <c r="S438" i="26" s="1"/>
  <c r="M438" i="26"/>
  <c r="K438" i="26"/>
  <c r="L438" i="26" s="1"/>
  <c r="I438" i="26"/>
  <c r="J438" i="26" s="1"/>
  <c r="H438" i="26"/>
  <c r="G438" i="26"/>
  <c r="F438" i="26"/>
  <c r="T437" i="26"/>
  <c r="P437" i="26"/>
  <c r="O437" i="26"/>
  <c r="Q437" i="26" s="1"/>
  <c r="N437" i="26"/>
  <c r="M437" i="26"/>
  <c r="L437" i="26"/>
  <c r="K437" i="26"/>
  <c r="J437" i="26"/>
  <c r="I437" i="26"/>
  <c r="H437" i="26"/>
  <c r="G437" i="26"/>
  <c r="F437" i="26"/>
  <c r="T436" i="26"/>
  <c r="O436" i="26"/>
  <c r="Q436" i="26" s="1"/>
  <c r="N436" i="26"/>
  <c r="P436" i="26" s="1"/>
  <c r="M436" i="26"/>
  <c r="L436" i="26"/>
  <c r="K436" i="26"/>
  <c r="I436" i="26"/>
  <c r="J436" i="26" s="1"/>
  <c r="H436" i="26"/>
  <c r="G436" i="26"/>
  <c r="F436" i="26"/>
  <c r="T435" i="26"/>
  <c r="O435" i="26"/>
  <c r="Q435" i="26" s="1"/>
  <c r="N435" i="26"/>
  <c r="P435" i="26" s="1"/>
  <c r="R435" i="26" s="1"/>
  <c r="S435" i="26" s="1"/>
  <c r="M435" i="26"/>
  <c r="K435" i="26"/>
  <c r="L435" i="26" s="1"/>
  <c r="J435" i="26"/>
  <c r="I435" i="26"/>
  <c r="H435" i="26"/>
  <c r="G435" i="26"/>
  <c r="F435" i="26"/>
  <c r="T434" i="26"/>
  <c r="Q434" i="26"/>
  <c r="O434" i="26"/>
  <c r="N434" i="26"/>
  <c r="P434" i="26" s="1"/>
  <c r="R434" i="26" s="1"/>
  <c r="S434" i="26" s="1"/>
  <c r="M434" i="26"/>
  <c r="L434" i="26"/>
  <c r="K434" i="26"/>
  <c r="J434" i="26"/>
  <c r="I434" i="26"/>
  <c r="H434" i="26"/>
  <c r="G434" i="26"/>
  <c r="F434" i="26"/>
  <c r="T433" i="26"/>
  <c r="Q433" i="26"/>
  <c r="O433" i="26"/>
  <c r="N433" i="26"/>
  <c r="P433" i="26" s="1"/>
  <c r="R433" i="26" s="1"/>
  <c r="S433" i="26" s="1"/>
  <c r="M433" i="26"/>
  <c r="L433" i="26"/>
  <c r="K433" i="26"/>
  <c r="I433" i="26"/>
  <c r="J433" i="26" s="1"/>
  <c r="H433" i="26"/>
  <c r="G433" i="26"/>
  <c r="F433" i="26"/>
  <c r="T432" i="26"/>
  <c r="P432" i="26"/>
  <c r="O432" i="26"/>
  <c r="Q432" i="26" s="1"/>
  <c r="N432" i="26"/>
  <c r="M432" i="26"/>
  <c r="K432" i="26"/>
  <c r="L432" i="26" s="1"/>
  <c r="J432" i="26"/>
  <c r="I432" i="26"/>
  <c r="H432" i="26"/>
  <c r="G432" i="26"/>
  <c r="F432" i="26"/>
  <c r="T431" i="26"/>
  <c r="O431" i="26"/>
  <c r="Q431" i="26" s="1"/>
  <c r="N431" i="26"/>
  <c r="P431" i="26" s="1"/>
  <c r="R431" i="26" s="1"/>
  <c r="S431" i="26" s="1"/>
  <c r="M431" i="26"/>
  <c r="L431" i="26"/>
  <c r="K431" i="26"/>
  <c r="J431" i="26"/>
  <c r="I431" i="26"/>
  <c r="H431" i="26"/>
  <c r="G431" i="26"/>
  <c r="F431" i="26"/>
  <c r="T430" i="26"/>
  <c r="Q430" i="26"/>
  <c r="O430" i="26"/>
  <c r="N430" i="26"/>
  <c r="P430" i="26" s="1"/>
  <c r="R430" i="26" s="1"/>
  <c r="S430" i="26" s="1"/>
  <c r="M430" i="26"/>
  <c r="K430" i="26"/>
  <c r="L430" i="26" s="1"/>
  <c r="I430" i="26"/>
  <c r="J430" i="26" s="1"/>
  <c r="H430" i="26"/>
  <c r="G430" i="26"/>
  <c r="F430" i="26"/>
  <c r="T429" i="26"/>
  <c r="P429" i="26"/>
  <c r="O429" i="26"/>
  <c r="Q429" i="26" s="1"/>
  <c r="N429" i="26"/>
  <c r="M429" i="26"/>
  <c r="L429" i="26"/>
  <c r="K429" i="26"/>
  <c r="J429" i="26"/>
  <c r="I429" i="26"/>
  <c r="H429" i="26"/>
  <c r="G429" i="26"/>
  <c r="F429" i="26"/>
  <c r="T428" i="26"/>
  <c r="O428" i="26"/>
  <c r="Q428" i="26" s="1"/>
  <c r="N428" i="26"/>
  <c r="P428" i="26" s="1"/>
  <c r="R428" i="26" s="1"/>
  <c r="S428" i="26" s="1"/>
  <c r="M428" i="26"/>
  <c r="L428" i="26"/>
  <c r="K428" i="26"/>
  <c r="I428" i="26"/>
  <c r="J428" i="26" s="1"/>
  <c r="H428" i="26"/>
  <c r="G428" i="26"/>
  <c r="F428" i="26"/>
  <c r="T427" i="26"/>
  <c r="O427" i="26"/>
  <c r="Q427" i="26" s="1"/>
  <c r="N427" i="26"/>
  <c r="P427" i="26" s="1"/>
  <c r="M427" i="26"/>
  <c r="K427" i="26"/>
  <c r="L427" i="26" s="1"/>
  <c r="J427" i="26"/>
  <c r="I427" i="26"/>
  <c r="H427" i="26"/>
  <c r="G427" i="26"/>
  <c r="F427" i="26"/>
  <c r="T426" i="26"/>
  <c r="O426" i="26"/>
  <c r="Q426" i="26" s="1"/>
  <c r="N426" i="26"/>
  <c r="P426" i="26" s="1"/>
  <c r="R426" i="26" s="1"/>
  <c r="S426" i="26" s="1"/>
  <c r="M426" i="26"/>
  <c r="L426" i="26"/>
  <c r="K426" i="26"/>
  <c r="J426" i="26"/>
  <c r="I426" i="26"/>
  <c r="H426" i="26"/>
  <c r="G426" i="26"/>
  <c r="F426" i="26"/>
  <c r="T425" i="26"/>
  <c r="Q425" i="26"/>
  <c r="O425" i="26"/>
  <c r="N425" i="26"/>
  <c r="P425" i="26" s="1"/>
  <c r="R425" i="26" s="1"/>
  <c r="S425" i="26" s="1"/>
  <c r="M425" i="26"/>
  <c r="L425" i="26"/>
  <c r="K425" i="26"/>
  <c r="I425" i="26"/>
  <c r="J425" i="26" s="1"/>
  <c r="H425" i="26"/>
  <c r="G425" i="26"/>
  <c r="F425" i="26"/>
  <c r="T424" i="26"/>
  <c r="P424" i="26"/>
  <c r="R424" i="26" s="1"/>
  <c r="S424" i="26" s="1"/>
  <c r="O424" i="26"/>
  <c r="Q424" i="26" s="1"/>
  <c r="N424" i="26"/>
  <c r="M424" i="26"/>
  <c r="K424" i="26"/>
  <c r="L424" i="26" s="1"/>
  <c r="J424" i="26"/>
  <c r="I424" i="26"/>
  <c r="H424" i="26"/>
  <c r="G424" i="26"/>
  <c r="F424" i="26"/>
  <c r="T423" i="26"/>
  <c r="O423" i="26"/>
  <c r="Q423" i="26" s="1"/>
  <c r="N423" i="26"/>
  <c r="P423" i="26" s="1"/>
  <c r="R423" i="26" s="1"/>
  <c r="S423" i="26" s="1"/>
  <c r="M423" i="26"/>
  <c r="L423" i="26"/>
  <c r="K423" i="26"/>
  <c r="J423" i="26"/>
  <c r="I423" i="26"/>
  <c r="H423" i="26"/>
  <c r="G423" i="26"/>
  <c r="F423" i="26"/>
  <c r="T422" i="26"/>
  <c r="Q422" i="26"/>
  <c r="O422" i="26"/>
  <c r="N422" i="26"/>
  <c r="P422" i="26" s="1"/>
  <c r="R422" i="26" s="1"/>
  <c r="S422" i="26" s="1"/>
  <c r="M422" i="26"/>
  <c r="K422" i="26"/>
  <c r="L422" i="26" s="1"/>
  <c r="I422" i="26"/>
  <c r="J422" i="26" s="1"/>
  <c r="H422" i="26"/>
  <c r="G422" i="26"/>
  <c r="F422" i="26"/>
  <c r="T421" i="26"/>
  <c r="P421" i="26"/>
  <c r="R421" i="26" s="1"/>
  <c r="S421" i="26" s="1"/>
  <c r="O421" i="26"/>
  <c r="Q421" i="26" s="1"/>
  <c r="N421" i="26"/>
  <c r="M421" i="26"/>
  <c r="L421" i="26"/>
  <c r="K421" i="26"/>
  <c r="J421" i="26"/>
  <c r="I421" i="26"/>
  <c r="H421" i="26"/>
  <c r="G421" i="26"/>
  <c r="F421" i="26"/>
  <c r="T420" i="26"/>
  <c r="O420" i="26"/>
  <c r="Q420" i="26" s="1"/>
  <c r="N420" i="26"/>
  <c r="P420" i="26" s="1"/>
  <c r="M420" i="26"/>
  <c r="L420" i="26"/>
  <c r="K420" i="26"/>
  <c r="I420" i="26"/>
  <c r="J420" i="26" s="1"/>
  <c r="H420" i="26"/>
  <c r="G420" i="26"/>
  <c r="F420" i="26"/>
  <c r="T419" i="26"/>
  <c r="O419" i="26"/>
  <c r="Q419" i="26" s="1"/>
  <c r="N419" i="26"/>
  <c r="P419" i="26" s="1"/>
  <c r="R419" i="26" s="1"/>
  <c r="S419" i="26" s="1"/>
  <c r="M419" i="26"/>
  <c r="K419" i="26"/>
  <c r="L419" i="26" s="1"/>
  <c r="J419" i="26"/>
  <c r="I419" i="26"/>
  <c r="H419" i="26"/>
  <c r="G419" i="26"/>
  <c r="F419" i="26"/>
  <c r="T418" i="26"/>
  <c r="O418" i="26"/>
  <c r="Q418" i="26" s="1"/>
  <c r="N418" i="26"/>
  <c r="P418" i="26" s="1"/>
  <c r="M418" i="26"/>
  <c r="L418" i="26"/>
  <c r="K418" i="26"/>
  <c r="J418" i="26"/>
  <c r="I418" i="26"/>
  <c r="H418" i="26"/>
  <c r="G418" i="26"/>
  <c r="F418" i="26"/>
  <c r="T417" i="26"/>
  <c r="Q417" i="26"/>
  <c r="O417" i="26"/>
  <c r="N417" i="26"/>
  <c r="P417" i="26" s="1"/>
  <c r="R417" i="26" s="1"/>
  <c r="S417" i="26" s="1"/>
  <c r="M417" i="26"/>
  <c r="L417" i="26"/>
  <c r="K417" i="26"/>
  <c r="I417" i="26"/>
  <c r="J417" i="26" s="1"/>
  <c r="H417" i="26"/>
  <c r="G417" i="26"/>
  <c r="F417" i="26"/>
  <c r="T416" i="26"/>
  <c r="Q416" i="26"/>
  <c r="P416" i="26"/>
  <c r="R416" i="26" s="1"/>
  <c r="S416" i="26" s="1"/>
  <c r="O416" i="26"/>
  <c r="N416" i="26"/>
  <c r="M416" i="26"/>
  <c r="K416" i="26"/>
  <c r="L416" i="26" s="1"/>
  <c r="J416" i="26"/>
  <c r="I416" i="26"/>
  <c r="H416" i="26"/>
  <c r="G416" i="26"/>
  <c r="F416" i="26"/>
  <c r="T415" i="26"/>
  <c r="O415" i="26"/>
  <c r="Q415" i="26" s="1"/>
  <c r="N415" i="26"/>
  <c r="P415" i="26" s="1"/>
  <c r="R415" i="26" s="1"/>
  <c r="S415" i="26" s="1"/>
  <c r="M415" i="26"/>
  <c r="L415" i="26"/>
  <c r="K415" i="26"/>
  <c r="J415" i="26"/>
  <c r="I415" i="26"/>
  <c r="H415" i="26"/>
  <c r="G415" i="26"/>
  <c r="F415" i="26"/>
  <c r="T414" i="26"/>
  <c r="Q414" i="26"/>
  <c r="O414" i="26"/>
  <c r="N414" i="26"/>
  <c r="P414" i="26" s="1"/>
  <c r="R414" i="26" s="1"/>
  <c r="S414" i="26" s="1"/>
  <c r="M414" i="26"/>
  <c r="K414" i="26"/>
  <c r="L414" i="26" s="1"/>
  <c r="I414" i="26"/>
  <c r="J414" i="26" s="1"/>
  <c r="H414" i="26"/>
  <c r="G414" i="26"/>
  <c r="F414" i="26"/>
  <c r="T413" i="26"/>
  <c r="P413" i="26"/>
  <c r="R413" i="26" s="1"/>
  <c r="S413" i="26" s="1"/>
  <c r="O413" i="26"/>
  <c r="Q413" i="26" s="1"/>
  <c r="N413" i="26"/>
  <c r="M413" i="26"/>
  <c r="L413" i="26"/>
  <c r="K413" i="26"/>
  <c r="J413" i="26"/>
  <c r="I413" i="26"/>
  <c r="H413" i="26"/>
  <c r="G413" i="26"/>
  <c r="F413" i="26"/>
  <c r="T412" i="26"/>
  <c r="O412" i="26"/>
  <c r="Q412" i="26" s="1"/>
  <c r="N412" i="26"/>
  <c r="P412" i="26" s="1"/>
  <c r="R412" i="26" s="1"/>
  <c r="S412" i="26" s="1"/>
  <c r="M412" i="26"/>
  <c r="L412" i="26"/>
  <c r="K412" i="26"/>
  <c r="I412" i="26"/>
  <c r="J412" i="26" s="1"/>
  <c r="H412" i="26"/>
  <c r="G412" i="26"/>
  <c r="F412" i="26"/>
  <c r="T411" i="26"/>
  <c r="O411" i="26"/>
  <c r="Q411" i="26" s="1"/>
  <c r="N411" i="26"/>
  <c r="P411" i="26" s="1"/>
  <c r="R411" i="26" s="1"/>
  <c r="S411" i="26" s="1"/>
  <c r="M411" i="26"/>
  <c r="K411" i="26"/>
  <c r="L411" i="26" s="1"/>
  <c r="J411" i="26"/>
  <c r="I411" i="26"/>
  <c r="H411" i="26"/>
  <c r="G411" i="26"/>
  <c r="F411" i="26"/>
  <c r="T410" i="26"/>
  <c r="O410" i="26"/>
  <c r="Q410" i="26" s="1"/>
  <c r="N410" i="26"/>
  <c r="P410" i="26" s="1"/>
  <c r="M410" i="26"/>
  <c r="L410" i="26"/>
  <c r="K410" i="26"/>
  <c r="J410" i="26"/>
  <c r="I410" i="26"/>
  <c r="H410" i="26"/>
  <c r="G410" i="26"/>
  <c r="F410" i="26"/>
  <c r="T409" i="26"/>
  <c r="Q409" i="26"/>
  <c r="O409" i="26"/>
  <c r="N409" i="26"/>
  <c r="P409" i="26" s="1"/>
  <c r="R409" i="26" s="1"/>
  <c r="S409" i="26" s="1"/>
  <c r="M409" i="26"/>
  <c r="L409" i="26"/>
  <c r="K409" i="26"/>
  <c r="I409" i="26"/>
  <c r="J409" i="26" s="1"/>
  <c r="H409" i="26"/>
  <c r="G409" i="26"/>
  <c r="F409" i="26"/>
  <c r="T408" i="26"/>
  <c r="P408" i="26"/>
  <c r="O408" i="26"/>
  <c r="Q408" i="26" s="1"/>
  <c r="N408" i="26"/>
  <c r="M408" i="26"/>
  <c r="K408" i="26"/>
  <c r="L408" i="26" s="1"/>
  <c r="J408" i="26"/>
  <c r="I408" i="26"/>
  <c r="H408" i="26"/>
  <c r="G408" i="26"/>
  <c r="F408" i="26"/>
  <c r="T407" i="26"/>
  <c r="O407" i="26"/>
  <c r="Q407" i="26" s="1"/>
  <c r="N407" i="26"/>
  <c r="P407" i="26" s="1"/>
  <c r="M407" i="26"/>
  <c r="L407" i="26"/>
  <c r="K407" i="26"/>
  <c r="J407" i="26"/>
  <c r="I407" i="26"/>
  <c r="H407" i="26"/>
  <c r="G407" i="26"/>
  <c r="F407" i="26"/>
  <c r="T406" i="26"/>
  <c r="Q406" i="26"/>
  <c r="O406" i="26"/>
  <c r="N406" i="26"/>
  <c r="P406" i="26" s="1"/>
  <c r="R406" i="26" s="1"/>
  <c r="S406" i="26" s="1"/>
  <c r="M406" i="26"/>
  <c r="K406" i="26"/>
  <c r="L406" i="26" s="1"/>
  <c r="I406" i="26"/>
  <c r="J406" i="26" s="1"/>
  <c r="H406" i="26"/>
  <c r="G406" i="26"/>
  <c r="F406" i="26"/>
  <c r="T405" i="26"/>
  <c r="P405" i="26"/>
  <c r="O405" i="26"/>
  <c r="Q405" i="26" s="1"/>
  <c r="N405" i="26"/>
  <c r="M405" i="26"/>
  <c r="L405" i="26"/>
  <c r="K405" i="26"/>
  <c r="J405" i="26"/>
  <c r="I405" i="26"/>
  <c r="H405" i="26"/>
  <c r="G405" i="26"/>
  <c r="F405" i="26"/>
  <c r="T404" i="26"/>
  <c r="O404" i="26"/>
  <c r="Q404" i="26" s="1"/>
  <c r="N404" i="26"/>
  <c r="P404" i="26" s="1"/>
  <c r="R404" i="26" s="1"/>
  <c r="S404" i="26" s="1"/>
  <c r="M404" i="26"/>
  <c r="L404" i="26"/>
  <c r="K404" i="26"/>
  <c r="I404" i="26"/>
  <c r="J404" i="26" s="1"/>
  <c r="H404" i="26"/>
  <c r="G404" i="26"/>
  <c r="F404" i="26"/>
  <c r="T403" i="26"/>
  <c r="O403" i="26"/>
  <c r="Q403" i="26" s="1"/>
  <c r="N403" i="26"/>
  <c r="P403" i="26" s="1"/>
  <c r="R403" i="26" s="1"/>
  <c r="S403" i="26" s="1"/>
  <c r="M403" i="26"/>
  <c r="K403" i="26"/>
  <c r="L403" i="26" s="1"/>
  <c r="J403" i="26"/>
  <c r="I403" i="26"/>
  <c r="H403" i="26"/>
  <c r="G403" i="26"/>
  <c r="F403" i="26"/>
  <c r="T402" i="26"/>
  <c r="O402" i="26"/>
  <c r="Q402" i="26" s="1"/>
  <c r="N402" i="26"/>
  <c r="P402" i="26" s="1"/>
  <c r="R402" i="26" s="1"/>
  <c r="S402" i="26" s="1"/>
  <c r="M402" i="26"/>
  <c r="L402" i="26"/>
  <c r="K402" i="26"/>
  <c r="J402" i="26"/>
  <c r="I402" i="26"/>
  <c r="H402" i="26"/>
  <c r="G402" i="26"/>
  <c r="F402" i="26"/>
  <c r="T401" i="26"/>
  <c r="Q401" i="26"/>
  <c r="O401" i="26"/>
  <c r="N401" i="26"/>
  <c r="P401" i="26" s="1"/>
  <c r="R401" i="26" s="1"/>
  <c r="S401" i="26" s="1"/>
  <c r="M401" i="26"/>
  <c r="L401" i="26"/>
  <c r="K401" i="26"/>
  <c r="I401" i="26"/>
  <c r="J401" i="26" s="1"/>
  <c r="H401" i="26"/>
  <c r="G401" i="26"/>
  <c r="F401" i="26"/>
  <c r="T400" i="26"/>
  <c r="P400" i="26"/>
  <c r="O400" i="26"/>
  <c r="Q400" i="26" s="1"/>
  <c r="N400" i="26"/>
  <c r="M400" i="26"/>
  <c r="K400" i="26"/>
  <c r="L400" i="26" s="1"/>
  <c r="J400" i="26"/>
  <c r="I400" i="26"/>
  <c r="H400" i="26"/>
  <c r="G400" i="26"/>
  <c r="F400" i="26"/>
  <c r="T399" i="26"/>
  <c r="O399" i="26"/>
  <c r="Q399" i="26" s="1"/>
  <c r="N399" i="26"/>
  <c r="P399" i="26" s="1"/>
  <c r="R399" i="26" s="1"/>
  <c r="S399" i="26" s="1"/>
  <c r="M399" i="26"/>
  <c r="L399" i="26"/>
  <c r="K399" i="26"/>
  <c r="J399" i="26"/>
  <c r="I399" i="26"/>
  <c r="H399" i="26"/>
  <c r="G399" i="26"/>
  <c r="F399" i="26"/>
  <c r="T398" i="26"/>
  <c r="Q398" i="26"/>
  <c r="O398" i="26"/>
  <c r="N398" i="26"/>
  <c r="P398" i="26" s="1"/>
  <c r="R398" i="26" s="1"/>
  <c r="S398" i="26" s="1"/>
  <c r="M398" i="26"/>
  <c r="K398" i="26"/>
  <c r="L398" i="26" s="1"/>
  <c r="I398" i="26"/>
  <c r="J398" i="26" s="1"/>
  <c r="H398" i="26"/>
  <c r="G398" i="26"/>
  <c r="F398" i="26"/>
  <c r="T397" i="26"/>
  <c r="P397" i="26"/>
  <c r="O397" i="26"/>
  <c r="Q397" i="26" s="1"/>
  <c r="N397" i="26"/>
  <c r="M397" i="26"/>
  <c r="L397" i="26"/>
  <c r="K397" i="26"/>
  <c r="J397" i="26"/>
  <c r="I397" i="26"/>
  <c r="H397" i="26"/>
  <c r="G397" i="26"/>
  <c r="F397" i="26"/>
  <c r="T396" i="26"/>
  <c r="O396" i="26"/>
  <c r="Q396" i="26" s="1"/>
  <c r="N396" i="26"/>
  <c r="P396" i="26" s="1"/>
  <c r="M396" i="26"/>
  <c r="L396" i="26"/>
  <c r="K396" i="26"/>
  <c r="I396" i="26"/>
  <c r="J396" i="26" s="1"/>
  <c r="H396" i="26"/>
  <c r="G396" i="26"/>
  <c r="F396" i="26"/>
  <c r="T395" i="26"/>
  <c r="O395" i="26"/>
  <c r="Q395" i="26" s="1"/>
  <c r="N395" i="26"/>
  <c r="P395" i="26" s="1"/>
  <c r="R395" i="26" s="1"/>
  <c r="S395" i="26" s="1"/>
  <c r="M395" i="26"/>
  <c r="K395" i="26"/>
  <c r="L395" i="26" s="1"/>
  <c r="J395" i="26"/>
  <c r="I395" i="26"/>
  <c r="H395" i="26"/>
  <c r="G395" i="26"/>
  <c r="F395" i="26"/>
  <c r="T394" i="26"/>
  <c r="O394" i="26"/>
  <c r="Q394" i="26" s="1"/>
  <c r="N394" i="26"/>
  <c r="P394" i="26" s="1"/>
  <c r="R394" i="26" s="1"/>
  <c r="S394" i="26" s="1"/>
  <c r="M394" i="26"/>
  <c r="L394" i="26"/>
  <c r="K394" i="26"/>
  <c r="J394" i="26"/>
  <c r="I394" i="26"/>
  <c r="H394" i="26"/>
  <c r="G394" i="26"/>
  <c r="F394" i="26"/>
  <c r="T393" i="26"/>
  <c r="Q393" i="26"/>
  <c r="O393" i="26"/>
  <c r="N393" i="26"/>
  <c r="P393" i="26" s="1"/>
  <c r="R393" i="26" s="1"/>
  <c r="S393" i="26" s="1"/>
  <c r="M393" i="26"/>
  <c r="L393" i="26"/>
  <c r="K393" i="26"/>
  <c r="I393" i="26"/>
  <c r="J393" i="26" s="1"/>
  <c r="H393" i="26"/>
  <c r="G393" i="26"/>
  <c r="F393" i="26"/>
  <c r="T392" i="26"/>
  <c r="P392" i="26"/>
  <c r="O392" i="26"/>
  <c r="Q392" i="26" s="1"/>
  <c r="N392" i="26"/>
  <c r="M392" i="26"/>
  <c r="K392" i="26"/>
  <c r="L392" i="26" s="1"/>
  <c r="J392" i="26"/>
  <c r="I392" i="26"/>
  <c r="H392" i="26"/>
  <c r="G392" i="26"/>
  <c r="F392" i="26"/>
  <c r="T391" i="26"/>
  <c r="O391" i="26"/>
  <c r="Q391" i="26" s="1"/>
  <c r="N391" i="26"/>
  <c r="P391" i="26" s="1"/>
  <c r="M391" i="26"/>
  <c r="L391" i="26"/>
  <c r="K391" i="26"/>
  <c r="J391" i="26"/>
  <c r="I391" i="26"/>
  <c r="H391" i="26"/>
  <c r="G391" i="26"/>
  <c r="F391" i="26"/>
  <c r="T390" i="26"/>
  <c r="Q390" i="26"/>
  <c r="O390" i="26"/>
  <c r="N390" i="26"/>
  <c r="P390" i="26" s="1"/>
  <c r="R390" i="26" s="1"/>
  <c r="S390" i="26" s="1"/>
  <c r="M390" i="26"/>
  <c r="K390" i="26"/>
  <c r="L390" i="26" s="1"/>
  <c r="I390" i="26"/>
  <c r="J390" i="26" s="1"/>
  <c r="H390" i="26"/>
  <c r="G390" i="26"/>
  <c r="F390" i="26"/>
  <c r="T389" i="26"/>
  <c r="P389" i="26"/>
  <c r="O389" i="26"/>
  <c r="Q389" i="26" s="1"/>
  <c r="N389" i="26"/>
  <c r="M389" i="26"/>
  <c r="L389" i="26"/>
  <c r="K389" i="26"/>
  <c r="J389" i="26"/>
  <c r="I389" i="26"/>
  <c r="H389" i="26"/>
  <c r="G389" i="26"/>
  <c r="F389" i="26"/>
  <c r="T388" i="26"/>
  <c r="O388" i="26"/>
  <c r="Q388" i="26" s="1"/>
  <c r="N388" i="26"/>
  <c r="P388" i="26" s="1"/>
  <c r="R388" i="26" s="1"/>
  <c r="S388" i="26" s="1"/>
  <c r="M388" i="26"/>
  <c r="L388" i="26"/>
  <c r="K388" i="26"/>
  <c r="I388" i="26"/>
  <c r="J388" i="26" s="1"/>
  <c r="H388" i="26"/>
  <c r="G388" i="26"/>
  <c r="F388" i="26"/>
  <c r="T387" i="26"/>
  <c r="O387" i="26"/>
  <c r="Q387" i="26" s="1"/>
  <c r="N387" i="26"/>
  <c r="P387" i="26" s="1"/>
  <c r="M387" i="26"/>
  <c r="K387" i="26"/>
  <c r="L387" i="26" s="1"/>
  <c r="J387" i="26"/>
  <c r="I387" i="26"/>
  <c r="H387" i="26"/>
  <c r="G387" i="26"/>
  <c r="F387" i="26"/>
  <c r="T386" i="26"/>
  <c r="O386" i="26"/>
  <c r="Q386" i="26" s="1"/>
  <c r="N386" i="26"/>
  <c r="P386" i="26" s="1"/>
  <c r="R386" i="26" s="1"/>
  <c r="S386" i="26" s="1"/>
  <c r="M386" i="26"/>
  <c r="L386" i="26"/>
  <c r="K386" i="26"/>
  <c r="J386" i="26"/>
  <c r="I386" i="26"/>
  <c r="H386" i="26"/>
  <c r="G386" i="26"/>
  <c r="F386" i="26"/>
  <c r="T385" i="26"/>
  <c r="Q385" i="26"/>
  <c r="O385" i="26"/>
  <c r="N385" i="26"/>
  <c r="P385" i="26" s="1"/>
  <c r="R385" i="26" s="1"/>
  <c r="S385" i="26" s="1"/>
  <c r="M385" i="26"/>
  <c r="L385" i="26"/>
  <c r="K385" i="26"/>
  <c r="I385" i="26"/>
  <c r="J385" i="26" s="1"/>
  <c r="H385" i="26"/>
  <c r="G385" i="26"/>
  <c r="F385" i="26"/>
  <c r="T384" i="26"/>
  <c r="P384" i="26"/>
  <c r="R384" i="26" s="1"/>
  <c r="S384" i="26" s="1"/>
  <c r="O384" i="26"/>
  <c r="Q384" i="26" s="1"/>
  <c r="N384" i="26"/>
  <c r="M384" i="26"/>
  <c r="K384" i="26"/>
  <c r="L384" i="26" s="1"/>
  <c r="J384" i="26"/>
  <c r="I384" i="26"/>
  <c r="H384" i="26"/>
  <c r="G384" i="26"/>
  <c r="F384" i="26"/>
  <c r="T383" i="26"/>
  <c r="O383" i="26"/>
  <c r="Q383" i="26" s="1"/>
  <c r="N383" i="26"/>
  <c r="P383" i="26" s="1"/>
  <c r="R383" i="26" s="1"/>
  <c r="S383" i="26" s="1"/>
  <c r="M383" i="26"/>
  <c r="L383" i="26"/>
  <c r="K383" i="26"/>
  <c r="J383" i="26"/>
  <c r="I383" i="26"/>
  <c r="H383" i="26"/>
  <c r="G383" i="26"/>
  <c r="F383" i="26"/>
  <c r="T382" i="26"/>
  <c r="Q382" i="26"/>
  <c r="O382" i="26"/>
  <c r="N382" i="26"/>
  <c r="P382" i="26" s="1"/>
  <c r="R382" i="26" s="1"/>
  <c r="S382" i="26" s="1"/>
  <c r="M382" i="26"/>
  <c r="K382" i="26"/>
  <c r="L382" i="26" s="1"/>
  <c r="I382" i="26"/>
  <c r="J382" i="26" s="1"/>
  <c r="H382" i="26"/>
  <c r="G382" i="26"/>
  <c r="F382" i="26"/>
  <c r="T381" i="26"/>
  <c r="P381" i="26"/>
  <c r="R381" i="26" s="1"/>
  <c r="S381" i="26" s="1"/>
  <c r="O381" i="26"/>
  <c r="Q381" i="26" s="1"/>
  <c r="N381" i="26"/>
  <c r="M381" i="26"/>
  <c r="L381" i="26"/>
  <c r="K381" i="26"/>
  <c r="J381" i="26"/>
  <c r="I381" i="26"/>
  <c r="H381" i="26"/>
  <c r="G381" i="26"/>
  <c r="F381" i="26"/>
  <c r="T380" i="26"/>
  <c r="O380" i="26"/>
  <c r="Q380" i="26" s="1"/>
  <c r="N380" i="26"/>
  <c r="P380" i="26" s="1"/>
  <c r="R380" i="26" s="1"/>
  <c r="S380" i="26" s="1"/>
  <c r="M380" i="26"/>
  <c r="L380" i="26"/>
  <c r="K380" i="26"/>
  <c r="I380" i="26"/>
  <c r="J380" i="26" s="1"/>
  <c r="H380" i="26"/>
  <c r="G380" i="26"/>
  <c r="F380" i="26"/>
  <c r="T379" i="26"/>
  <c r="O379" i="26"/>
  <c r="Q379" i="26" s="1"/>
  <c r="N379" i="26"/>
  <c r="P379" i="26" s="1"/>
  <c r="R379" i="26" s="1"/>
  <c r="S379" i="26" s="1"/>
  <c r="M379" i="26"/>
  <c r="K379" i="26"/>
  <c r="L379" i="26" s="1"/>
  <c r="J379" i="26"/>
  <c r="I379" i="26"/>
  <c r="H379" i="26"/>
  <c r="G379" i="26"/>
  <c r="F379" i="26"/>
  <c r="T378" i="26"/>
  <c r="O378" i="26"/>
  <c r="Q378" i="26" s="1"/>
  <c r="N378" i="26"/>
  <c r="P378" i="26" s="1"/>
  <c r="M378" i="26"/>
  <c r="L378" i="26"/>
  <c r="K378" i="26"/>
  <c r="J378" i="26"/>
  <c r="I378" i="26"/>
  <c r="H378" i="26"/>
  <c r="G378" i="26"/>
  <c r="F378" i="26"/>
  <c r="T377" i="26"/>
  <c r="Q377" i="26"/>
  <c r="O377" i="26"/>
  <c r="N377" i="26"/>
  <c r="P377" i="26" s="1"/>
  <c r="R377" i="26" s="1"/>
  <c r="S377" i="26" s="1"/>
  <c r="M377" i="26"/>
  <c r="L377" i="26"/>
  <c r="K377" i="26"/>
  <c r="I377" i="26"/>
  <c r="J377" i="26" s="1"/>
  <c r="H377" i="26"/>
  <c r="G377" i="26"/>
  <c r="F377" i="26"/>
  <c r="T376" i="26"/>
  <c r="P376" i="26"/>
  <c r="O376" i="26"/>
  <c r="Q376" i="26" s="1"/>
  <c r="N376" i="26"/>
  <c r="M376" i="26"/>
  <c r="K376" i="26"/>
  <c r="L376" i="26" s="1"/>
  <c r="J376" i="26"/>
  <c r="I376" i="26"/>
  <c r="H376" i="26"/>
  <c r="G376" i="26"/>
  <c r="F376" i="26"/>
  <c r="T375" i="26"/>
  <c r="O375" i="26"/>
  <c r="Q375" i="26" s="1"/>
  <c r="N375" i="26"/>
  <c r="P375" i="26" s="1"/>
  <c r="M375" i="26"/>
  <c r="L375" i="26"/>
  <c r="K375" i="26"/>
  <c r="J375" i="26"/>
  <c r="I375" i="26"/>
  <c r="H375" i="26"/>
  <c r="G375" i="26"/>
  <c r="F375" i="26"/>
  <c r="T374" i="26"/>
  <c r="Q374" i="26"/>
  <c r="O374" i="26"/>
  <c r="N374" i="26"/>
  <c r="P374" i="26" s="1"/>
  <c r="R374" i="26" s="1"/>
  <c r="S374" i="26" s="1"/>
  <c r="M374" i="26"/>
  <c r="K374" i="26"/>
  <c r="L374" i="26" s="1"/>
  <c r="I374" i="26"/>
  <c r="J374" i="26" s="1"/>
  <c r="H374" i="26"/>
  <c r="G374" i="26"/>
  <c r="F374" i="26"/>
  <c r="T373" i="26"/>
  <c r="P373" i="26"/>
  <c r="O373" i="26"/>
  <c r="Q373" i="26" s="1"/>
  <c r="N373" i="26"/>
  <c r="M373" i="26"/>
  <c r="L373" i="26"/>
  <c r="K373" i="26"/>
  <c r="J373" i="26"/>
  <c r="I373" i="26"/>
  <c r="H373" i="26"/>
  <c r="G373" i="26"/>
  <c r="F373" i="26"/>
  <c r="T372" i="26"/>
  <c r="O372" i="26"/>
  <c r="Q372" i="26" s="1"/>
  <c r="N372" i="26"/>
  <c r="P372" i="26" s="1"/>
  <c r="R372" i="26" s="1"/>
  <c r="S372" i="26" s="1"/>
  <c r="M372" i="26"/>
  <c r="L372" i="26"/>
  <c r="K372" i="26"/>
  <c r="I372" i="26"/>
  <c r="J372" i="26" s="1"/>
  <c r="H372" i="26"/>
  <c r="G372" i="26"/>
  <c r="F372" i="26"/>
  <c r="T371" i="26"/>
  <c r="O371" i="26"/>
  <c r="Q371" i="26" s="1"/>
  <c r="N371" i="26"/>
  <c r="P371" i="26" s="1"/>
  <c r="R371" i="26" s="1"/>
  <c r="S371" i="26" s="1"/>
  <c r="M371" i="26"/>
  <c r="K371" i="26"/>
  <c r="L371" i="26" s="1"/>
  <c r="J371" i="26"/>
  <c r="I371" i="26"/>
  <c r="H371" i="26"/>
  <c r="G371" i="26"/>
  <c r="F371" i="26"/>
  <c r="T370" i="26"/>
  <c r="O370" i="26"/>
  <c r="Q370" i="26" s="1"/>
  <c r="N370" i="26"/>
  <c r="P370" i="26" s="1"/>
  <c r="R370" i="26" s="1"/>
  <c r="S370" i="26" s="1"/>
  <c r="M370" i="26"/>
  <c r="L370" i="26"/>
  <c r="K370" i="26"/>
  <c r="J370" i="26"/>
  <c r="I370" i="26"/>
  <c r="H370" i="26"/>
  <c r="G370" i="26"/>
  <c r="F370" i="26"/>
  <c r="T369" i="26"/>
  <c r="Q369" i="26"/>
  <c r="O369" i="26"/>
  <c r="N369" i="26"/>
  <c r="P369" i="26" s="1"/>
  <c r="R369" i="26" s="1"/>
  <c r="S369" i="26" s="1"/>
  <c r="M369" i="26"/>
  <c r="L369" i="26"/>
  <c r="K369" i="26"/>
  <c r="I369" i="26"/>
  <c r="J369" i="26" s="1"/>
  <c r="H369" i="26"/>
  <c r="G369" i="26"/>
  <c r="F369" i="26"/>
  <c r="T368" i="26"/>
  <c r="P368" i="26"/>
  <c r="O368" i="26"/>
  <c r="Q368" i="26" s="1"/>
  <c r="N368" i="26"/>
  <c r="M368" i="26"/>
  <c r="K368" i="26"/>
  <c r="L368" i="26" s="1"/>
  <c r="J368" i="26"/>
  <c r="I368" i="26"/>
  <c r="H368" i="26"/>
  <c r="G368" i="26"/>
  <c r="F368" i="26"/>
  <c r="T367" i="26"/>
  <c r="O367" i="26"/>
  <c r="Q367" i="26" s="1"/>
  <c r="N367" i="26"/>
  <c r="P367" i="26" s="1"/>
  <c r="R367" i="26" s="1"/>
  <c r="S367" i="26" s="1"/>
  <c r="M367" i="26"/>
  <c r="L367" i="26"/>
  <c r="K367" i="26"/>
  <c r="J367" i="26"/>
  <c r="I367" i="26"/>
  <c r="H367" i="26"/>
  <c r="G367" i="26"/>
  <c r="F367" i="26"/>
  <c r="T366" i="26"/>
  <c r="Q366" i="26"/>
  <c r="O366" i="26"/>
  <c r="N366" i="26"/>
  <c r="P366" i="26" s="1"/>
  <c r="R366" i="26" s="1"/>
  <c r="S366" i="26" s="1"/>
  <c r="M366" i="26"/>
  <c r="K366" i="26"/>
  <c r="L366" i="26" s="1"/>
  <c r="I366" i="26"/>
  <c r="J366" i="26" s="1"/>
  <c r="H366" i="26"/>
  <c r="G366" i="26"/>
  <c r="F366" i="26"/>
  <c r="T365" i="26"/>
  <c r="P365" i="26"/>
  <c r="O365" i="26"/>
  <c r="Q365" i="26" s="1"/>
  <c r="N365" i="26"/>
  <c r="M365" i="26"/>
  <c r="L365" i="26"/>
  <c r="K365" i="26"/>
  <c r="J365" i="26"/>
  <c r="I365" i="26"/>
  <c r="H365" i="26"/>
  <c r="G365" i="26"/>
  <c r="F365" i="26"/>
  <c r="T364" i="26"/>
  <c r="O364" i="26"/>
  <c r="Q364" i="26" s="1"/>
  <c r="N364" i="26"/>
  <c r="P364" i="26" s="1"/>
  <c r="M364" i="26"/>
  <c r="L364" i="26"/>
  <c r="K364" i="26"/>
  <c r="I364" i="26"/>
  <c r="J364" i="26" s="1"/>
  <c r="H364" i="26"/>
  <c r="G364" i="26"/>
  <c r="F364" i="26"/>
  <c r="T363" i="26"/>
  <c r="O363" i="26"/>
  <c r="Q363" i="26" s="1"/>
  <c r="N363" i="26"/>
  <c r="P363" i="26" s="1"/>
  <c r="R363" i="26" s="1"/>
  <c r="S363" i="26" s="1"/>
  <c r="M363" i="26"/>
  <c r="K363" i="26"/>
  <c r="L363" i="26" s="1"/>
  <c r="J363" i="26"/>
  <c r="I363" i="26"/>
  <c r="H363" i="26"/>
  <c r="G363" i="26"/>
  <c r="F363" i="26"/>
  <c r="T362" i="26"/>
  <c r="O362" i="26"/>
  <c r="Q362" i="26" s="1"/>
  <c r="N362" i="26"/>
  <c r="P362" i="26" s="1"/>
  <c r="R362" i="26" s="1"/>
  <c r="S362" i="26" s="1"/>
  <c r="M362" i="26"/>
  <c r="L362" i="26"/>
  <c r="K362" i="26"/>
  <c r="J362" i="26"/>
  <c r="I362" i="26"/>
  <c r="H362" i="26"/>
  <c r="G362" i="26"/>
  <c r="F362" i="26"/>
  <c r="T361" i="26"/>
  <c r="Q361" i="26"/>
  <c r="O361" i="26"/>
  <c r="N361" i="26"/>
  <c r="P361" i="26" s="1"/>
  <c r="R361" i="26" s="1"/>
  <c r="S361" i="26" s="1"/>
  <c r="M361" i="26"/>
  <c r="L361" i="26"/>
  <c r="K361" i="26"/>
  <c r="I361" i="26"/>
  <c r="J361" i="26" s="1"/>
  <c r="H361" i="26"/>
  <c r="G361" i="26"/>
  <c r="F361" i="26"/>
  <c r="T360" i="26"/>
  <c r="P360" i="26"/>
  <c r="O360" i="26"/>
  <c r="Q360" i="26" s="1"/>
  <c r="N360" i="26"/>
  <c r="M360" i="26"/>
  <c r="K360" i="26"/>
  <c r="L360" i="26" s="1"/>
  <c r="J360" i="26"/>
  <c r="I360" i="26"/>
  <c r="H360" i="26"/>
  <c r="G360" i="26"/>
  <c r="F360" i="26"/>
  <c r="T359" i="26"/>
  <c r="O359" i="26"/>
  <c r="Q359" i="26" s="1"/>
  <c r="N359" i="26"/>
  <c r="P359" i="26" s="1"/>
  <c r="M359" i="26"/>
  <c r="L359" i="26"/>
  <c r="K359" i="26"/>
  <c r="J359" i="26"/>
  <c r="I359" i="26"/>
  <c r="H359" i="26"/>
  <c r="G359" i="26"/>
  <c r="F359" i="26"/>
  <c r="T358" i="26"/>
  <c r="Q358" i="26"/>
  <c r="O358" i="26"/>
  <c r="N358" i="26"/>
  <c r="P358" i="26" s="1"/>
  <c r="R358" i="26" s="1"/>
  <c r="S358" i="26" s="1"/>
  <c r="M358" i="26"/>
  <c r="K358" i="26"/>
  <c r="L358" i="26" s="1"/>
  <c r="I358" i="26"/>
  <c r="J358" i="26" s="1"/>
  <c r="H358" i="26"/>
  <c r="G358" i="26"/>
  <c r="F358" i="26"/>
  <c r="T357" i="26"/>
  <c r="P357" i="26"/>
  <c r="O357" i="26"/>
  <c r="Q357" i="26" s="1"/>
  <c r="N357" i="26"/>
  <c r="M357" i="26"/>
  <c r="L357" i="26"/>
  <c r="K357" i="26"/>
  <c r="J357" i="26"/>
  <c r="I357" i="26"/>
  <c r="H357" i="26"/>
  <c r="G357" i="26"/>
  <c r="F357" i="26"/>
  <c r="T356" i="26"/>
  <c r="O356" i="26"/>
  <c r="Q356" i="26" s="1"/>
  <c r="N356" i="26"/>
  <c r="P356" i="26" s="1"/>
  <c r="M356" i="26"/>
  <c r="L356" i="26"/>
  <c r="K356" i="26"/>
  <c r="I356" i="26"/>
  <c r="J356" i="26" s="1"/>
  <c r="H356" i="26"/>
  <c r="G356" i="26"/>
  <c r="F356" i="26"/>
  <c r="T355" i="26"/>
  <c r="O355" i="26"/>
  <c r="Q355" i="26" s="1"/>
  <c r="N355" i="26"/>
  <c r="P355" i="26" s="1"/>
  <c r="M355" i="26"/>
  <c r="K355" i="26"/>
  <c r="L355" i="26" s="1"/>
  <c r="J355" i="26"/>
  <c r="I355" i="26"/>
  <c r="H355" i="26"/>
  <c r="G355" i="26"/>
  <c r="F355" i="26"/>
  <c r="T354" i="26"/>
  <c r="O354" i="26"/>
  <c r="Q354" i="26" s="1"/>
  <c r="N354" i="26"/>
  <c r="P354" i="26" s="1"/>
  <c r="R354" i="26" s="1"/>
  <c r="S354" i="26" s="1"/>
  <c r="M354" i="26"/>
  <c r="L354" i="26"/>
  <c r="K354" i="26"/>
  <c r="J354" i="26"/>
  <c r="I354" i="26"/>
  <c r="H354" i="26"/>
  <c r="G354" i="26"/>
  <c r="F354" i="26"/>
  <c r="T353" i="26"/>
  <c r="Q353" i="26"/>
  <c r="O353" i="26"/>
  <c r="N353" i="26"/>
  <c r="P353" i="26" s="1"/>
  <c r="R353" i="26" s="1"/>
  <c r="S353" i="26" s="1"/>
  <c r="M353" i="26"/>
  <c r="L353" i="26"/>
  <c r="K353" i="26"/>
  <c r="I353" i="26"/>
  <c r="J353" i="26" s="1"/>
  <c r="H353" i="26"/>
  <c r="G353" i="26"/>
  <c r="F353" i="26"/>
  <c r="T352" i="26"/>
  <c r="S352" i="26"/>
  <c r="P352" i="26"/>
  <c r="R352" i="26" s="1"/>
  <c r="O352" i="26"/>
  <c r="Q352" i="26" s="1"/>
  <c r="N352" i="26"/>
  <c r="M352" i="26"/>
  <c r="K352" i="26"/>
  <c r="L352" i="26" s="1"/>
  <c r="J352" i="26"/>
  <c r="I352" i="26"/>
  <c r="H352" i="26"/>
  <c r="G352" i="26"/>
  <c r="F352" i="26"/>
  <c r="T351" i="26"/>
  <c r="O351" i="26"/>
  <c r="Q351" i="26" s="1"/>
  <c r="N351" i="26"/>
  <c r="P351" i="26" s="1"/>
  <c r="R351" i="26" s="1"/>
  <c r="S351" i="26" s="1"/>
  <c r="M351" i="26"/>
  <c r="L351" i="26"/>
  <c r="K351" i="26"/>
  <c r="J351" i="26"/>
  <c r="I351" i="26"/>
  <c r="H351" i="26"/>
  <c r="G351" i="26"/>
  <c r="F351" i="26"/>
  <c r="T350" i="26"/>
  <c r="Q350" i="26"/>
  <c r="O350" i="26"/>
  <c r="N350" i="26"/>
  <c r="P350" i="26" s="1"/>
  <c r="M350" i="26"/>
  <c r="K350" i="26"/>
  <c r="L350" i="26" s="1"/>
  <c r="I350" i="26"/>
  <c r="J350" i="26" s="1"/>
  <c r="H350" i="26"/>
  <c r="G350" i="26"/>
  <c r="F350" i="26"/>
  <c r="T349" i="26"/>
  <c r="P349" i="26"/>
  <c r="O349" i="26"/>
  <c r="Q349" i="26" s="1"/>
  <c r="N349" i="26"/>
  <c r="M349" i="26"/>
  <c r="L349" i="26"/>
  <c r="K349" i="26"/>
  <c r="J349" i="26"/>
  <c r="I349" i="26"/>
  <c r="H349" i="26"/>
  <c r="G349" i="26"/>
  <c r="F349" i="26"/>
  <c r="T348" i="26"/>
  <c r="O348" i="26"/>
  <c r="Q348" i="26" s="1"/>
  <c r="N348" i="26"/>
  <c r="P348" i="26" s="1"/>
  <c r="M348" i="26"/>
  <c r="L348" i="26"/>
  <c r="K348" i="26"/>
  <c r="I348" i="26"/>
  <c r="J348" i="26" s="1"/>
  <c r="H348" i="26"/>
  <c r="G348" i="26"/>
  <c r="F348" i="26"/>
  <c r="T347" i="26"/>
  <c r="S347" i="26"/>
  <c r="O347" i="26"/>
  <c r="Q347" i="26" s="1"/>
  <c r="N347" i="26"/>
  <c r="P347" i="26" s="1"/>
  <c r="R347" i="26" s="1"/>
  <c r="M347" i="26"/>
  <c r="K347" i="26"/>
  <c r="L347" i="26" s="1"/>
  <c r="J347" i="26"/>
  <c r="I347" i="26"/>
  <c r="H347" i="26"/>
  <c r="G347" i="26"/>
  <c r="F347" i="26"/>
  <c r="T346" i="26"/>
  <c r="O346" i="26"/>
  <c r="Q346" i="26" s="1"/>
  <c r="N346" i="26"/>
  <c r="P346" i="26" s="1"/>
  <c r="R346" i="26" s="1"/>
  <c r="S346" i="26" s="1"/>
  <c r="M346" i="26"/>
  <c r="L346" i="26"/>
  <c r="K346" i="26"/>
  <c r="J346" i="26"/>
  <c r="I346" i="26"/>
  <c r="H346" i="26"/>
  <c r="G346" i="26"/>
  <c r="F346" i="26"/>
  <c r="T345" i="26"/>
  <c r="Q345" i="26"/>
  <c r="O345" i="26"/>
  <c r="N345" i="26"/>
  <c r="P345" i="26" s="1"/>
  <c r="M345" i="26"/>
  <c r="L345" i="26"/>
  <c r="K345" i="26"/>
  <c r="I345" i="26"/>
  <c r="J345" i="26" s="1"/>
  <c r="H345" i="26"/>
  <c r="G345" i="26"/>
  <c r="F345" i="26"/>
  <c r="T344" i="26"/>
  <c r="P344" i="26"/>
  <c r="O344" i="26"/>
  <c r="Q344" i="26" s="1"/>
  <c r="N344" i="26"/>
  <c r="M344" i="26"/>
  <c r="K344" i="26"/>
  <c r="L344" i="26" s="1"/>
  <c r="J344" i="26"/>
  <c r="I344" i="26"/>
  <c r="H344" i="26"/>
  <c r="G344" i="26"/>
  <c r="F344" i="26"/>
  <c r="T343" i="26"/>
  <c r="O343" i="26"/>
  <c r="Q343" i="26" s="1"/>
  <c r="N343" i="26"/>
  <c r="P343" i="26" s="1"/>
  <c r="R343" i="26" s="1"/>
  <c r="S343" i="26" s="1"/>
  <c r="M343" i="26"/>
  <c r="L343" i="26"/>
  <c r="K343" i="26"/>
  <c r="J343" i="26"/>
  <c r="I343" i="26"/>
  <c r="H343" i="26"/>
  <c r="G343" i="26"/>
  <c r="F343" i="26"/>
  <c r="T342" i="26"/>
  <c r="Q342" i="26"/>
  <c r="O342" i="26"/>
  <c r="N342" i="26"/>
  <c r="P342" i="26" s="1"/>
  <c r="R342" i="26" s="1"/>
  <c r="S342" i="26" s="1"/>
  <c r="M342" i="26"/>
  <c r="K342" i="26"/>
  <c r="L342" i="26" s="1"/>
  <c r="I342" i="26"/>
  <c r="J342" i="26" s="1"/>
  <c r="H342" i="26"/>
  <c r="G342" i="26"/>
  <c r="F342" i="26"/>
  <c r="T341" i="26"/>
  <c r="P341" i="26"/>
  <c r="O341" i="26"/>
  <c r="Q341" i="26" s="1"/>
  <c r="N341" i="26"/>
  <c r="M341" i="26"/>
  <c r="L341" i="26"/>
  <c r="K341" i="26"/>
  <c r="J341" i="26"/>
  <c r="I341" i="26"/>
  <c r="H341" i="26"/>
  <c r="G341" i="26"/>
  <c r="F341" i="26"/>
  <c r="T340" i="26"/>
  <c r="O340" i="26"/>
  <c r="Q340" i="26" s="1"/>
  <c r="N340" i="26"/>
  <c r="P340" i="26" s="1"/>
  <c r="M340" i="26"/>
  <c r="L340" i="26"/>
  <c r="K340" i="26"/>
  <c r="I340" i="26"/>
  <c r="J340" i="26" s="1"/>
  <c r="H340" i="26"/>
  <c r="G340" i="26"/>
  <c r="F340" i="26"/>
  <c r="T339" i="26"/>
  <c r="O339" i="26"/>
  <c r="Q339" i="26" s="1"/>
  <c r="N339" i="26"/>
  <c r="P339" i="26" s="1"/>
  <c r="R339" i="26" s="1"/>
  <c r="S339" i="26" s="1"/>
  <c r="M339" i="26"/>
  <c r="K339" i="26"/>
  <c r="L339" i="26" s="1"/>
  <c r="J339" i="26"/>
  <c r="I339" i="26"/>
  <c r="H339" i="26"/>
  <c r="G339" i="26"/>
  <c r="F339" i="26"/>
  <c r="T338" i="26"/>
  <c r="R338" i="26"/>
  <c r="S338" i="26" s="1"/>
  <c r="O338" i="26"/>
  <c r="Q338" i="26" s="1"/>
  <c r="N338" i="26"/>
  <c r="P338" i="26" s="1"/>
  <c r="M338" i="26"/>
  <c r="L338" i="26"/>
  <c r="K338" i="26"/>
  <c r="J338" i="26"/>
  <c r="I338" i="26"/>
  <c r="H338" i="26"/>
  <c r="G338" i="26"/>
  <c r="F338" i="26"/>
  <c r="T337" i="26"/>
  <c r="Q337" i="26"/>
  <c r="O337" i="26"/>
  <c r="N337" i="26"/>
  <c r="P337" i="26" s="1"/>
  <c r="R337" i="26" s="1"/>
  <c r="S337" i="26" s="1"/>
  <c r="M337" i="26"/>
  <c r="L337" i="26"/>
  <c r="K337" i="26"/>
  <c r="I337" i="26"/>
  <c r="J337" i="26" s="1"/>
  <c r="H337" i="26"/>
  <c r="G337" i="26"/>
  <c r="F337" i="26"/>
  <c r="T336" i="26"/>
  <c r="P336" i="26"/>
  <c r="R336" i="26" s="1"/>
  <c r="S336" i="26" s="1"/>
  <c r="O336" i="26"/>
  <c r="Q336" i="26" s="1"/>
  <c r="N336" i="26"/>
  <c r="M336" i="26"/>
  <c r="K336" i="26"/>
  <c r="L336" i="26" s="1"/>
  <c r="J336" i="26"/>
  <c r="I336" i="26"/>
  <c r="H336" i="26"/>
  <c r="G336" i="26"/>
  <c r="F336" i="26"/>
  <c r="T335" i="26"/>
  <c r="R335" i="26"/>
  <c r="S335" i="26" s="1"/>
  <c r="O335" i="26"/>
  <c r="Q335" i="26" s="1"/>
  <c r="N335" i="26"/>
  <c r="P335" i="26" s="1"/>
  <c r="M335" i="26"/>
  <c r="L335" i="26"/>
  <c r="K335" i="26"/>
  <c r="J335" i="26"/>
  <c r="I335" i="26"/>
  <c r="H335" i="26"/>
  <c r="G335" i="26"/>
  <c r="F335" i="26"/>
  <c r="T334" i="26"/>
  <c r="Q334" i="26"/>
  <c r="O334" i="26"/>
  <c r="N334" i="26"/>
  <c r="P334" i="26" s="1"/>
  <c r="R334" i="26" s="1"/>
  <c r="S334" i="26" s="1"/>
  <c r="M334" i="26"/>
  <c r="K334" i="26"/>
  <c r="L334" i="26" s="1"/>
  <c r="I334" i="26"/>
  <c r="J334" i="26" s="1"/>
  <c r="H334" i="26"/>
  <c r="G334" i="26"/>
  <c r="F334" i="26"/>
  <c r="T333" i="26"/>
  <c r="P333" i="26"/>
  <c r="O333" i="26"/>
  <c r="Q333" i="26" s="1"/>
  <c r="N333" i="26"/>
  <c r="M333" i="26"/>
  <c r="L333" i="26"/>
  <c r="K333" i="26"/>
  <c r="J333" i="26"/>
  <c r="I333" i="26"/>
  <c r="H333" i="26"/>
  <c r="G333" i="26"/>
  <c r="F333" i="26"/>
  <c r="T332" i="26"/>
  <c r="O332" i="26"/>
  <c r="Q332" i="26" s="1"/>
  <c r="N332" i="26"/>
  <c r="P332" i="26" s="1"/>
  <c r="M332" i="26"/>
  <c r="L332" i="26"/>
  <c r="K332" i="26"/>
  <c r="I332" i="26"/>
  <c r="J332" i="26" s="1"/>
  <c r="H332" i="26"/>
  <c r="G332" i="26"/>
  <c r="F332" i="26"/>
  <c r="T331" i="26"/>
  <c r="O331" i="26"/>
  <c r="Q331" i="26" s="1"/>
  <c r="N331" i="26"/>
  <c r="P331" i="26" s="1"/>
  <c r="M331" i="26"/>
  <c r="K331" i="26"/>
  <c r="L331" i="26" s="1"/>
  <c r="J331" i="26"/>
  <c r="I331" i="26"/>
  <c r="H331" i="26"/>
  <c r="G331" i="26"/>
  <c r="F331" i="26"/>
  <c r="T330" i="26"/>
  <c r="O330" i="26"/>
  <c r="Q330" i="26" s="1"/>
  <c r="R330" i="26" s="1"/>
  <c r="S330" i="26" s="1"/>
  <c r="N330" i="26"/>
  <c r="P330" i="26" s="1"/>
  <c r="M330" i="26"/>
  <c r="L330" i="26"/>
  <c r="K330" i="26"/>
  <c r="J330" i="26"/>
  <c r="I330" i="26"/>
  <c r="H330" i="26"/>
  <c r="G330" i="26"/>
  <c r="F330" i="26"/>
  <c r="T329" i="26"/>
  <c r="Q329" i="26"/>
  <c r="O329" i="26"/>
  <c r="N329" i="26"/>
  <c r="P329" i="26" s="1"/>
  <c r="R329" i="26" s="1"/>
  <c r="S329" i="26" s="1"/>
  <c r="M329" i="26"/>
  <c r="L329" i="26"/>
  <c r="K329" i="26"/>
  <c r="I329" i="26"/>
  <c r="J329" i="26" s="1"/>
  <c r="H329" i="26"/>
  <c r="G329" i="26"/>
  <c r="F329" i="26"/>
  <c r="T328" i="26"/>
  <c r="P328" i="26"/>
  <c r="O328" i="26"/>
  <c r="Q328" i="26" s="1"/>
  <c r="N328" i="26"/>
  <c r="M328" i="26"/>
  <c r="K328" i="26"/>
  <c r="L328" i="26" s="1"/>
  <c r="J328" i="26"/>
  <c r="I328" i="26"/>
  <c r="H328" i="26"/>
  <c r="G328" i="26"/>
  <c r="F328" i="26"/>
  <c r="T327" i="26"/>
  <c r="O327" i="26"/>
  <c r="Q327" i="26" s="1"/>
  <c r="N327" i="26"/>
  <c r="P327" i="26" s="1"/>
  <c r="R327" i="26" s="1"/>
  <c r="S327" i="26" s="1"/>
  <c r="M327" i="26"/>
  <c r="L327" i="26"/>
  <c r="K327" i="26"/>
  <c r="J327" i="26"/>
  <c r="I327" i="26"/>
  <c r="H327" i="26"/>
  <c r="G327" i="26"/>
  <c r="F327" i="26"/>
  <c r="T326" i="26"/>
  <c r="Q326" i="26"/>
  <c r="P326" i="26"/>
  <c r="R326" i="26" s="1"/>
  <c r="S326" i="26" s="1"/>
  <c r="O326" i="26"/>
  <c r="N326" i="26"/>
  <c r="M326" i="26"/>
  <c r="K326" i="26"/>
  <c r="L326" i="26" s="1"/>
  <c r="I326" i="26"/>
  <c r="J326" i="26" s="1"/>
  <c r="H326" i="26"/>
  <c r="G326" i="26"/>
  <c r="F326" i="26"/>
  <c r="T325" i="26"/>
  <c r="P325" i="26"/>
  <c r="R325" i="26" s="1"/>
  <c r="S325" i="26" s="1"/>
  <c r="O325" i="26"/>
  <c r="Q325" i="26" s="1"/>
  <c r="N325" i="26"/>
  <c r="M325" i="26"/>
  <c r="L325" i="26"/>
  <c r="K325" i="26"/>
  <c r="J325" i="26"/>
  <c r="I325" i="26"/>
  <c r="H325" i="26"/>
  <c r="G325" i="26"/>
  <c r="F325" i="26"/>
  <c r="T324" i="26"/>
  <c r="O324" i="26"/>
  <c r="Q324" i="26" s="1"/>
  <c r="N324" i="26"/>
  <c r="P324" i="26" s="1"/>
  <c r="R324" i="26" s="1"/>
  <c r="S324" i="26" s="1"/>
  <c r="M324" i="26"/>
  <c r="L324" i="26"/>
  <c r="K324" i="26"/>
  <c r="I324" i="26"/>
  <c r="J324" i="26" s="1"/>
  <c r="H324" i="26"/>
  <c r="G324" i="26"/>
  <c r="F324" i="26"/>
  <c r="T323" i="26"/>
  <c r="O323" i="26"/>
  <c r="Q323" i="26" s="1"/>
  <c r="N323" i="26"/>
  <c r="P323" i="26" s="1"/>
  <c r="R323" i="26" s="1"/>
  <c r="S323" i="26" s="1"/>
  <c r="M323" i="26"/>
  <c r="K323" i="26"/>
  <c r="L323" i="26" s="1"/>
  <c r="J323" i="26"/>
  <c r="I323" i="26"/>
  <c r="H323" i="26"/>
  <c r="G323" i="26"/>
  <c r="F323" i="26"/>
  <c r="T322" i="26"/>
  <c r="O322" i="26"/>
  <c r="Q322" i="26" s="1"/>
  <c r="R322" i="26" s="1"/>
  <c r="S322" i="26" s="1"/>
  <c r="N322" i="26"/>
  <c r="P322" i="26" s="1"/>
  <c r="M322" i="26"/>
  <c r="L322" i="26"/>
  <c r="K322" i="26"/>
  <c r="J322" i="26"/>
  <c r="I322" i="26"/>
  <c r="H322" i="26"/>
  <c r="G322" i="26"/>
  <c r="F322" i="26"/>
  <c r="T321" i="26"/>
  <c r="Q321" i="26"/>
  <c r="P321" i="26"/>
  <c r="R321" i="26" s="1"/>
  <c r="S321" i="26" s="1"/>
  <c r="O321" i="26"/>
  <c r="N321" i="26"/>
  <c r="M321" i="26"/>
  <c r="K321" i="26"/>
  <c r="L321" i="26" s="1"/>
  <c r="I321" i="26"/>
  <c r="J321" i="26" s="1"/>
  <c r="H321" i="26"/>
  <c r="G321" i="26"/>
  <c r="F321" i="26"/>
  <c r="T320" i="26"/>
  <c r="P320" i="26"/>
  <c r="R320" i="26" s="1"/>
  <c r="S320" i="26" s="1"/>
  <c r="O320" i="26"/>
  <c r="Q320" i="26" s="1"/>
  <c r="N320" i="26"/>
  <c r="M320" i="26"/>
  <c r="K320" i="26"/>
  <c r="L320" i="26" s="1"/>
  <c r="I320" i="26"/>
  <c r="J320" i="26" s="1"/>
  <c r="H320" i="26"/>
  <c r="G320" i="26"/>
  <c r="F320" i="26"/>
  <c r="T319" i="26"/>
  <c r="Q319" i="26"/>
  <c r="R319" i="26" s="1"/>
  <c r="S319" i="26" s="1"/>
  <c r="P319" i="26"/>
  <c r="O319" i="26"/>
  <c r="N319" i="26"/>
  <c r="M319" i="26"/>
  <c r="L319" i="26"/>
  <c r="K319" i="26"/>
  <c r="I319" i="26"/>
  <c r="J319" i="26" s="1"/>
  <c r="H319" i="26"/>
  <c r="G319" i="26"/>
  <c r="F319" i="26"/>
  <c r="T318" i="26"/>
  <c r="P318" i="26"/>
  <c r="O318" i="26"/>
  <c r="Q318" i="26" s="1"/>
  <c r="N318" i="26"/>
  <c r="M318" i="26"/>
  <c r="K318" i="26"/>
  <c r="L318" i="26" s="1"/>
  <c r="I318" i="26"/>
  <c r="J318" i="26" s="1"/>
  <c r="H318" i="26"/>
  <c r="G318" i="26"/>
  <c r="F318" i="26"/>
  <c r="T317" i="26"/>
  <c r="O317" i="26"/>
  <c r="Q317" i="26" s="1"/>
  <c r="N317" i="26"/>
  <c r="P317" i="26" s="1"/>
  <c r="R317" i="26" s="1"/>
  <c r="S317" i="26" s="1"/>
  <c r="M317" i="26"/>
  <c r="L317" i="26"/>
  <c r="K317" i="26"/>
  <c r="J317" i="26"/>
  <c r="I317" i="26"/>
  <c r="H317" i="26"/>
  <c r="G317" i="26"/>
  <c r="F317" i="26"/>
  <c r="T316" i="26"/>
  <c r="O316" i="26"/>
  <c r="Q316" i="26" s="1"/>
  <c r="N316" i="26"/>
  <c r="P316" i="26" s="1"/>
  <c r="M316" i="26"/>
  <c r="K316" i="26"/>
  <c r="L316" i="26" s="1"/>
  <c r="I316" i="26"/>
  <c r="J316" i="26" s="1"/>
  <c r="H316" i="26"/>
  <c r="G316" i="26"/>
  <c r="F316" i="26"/>
  <c r="T315" i="26"/>
  <c r="O315" i="26"/>
  <c r="Q315" i="26" s="1"/>
  <c r="N315" i="26"/>
  <c r="P315" i="26" s="1"/>
  <c r="M315" i="26"/>
  <c r="L315" i="26"/>
  <c r="K315" i="26"/>
  <c r="J315" i="26"/>
  <c r="I315" i="26"/>
  <c r="H315" i="26"/>
  <c r="G315" i="26"/>
  <c r="F315" i="26"/>
  <c r="T314" i="26"/>
  <c r="Q314" i="26"/>
  <c r="O314" i="26"/>
  <c r="N314" i="26"/>
  <c r="P314" i="26" s="1"/>
  <c r="R314" i="26" s="1"/>
  <c r="S314" i="26" s="1"/>
  <c r="M314" i="26"/>
  <c r="K314" i="26"/>
  <c r="L314" i="26" s="1"/>
  <c r="J314" i="26"/>
  <c r="I314" i="26"/>
  <c r="H314" i="26"/>
  <c r="G314" i="26"/>
  <c r="F314" i="26"/>
  <c r="T313" i="26"/>
  <c r="Q313" i="26"/>
  <c r="O313" i="26"/>
  <c r="N313" i="26"/>
  <c r="P313" i="26" s="1"/>
  <c r="M313" i="26"/>
  <c r="L313" i="26"/>
  <c r="K313" i="26"/>
  <c r="I313" i="26"/>
  <c r="J313" i="26" s="1"/>
  <c r="H313" i="26"/>
  <c r="G313" i="26"/>
  <c r="F313" i="26"/>
  <c r="T312" i="26"/>
  <c r="Q312" i="26"/>
  <c r="P312" i="26"/>
  <c r="R312" i="26" s="1"/>
  <c r="S312" i="26" s="1"/>
  <c r="O312" i="26"/>
  <c r="N312" i="26"/>
  <c r="M312" i="26"/>
  <c r="K312" i="26"/>
  <c r="L312" i="26" s="1"/>
  <c r="J312" i="26"/>
  <c r="I312" i="26"/>
  <c r="H312" i="26"/>
  <c r="G312" i="26"/>
  <c r="F312" i="26"/>
  <c r="T311" i="26"/>
  <c r="P311" i="26"/>
  <c r="O311" i="26"/>
  <c r="Q311" i="26" s="1"/>
  <c r="N311" i="26"/>
  <c r="M311" i="26"/>
  <c r="L311" i="26"/>
  <c r="K311" i="26"/>
  <c r="I311" i="26"/>
  <c r="J311" i="26" s="1"/>
  <c r="H311" i="26"/>
  <c r="G311" i="26"/>
  <c r="F311" i="26"/>
  <c r="T310" i="26"/>
  <c r="O310" i="26"/>
  <c r="Q310" i="26" s="1"/>
  <c r="N310" i="26"/>
  <c r="P310" i="26" s="1"/>
  <c r="R310" i="26" s="1"/>
  <c r="S310" i="26" s="1"/>
  <c r="M310" i="26"/>
  <c r="K310" i="26"/>
  <c r="L310" i="26" s="1"/>
  <c r="I310" i="26"/>
  <c r="J310" i="26" s="1"/>
  <c r="H310" i="26"/>
  <c r="G310" i="26"/>
  <c r="F310" i="26"/>
  <c r="T309" i="26"/>
  <c r="R309" i="26"/>
  <c r="S309" i="26" s="1"/>
  <c r="O309" i="26"/>
  <c r="Q309" i="26" s="1"/>
  <c r="N309" i="26"/>
  <c r="P309" i="26" s="1"/>
  <c r="M309" i="26"/>
  <c r="L309" i="26"/>
  <c r="K309" i="26"/>
  <c r="J309" i="26"/>
  <c r="I309" i="26"/>
  <c r="H309" i="26"/>
  <c r="G309" i="26"/>
  <c r="F309" i="26"/>
  <c r="T308" i="26"/>
  <c r="O308" i="26"/>
  <c r="Q308" i="26" s="1"/>
  <c r="N308" i="26"/>
  <c r="P308" i="26" s="1"/>
  <c r="R308" i="26" s="1"/>
  <c r="S308" i="26" s="1"/>
  <c r="M308" i="26"/>
  <c r="K308" i="26"/>
  <c r="L308" i="26" s="1"/>
  <c r="I308" i="26"/>
  <c r="J308" i="26" s="1"/>
  <c r="H308" i="26"/>
  <c r="G308" i="26"/>
  <c r="F308" i="26"/>
  <c r="T307" i="26"/>
  <c r="P307" i="26"/>
  <c r="R307" i="26" s="1"/>
  <c r="S307" i="26" s="1"/>
  <c r="O307" i="26"/>
  <c r="Q307" i="26" s="1"/>
  <c r="N307" i="26"/>
  <c r="M307" i="26"/>
  <c r="K307" i="26"/>
  <c r="L307" i="26" s="1"/>
  <c r="J307" i="26"/>
  <c r="I307" i="26"/>
  <c r="H307" i="26"/>
  <c r="G307" i="26"/>
  <c r="F307" i="26"/>
  <c r="T306" i="26"/>
  <c r="R306" i="26"/>
  <c r="S306" i="26" s="1"/>
  <c r="O306" i="26"/>
  <c r="Q306" i="26" s="1"/>
  <c r="N306" i="26"/>
  <c r="P306" i="26" s="1"/>
  <c r="M306" i="26"/>
  <c r="K306" i="26"/>
  <c r="L306" i="26" s="1"/>
  <c r="I306" i="26"/>
  <c r="J306" i="26" s="1"/>
  <c r="H306" i="26"/>
  <c r="G306" i="26"/>
  <c r="F306" i="26"/>
  <c r="T305" i="26"/>
  <c r="Q305" i="26"/>
  <c r="P305" i="26"/>
  <c r="R305" i="26" s="1"/>
  <c r="S305" i="26" s="1"/>
  <c r="O305" i="26"/>
  <c r="N305" i="26"/>
  <c r="M305" i="26"/>
  <c r="K305" i="26"/>
  <c r="L305" i="26" s="1"/>
  <c r="I305" i="26"/>
  <c r="J305" i="26" s="1"/>
  <c r="H305" i="26"/>
  <c r="G305" i="26"/>
  <c r="F305" i="26"/>
  <c r="T304" i="26"/>
  <c r="P304" i="26"/>
  <c r="R304" i="26" s="1"/>
  <c r="S304" i="26" s="1"/>
  <c r="O304" i="26"/>
  <c r="Q304" i="26" s="1"/>
  <c r="N304" i="26"/>
  <c r="M304" i="26"/>
  <c r="K304" i="26"/>
  <c r="L304" i="26" s="1"/>
  <c r="I304" i="26"/>
  <c r="J304" i="26" s="1"/>
  <c r="H304" i="26"/>
  <c r="G304" i="26"/>
  <c r="F304" i="26"/>
  <c r="T303" i="26"/>
  <c r="Q303" i="26"/>
  <c r="O303" i="26"/>
  <c r="N303" i="26"/>
  <c r="P303" i="26" s="1"/>
  <c r="R303" i="26" s="1"/>
  <c r="S303" i="26" s="1"/>
  <c r="M303" i="26"/>
  <c r="L303" i="26"/>
  <c r="K303" i="26"/>
  <c r="I303" i="26"/>
  <c r="J303" i="26" s="1"/>
  <c r="H303" i="26"/>
  <c r="G303" i="26"/>
  <c r="F303" i="26"/>
  <c r="T302" i="26"/>
  <c r="P302" i="26"/>
  <c r="O302" i="26"/>
  <c r="Q302" i="26" s="1"/>
  <c r="N302" i="26"/>
  <c r="M302" i="26"/>
  <c r="K302" i="26"/>
  <c r="L302" i="26" s="1"/>
  <c r="I302" i="26"/>
  <c r="J302" i="26" s="1"/>
  <c r="H302" i="26"/>
  <c r="G302" i="26"/>
  <c r="F302" i="26"/>
  <c r="T301" i="26"/>
  <c r="O301" i="26"/>
  <c r="Q301" i="26" s="1"/>
  <c r="N301" i="26"/>
  <c r="P301" i="26" s="1"/>
  <c r="R301" i="26" s="1"/>
  <c r="S301" i="26" s="1"/>
  <c r="M301" i="26"/>
  <c r="L301" i="26"/>
  <c r="K301" i="26"/>
  <c r="J301" i="26"/>
  <c r="I301" i="26"/>
  <c r="H301" i="26"/>
  <c r="G301" i="26"/>
  <c r="F301" i="26"/>
  <c r="T300" i="26"/>
  <c r="O300" i="26"/>
  <c r="Q300" i="26" s="1"/>
  <c r="N300" i="26"/>
  <c r="P300" i="26" s="1"/>
  <c r="M300" i="26"/>
  <c r="K300" i="26"/>
  <c r="L300" i="26" s="1"/>
  <c r="I300" i="26"/>
  <c r="J300" i="26" s="1"/>
  <c r="H300" i="26"/>
  <c r="G300" i="26"/>
  <c r="F300" i="26"/>
  <c r="T299" i="26"/>
  <c r="O299" i="26"/>
  <c r="Q299" i="26" s="1"/>
  <c r="N299" i="26"/>
  <c r="P299" i="26" s="1"/>
  <c r="M299" i="26"/>
  <c r="L299" i="26"/>
  <c r="K299" i="26"/>
  <c r="J299" i="26"/>
  <c r="I299" i="26"/>
  <c r="H299" i="26"/>
  <c r="G299" i="26"/>
  <c r="F299" i="26"/>
  <c r="T298" i="26"/>
  <c r="O298" i="26"/>
  <c r="Q298" i="26" s="1"/>
  <c r="N298" i="26"/>
  <c r="P298" i="26" s="1"/>
  <c r="M298" i="26"/>
  <c r="K298" i="26"/>
  <c r="L298" i="26" s="1"/>
  <c r="J298" i="26"/>
  <c r="I298" i="26"/>
  <c r="H298" i="26"/>
  <c r="G298" i="26"/>
  <c r="F298" i="26"/>
  <c r="T297" i="26"/>
  <c r="Q297" i="26"/>
  <c r="O297" i="26"/>
  <c r="N297" i="26"/>
  <c r="P297" i="26" s="1"/>
  <c r="R297" i="26" s="1"/>
  <c r="S297" i="26" s="1"/>
  <c r="M297" i="26"/>
  <c r="L297" i="26"/>
  <c r="K297" i="26"/>
  <c r="I297" i="26"/>
  <c r="J297" i="26" s="1"/>
  <c r="H297" i="26"/>
  <c r="G297" i="26"/>
  <c r="F297" i="26"/>
  <c r="T296" i="26"/>
  <c r="S296" i="26"/>
  <c r="Q296" i="26"/>
  <c r="P296" i="26"/>
  <c r="R296" i="26" s="1"/>
  <c r="O296" i="26"/>
  <c r="N296" i="26"/>
  <c r="M296" i="26"/>
  <c r="K296" i="26"/>
  <c r="L296" i="26" s="1"/>
  <c r="J296" i="26"/>
  <c r="I296" i="26"/>
  <c r="H296" i="26"/>
  <c r="G296" i="26"/>
  <c r="F296" i="26"/>
  <c r="T295" i="26"/>
  <c r="P295" i="26"/>
  <c r="O295" i="26"/>
  <c r="Q295" i="26" s="1"/>
  <c r="N295" i="26"/>
  <c r="M295" i="26"/>
  <c r="K295" i="26"/>
  <c r="L295" i="26" s="1"/>
  <c r="I295" i="26"/>
  <c r="J295" i="26" s="1"/>
  <c r="H295" i="26"/>
  <c r="G295" i="26"/>
  <c r="F295" i="26"/>
  <c r="T294" i="26"/>
  <c r="O294" i="26"/>
  <c r="Q294" i="26" s="1"/>
  <c r="N294" i="26"/>
  <c r="P294" i="26" s="1"/>
  <c r="M294" i="26"/>
  <c r="K294" i="26"/>
  <c r="L294" i="26" s="1"/>
  <c r="I294" i="26"/>
  <c r="J294" i="26" s="1"/>
  <c r="H294" i="26"/>
  <c r="G294" i="26"/>
  <c r="F294" i="26"/>
  <c r="T293" i="26"/>
  <c r="Q293" i="26"/>
  <c r="O293" i="26"/>
  <c r="N293" i="26"/>
  <c r="P293" i="26" s="1"/>
  <c r="M293" i="26"/>
  <c r="L293" i="26"/>
  <c r="K293" i="26"/>
  <c r="I293" i="26"/>
  <c r="J293" i="26" s="1"/>
  <c r="H293" i="26"/>
  <c r="G293" i="26"/>
  <c r="F293" i="26"/>
  <c r="T292" i="26"/>
  <c r="Q292" i="26"/>
  <c r="P292" i="26"/>
  <c r="R292" i="26" s="1"/>
  <c r="S292" i="26" s="1"/>
  <c r="O292" i="26"/>
  <c r="N292" i="26"/>
  <c r="M292" i="26"/>
  <c r="K292" i="26"/>
  <c r="L292" i="26" s="1"/>
  <c r="I292" i="26"/>
  <c r="J292" i="26" s="1"/>
  <c r="H292" i="26"/>
  <c r="G292" i="26"/>
  <c r="F292" i="26"/>
  <c r="T291" i="26"/>
  <c r="P291" i="26"/>
  <c r="O291" i="26"/>
  <c r="Q291" i="26" s="1"/>
  <c r="R291" i="26" s="1"/>
  <c r="S291" i="26" s="1"/>
  <c r="N291" i="26"/>
  <c r="M291" i="26"/>
  <c r="K291" i="26"/>
  <c r="L291" i="26" s="1"/>
  <c r="J291" i="26"/>
  <c r="I291" i="26"/>
  <c r="H291" i="26"/>
  <c r="G291" i="26"/>
  <c r="F291" i="26"/>
  <c r="T290" i="26"/>
  <c r="Q290" i="26"/>
  <c r="O290" i="26"/>
  <c r="N290" i="26"/>
  <c r="P290" i="26" s="1"/>
  <c r="R290" i="26" s="1"/>
  <c r="S290" i="26" s="1"/>
  <c r="M290" i="26"/>
  <c r="K290" i="26"/>
  <c r="L290" i="26" s="1"/>
  <c r="I290" i="26"/>
  <c r="J290" i="26" s="1"/>
  <c r="H290" i="26"/>
  <c r="G290" i="26"/>
  <c r="F290" i="26"/>
  <c r="T289" i="26"/>
  <c r="P289" i="26"/>
  <c r="O289" i="26"/>
  <c r="Q289" i="26" s="1"/>
  <c r="N289" i="26"/>
  <c r="M289" i="26"/>
  <c r="K289" i="26"/>
  <c r="L289" i="26" s="1"/>
  <c r="I289" i="26"/>
  <c r="J289" i="26" s="1"/>
  <c r="H289" i="26"/>
  <c r="G289" i="26"/>
  <c r="F289" i="26"/>
  <c r="T288" i="26"/>
  <c r="O288" i="26"/>
  <c r="Q288" i="26" s="1"/>
  <c r="N288" i="26"/>
  <c r="P288" i="26" s="1"/>
  <c r="M288" i="26"/>
  <c r="L288" i="26"/>
  <c r="K288" i="26"/>
  <c r="I288" i="26"/>
  <c r="J288" i="26" s="1"/>
  <c r="H288" i="26"/>
  <c r="G288" i="26"/>
  <c r="F288" i="26"/>
  <c r="T287" i="26"/>
  <c r="S287" i="26"/>
  <c r="O287" i="26"/>
  <c r="Q287" i="26" s="1"/>
  <c r="N287" i="26"/>
  <c r="P287" i="26" s="1"/>
  <c r="R287" i="26" s="1"/>
  <c r="M287" i="26"/>
  <c r="K287" i="26"/>
  <c r="L287" i="26" s="1"/>
  <c r="I287" i="26"/>
  <c r="J287" i="26" s="1"/>
  <c r="H287" i="26"/>
  <c r="G287" i="26"/>
  <c r="F287" i="26"/>
  <c r="T286" i="26"/>
  <c r="O286" i="26"/>
  <c r="Q286" i="26" s="1"/>
  <c r="N286" i="26"/>
  <c r="P286" i="26" s="1"/>
  <c r="R286" i="26" s="1"/>
  <c r="S286" i="26" s="1"/>
  <c r="M286" i="26"/>
  <c r="K286" i="26"/>
  <c r="L286" i="26" s="1"/>
  <c r="J286" i="26"/>
  <c r="I286" i="26"/>
  <c r="H286" i="26"/>
  <c r="G286" i="26"/>
  <c r="F286" i="26"/>
  <c r="T285" i="26"/>
  <c r="Q285" i="26"/>
  <c r="O285" i="26"/>
  <c r="N285" i="26"/>
  <c r="P285" i="26" s="1"/>
  <c r="M285" i="26"/>
  <c r="L285" i="26"/>
  <c r="K285" i="26"/>
  <c r="I285" i="26"/>
  <c r="J285" i="26" s="1"/>
  <c r="H285" i="26"/>
  <c r="G285" i="26"/>
  <c r="F285" i="26"/>
  <c r="T284" i="26"/>
  <c r="S284" i="26"/>
  <c r="Q284" i="26"/>
  <c r="P284" i="26"/>
  <c r="R284" i="26" s="1"/>
  <c r="O284" i="26"/>
  <c r="N284" i="26"/>
  <c r="M284" i="26"/>
  <c r="K284" i="26"/>
  <c r="L284" i="26" s="1"/>
  <c r="I284" i="26"/>
  <c r="J284" i="26" s="1"/>
  <c r="H284" i="26"/>
  <c r="G284" i="26"/>
  <c r="F284" i="26"/>
  <c r="T283" i="26"/>
  <c r="P283" i="26"/>
  <c r="O283" i="26"/>
  <c r="Q283" i="26" s="1"/>
  <c r="R283" i="26" s="1"/>
  <c r="S283" i="26" s="1"/>
  <c r="N283" i="26"/>
  <c r="M283" i="26"/>
  <c r="K283" i="26"/>
  <c r="L283" i="26" s="1"/>
  <c r="J283" i="26"/>
  <c r="I283" i="26"/>
  <c r="H283" i="26"/>
  <c r="G283" i="26"/>
  <c r="F283" i="26"/>
  <c r="T282" i="26"/>
  <c r="Q282" i="26"/>
  <c r="O282" i="26"/>
  <c r="N282" i="26"/>
  <c r="P282" i="26" s="1"/>
  <c r="M282" i="26"/>
  <c r="K282" i="26"/>
  <c r="L282" i="26" s="1"/>
  <c r="I282" i="26"/>
  <c r="J282" i="26" s="1"/>
  <c r="H282" i="26"/>
  <c r="G282" i="26"/>
  <c r="F282" i="26"/>
  <c r="T281" i="26"/>
  <c r="P281" i="26"/>
  <c r="R281" i="26" s="1"/>
  <c r="S281" i="26" s="1"/>
  <c r="O281" i="26"/>
  <c r="Q281" i="26" s="1"/>
  <c r="N281" i="26"/>
  <c r="M281" i="26"/>
  <c r="K281" i="26"/>
  <c r="L281" i="26" s="1"/>
  <c r="I281" i="26"/>
  <c r="J281" i="26" s="1"/>
  <c r="H281" i="26"/>
  <c r="G281" i="26"/>
  <c r="F281" i="26"/>
  <c r="T280" i="26"/>
  <c r="O280" i="26"/>
  <c r="Q280" i="26" s="1"/>
  <c r="N280" i="26"/>
  <c r="P280" i="26" s="1"/>
  <c r="R280" i="26" s="1"/>
  <c r="S280" i="26" s="1"/>
  <c r="M280" i="26"/>
  <c r="L280" i="26"/>
  <c r="K280" i="26"/>
  <c r="I280" i="26"/>
  <c r="J280" i="26" s="1"/>
  <c r="H280" i="26"/>
  <c r="G280" i="26"/>
  <c r="F280" i="26"/>
  <c r="T279" i="26"/>
  <c r="O279" i="26"/>
  <c r="Q279" i="26" s="1"/>
  <c r="N279" i="26"/>
  <c r="P279" i="26" s="1"/>
  <c r="R279" i="26" s="1"/>
  <c r="S279" i="26" s="1"/>
  <c r="M279" i="26"/>
  <c r="K279" i="26"/>
  <c r="L279" i="26" s="1"/>
  <c r="I279" i="26"/>
  <c r="J279" i="26" s="1"/>
  <c r="H279" i="26"/>
  <c r="G279" i="26"/>
  <c r="F279" i="26"/>
  <c r="T278" i="26"/>
  <c r="R278" i="26"/>
  <c r="S278" i="26" s="1"/>
  <c r="O278" i="26"/>
  <c r="Q278" i="26" s="1"/>
  <c r="N278" i="26"/>
  <c r="P278" i="26" s="1"/>
  <c r="M278" i="26"/>
  <c r="K278" i="26"/>
  <c r="L278" i="26" s="1"/>
  <c r="J278" i="26"/>
  <c r="I278" i="26"/>
  <c r="H278" i="26"/>
  <c r="G278" i="26"/>
  <c r="F278" i="26"/>
  <c r="T277" i="26"/>
  <c r="Q277" i="26"/>
  <c r="O277" i="26"/>
  <c r="N277" i="26"/>
  <c r="P277" i="26" s="1"/>
  <c r="R277" i="26" s="1"/>
  <c r="S277" i="26" s="1"/>
  <c r="M277" i="26"/>
  <c r="L277" i="26"/>
  <c r="K277" i="26"/>
  <c r="I277" i="26"/>
  <c r="J277" i="26" s="1"/>
  <c r="H277" i="26"/>
  <c r="G277" i="26"/>
  <c r="F277" i="26"/>
  <c r="T276" i="26"/>
  <c r="Q276" i="26"/>
  <c r="P276" i="26"/>
  <c r="R276" i="26" s="1"/>
  <c r="S276" i="26" s="1"/>
  <c r="O276" i="26"/>
  <c r="N276" i="26"/>
  <c r="M276" i="26"/>
  <c r="K276" i="26"/>
  <c r="L276" i="26" s="1"/>
  <c r="I276" i="26"/>
  <c r="J276" i="26" s="1"/>
  <c r="H276" i="26"/>
  <c r="G276" i="26"/>
  <c r="F276" i="26"/>
  <c r="T275" i="26"/>
  <c r="P275" i="26"/>
  <c r="O275" i="26"/>
  <c r="Q275" i="26" s="1"/>
  <c r="R275" i="26" s="1"/>
  <c r="S275" i="26" s="1"/>
  <c r="N275" i="26"/>
  <c r="M275" i="26"/>
  <c r="K275" i="26"/>
  <c r="L275" i="26" s="1"/>
  <c r="J275" i="26"/>
  <c r="I275" i="26"/>
  <c r="H275" i="26"/>
  <c r="G275" i="26"/>
  <c r="F275" i="26"/>
  <c r="T274" i="26"/>
  <c r="Q274" i="26"/>
  <c r="O274" i="26"/>
  <c r="N274" i="26"/>
  <c r="P274" i="26" s="1"/>
  <c r="R274" i="26" s="1"/>
  <c r="S274" i="26" s="1"/>
  <c r="M274" i="26"/>
  <c r="K274" i="26"/>
  <c r="L274" i="26" s="1"/>
  <c r="I274" i="26"/>
  <c r="J274" i="26" s="1"/>
  <c r="H274" i="26"/>
  <c r="G274" i="26"/>
  <c r="F274" i="26"/>
  <c r="T273" i="26"/>
  <c r="P273" i="26"/>
  <c r="R273" i="26" s="1"/>
  <c r="S273" i="26" s="1"/>
  <c r="O273" i="26"/>
  <c r="Q273" i="26" s="1"/>
  <c r="N273" i="26"/>
  <c r="M273" i="26"/>
  <c r="K273" i="26"/>
  <c r="L273" i="26" s="1"/>
  <c r="I273" i="26"/>
  <c r="J273" i="26" s="1"/>
  <c r="H273" i="26"/>
  <c r="G273" i="26"/>
  <c r="F273" i="26"/>
  <c r="T272" i="26"/>
  <c r="O272" i="26"/>
  <c r="Q272" i="26" s="1"/>
  <c r="N272" i="26"/>
  <c r="P272" i="26" s="1"/>
  <c r="M272" i="26"/>
  <c r="L272" i="26"/>
  <c r="K272" i="26"/>
  <c r="I272" i="26"/>
  <c r="J272" i="26" s="1"/>
  <c r="H272" i="26"/>
  <c r="G272" i="26"/>
  <c r="F272" i="26"/>
  <c r="T271" i="26"/>
  <c r="O271" i="26"/>
  <c r="Q271" i="26" s="1"/>
  <c r="N271" i="26"/>
  <c r="P271" i="26" s="1"/>
  <c r="M271" i="26"/>
  <c r="K271" i="26"/>
  <c r="L271" i="26" s="1"/>
  <c r="I271" i="26"/>
  <c r="J271" i="26" s="1"/>
  <c r="H271" i="26"/>
  <c r="G271" i="26"/>
  <c r="F271" i="26"/>
  <c r="T270" i="26"/>
  <c r="O270" i="26"/>
  <c r="Q270" i="26" s="1"/>
  <c r="N270" i="26"/>
  <c r="P270" i="26" s="1"/>
  <c r="R270" i="26" s="1"/>
  <c r="S270" i="26" s="1"/>
  <c r="M270" i="26"/>
  <c r="K270" i="26"/>
  <c r="L270" i="26" s="1"/>
  <c r="J270" i="26"/>
  <c r="I270" i="26"/>
  <c r="H270" i="26"/>
  <c r="G270" i="26"/>
  <c r="F270" i="26"/>
  <c r="T269" i="26"/>
  <c r="Q269" i="26"/>
  <c r="O269" i="26"/>
  <c r="N269" i="26"/>
  <c r="P269" i="26" s="1"/>
  <c r="M269" i="26"/>
  <c r="L269" i="26"/>
  <c r="K269" i="26"/>
  <c r="I269" i="26"/>
  <c r="J269" i="26" s="1"/>
  <c r="H269" i="26"/>
  <c r="G269" i="26"/>
  <c r="F269" i="26"/>
  <c r="T268" i="26"/>
  <c r="Q268" i="26"/>
  <c r="P268" i="26"/>
  <c r="R268" i="26" s="1"/>
  <c r="S268" i="26" s="1"/>
  <c r="O268" i="26"/>
  <c r="N268" i="26"/>
  <c r="M268" i="26"/>
  <c r="K268" i="26"/>
  <c r="L268" i="26" s="1"/>
  <c r="I268" i="26"/>
  <c r="J268" i="26" s="1"/>
  <c r="H268" i="26"/>
  <c r="G268" i="26"/>
  <c r="F268" i="26"/>
  <c r="T267" i="26"/>
  <c r="R267" i="26"/>
  <c r="S267" i="26" s="1"/>
  <c r="P267" i="26"/>
  <c r="O267" i="26"/>
  <c r="Q267" i="26" s="1"/>
  <c r="N267" i="26"/>
  <c r="M267" i="26"/>
  <c r="K267" i="26"/>
  <c r="L267" i="26" s="1"/>
  <c r="J267" i="26"/>
  <c r="I267" i="26"/>
  <c r="H267" i="26"/>
  <c r="G267" i="26"/>
  <c r="F267" i="26"/>
  <c r="T266" i="26"/>
  <c r="Q266" i="26"/>
  <c r="O266" i="26"/>
  <c r="N266" i="26"/>
  <c r="P266" i="26" s="1"/>
  <c r="R266" i="26" s="1"/>
  <c r="S266" i="26" s="1"/>
  <c r="M266" i="26"/>
  <c r="K266" i="26"/>
  <c r="L266" i="26" s="1"/>
  <c r="I266" i="26"/>
  <c r="J266" i="26" s="1"/>
  <c r="H266" i="26"/>
  <c r="G266" i="26"/>
  <c r="F266" i="26"/>
  <c r="T265" i="26"/>
  <c r="P265" i="26"/>
  <c r="R265" i="26" s="1"/>
  <c r="S265" i="26" s="1"/>
  <c r="O265" i="26"/>
  <c r="Q265" i="26" s="1"/>
  <c r="N265" i="26"/>
  <c r="M265" i="26"/>
  <c r="K265" i="26"/>
  <c r="L265" i="26" s="1"/>
  <c r="I265" i="26"/>
  <c r="J265" i="26" s="1"/>
  <c r="H265" i="26"/>
  <c r="G265" i="26"/>
  <c r="F265" i="26"/>
  <c r="T264" i="26"/>
  <c r="O264" i="26"/>
  <c r="Q264" i="26" s="1"/>
  <c r="N264" i="26"/>
  <c r="P264" i="26" s="1"/>
  <c r="M264" i="26"/>
  <c r="L264" i="26"/>
  <c r="K264" i="26"/>
  <c r="I264" i="26"/>
  <c r="J264" i="26" s="1"/>
  <c r="H264" i="26"/>
  <c r="G264" i="26"/>
  <c r="F264" i="26"/>
  <c r="T263" i="26"/>
  <c r="O263" i="26"/>
  <c r="Q263" i="26" s="1"/>
  <c r="N263" i="26"/>
  <c r="P263" i="26" s="1"/>
  <c r="R263" i="26" s="1"/>
  <c r="S263" i="26" s="1"/>
  <c r="M263" i="26"/>
  <c r="K263" i="26"/>
  <c r="L263" i="26" s="1"/>
  <c r="I263" i="26"/>
  <c r="J263" i="26" s="1"/>
  <c r="H263" i="26"/>
  <c r="G263" i="26"/>
  <c r="F263" i="26"/>
  <c r="T262" i="26"/>
  <c r="O262" i="26"/>
  <c r="Q262" i="26" s="1"/>
  <c r="N262" i="26"/>
  <c r="P262" i="26" s="1"/>
  <c r="R262" i="26" s="1"/>
  <c r="S262" i="26" s="1"/>
  <c r="M262" i="26"/>
  <c r="K262" i="26"/>
  <c r="L262" i="26" s="1"/>
  <c r="J262" i="26"/>
  <c r="I262" i="26"/>
  <c r="H262" i="26"/>
  <c r="G262" i="26"/>
  <c r="F262" i="26"/>
  <c r="T261" i="26"/>
  <c r="Q261" i="26"/>
  <c r="O261" i="26"/>
  <c r="N261" i="26"/>
  <c r="P261" i="26" s="1"/>
  <c r="M261" i="26"/>
  <c r="L261" i="26"/>
  <c r="K261" i="26"/>
  <c r="I261" i="26"/>
  <c r="J261" i="26" s="1"/>
  <c r="H261" i="26"/>
  <c r="G261" i="26"/>
  <c r="F261" i="26"/>
  <c r="T260" i="26"/>
  <c r="Q260" i="26"/>
  <c r="P260" i="26"/>
  <c r="R260" i="26" s="1"/>
  <c r="S260" i="26" s="1"/>
  <c r="O260" i="26"/>
  <c r="N260" i="26"/>
  <c r="M260" i="26"/>
  <c r="K260" i="26"/>
  <c r="L260" i="26" s="1"/>
  <c r="I260" i="26"/>
  <c r="J260" i="26" s="1"/>
  <c r="H260" i="26"/>
  <c r="G260" i="26"/>
  <c r="F260" i="26"/>
  <c r="T259" i="26"/>
  <c r="P259" i="26"/>
  <c r="O259" i="26"/>
  <c r="Q259" i="26" s="1"/>
  <c r="R259" i="26" s="1"/>
  <c r="S259" i="26" s="1"/>
  <c r="N259" i="26"/>
  <c r="M259" i="26"/>
  <c r="K259" i="26"/>
  <c r="L259" i="26" s="1"/>
  <c r="J259" i="26"/>
  <c r="I259" i="26"/>
  <c r="H259" i="26"/>
  <c r="G259" i="26"/>
  <c r="F259" i="26"/>
  <c r="T258" i="26"/>
  <c r="Q258" i="26"/>
  <c r="O258" i="26"/>
  <c r="N258" i="26"/>
  <c r="P258" i="26" s="1"/>
  <c r="R258" i="26" s="1"/>
  <c r="S258" i="26" s="1"/>
  <c r="M258" i="26"/>
  <c r="K258" i="26"/>
  <c r="L258" i="26" s="1"/>
  <c r="I258" i="26"/>
  <c r="J258" i="26" s="1"/>
  <c r="H258" i="26"/>
  <c r="G258" i="26"/>
  <c r="F258" i="26"/>
  <c r="T257" i="26"/>
  <c r="P257" i="26"/>
  <c r="O257" i="26"/>
  <c r="Q257" i="26" s="1"/>
  <c r="N257" i="26"/>
  <c r="M257" i="26"/>
  <c r="K257" i="26"/>
  <c r="L257" i="26" s="1"/>
  <c r="I257" i="26"/>
  <c r="J257" i="26" s="1"/>
  <c r="H257" i="26"/>
  <c r="G257" i="26"/>
  <c r="F257" i="26"/>
  <c r="T256" i="26"/>
  <c r="O256" i="26"/>
  <c r="Q256" i="26" s="1"/>
  <c r="N256" i="26"/>
  <c r="P256" i="26" s="1"/>
  <c r="M256" i="26"/>
  <c r="L256" i="26"/>
  <c r="K256" i="26"/>
  <c r="I256" i="26"/>
  <c r="J256" i="26" s="1"/>
  <c r="H256" i="26"/>
  <c r="G256" i="26"/>
  <c r="F256" i="26"/>
  <c r="T255" i="26"/>
  <c r="S255" i="26"/>
  <c r="O255" i="26"/>
  <c r="Q255" i="26" s="1"/>
  <c r="N255" i="26"/>
  <c r="P255" i="26" s="1"/>
  <c r="R255" i="26" s="1"/>
  <c r="M255" i="26"/>
  <c r="K255" i="26"/>
  <c r="L255" i="26" s="1"/>
  <c r="I255" i="26"/>
  <c r="J255" i="26" s="1"/>
  <c r="H255" i="26"/>
  <c r="G255" i="26"/>
  <c r="F255" i="26"/>
  <c r="T254" i="26"/>
  <c r="O254" i="26"/>
  <c r="Q254" i="26" s="1"/>
  <c r="N254" i="26"/>
  <c r="P254" i="26" s="1"/>
  <c r="R254" i="26" s="1"/>
  <c r="S254" i="26" s="1"/>
  <c r="M254" i="26"/>
  <c r="K254" i="26"/>
  <c r="L254" i="26" s="1"/>
  <c r="J254" i="26"/>
  <c r="I254" i="26"/>
  <c r="H254" i="26"/>
  <c r="G254" i="26"/>
  <c r="F254" i="26"/>
  <c r="T253" i="26"/>
  <c r="Q253" i="26"/>
  <c r="O253" i="26"/>
  <c r="N253" i="26"/>
  <c r="P253" i="26" s="1"/>
  <c r="M253" i="26"/>
  <c r="L253" i="26"/>
  <c r="K253" i="26"/>
  <c r="I253" i="26"/>
  <c r="J253" i="26" s="1"/>
  <c r="H253" i="26"/>
  <c r="G253" i="26"/>
  <c r="F253" i="26"/>
  <c r="T252" i="26"/>
  <c r="S252" i="26"/>
  <c r="Q252" i="26"/>
  <c r="P252" i="26"/>
  <c r="R252" i="26" s="1"/>
  <c r="O252" i="26"/>
  <c r="N252" i="26"/>
  <c r="M252" i="26"/>
  <c r="K252" i="26"/>
  <c r="L252" i="26" s="1"/>
  <c r="I252" i="26"/>
  <c r="J252" i="26" s="1"/>
  <c r="H252" i="26"/>
  <c r="G252" i="26"/>
  <c r="F252" i="26"/>
  <c r="T251" i="26"/>
  <c r="P251" i="26"/>
  <c r="O251" i="26"/>
  <c r="Q251" i="26" s="1"/>
  <c r="R251" i="26" s="1"/>
  <c r="S251" i="26" s="1"/>
  <c r="N251" i="26"/>
  <c r="M251" i="26"/>
  <c r="K251" i="26"/>
  <c r="L251" i="26" s="1"/>
  <c r="J251" i="26"/>
  <c r="I251" i="26"/>
  <c r="H251" i="26"/>
  <c r="G251" i="26"/>
  <c r="F251" i="26"/>
  <c r="T250" i="26"/>
  <c r="Q250" i="26"/>
  <c r="O250" i="26"/>
  <c r="N250" i="26"/>
  <c r="P250" i="26" s="1"/>
  <c r="M250" i="26"/>
  <c r="K250" i="26"/>
  <c r="L250" i="26" s="1"/>
  <c r="I250" i="26"/>
  <c r="J250" i="26" s="1"/>
  <c r="H250" i="26"/>
  <c r="G250" i="26"/>
  <c r="F250" i="26"/>
  <c r="T249" i="26"/>
  <c r="P249" i="26"/>
  <c r="R249" i="26" s="1"/>
  <c r="S249" i="26" s="1"/>
  <c r="O249" i="26"/>
  <c r="Q249" i="26" s="1"/>
  <c r="N249" i="26"/>
  <c r="M249" i="26"/>
  <c r="K249" i="26"/>
  <c r="L249" i="26" s="1"/>
  <c r="I249" i="26"/>
  <c r="J249" i="26" s="1"/>
  <c r="H249" i="26"/>
  <c r="G249" i="26"/>
  <c r="F249" i="26"/>
  <c r="T248" i="26"/>
  <c r="O248" i="26"/>
  <c r="Q248" i="26" s="1"/>
  <c r="N248" i="26"/>
  <c r="P248" i="26" s="1"/>
  <c r="R248" i="26" s="1"/>
  <c r="S248" i="26" s="1"/>
  <c r="M248" i="26"/>
  <c r="L248" i="26"/>
  <c r="K248" i="26"/>
  <c r="I248" i="26"/>
  <c r="J248" i="26" s="1"/>
  <c r="H248" i="26"/>
  <c r="G248" i="26"/>
  <c r="F248" i="26"/>
  <c r="T247" i="26"/>
  <c r="O247" i="26"/>
  <c r="Q247" i="26" s="1"/>
  <c r="N247" i="26"/>
  <c r="P247" i="26" s="1"/>
  <c r="R247" i="26" s="1"/>
  <c r="S247" i="26" s="1"/>
  <c r="M247" i="26"/>
  <c r="K247" i="26"/>
  <c r="L247" i="26" s="1"/>
  <c r="I247" i="26"/>
  <c r="J247" i="26" s="1"/>
  <c r="H247" i="26"/>
  <c r="G247" i="26"/>
  <c r="F247" i="26"/>
  <c r="T246" i="26"/>
  <c r="R246" i="26"/>
  <c r="S246" i="26" s="1"/>
  <c r="O246" i="26"/>
  <c r="Q246" i="26" s="1"/>
  <c r="N246" i="26"/>
  <c r="P246" i="26" s="1"/>
  <c r="M246" i="26"/>
  <c r="K246" i="26"/>
  <c r="L246" i="26" s="1"/>
  <c r="J246" i="26"/>
  <c r="I246" i="26"/>
  <c r="H246" i="26"/>
  <c r="G246" i="26"/>
  <c r="F246" i="26"/>
  <c r="T245" i="26"/>
  <c r="Q245" i="26"/>
  <c r="O245" i="26"/>
  <c r="N245" i="26"/>
  <c r="P245" i="26" s="1"/>
  <c r="R245" i="26" s="1"/>
  <c r="S245" i="26" s="1"/>
  <c r="M245" i="26"/>
  <c r="L245" i="26"/>
  <c r="K245" i="26"/>
  <c r="I245" i="26"/>
  <c r="J245" i="26" s="1"/>
  <c r="H245" i="26"/>
  <c r="G245" i="26"/>
  <c r="F245" i="26"/>
  <c r="T244" i="26"/>
  <c r="Q244" i="26"/>
  <c r="P244" i="26"/>
  <c r="R244" i="26" s="1"/>
  <c r="S244" i="26" s="1"/>
  <c r="O244" i="26"/>
  <c r="N244" i="26"/>
  <c r="M244" i="26"/>
  <c r="K244" i="26"/>
  <c r="L244" i="26" s="1"/>
  <c r="I244" i="26"/>
  <c r="J244" i="26" s="1"/>
  <c r="H244" i="26"/>
  <c r="G244" i="26"/>
  <c r="F244" i="26"/>
  <c r="T243" i="26"/>
  <c r="P243" i="26"/>
  <c r="O243" i="26"/>
  <c r="Q243" i="26" s="1"/>
  <c r="R243" i="26" s="1"/>
  <c r="S243" i="26" s="1"/>
  <c r="N243" i="26"/>
  <c r="M243" i="26"/>
  <c r="K243" i="26"/>
  <c r="L243" i="26" s="1"/>
  <c r="J243" i="26"/>
  <c r="I243" i="26"/>
  <c r="H243" i="26"/>
  <c r="G243" i="26"/>
  <c r="F243" i="26"/>
  <c r="T242" i="26"/>
  <c r="Q242" i="26"/>
  <c r="O242" i="26"/>
  <c r="N242" i="26"/>
  <c r="P242" i="26" s="1"/>
  <c r="R242" i="26" s="1"/>
  <c r="S242" i="26" s="1"/>
  <c r="M242" i="26"/>
  <c r="K242" i="26"/>
  <c r="L242" i="26" s="1"/>
  <c r="I242" i="26"/>
  <c r="J242" i="26" s="1"/>
  <c r="H242" i="26"/>
  <c r="G242" i="26"/>
  <c r="F242" i="26"/>
  <c r="T241" i="26"/>
  <c r="P241" i="26"/>
  <c r="R241" i="26" s="1"/>
  <c r="S241" i="26" s="1"/>
  <c r="O241" i="26"/>
  <c r="Q241" i="26" s="1"/>
  <c r="N241" i="26"/>
  <c r="M241" i="26"/>
  <c r="K241" i="26"/>
  <c r="L241" i="26" s="1"/>
  <c r="I241" i="26"/>
  <c r="J241" i="26" s="1"/>
  <c r="H241" i="26"/>
  <c r="G241" i="26"/>
  <c r="F241" i="26"/>
  <c r="T240" i="26"/>
  <c r="O240" i="26"/>
  <c r="Q240" i="26" s="1"/>
  <c r="N240" i="26"/>
  <c r="P240" i="26" s="1"/>
  <c r="M240" i="26"/>
  <c r="L240" i="26"/>
  <c r="K240" i="26"/>
  <c r="J240" i="26"/>
  <c r="I240" i="26"/>
  <c r="H240" i="26"/>
  <c r="G240" i="26"/>
  <c r="F240" i="26"/>
  <c r="T239" i="26"/>
  <c r="O239" i="26"/>
  <c r="Q239" i="26" s="1"/>
  <c r="N239" i="26"/>
  <c r="P239" i="26" s="1"/>
  <c r="M239" i="26"/>
  <c r="K239" i="26"/>
  <c r="L239" i="26" s="1"/>
  <c r="I239" i="26"/>
  <c r="J239" i="26" s="1"/>
  <c r="H239" i="26"/>
  <c r="G239" i="26"/>
  <c r="F239" i="26"/>
  <c r="T238" i="26"/>
  <c r="O238" i="26"/>
  <c r="Q238" i="26" s="1"/>
  <c r="R238" i="26" s="1"/>
  <c r="S238" i="26" s="1"/>
  <c r="N238" i="26"/>
  <c r="P238" i="26" s="1"/>
  <c r="M238" i="26"/>
  <c r="K238" i="26"/>
  <c r="L238" i="26" s="1"/>
  <c r="J238" i="26"/>
  <c r="I238" i="26"/>
  <c r="H238" i="26"/>
  <c r="G238" i="26"/>
  <c r="F238" i="26"/>
  <c r="T237" i="26"/>
  <c r="Q237" i="26"/>
  <c r="O237" i="26"/>
  <c r="N237" i="26"/>
  <c r="P237" i="26" s="1"/>
  <c r="R237" i="26" s="1"/>
  <c r="S237" i="26" s="1"/>
  <c r="M237" i="26"/>
  <c r="L237" i="26"/>
  <c r="K237" i="26"/>
  <c r="I237" i="26"/>
  <c r="J237" i="26" s="1"/>
  <c r="H237" i="26"/>
  <c r="G237" i="26"/>
  <c r="F237" i="26"/>
  <c r="T236" i="26"/>
  <c r="S236" i="26"/>
  <c r="Q236" i="26"/>
  <c r="P236" i="26"/>
  <c r="R236" i="26" s="1"/>
  <c r="O236" i="26"/>
  <c r="N236" i="26"/>
  <c r="M236" i="26"/>
  <c r="K236" i="26"/>
  <c r="L236" i="26" s="1"/>
  <c r="I236" i="26"/>
  <c r="J236" i="26" s="1"/>
  <c r="H236" i="26"/>
  <c r="G236" i="26"/>
  <c r="F236" i="26"/>
  <c r="T235" i="26"/>
  <c r="P235" i="26"/>
  <c r="O235" i="26"/>
  <c r="Q235" i="26" s="1"/>
  <c r="R235" i="26" s="1"/>
  <c r="S235" i="26" s="1"/>
  <c r="N235" i="26"/>
  <c r="M235" i="26"/>
  <c r="K235" i="26"/>
  <c r="L235" i="26" s="1"/>
  <c r="J235" i="26"/>
  <c r="I235" i="26"/>
  <c r="H235" i="26"/>
  <c r="G235" i="26"/>
  <c r="F235" i="26"/>
  <c r="T234" i="26"/>
  <c r="Q234" i="26"/>
  <c r="O234" i="26"/>
  <c r="N234" i="26"/>
  <c r="P234" i="26" s="1"/>
  <c r="M234" i="26"/>
  <c r="K234" i="26"/>
  <c r="L234" i="26" s="1"/>
  <c r="I234" i="26"/>
  <c r="J234" i="26" s="1"/>
  <c r="H234" i="26"/>
  <c r="G234" i="26"/>
  <c r="F234" i="26"/>
  <c r="T233" i="26"/>
  <c r="P233" i="26"/>
  <c r="O233" i="26"/>
  <c r="Q233" i="26" s="1"/>
  <c r="N233" i="26"/>
  <c r="M233" i="26"/>
  <c r="K233" i="26"/>
  <c r="L233" i="26" s="1"/>
  <c r="I233" i="26"/>
  <c r="J233" i="26" s="1"/>
  <c r="H233" i="26"/>
  <c r="G233" i="26"/>
  <c r="F233" i="26"/>
  <c r="T232" i="26"/>
  <c r="O232" i="26"/>
  <c r="Q232" i="26" s="1"/>
  <c r="N232" i="26"/>
  <c r="P232" i="26" s="1"/>
  <c r="R232" i="26" s="1"/>
  <c r="S232" i="26" s="1"/>
  <c r="M232" i="26"/>
  <c r="L232" i="26"/>
  <c r="K232" i="26"/>
  <c r="I232" i="26"/>
  <c r="J232" i="26" s="1"/>
  <c r="H232" i="26"/>
  <c r="G232" i="26"/>
  <c r="F232" i="26"/>
  <c r="T231" i="26"/>
  <c r="O231" i="26"/>
  <c r="Q231" i="26" s="1"/>
  <c r="N231" i="26"/>
  <c r="P231" i="26" s="1"/>
  <c r="R231" i="26" s="1"/>
  <c r="S231" i="26" s="1"/>
  <c r="M231" i="26"/>
  <c r="K231" i="26"/>
  <c r="L231" i="26" s="1"/>
  <c r="I231" i="26"/>
  <c r="J231" i="26" s="1"/>
  <c r="H231" i="26"/>
  <c r="G231" i="26"/>
  <c r="F231" i="26"/>
  <c r="T230" i="26"/>
  <c r="R230" i="26"/>
  <c r="S230" i="26" s="1"/>
  <c r="O230" i="26"/>
  <c r="Q230" i="26" s="1"/>
  <c r="N230" i="26"/>
  <c r="P230" i="26" s="1"/>
  <c r="M230" i="26"/>
  <c r="K230" i="26"/>
  <c r="L230" i="26" s="1"/>
  <c r="J230" i="26"/>
  <c r="I230" i="26"/>
  <c r="H230" i="26"/>
  <c r="G230" i="26"/>
  <c r="F230" i="26"/>
  <c r="T229" i="26"/>
  <c r="R229" i="26"/>
  <c r="S229" i="26" s="1"/>
  <c r="Q229" i="26"/>
  <c r="O229" i="26"/>
  <c r="N229" i="26"/>
  <c r="P229" i="26" s="1"/>
  <c r="M229" i="26"/>
  <c r="L229" i="26"/>
  <c r="K229" i="26"/>
  <c r="I229" i="26"/>
  <c r="J229" i="26" s="1"/>
  <c r="H229" i="26"/>
  <c r="G229" i="26"/>
  <c r="F229" i="26"/>
  <c r="T228" i="26"/>
  <c r="Q228" i="26"/>
  <c r="P228" i="26"/>
  <c r="O228" i="26"/>
  <c r="N228" i="26"/>
  <c r="M228" i="26"/>
  <c r="K228" i="26"/>
  <c r="L228" i="26" s="1"/>
  <c r="I228" i="26"/>
  <c r="J228" i="26" s="1"/>
  <c r="H228" i="26"/>
  <c r="G228" i="26"/>
  <c r="F228" i="26"/>
  <c r="T227" i="26"/>
  <c r="P227" i="26"/>
  <c r="R227" i="26" s="1"/>
  <c r="S227" i="26" s="1"/>
  <c r="O227" i="26"/>
  <c r="Q227" i="26" s="1"/>
  <c r="N227" i="26"/>
  <c r="M227" i="26"/>
  <c r="K227" i="26"/>
  <c r="L227" i="26" s="1"/>
  <c r="J227" i="26"/>
  <c r="I227" i="26"/>
  <c r="H227" i="26"/>
  <c r="G227" i="26"/>
  <c r="F227" i="26"/>
  <c r="T226" i="26"/>
  <c r="Q226" i="26"/>
  <c r="O226" i="26"/>
  <c r="N226" i="26"/>
  <c r="P226" i="26" s="1"/>
  <c r="M226" i="26"/>
  <c r="K226" i="26"/>
  <c r="L226" i="26" s="1"/>
  <c r="I226" i="26"/>
  <c r="J226" i="26" s="1"/>
  <c r="H226" i="26"/>
  <c r="G226" i="26"/>
  <c r="F226" i="26"/>
  <c r="T225" i="26"/>
  <c r="P225" i="26"/>
  <c r="O225" i="26"/>
  <c r="Q225" i="26" s="1"/>
  <c r="N225" i="26"/>
  <c r="M225" i="26"/>
  <c r="L225" i="26"/>
  <c r="K225" i="26"/>
  <c r="I225" i="26"/>
  <c r="J225" i="26" s="1"/>
  <c r="H225" i="26"/>
  <c r="G225" i="26"/>
  <c r="F225" i="26"/>
  <c r="T224" i="26"/>
  <c r="O224" i="26"/>
  <c r="Q224" i="26" s="1"/>
  <c r="N224" i="26"/>
  <c r="P224" i="26" s="1"/>
  <c r="M224" i="26"/>
  <c r="L224" i="26"/>
  <c r="K224" i="26"/>
  <c r="I224" i="26"/>
  <c r="J224" i="26" s="1"/>
  <c r="H224" i="26"/>
  <c r="G224" i="26"/>
  <c r="F224" i="26"/>
  <c r="T223" i="26"/>
  <c r="O223" i="26"/>
  <c r="Q223" i="26" s="1"/>
  <c r="N223" i="26"/>
  <c r="P223" i="26" s="1"/>
  <c r="M223" i="26"/>
  <c r="L223" i="26"/>
  <c r="K223" i="26"/>
  <c r="J223" i="26"/>
  <c r="I223" i="26"/>
  <c r="H223" i="26"/>
  <c r="G223" i="26"/>
  <c r="F223" i="26"/>
  <c r="T222" i="26"/>
  <c r="Q222" i="26"/>
  <c r="O222" i="26"/>
  <c r="N222" i="26"/>
  <c r="P222" i="26" s="1"/>
  <c r="R222" i="26" s="1"/>
  <c r="S222" i="26" s="1"/>
  <c r="M222" i="26"/>
  <c r="K222" i="26"/>
  <c r="L222" i="26" s="1"/>
  <c r="J222" i="26"/>
  <c r="I222" i="26"/>
  <c r="H222" i="26"/>
  <c r="G222" i="26"/>
  <c r="F222" i="26"/>
  <c r="T221" i="26"/>
  <c r="R221" i="26"/>
  <c r="S221" i="26" s="1"/>
  <c r="Q221" i="26"/>
  <c r="P221" i="26"/>
  <c r="O221" i="26"/>
  <c r="N221" i="26"/>
  <c r="M221" i="26"/>
  <c r="L221" i="26"/>
  <c r="K221" i="26"/>
  <c r="J221" i="26"/>
  <c r="I221" i="26"/>
  <c r="H221" i="26"/>
  <c r="G221" i="26"/>
  <c r="F221" i="26"/>
  <c r="T220" i="26"/>
  <c r="Q220" i="26"/>
  <c r="P220" i="26"/>
  <c r="R220" i="26" s="1"/>
  <c r="S220" i="26" s="1"/>
  <c r="O220" i="26"/>
  <c r="N220" i="26"/>
  <c r="M220" i="26"/>
  <c r="K220" i="26"/>
  <c r="L220" i="26" s="1"/>
  <c r="I220" i="26"/>
  <c r="J220" i="26" s="1"/>
  <c r="H220" i="26"/>
  <c r="G220" i="26"/>
  <c r="F220" i="26"/>
  <c r="T219" i="26"/>
  <c r="P219" i="26"/>
  <c r="R219" i="26" s="1"/>
  <c r="S219" i="26" s="1"/>
  <c r="O219" i="26"/>
  <c r="Q219" i="26" s="1"/>
  <c r="N219" i="26"/>
  <c r="M219" i="26"/>
  <c r="K219" i="26"/>
  <c r="L219" i="26" s="1"/>
  <c r="J219" i="26"/>
  <c r="I219" i="26"/>
  <c r="H219" i="26"/>
  <c r="G219" i="26"/>
  <c r="F219" i="26"/>
  <c r="T218" i="26"/>
  <c r="O218" i="26"/>
  <c r="Q218" i="26" s="1"/>
  <c r="N218" i="26"/>
  <c r="P218" i="26" s="1"/>
  <c r="R218" i="26" s="1"/>
  <c r="S218" i="26" s="1"/>
  <c r="M218" i="26"/>
  <c r="K218" i="26"/>
  <c r="L218" i="26" s="1"/>
  <c r="I218" i="26"/>
  <c r="J218" i="26" s="1"/>
  <c r="H218" i="26"/>
  <c r="G218" i="26"/>
  <c r="F218" i="26"/>
  <c r="T217" i="26"/>
  <c r="O217" i="26"/>
  <c r="Q217" i="26" s="1"/>
  <c r="N217" i="26"/>
  <c r="P217" i="26" s="1"/>
  <c r="R217" i="26" s="1"/>
  <c r="S217" i="26" s="1"/>
  <c r="M217" i="26"/>
  <c r="L217" i="26"/>
  <c r="K217" i="26"/>
  <c r="I217" i="26"/>
  <c r="J217" i="26" s="1"/>
  <c r="H217" i="26"/>
  <c r="G217" i="26"/>
  <c r="F217" i="26"/>
  <c r="T216" i="26"/>
  <c r="O216" i="26"/>
  <c r="Q216" i="26" s="1"/>
  <c r="N216" i="26"/>
  <c r="P216" i="26" s="1"/>
  <c r="R216" i="26" s="1"/>
  <c r="S216" i="26" s="1"/>
  <c r="M216" i="26"/>
  <c r="L216" i="26"/>
  <c r="K216" i="26"/>
  <c r="I216" i="26"/>
  <c r="J216" i="26" s="1"/>
  <c r="H216" i="26"/>
  <c r="G216" i="26"/>
  <c r="F216" i="26"/>
  <c r="T215" i="26"/>
  <c r="O215" i="26"/>
  <c r="Q215" i="26" s="1"/>
  <c r="N215" i="26"/>
  <c r="P215" i="26" s="1"/>
  <c r="R215" i="26" s="1"/>
  <c r="S215" i="26" s="1"/>
  <c r="M215" i="26"/>
  <c r="K215" i="26"/>
  <c r="L215" i="26" s="1"/>
  <c r="J215" i="26"/>
  <c r="I215" i="26"/>
  <c r="H215" i="26"/>
  <c r="G215" i="26"/>
  <c r="F215" i="26"/>
  <c r="T214" i="26"/>
  <c r="R214" i="26"/>
  <c r="S214" i="26" s="1"/>
  <c r="Q214" i="26"/>
  <c r="O214" i="26"/>
  <c r="N214" i="26"/>
  <c r="P214" i="26" s="1"/>
  <c r="M214" i="26"/>
  <c r="L214" i="26"/>
  <c r="K214" i="26"/>
  <c r="J214" i="26"/>
  <c r="I214" i="26"/>
  <c r="H214" i="26"/>
  <c r="G214" i="26"/>
  <c r="F214" i="26"/>
  <c r="T213" i="26"/>
  <c r="S213" i="26"/>
  <c r="R213" i="26"/>
  <c r="Q213" i="26"/>
  <c r="P213" i="26"/>
  <c r="O213" i="26"/>
  <c r="N213" i="26"/>
  <c r="M213" i="26"/>
  <c r="K213" i="26"/>
  <c r="L213" i="26" s="1"/>
  <c r="J213" i="26"/>
  <c r="I213" i="26"/>
  <c r="H213" i="26"/>
  <c r="G213" i="26"/>
  <c r="F213" i="26"/>
  <c r="T212" i="26"/>
  <c r="R212" i="26"/>
  <c r="S212" i="26" s="1"/>
  <c r="Q212" i="26"/>
  <c r="P212" i="26"/>
  <c r="O212" i="26"/>
  <c r="N212" i="26"/>
  <c r="M212" i="26"/>
  <c r="K212" i="26"/>
  <c r="L212" i="26" s="1"/>
  <c r="I212" i="26"/>
  <c r="J212" i="26" s="1"/>
  <c r="H212" i="26"/>
  <c r="G212" i="26"/>
  <c r="F212" i="26"/>
  <c r="T211" i="26"/>
  <c r="P211" i="26"/>
  <c r="O211" i="26"/>
  <c r="Q211" i="26" s="1"/>
  <c r="R211" i="26" s="1"/>
  <c r="S211" i="26" s="1"/>
  <c r="N211" i="26"/>
  <c r="M211" i="26"/>
  <c r="K211" i="26"/>
  <c r="L211" i="26" s="1"/>
  <c r="I211" i="26"/>
  <c r="J211" i="26" s="1"/>
  <c r="H211" i="26"/>
  <c r="G211" i="26"/>
  <c r="F211" i="26"/>
  <c r="T210" i="26"/>
  <c r="Q210" i="26"/>
  <c r="P210" i="26"/>
  <c r="R210" i="26" s="1"/>
  <c r="S210" i="26" s="1"/>
  <c r="O210" i="26"/>
  <c r="N210" i="26"/>
  <c r="M210" i="26"/>
  <c r="K210" i="26"/>
  <c r="L210" i="26" s="1"/>
  <c r="I210" i="26"/>
  <c r="J210" i="26" s="1"/>
  <c r="H210" i="26"/>
  <c r="G210" i="26"/>
  <c r="F210" i="26"/>
  <c r="T209" i="26"/>
  <c r="P209" i="26"/>
  <c r="R209" i="26" s="1"/>
  <c r="S209" i="26" s="1"/>
  <c r="O209" i="26"/>
  <c r="Q209" i="26" s="1"/>
  <c r="N209" i="26"/>
  <c r="M209" i="26"/>
  <c r="L209" i="26"/>
  <c r="K209" i="26"/>
  <c r="I209" i="26"/>
  <c r="J209" i="26" s="1"/>
  <c r="H209" i="26"/>
  <c r="G209" i="26"/>
  <c r="F209" i="26"/>
  <c r="T208" i="26"/>
  <c r="O208" i="26"/>
  <c r="Q208" i="26" s="1"/>
  <c r="N208" i="26"/>
  <c r="P208" i="26" s="1"/>
  <c r="M208" i="26"/>
  <c r="L208" i="26"/>
  <c r="K208" i="26"/>
  <c r="I208" i="26"/>
  <c r="J208" i="26" s="1"/>
  <c r="H208" i="26"/>
  <c r="G208" i="26"/>
  <c r="F208" i="26"/>
  <c r="T207" i="26"/>
  <c r="O207" i="26"/>
  <c r="Q207" i="26" s="1"/>
  <c r="N207" i="26"/>
  <c r="P207" i="26" s="1"/>
  <c r="M207" i="26"/>
  <c r="K207" i="26"/>
  <c r="L207" i="26" s="1"/>
  <c r="J207" i="26"/>
  <c r="I207" i="26"/>
  <c r="H207" i="26"/>
  <c r="G207" i="26"/>
  <c r="F207" i="26"/>
  <c r="T206" i="26"/>
  <c r="Q206" i="26"/>
  <c r="O206" i="26"/>
  <c r="N206" i="26"/>
  <c r="P206" i="26" s="1"/>
  <c r="R206" i="26" s="1"/>
  <c r="S206" i="26" s="1"/>
  <c r="M206" i="26"/>
  <c r="K206" i="26"/>
  <c r="L206" i="26" s="1"/>
  <c r="I206" i="26"/>
  <c r="J206" i="26" s="1"/>
  <c r="H206" i="26"/>
  <c r="G206" i="26"/>
  <c r="F206" i="26"/>
  <c r="T205" i="26"/>
  <c r="R205" i="26"/>
  <c r="S205" i="26" s="1"/>
  <c r="Q205" i="26"/>
  <c r="P205" i="26"/>
  <c r="O205" i="26"/>
  <c r="N205" i="26"/>
  <c r="M205" i="26"/>
  <c r="L205" i="26"/>
  <c r="K205" i="26"/>
  <c r="J205" i="26"/>
  <c r="I205" i="26"/>
  <c r="H205" i="26"/>
  <c r="G205" i="26"/>
  <c r="F205" i="26"/>
  <c r="T204" i="26"/>
  <c r="P204" i="26"/>
  <c r="O204" i="26"/>
  <c r="Q204" i="26" s="1"/>
  <c r="R204" i="26" s="1"/>
  <c r="S204" i="26" s="1"/>
  <c r="N204" i="26"/>
  <c r="M204" i="26"/>
  <c r="K204" i="26"/>
  <c r="L204" i="26" s="1"/>
  <c r="I204" i="26"/>
  <c r="J204" i="26" s="1"/>
  <c r="H204" i="26"/>
  <c r="G204" i="26"/>
  <c r="F204" i="26"/>
  <c r="T203" i="26"/>
  <c r="O203" i="26"/>
  <c r="Q203" i="26" s="1"/>
  <c r="N203" i="26"/>
  <c r="P203" i="26" s="1"/>
  <c r="R203" i="26" s="1"/>
  <c r="S203" i="26" s="1"/>
  <c r="M203" i="26"/>
  <c r="L203" i="26"/>
  <c r="K203" i="26"/>
  <c r="J203" i="26"/>
  <c r="I203" i="26"/>
  <c r="H203" i="26"/>
  <c r="G203" i="26"/>
  <c r="F203" i="26"/>
  <c r="T202" i="26"/>
  <c r="Q202" i="26"/>
  <c r="O202" i="26"/>
  <c r="N202" i="26"/>
  <c r="P202" i="26" s="1"/>
  <c r="R202" i="26" s="1"/>
  <c r="S202" i="26" s="1"/>
  <c r="M202" i="26"/>
  <c r="L202" i="26"/>
  <c r="K202" i="26"/>
  <c r="I202" i="26"/>
  <c r="J202" i="26" s="1"/>
  <c r="H202" i="26"/>
  <c r="G202" i="26"/>
  <c r="F202" i="26"/>
  <c r="T201" i="26"/>
  <c r="Q201" i="26"/>
  <c r="P201" i="26"/>
  <c r="R201" i="26" s="1"/>
  <c r="S201" i="26" s="1"/>
  <c r="O201" i="26"/>
  <c r="N201" i="26"/>
  <c r="M201" i="26"/>
  <c r="K201" i="26"/>
  <c r="L201" i="26" s="1"/>
  <c r="J201" i="26"/>
  <c r="I201" i="26"/>
  <c r="H201" i="26"/>
  <c r="G201" i="26"/>
  <c r="F201" i="26"/>
  <c r="T200" i="26"/>
  <c r="P200" i="26"/>
  <c r="O200" i="26"/>
  <c r="Q200" i="26" s="1"/>
  <c r="R200" i="26" s="1"/>
  <c r="S200" i="26" s="1"/>
  <c r="N200" i="26"/>
  <c r="M200" i="26"/>
  <c r="K200" i="26"/>
  <c r="L200" i="26" s="1"/>
  <c r="J200" i="26"/>
  <c r="I200" i="26"/>
  <c r="H200" i="26"/>
  <c r="G200" i="26"/>
  <c r="F200" i="26"/>
  <c r="T199" i="26"/>
  <c r="Q199" i="26"/>
  <c r="O199" i="26"/>
  <c r="N199" i="26"/>
  <c r="P199" i="26" s="1"/>
  <c r="R199" i="26" s="1"/>
  <c r="S199" i="26" s="1"/>
  <c r="M199" i="26"/>
  <c r="L199" i="26"/>
  <c r="K199" i="26"/>
  <c r="I199" i="26"/>
  <c r="J199" i="26" s="1"/>
  <c r="H199" i="26"/>
  <c r="G199" i="26"/>
  <c r="F199" i="26"/>
  <c r="T198" i="26"/>
  <c r="P198" i="26"/>
  <c r="O198" i="26"/>
  <c r="Q198" i="26" s="1"/>
  <c r="N198" i="26"/>
  <c r="M198" i="26"/>
  <c r="K198" i="26"/>
  <c r="L198" i="26" s="1"/>
  <c r="I198" i="26"/>
  <c r="J198" i="26" s="1"/>
  <c r="H198" i="26"/>
  <c r="G198" i="26"/>
  <c r="F198" i="26"/>
  <c r="T197" i="26"/>
  <c r="O197" i="26"/>
  <c r="Q197" i="26" s="1"/>
  <c r="N197" i="26"/>
  <c r="P197" i="26" s="1"/>
  <c r="M197" i="26"/>
  <c r="L197" i="26"/>
  <c r="K197" i="26"/>
  <c r="J197" i="26"/>
  <c r="I197" i="26"/>
  <c r="H197" i="26"/>
  <c r="G197" i="26"/>
  <c r="F197" i="26"/>
  <c r="T196" i="26"/>
  <c r="O196" i="26"/>
  <c r="Q196" i="26" s="1"/>
  <c r="N196" i="26"/>
  <c r="P196" i="26" s="1"/>
  <c r="M196" i="26"/>
  <c r="K196" i="26"/>
  <c r="L196" i="26" s="1"/>
  <c r="I196" i="26"/>
  <c r="J196" i="26" s="1"/>
  <c r="H196" i="26"/>
  <c r="G196" i="26"/>
  <c r="F196" i="26"/>
  <c r="T195" i="26"/>
  <c r="Q195" i="26"/>
  <c r="O195" i="26"/>
  <c r="N195" i="26"/>
  <c r="P195" i="26" s="1"/>
  <c r="R195" i="26" s="1"/>
  <c r="S195" i="26" s="1"/>
  <c r="M195" i="26"/>
  <c r="L195" i="26"/>
  <c r="K195" i="26"/>
  <c r="J195" i="26"/>
  <c r="I195" i="26"/>
  <c r="H195" i="26"/>
  <c r="G195" i="26"/>
  <c r="F195" i="26"/>
  <c r="T194" i="26"/>
  <c r="Q194" i="26"/>
  <c r="O194" i="26"/>
  <c r="N194" i="26"/>
  <c r="P194" i="26" s="1"/>
  <c r="R194" i="26" s="1"/>
  <c r="S194" i="26" s="1"/>
  <c r="M194" i="26"/>
  <c r="L194" i="26"/>
  <c r="K194" i="26"/>
  <c r="I194" i="26"/>
  <c r="J194" i="26" s="1"/>
  <c r="H194" i="26"/>
  <c r="G194" i="26"/>
  <c r="F194" i="26"/>
  <c r="T193" i="26"/>
  <c r="Q193" i="26"/>
  <c r="P193" i="26"/>
  <c r="R193" i="26" s="1"/>
  <c r="S193" i="26" s="1"/>
  <c r="O193" i="26"/>
  <c r="N193" i="26"/>
  <c r="M193" i="26"/>
  <c r="K193" i="26"/>
  <c r="L193" i="26" s="1"/>
  <c r="J193" i="26"/>
  <c r="I193" i="26"/>
  <c r="H193" i="26"/>
  <c r="G193" i="26"/>
  <c r="F193" i="26"/>
  <c r="T192" i="26"/>
  <c r="P192" i="26"/>
  <c r="O192" i="26"/>
  <c r="Q192" i="26" s="1"/>
  <c r="R192" i="26" s="1"/>
  <c r="S192" i="26" s="1"/>
  <c r="N192" i="26"/>
  <c r="M192" i="26"/>
  <c r="K192" i="26"/>
  <c r="L192" i="26" s="1"/>
  <c r="J192" i="26"/>
  <c r="I192" i="26"/>
  <c r="H192" i="26"/>
  <c r="G192" i="26"/>
  <c r="F192" i="26"/>
  <c r="T191" i="26"/>
  <c r="Q191" i="26"/>
  <c r="O191" i="26"/>
  <c r="N191" i="26"/>
  <c r="P191" i="26" s="1"/>
  <c r="R191" i="26" s="1"/>
  <c r="S191" i="26" s="1"/>
  <c r="M191" i="26"/>
  <c r="L191" i="26"/>
  <c r="K191" i="26"/>
  <c r="I191" i="26"/>
  <c r="J191" i="26" s="1"/>
  <c r="H191" i="26"/>
  <c r="G191" i="26"/>
  <c r="F191" i="26"/>
  <c r="T190" i="26"/>
  <c r="P190" i="26"/>
  <c r="R190" i="26" s="1"/>
  <c r="S190" i="26" s="1"/>
  <c r="O190" i="26"/>
  <c r="Q190" i="26" s="1"/>
  <c r="N190" i="26"/>
  <c r="M190" i="26"/>
  <c r="K190" i="26"/>
  <c r="L190" i="26" s="1"/>
  <c r="I190" i="26"/>
  <c r="J190" i="26" s="1"/>
  <c r="H190" i="26"/>
  <c r="G190" i="26"/>
  <c r="F190" i="26"/>
  <c r="T189" i="26"/>
  <c r="O189" i="26"/>
  <c r="Q189" i="26" s="1"/>
  <c r="N189" i="26"/>
  <c r="P189" i="26" s="1"/>
  <c r="R189" i="26" s="1"/>
  <c r="S189" i="26" s="1"/>
  <c r="M189" i="26"/>
  <c r="L189" i="26"/>
  <c r="K189" i="26"/>
  <c r="J189" i="26"/>
  <c r="I189" i="26"/>
  <c r="H189" i="26"/>
  <c r="G189" i="26"/>
  <c r="F189" i="26"/>
  <c r="T188" i="26"/>
  <c r="O188" i="26"/>
  <c r="Q188" i="26" s="1"/>
  <c r="N188" i="26"/>
  <c r="P188" i="26" s="1"/>
  <c r="M188" i="26"/>
  <c r="K188" i="26"/>
  <c r="L188" i="26" s="1"/>
  <c r="I188" i="26"/>
  <c r="J188" i="26" s="1"/>
  <c r="H188" i="26"/>
  <c r="G188" i="26"/>
  <c r="F188" i="26"/>
  <c r="T187" i="26"/>
  <c r="O187" i="26"/>
  <c r="Q187" i="26" s="1"/>
  <c r="N187" i="26"/>
  <c r="P187" i="26" s="1"/>
  <c r="R187" i="26" s="1"/>
  <c r="S187" i="26" s="1"/>
  <c r="M187" i="26"/>
  <c r="L187" i="26"/>
  <c r="K187" i="26"/>
  <c r="J187" i="26"/>
  <c r="I187" i="26"/>
  <c r="H187" i="26"/>
  <c r="G187" i="26"/>
  <c r="F187" i="26"/>
  <c r="T186" i="26"/>
  <c r="Q186" i="26"/>
  <c r="O186" i="26"/>
  <c r="N186" i="26"/>
  <c r="P186" i="26" s="1"/>
  <c r="M186" i="26"/>
  <c r="L186" i="26"/>
  <c r="K186" i="26"/>
  <c r="I186" i="26"/>
  <c r="J186" i="26" s="1"/>
  <c r="H186" i="26"/>
  <c r="G186" i="26"/>
  <c r="F186" i="26"/>
  <c r="T185" i="26"/>
  <c r="Q185" i="26"/>
  <c r="P185" i="26"/>
  <c r="R185" i="26" s="1"/>
  <c r="S185" i="26" s="1"/>
  <c r="O185" i="26"/>
  <c r="N185" i="26"/>
  <c r="M185" i="26"/>
  <c r="K185" i="26"/>
  <c r="L185" i="26" s="1"/>
  <c r="J185" i="26"/>
  <c r="I185" i="26"/>
  <c r="H185" i="26"/>
  <c r="G185" i="26"/>
  <c r="F185" i="26"/>
  <c r="T184" i="26"/>
  <c r="P184" i="26"/>
  <c r="O184" i="26"/>
  <c r="Q184" i="26" s="1"/>
  <c r="R184" i="26" s="1"/>
  <c r="S184" i="26" s="1"/>
  <c r="N184" i="26"/>
  <c r="M184" i="26"/>
  <c r="K184" i="26"/>
  <c r="L184" i="26" s="1"/>
  <c r="J184" i="26"/>
  <c r="I184" i="26"/>
  <c r="H184" i="26"/>
  <c r="G184" i="26"/>
  <c r="F184" i="26"/>
  <c r="T183" i="26"/>
  <c r="Q183" i="26"/>
  <c r="O183" i="26"/>
  <c r="N183" i="26"/>
  <c r="P183" i="26" s="1"/>
  <c r="R183" i="26" s="1"/>
  <c r="S183" i="26" s="1"/>
  <c r="M183" i="26"/>
  <c r="L183" i="26"/>
  <c r="K183" i="26"/>
  <c r="I183" i="26"/>
  <c r="J183" i="26" s="1"/>
  <c r="H183" i="26"/>
  <c r="G183" i="26"/>
  <c r="F183" i="26"/>
  <c r="T182" i="26"/>
  <c r="P182" i="26"/>
  <c r="R182" i="26" s="1"/>
  <c r="S182" i="26" s="1"/>
  <c r="O182" i="26"/>
  <c r="Q182" i="26" s="1"/>
  <c r="N182" i="26"/>
  <c r="M182" i="26"/>
  <c r="K182" i="26"/>
  <c r="L182" i="26" s="1"/>
  <c r="I182" i="26"/>
  <c r="J182" i="26" s="1"/>
  <c r="H182" i="26"/>
  <c r="G182" i="26"/>
  <c r="F182" i="26"/>
  <c r="T181" i="26"/>
  <c r="O181" i="26"/>
  <c r="Q181" i="26" s="1"/>
  <c r="N181" i="26"/>
  <c r="P181" i="26" s="1"/>
  <c r="R181" i="26" s="1"/>
  <c r="S181" i="26" s="1"/>
  <c r="M181" i="26"/>
  <c r="L181" i="26"/>
  <c r="K181" i="26"/>
  <c r="J181" i="26"/>
  <c r="I181" i="26"/>
  <c r="H181" i="26"/>
  <c r="G181" i="26"/>
  <c r="F181" i="26"/>
  <c r="T180" i="26"/>
  <c r="O180" i="26"/>
  <c r="Q180" i="26" s="1"/>
  <c r="N180" i="26"/>
  <c r="P180" i="26" s="1"/>
  <c r="M180" i="26"/>
  <c r="K180" i="26"/>
  <c r="L180" i="26" s="1"/>
  <c r="I180" i="26"/>
  <c r="J180" i="26" s="1"/>
  <c r="H180" i="26"/>
  <c r="G180" i="26"/>
  <c r="F180" i="26"/>
  <c r="T179" i="26"/>
  <c r="Q179" i="26"/>
  <c r="O179" i="26"/>
  <c r="N179" i="26"/>
  <c r="P179" i="26" s="1"/>
  <c r="R179" i="26" s="1"/>
  <c r="S179" i="26" s="1"/>
  <c r="M179" i="26"/>
  <c r="L179" i="26"/>
  <c r="K179" i="26"/>
  <c r="J179" i="26"/>
  <c r="I179" i="26"/>
  <c r="H179" i="26"/>
  <c r="G179" i="26"/>
  <c r="F179" i="26"/>
  <c r="T178" i="26"/>
  <c r="Q178" i="26"/>
  <c r="O178" i="26"/>
  <c r="N178" i="26"/>
  <c r="P178" i="26" s="1"/>
  <c r="R178" i="26" s="1"/>
  <c r="S178" i="26" s="1"/>
  <c r="M178" i="26"/>
  <c r="L178" i="26"/>
  <c r="K178" i="26"/>
  <c r="I178" i="26"/>
  <c r="J178" i="26" s="1"/>
  <c r="H178" i="26"/>
  <c r="G178" i="26"/>
  <c r="F178" i="26"/>
  <c r="T177" i="26"/>
  <c r="Q177" i="26"/>
  <c r="P177" i="26"/>
  <c r="R177" i="26" s="1"/>
  <c r="S177" i="26" s="1"/>
  <c r="O177" i="26"/>
  <c r="N177" i="26"/>
  <c r="M177" i="26"/>
  <c r="K177" i="26"/>
  <c r="L177" i="26" s="1"/>
  <c r="J177" i="26"/>
  <c r="I177" i="26"/>
  <c r="H177" i="26"/>
  <c r="G177" i="26"/>
  <c r="F177" i="26"/>
  <c r="T176" i="26"/>
  <c r="P176" i="26"/>
  <c r="O176" i="26"/>
  <c r="Q176" i="26" s="1"/>
  <c r="R176" i="26" s="1"/>
  <c r="S176" i="26" s="1"/>
  <c r="N176" i="26"/>
  <c r="M176" i="26"/>
  <c r="K176" i="26"/>
  <c r="L176" i="26" s="1"/>
  <c r="J176" i="26"/>
  <c r="I176" i="26"/>
  <c r="H176" i="26"/>
  <c r="G176" i="26"/>
  <c r="F176" i="26"/>
  <c r="T175" i="26"/>
  <c r="Q175" i="26"/>
  <c r="O175" i="26"/>
  <c r="N175" i="26"/>
  <c r="P175" i="26" s="1"/>
  <c r="R175" i="26" s="1"/>
  <c r="S175" i="26" s="1"/>
  <c r="M175" i="26"/>
  <c r="L175" i="26"/>
  <c r="K175" i="26"/>
  <c r="I175" i="26"/>
  <c r="J175" i="26" s="1"/>
  <c r="H175" i="26"/>
  <c r="G175" i="26"/>
  <c r="F175" i="26"/>
  <c r="T174" i="26"/>
  <c r="P174" i="26"/>
  <c r="O174" i="26"/>
  <c r="Q174" i="26" s="1"/>
  <c r="N174" i="26"/>
  <c r="M174" i="26"/>
  <c r="K174" i="26"/>
  <c r="L174" i="26" s="1"/>
  <c r="I174" i="26"/>
  <c r="J174" i="26" s="1"/>
  <c r="H174" i="26"/>
  <c r="G174" i="26"/>
  <c r="F174" i="26"/>
  <c r="T173" i="26"/>
  <c r="O173" i="26"/>
  <c r="Q173" i="26" s="1"/>
  <c r="N173" i="26"/>
  <c r="P173" i="26" s="1"/>
  <c r="M173" i="26"/>
  <c r="L173" i="26"/>
  <c r="K173" i="26"/>
  <c r="J173" i="26"/>
  <c r="I173" i="26"/>
  <c r="H173" i="26"/>
  <c r="G173" i="26"/>
  <c r="F173" i="26"/>
  <c r="T172" i="26"/>
  <c r="S172" i="26"/>
  <c r="O172" i="26"/>
  <c r="Q172" i="26" s="1"/>
  <c r="N172" i="26"/>
  <c r="P172" i="26" s="1"/>
  <c r="R172" i="26" s="1"/>
  <c r="M172" i="26"/>
  <c r="K172" i="26"/>
  <c r="L172" i="26" s="1"/>
  <c r="I172" i="26"/>
  <c r="J172" i="26" s="1"/>
  <c r="H172" i="26"/>
  <c r="G172" i="26"/>
  <c r="F172" i="26"/>
  <c r="T171" i="26"/>
  <c r="O171" i="26"/>
  <c r="Q171" i="26" s="1"/>
  <c r="N171" i="26"/>
  <c r="P171" i="26" s="1"/>
  <c r="R171" i="26" s="1"/>
  <c r="S171" i="26" s="1"/>
  <c r="M171" i="26"/>
  <c r="L171" i="26"/>
  <c r="K171" i="26"/>
  <c r="J171" i="26"/>
  <c r="I171" i="26"/>
  <c r="H171" i="26"/>
  <c r="G171" i="26"/>
  <c r="F171" i="26"/>
  <c r="T170" i="26"/>
  <c r="Q170" i="26"/>
  <c r="O170" i="26"/>
  <c r="N170" i="26"/>
  <c r="P170" i="26" s="1"/>
  <c r="R170" i="26" s="1"/>
  <c r="S170" i="26" s="1"/>
  <c r="M170" i="26"/>
  <c r="L170" i="26"/>
  <c r="K170" i="26"/>
  <c r="I170" i="26"/>
  <c r="J170" i="26" s="1"/>
  <c r="H170" i="26"/>
  <c r="G170" i="26"/>
  <c r="F170" i="26"/>
  <c r="T169" i="26"/>
  <c r="Q169" i="26"/>
  <c r="P169" i="26"/>
  <c r="R169" i="26" s="1"/>
  <c r="S169" i="26" s="1"/>
  <c r="O169" i="26"/>
  <c r="N169" i="26"/>
  <c r="M169" i="26"/>
  <c r="K169" i="26"/>
  <c r="L169" i="26" s="1"/>
  <c r="J169" i="26"/>
  <c r="I169" i="26"/>
  <c r="H169" i="26"/>
  <c r="G169" i="26"/>
  <c r="F169" i="26"/>
  <c r="T168" i="26"/>
  <c r="P168" i="26"/>
  <c r="O168" i="26"/>
  <c r="Q168" i="26" s="1"/>
  <c r="R168" i="26" s="1"/>
  <c r="S168" i="26" s="1"/>
  <c r="N168" i="26"/>
  <c r="M168" i="26"/>
  <c r="K168" i="26"/>
  <c r="L168" i="26" s="1"/>
  <c r="J168" i="26"/>
  <c r="I168" i="26"/>
  <c r="H168" i="26"/>
  <c r="G168" i="26"/>
  <c r="F168" i="26"/>
  <c r="T167" i="26"/>
  <c r="Q167" i="26"/>
  <c r="O167" i="26"/>
  <c r="N167" i="26"/>
  <c r="P167" i="26" s="1"/>
  <c r="R167" i="26" s="1"/>
  <c r="S167" i="26" s="1"/>
  <c r="M167" i="26"/>
  <c r="L167" i="26"/>
  <c r="K167" i="26"/>
  <c r="I167" i="26"/>
  <c r="J167" i="26" s="1"/>
  <c r="H167" i="26"/>
  <c r="G167" i="26"/>
  <c r="F167" i="26"/>
  <c r="T166" i="26"/>
  <c r="P166" i="26"/>
  <c r="O166" i="26"/>
  <c r="Q166" i="26" s="1"/>
  <c r="N166" i="26"/>
  <c r="M166" i="26"/>
  <c r="K166" i="26"/>
  <c r="L166" i="26" s="1"/>
  <c r="I166" i="26"/>
  <c r="J166" i="26" s="1"/>
  <c r="H166" i="26"/>
  <c r="G166" i="26"/>
  <c r="F166" i="26"/>
  <c r="T165" i="26"/>
  <c r="O165" i="26"/>
  <c r="Q165" i="26" s="1"/>
  <c r="N165" i="26"/>
  <c r="P165" i="26" s="1"/>
  <c r="M165" i="26"/>
  <c r="L165" i="26"/>
  <c r="K165" i="26"/>
  <c r="J165" i="26"/>
  <c r="I165" i="26"/>
  <c r="H165" i="26"/>
  <c r="G165" i="26"/>
  <c r="F165" i="26"/>
  <c r="T164" i="26"/>
  <c r="S164" i="26"/>
  <c r="O164" i="26"/>
  <c r="Q164" i="26" s="1"/>
  <c r="N164" i="26"/>
  <c r="P164" i="26" s="1"/>
  <c r="R164" i="26" s="1"/>
  <c r="M164" i="26"/>
  <c r="K164" i="26"/>
  <c r="L164" i="26" s="1"/>
  <c r="I164" i="26"/>
  <c r="J164" i="26" s="1"/>
  <c r="H164" i="26"/>
  <c r="G164" i="26"/>
  <c r="F164" i="26"/>
  <c r="T163" i="26"/>
  <c r="O163" i="26"/>
  <c r="Q163" i="26" s="1"/>
  <c r="N163" i="26"/>
  <c r="P163" i="26" s="1"/>
  <c r="R163" i="26" s="1"/>
  <c r="S163" i="26" s="1"/>
  <c r="M163" i="26"/>
  <c r="L163" i="26"/>
  <c r="K163" i="26"/>
  <c r="J163" i="26"/>
  <c r="I163" i="26"/>
  <c r="H163" i="26"/>
  <c r="G163" i="26"/>
  <c r="F163" i="26"/>
  <c r="T162" i="26"/>
  <c r="Q162" i="26"/>
  <c r="O162" i="26"/>
  <c r="N162" i="26"/>
  <c r="P162" i="26" s="1"/>
  <c r="R162" i="26" s="1"/>
  <c r="S162" i="26" s="1"/>
  <c r="M162" i="26"/>
  <c r="L162" i="26"/>
  <c r="K162" i="26"/>
  <c r="I162" i="26"/>
  <c r="J162" i="26" s="1"/>
  <c r="H162" i="26"/>
  <c r="G162" i="26"/>
  <c r="F162" i="26"/>
  <c r="T161" i="26"/>
  <c r="Q161" i="26"/>
  <c r="P161" i="26"/>
  <c r="R161" i="26" s="1"/>
  <c r="S161" i="26" s="1"/>
  <c r="O161" i="26"/>
  <c r="N161" i="26"/>
  <c r="M161" i="26"/>
  <c r="K161" i="26"/>
  <c r="L161" i="26" s="1"/>
  <c r="J161" i="26"/>
  <c r="I161" i="26"/>
  <c r="H161" i="26"/>
  <c r="G161" i="26"/>
  <c r="F161" i="26"/>
  <c r="T160" i="26"/>
  <c r="P160" i="26"/>
  <c r="O160" i="26"/>
  <c r="Q160" i="26" s="1"/>
  <c r="R160" i="26" s="1"/>
  <c r="S160" i="26" s="1"/>
  <c r="N160" i="26"/>
  <c r="M160" i="26"/>
  <c r="K160" i="26"/>
  <c r="L160" i="26" s="1"/>
  <c r="J160" i="26"/>
  <c r="I160" i="26"/>
  <c r="H160" i="26"/>
  <c r="G160" i="26"/>
  <c r="F160" i="26"/>
  <c r="T159" i="26"/>
  <c r="Q159" i="26"/>
  <c r="O159" i="26"/>
  <c r="N159" i="26"/>
  <c r="P159" i="26" s="1"/>
  <c r="R159" i="26" s="1"/>
  <c r="S159" i="26" s="1"/>
  <c r="M159" i="26"/>
  <c r="L159" i="26"/>
  <c r="K159" i="26"/>
  <c r="I159" i="26"/>
  <c r="J159" i="26" s="1"/>
  <c r="H159" i="26"/>
  <c r="G159" i="26"/>
  <c r="F159" i="26"/>
  <c r="T158" i="26"/>
  <c r="P158" i="26"/>
  <c r="O158" i="26"/>
  <c r="Q158" i="26" s="1"/>
  <c r="N158" i="26"/>
  <c r="M158" i="26"/>
  <c r="K158" i="26"/>
  <c r="L158" i="26" s="1"/>
  <c r="I158" i="26"/>
  <c r="J158" i="26" s="1"/>
  <c r="H158" i="26"/>
  <c r="G158" i="26"/>
  <c r="F158" i="26"/>
  <c r="T157" i="26"/>
  <c r="O157" i="26"/>
  <c r="Q157" i="26" s="1"/>
  <c r="N157" i="26"/>
  <c r="P157" i="26" s="1"/>
  <c r="M157" i="26"/>
  <c r="L157" i="26"/>
  <c r="K157" i="26"/>
  <c r="J157" i="26"/>
  <c r="I157" i="26"/>
  <c r="H157" i="26"/>
  <c r="G157" i="26"/>
  <c r="F157" i="26"/>
  <c r="T156" i="26"/>
  <c r="S156" i="26"/>
  <c r="Q156" i="26"/>
  <c r="O156" i="26"/>
  <c r="N156" i="26"/>
  <c r="P156" i="26" s="1"/>
  <c r="R156" i="26" s="1"/>
  <c r="M156" i="26"/>
  <c r="K156" i="26"/>
  <c r="L156" i="26" s="1"/>
  <c r="I156" i="26"/>
  <c r="J156" i="26" s="1"/>
  <c r="H156" i="26"/>
  <c r="G156" i="26"/>
  <c r="F156" i="26"/>
  <c r="T155" i="26"/>
  <c r="O155" i="26"/>
  <c r="Q155" i="26" s="1"/>
  <c r="N155" i="26"/>
  <c r="P155" i="26" s="1"/>
  <c r="R155" i="26" s="1"/>
  <c r="S155" i="26" s="1"/>
  <c r="M155" i="26"/>
  <c r="L155" i="26"/>
  <c r="K155" i="26"/>
  <c r="J155" i="26"/>
  <c r="I155" i="26"/>
  <c r="H155" i="26"/>
  <c r="G155" i="26"/>
  <c r="F155" i="26"/>
  <c r="T154" i="26"/>
  <c r="Q154" i="26"/>
  <c r="O154" i="26"/>
  <c r="N154" i="26"/>
  <c r="P154" i="26" s="1"/>
  <c r="M154" i="26"/>
  <c r="L154" i="26"/>
  <c r="K154" i="26"/>
  <c r="I154" i="26"/>
  <c r="J154" i="26" s="1"/>
  <c r="H154" i="26"/>
  <c r="G154" i="26"/>
  <c r="F154" i="26"/>
  <c r="T153" i="26"/>
  <c r="Q153" i="26"/>
  <c r="P153" i="26"/>
  <c r="R153" i="26" s="1"/>
  <c r="S153" i="26" s="1"/>
  <c r="O153" i="26"/>
  <c r="N153" i="26"/>
  <c r="M153" i="26"/>
  <c r="K153" i="26"/>
  <c r="L153" i="26" s="1"/>
  <c r="J153" i="26"/>
  <c r="I153" i="26"/>
  <c r="H153" i="26"/>
  <c r="G153" i="26"/>
  <c r="F153" i="26"/>
  <c r="T152" i="26"/>
  <c r="P152" i="26"/>
  <c r="O152" i="26"/>
  <c r="Q152" i="26" s="1"/>
  <c r="R152" i="26" s="1"/>
  <c r="S152" i="26" s="1"/>
  <c r="N152" i="26"/>
  <c r="M152" i="26"/>
  <c r="K152" i="26"/>
  <c r="L152" i="26" s="1"/>
  <c r="J152" i="26"/>
  <c r="I152" i="26"/>
  <c r="H152" i="26"/>
  <c r="G152" i="26"/>
  <c r="F152" i="26"/>
  <c r="T151" i="26"/>
  <c r="Q151" i="26"/>
  <c r="O151" i="26"/>
  <c r="N151" i="26"/>
  <c r="P151" i="26" s="1"/>
  <c r="R151" i="26" s="1"/>
  <c r="S151" i="26" s="1"/>
  <c r="M151" i="26"/>
  <c r="L151" i="26"/>
  <c r="K151" i="26"/>
  <c r="I151" i="26"/>
  <c r="J151" i="26" s="1"/>
  <c r="H151" i="26"/>
  <c r="G151" i="26"/>
  <c r="F151" i="26"/>
  <c r="T150" i="26"/>
  <c r="P150" i="26"/>
  <c r="O150" i="26"/>
  <c r="Q150" i="26" s="1"/>
  <c r="N150" i="26"/>
  <c r="M150" i="26"/>
  <c r="K150" i="26"/>
  <c r="L150" i="26" s="1"/>
  <c r="I150" i="26"/>
  <c r="J150" i="26" s="1"/>
  <c r="H150" i="26"/>
  <c r="G150" i="26"/>
  <c r="F150" i="26"/>
  <c r="T149" i="26"/>
  <c r="O149" i="26"/>
  <c r="Q149" i="26" s="1"/>
  <c r="N149" i="26"/>
  <c r="P149" i="26" s="1"/>
  <c r="M149" i="26"/>
  <c r="L149" i="26"/>
  <c r="K149" i="26"/>
  <c r="J149" i="26"/>
  <c r="I149" i="26"/>
  <c r="H149" i="26"/>
  <c r="G149" i="26"/>
  <c r="F149" i="26"/>
  <c r="T148" i="26"/>
  <c r="O148" i="26"/>
  <c r="Q148" i="26" s="1"/>
  <c r="N148" i="26"/>
  <c r="P148" i="26" s="1"/>
  <c r="M148" i="26"/>
  <c r="K148" i="26"/>
  <c r="L148" i="26" s="1"/>
  <c r="I148" i="26"/>
  <c r="J148" i="26" s="1"/>
  <c r="H148" i="26"/>
  <c r="G148" i="26"/>
  <c r="F148" i="26"/>
  <c r="T147" i="26"/>
  <c r="O147" i="26"/>
  <c r="Q147" i="26" s="1"/>
  <c r="N147" i="26"/>
  <c r="P147" i="26" s="1"/>
  <c r="R147" i="26" s="1"/>
  <c r="S147" i="26" s="1"/>
  <c r="M147" i="26"/>
  <c r="L147" i="26"/>
  <c r="K147" i="26"/>
  <c r="J147" i="26"/>
  <c r="I147" i="26"/>
  <c r="H147" i="26"/>
  <c r="G147" i="26"/>
  <c r="F147" i="26"/>
  <c r="T146" i="26"/>
  <c r="Q146" i="26"/>
  <c r="O146" i="26"/>
  <c r="N146" i="26"/>
  <c r="P146" i="26" s="1"/>
  <c r="M146" i="26"/>
  <c r="L146" i="26"/>
  <c r="K146" i="26"/>
  <c r="I146" i="26"/>
  <c r="J146" i="26" s="1"/>
  <c r="H146" i="26"/>
  <c r="G146" i="26"/>
  <c r="F146" i="26"/>
  <c r="T145" i="26"/>
  <c r="Q145" i="26"/>
  <c r="P145" i="26"/>
  <c r="R145" i="26" s="1"/>
  <c r="S145" i="26" s="1"/>
  <c r="O145" i="26"/>
  <c r="N145" i="26"/>
  <c r="M145" i="26"/>
  <c r="K145" i="26"/>
  <c r="L145" i="26" s="1"/>
  <c r="J145" i="26"/>
  <c r="I145" i="26"/>
  <c r="H145" i="26"/>
  <c r="G145" i="26"/>
  <c r="F145" i="26"/>
  <c r="T144" i="26"/>
  <c r="P144" i="26"/>
  <c r="O144" i="26"/>
  <c r="Q144" i="26" s="1"/>
  <c r="R144" i="26" s="1"/>
  <c r="S144" i="26" s="1"/>
  <c r="N144" i="26"/>
  <c r="M144" i="26"/>
  <c r="K144" i="26"/>
  <c r="L144" i="26" s="1"/>
  <c r="J144" i="26"/>
  <c r="I144" i="26"/>
  <c r="H144" i="26"/>
  <c r="G144" i="26"/>
  <c r="F144" i="26"/>
  <c r="T143" i="26"/>
  <c r="Q143" i="26"/>
  <c r="O143" i="26"/>
  <c r="N143" i="26"/>
  <c r="P143" i="26" s="1"/>
  <c r="R143" i="26" s="1"/>
  <c r="S143" i="26" s="1"/>
  <c r="M143" i="26"/>
  <c r="L143" i="26"/>
  <c r="K143" i="26"/>
  <c r="I143" i="26"/>
  <c r="J143" i="26" s="1"/>
  <c r="H143" i="26"/>
  <c r="G143" i="26"/>
  <c r="F143" i="26"/>
  <c r="T142" i="26"/>
  <c r="P142" i="26"/>
  <c r="O142" i="26"/>
  <c r="Q142" i="26" s="1"/>
  <c r="N142" i="26"/>
  <c r="M142" i="26"/>
  <c r="K142" i="26"/>
  <c r="L142" i="26" s="1"/>
  <c r="I142" i="26"/>
  <c r="J142" i="26" s="1"/>
  <c r="H142" i="26"/>
  <c r="G142" i="26"/>
  <c r="F142" i="26"/>
  <c r="T141" i="26"/>
  <c r="O141" i="26"/>
  <c r="Q141" i="26" s="1"/>
  <c r="N141" i="26"/>
  <c r="P141" i="26" s="1"/>
  <c r="M141" i="26"/>
  <c r="L141" i="26"/>
  <c r="K141" i="26"/>
  <c r="J141" i="26"/>
  <c r="I141" i="26"/>
  <c r="H141" i="26"/>
  <c r="G141" i="26"/>
  <c r="F141" i="26"/>
  <c r="T140" i="26"/>
  <c r="Q140" i="26"/>
  <c r="O140" i="26"/>
  <c r="N140" i="26"/>
  <c r="P140" i="26" s="1"/>
  <c r="R140" i="26" s="1"/>
  <c r="S140" i="26" s="1"/>
  <c r="M140" i="26"/>
  <c r="K140" i="26"/>
  <c r="L140" i="26" s="1"/>
  <c r="I140" i="26"/>
  <c r="J140" i="26" s="1"/>
  <c r="H140" i="26"/>
  <c r="G140" i="26"/>
  <c r="F140" i="26"/>
  <c r="T139" i="26"/>
  <c r="O139" i="26"/>
  <c r="Q139" i="26" s="1"/>
  <c r="N139" i="26"/>
  <c r="P139" i="26" s="1"/>
  <c r="R139" i="26" s="1"/>
  <c r="S139" i="26" s="1"/>
  <c r="M139" i="26"/>
  <c r="L139" i="26"/>
  <c r="K139" i="26"/>
  <c r="J139" i="26"/>
  <c r="I139" i="26"/>
  <c r="H139" i="26"/>
  <c r="G139" i="26"/>
  <c r="F139" i="26"/>
  <c r="T138" i="26"/>
  <c r="Q138" i="26"/>
  <c r="O138" i="26"/>
  <c r="N138" i="26"/>
  <c r="P138" i="26" s="1"/>
  <c r="M138" i="26"/>
  <c r="L138" i="26"/>
  <c r="K138" i="26"/>
  <c r="I138" i="26"/>
  <c r="J138" i="26" s="1"/>
  <c r="H138" i="26"/>
  <c r="G138" i="26"/>
  <c r="F138" i="26"/>
  <c r="T137" i="26"/>
  <c r="Q137" i="26"/>
  <c r="P137" i="26"/>
  <c r="R137" i="26" s="1"/>
  <c r="S137" i="26" s="1"/>
  <c r="O137" i="26"/>
  <c r="N137" i="26"/>
  <c r="M137" i="26"/>
  <c r="K137" i="26"/>
  <c r="L137" i="26" s="1"/>
  <c r="J137" i="26"/>
  <c r="I137" i="26"/>
  <c r="H137" i="26"/>
  <c r="G137" i="26"/>
  <c r="F137" i="26"/>
  <c r="T136" i="26"/>
  <c r="R136" i="26"/>
  <c r="S136" i="26" s="1"/>
  <c r="P136" i="26"/>
  <c r="O136" i="26"/>
  <c r="Q136" i="26" s="1"/>
  <c r="N136" i="26"/>
  <c r="M136" i="26"/>
  <c r="K136" i="26"/>
  <c r="L136" i="26" s="1"/>
  <c r="J136" i="26"/>
  <c r="I136" i="26"/>
  <c r="H136" i="26"/>
  <c r="G136" i="26"/>
  <c r="F136" i="26"/>
  <c r="T135" i="26"/>
  <c r="Q135" i="26"/>
  <c r="O135" i="26"/>
  <c r="N135" i="26"/>
  <c r="P135" i="26" s="1"/>
  <c r="R135" i="26" s="1"/>
  <c r="S135" i="26" s="1"/>
  <c r="M135" i="26"/>
  <c r="L135" i="26"/>
  <c r="K135" i="26"/>
  <c r="I135" i="26"/>
  <c r="J135" i="26" s="1"/>
  <c r="H135" i="26"/>
  <c r="G135" i="26"/>
  <c r="F135" i="26"/>
  <c r="T134" i="26"/>
  <c r="P134" i="26"/>
  <c r="R134" i="26" s="1"/>
  <c r="S134" i="26" s="1"/>
  <c r="O134" i="26"/>
  <c r="Q134" i="26" s="1"/>
  <c r="N134" i="26"/>
  <c r="M134" i="26"/>
  <c r="K134" i="26"/>
  <c r="L134" i="26" s="1"/>
  <c r="I134" i="26"/>
  <c r="J134" i="26" s="1"/>
  <c r="H134" i="26"/>
  <c r="G134" i="26"/>
  <c r="F134" i="26"/>
  <c r="T133" i="26"/>
  <c r="O133" i="26"/>
  <c r="Q133" i="26" s="1"/>
  <c r="N133" i="26"/>
  <c r="P133" i="26" s="1"/>
  <c r="M133" i="26"/>
  <c r="L133" i="26"/>
  <c r="K133" i="26"/>
  <c r="J133" i="26"/>
  <c r="I133" i="26"/>
  <c r="H133" i="26"/>
  <c r="G133" i="26"/>
  <c r="F133" i="26"/>
  <c r="T132" i="26"/>
  <c r="Q132" i="26"/>
  <c r="O132" i="26"/>
  <c r="N132" i="26"/>
  <c r="P132" i="26" s="1"/>
  <c r="R132" i="26" s="1"/>
  <c r="S132" i="26" s="1"/>
  <c r="M132" i="26"/>
  <c r="K132" i="26"/>
  <c r="L132" i="26" s="1"/>
  <c r="I132" i="26"/>
  <c r="J132" i="26" s="1"/>
  <c r="H132" i="26"/>
  <c r="G132" i="26"/>
  <c r="F132" i="26"/>
  <c r="T131" i="26"/>
  <c r="O131" i="26"/>
  <c r="Q131" i="26" s="1"/>
  <c r="N131" i="26"/>
  <c r="P131" i="26" s="1"/>
  <c r="R131" i="26" s="1"/>
  <c r="S131" i="26" s="1"/>
  <c r="M131" i="26"/>
  <c r="L131" i="26"/>
  <c r="K131" i="26"/>
  <c r="J131" i="26"/>
  <c r="I131" i="26"/>
  <c r="H131" i="26"/>
  <c r="G131" i="26"/>
  <c r="F131" i="26"/>
  <c r="T130" i="26"/>
  <c r="Q130" i="26"/>
  <c r="O130" i="26"/>
  <c r="N130" i="26"/>
  <c r="P130" i="26" s="1"/>
  <c r="R130" i="26" s="1"/>
  <c r="S130" i="26" s="1"/>
  <c r="M130" i="26"/>
  <c r="L130" i="26"/>
  <c r="K130" i="26"/>
  <c r="I130" i="26"/>
  <c r="J130" i="26" s="1"/>
  <c r="H130" i="26"/>
  <c r="G130" i="26"/>
  <c r="F130" i="26"/>
  <c r="T129" i="26"/>
  <c r="S129" i="26"/>
  <c r="Q129" i="26"/>
  <c r="P129" i="26"/>
  <c r="R129" i="26" s="1"/>
  <c r="O129" i="26"/>
  <c r="N129" i="26"/>
  <c r="M129" i="26"/>
  <c r="K129" i="26"/>
  <c r="L129" i="26" s="1"/>
  <c r="J129" i="26"/>
  <c r="I129" i="26"/>
  <c r="H129" i="26"/>
  <c r="G129" i="26"/>
  <c r="F129" i="26"/>
  <c r="T128" i="26"/>
  <c r="P128" i="26"/>
  <c r="O128" i="26"/>
  <c r="Q128" i="26" s="1"/>
  <c r="R128" i="26" s="1"/>
  <c r="S128" i="26" s="1"/>
  <c r="N128" i="26"/>
  <c r="M128" i="26"/>
  <c r="K128" i="26"/>
  <c r="L128" i="26" s="1"/>
  <c r="J128" i="26"/>
  <c r="I128" i="26"/>
  <c r="H128" i="26"/>
  <c r="G128" i="26"/>
  <c r="F128" i="26"/>
  <c r="T127" i="26"/>
  <c r="Q127" i="26"/>
  <c r="O127" i="26"/>
  <c r="N127" i="26"/>
  <c r="P127" i="26" s="1"/>
  <c r="R127" i="26" s="1"/>
  <c r="S127" i="26" s="1"/>
  <c r="M127" i="26"/>
  <c r="L127" i="26"/>
  <c r="K127" i="26"/>
  <c r="I127" i="26"/>
  <c r="J127" i="26" s="1"/>
  <c r="H127" i="26"/>
  <c r="G127" i="26"/>
  <c r="F127" i="26"/>
  <c r="T126" i="26"/>
  <c r="P126" i="26"/>
  <c r="O126" i="26"/>
  <c r="Q126" i="26" s="1"/>
  <c r="N126" i="26"/>
  <c r="M126" i="26"/>
  <c r="K126" i="26"/>
  <c r="L126" i="26" s="1"/>
  <c r="I126" i="26"/>
  <c r="J126" i="26" s="1"/>
  <c r="H126" i="26"/>
  <c r="G126" i="26"/>
  <c r="F126" i="26"/>
  <c r="T125" i="26"/>
  <c r="O125" i="26"/>
  <c r="Q125" i="26" s="1"/>
  <c r="N125" i="26"/>
  <c r="P125" i="26" s="1"/>
  <c r="R125" i="26" s="1"/>
  <c r="S125" i="26" s="1"/>
  <c r="M125" i="26"/>
  <c r="L125" i="26"/>
  <c r="K125" i="26"/>
  <c r="J125" i="26"/>
  <c r="I125" i="26"/>
  <c r="H125" i="26"/>
  <c r="G125" i="26"/>
  <c r="F125" i="26"/>
  <c r="T124" i="26"/>
  <c r="S124" i="26"/>
  <c r="Q124" i="26"/>
  <c r="O124" i="26"/>
  <c r="N124" i="26"/>
  <c r="P124" i="26" s="1"/>
  <c r="R124" i="26" s="1"/>
  <c r="M124" i="26"/>
  <c r="K124" i="26"/>
  <c r="L124" i="26" s="1"/>
  <c r="I124" i="26"/>
  <c r="J124" i="26" s="1"/>
  <c r="H124" i="26"/>
  <c r="G124" i="26"/>
  <c r="F124" i="26"/>
  <c r="T123" i="26"/>
  <c r="O123" i="26"/>
  <c r="Q123" i="26" s="1"/>
  <c r="N123" i="26"/>
  <c r="P123" i="26" s="1"/>
  <c r="R123" i="26" s="1"/>
  <c r="S123" i="26" s="1"/>
  <c r="M123" i="26"/>
  <c r="L123" i="26"/>
  <c r="K123" i="26"/>
  <c r="J123" i="26"/>
  <c r="I123" i="26"/>
  <c r="H123" i="26"/>
  <c r="G123" i="26"/>
  <c r="F123" i="26"/>
  <c r="T122" i="26"/>
  <c r="Q122" i="26"/>
  <c r="O122" i="26"/>
  <c r="N122" i="26"/>
  <c r="P122" i="26" s="1"/>
  <c r="M122" i="26"/>
  <c r="L122" i="26"/>
  <c r="K122" i="26"/>
  <c r="I122" i="26"/>
  <c r="J122" i="26" s="1"/>
  <c r="H122" i="26"/>
  <c r="G122" i="26"/>
  <c r="F122" i="26"/>
  <c r="T121" i="26"/>
  <c r="S121" i="26"/>
  <c r="Q121" i="26"/>
  <c r="P121" i="26"/>
  <c r="R121" i="26" s="1"/>
  <c r="O121" i="26"/>
  <c r="N121" i="26"/>
  <c r="M121" i="26"/>
  <c r="K121" i="26"/>
  <c r="L121" i="26" s="1"/>
  <c r="J121" i="26"/>
  <c r="I121" i="26"/>
  <c r="H121" i="26"/>
  <c r="G121" i="26"/>
  <c r="F121" i="26"/>
  <c r="T120" i="26"/>
  <c r="R120" i="26"/>
  <c r="S120" i="26" s="1"/>
  <c r="P120" i="26"/>
  <c r="O120" i="26"/>
  <c r="Q120" i="26" s="1"/>
  <c r="N120" i="26"/>
  <c r="M120" i="26"/>
  <c r="K120" i="26"/>
  <c r="L120" i="26" s="1"/>
  <c r="J120" i="26"/>
  <c r="I120" i="26"/>
  <c r="H120" i="26"/>
  <c r="G120" i="26"/>
  <c r="F120" i="26"/>
  <c r="T119" i="26"/>
  <c r="Q119" i="26"/>
  <c r="O119" i="26"/>
  <c r="N119" i="26"/>
  <c r="P119" i="26" s="1"/>
  <c r="R119" i="26" s="1"/>
  <c r="S119" i="26" s="1"/>
  <c r="M119" i="26"/>
  <c r="L119" i="26"/>
  <c r="K119" i="26"/>
  <c r="I119" i="26"/>
  <c r="J119" i="26" s="1"/>
  <c r="H119" i="26"/>
  <c r="G119" i="26"/>
  <c r="F119" i="26"/>
  <c r="T118" i="26"/>
  <c r="P118" i="26"/>
  <c r="O118" i="26"/>
  <c r="Q118" i="26" s="1"/>
  <c r="N118" i="26"/>
  <c r="M118" i="26"/>
  <c r="K118" i="26"/>
  <c r="L118" i="26" s="1"/>
  <c r="I118" i="26"/>
  <c r="J118" i="26" s="1"/>
  <c r="H118" i="26"/>
  <c r="G118" i="26"/>
  <c r="F118" i="26"/>
  <c r="T117" i="26"/>
  <c r="O117" i="26"/>
  <c r="Q117" i="26" s="1"/>
  <c r="N117" i="26"/>
  <c r="P117" i="26" s="1"/>
  <c r="M117" i="26"/>
  <c r="L117" i="26"/>
  <c r="K117" i="26"/>
  <c r="J117" i="26"/>
  <c r="I117" i="26"/>
  <c r="H117" i="26"/>
  <c r="G117" i="26"/>
  <c r="F117" i="26"/>
  <c r="T116" i="26"/>
  <c r="Q116" i="26"/>
  <c r="O116" i="26"/>
  <c r="N116" i="26"/>
  <c r="P116" i="26" s="1"/>
  <c r="R116" i="26" s="1"/>
  <c r="S116" i="26" s="1"/>
  <c r="M116" i="26"/>
  <c r="K116" i="26"/>
  <c r="L116" i="26" s="1"/>
  <c r="I116" i="26"/>
  <c r="J116" i="26" s="1"/>
  <c r="H116" i="26"/>
  <c r="G116" i="26"/>
  <c r="F116" i="26"/>
  <c r="T115" i="26"/>
  <c r="O115" i="26"/>
  <c r="Q115" i="26" s="1"/>
  <c r="N115" i="26"/>
  <c r="P115" i="26" s="1"/>
  <c r="R115" i="26" s="1"/>
  <c r="S115" i="26" s="1"/>
  <c r="M115" i="26"/>
  <c r="L115" i="26"/>
  <c r="K115" i="26"/>
  <c r="J115" i="26"/>
  <c r="I115" i="26"/>
  <c r="H115" i="26"/>
  <c r="G115" i="26"/>
  <c r="F115" i="26"/>
  <c r="T114" i="26"/>
  <c r="Q114" i="26"/>
  <c r="O114" i="26"/>
  <c r="N114" i="26"/>
  <c r="P114" i="26" s="1"/>
  <c r="M114" i="26"/>
  <c r="L114" i="26"/>
  <c r="K114" i="26"/>
  <c r="I114" i="26"/>
  <c r="J114" i="26" s="1"/>
  <c r="H114" i="26"/>
  <c r="G114" i="26"/>
  <c r="F114" i="26"/>
  <c r="T113" i="26"/>
  <c r="Q113" i="26"/>
  <c r="P113" i="26"/>
  <c r="R113" i="26" s="1"/>
  <c r="S113" i="26" s="1"/>
  <c r="O113" i="26"/>
  <c r="N113" i="26"/>
  <c r="M113" i="26"/>
  <c r="K113" i="26"/>
  <c r="L113" i="26" s="1"/>
  <c r="J113" i="26"/>
  <c r="I113" i="26"/>
  <c r="H113" i="26"/>
  <c r="G113" i="26"/>
  <c r="F113" i="26"/>
  <c r="T112" i="26"/>
  <c r="R112" i="26"/>
  <c r="S112" i="26" s="1"/>
  <c r="P112" i="26"/>
  <c r="O112" i="26"/>
  <c r="Q112" i="26" s="1"/>
  <c r="N112" i="26"/>
  <c r="M112" i="26"/>
  <c r="K112" i="26"/>
  <c r="L112" i="26" s="1"/>
  <c r="J112" i="26"/>
  <c r="I112" i="26"/>
  <c r="H112" i="26"/>
  <c r="G112" i="26"/>
  <c r="F112" i="26"/>
  <c r="T111" i="26"/>
  <c r="Q111" i="26"/>
  <c r="O111" i="26"/>
  <c r="N111" i="26"/>
  <c r="P111" i="26" s="1"/>
  <c r="R111" i="26" s="1"/>
  <c r="S111" i="26" s="1"/>
  <c r="M111" i="26"/>
  <c r="L111" i="26"/>
  <c r="K111" i="26"/>
  <c r="I111" i="26"/>
  <c r="J111" i="26" s="1"/>
  <c r="H111" i="26"/>
  <c r="G111" i="26"/>
  <c r="F111" i="26"/>
  <c r="T110" i="26"/>
  <c r="P110" i="26"/>
  <c r="O110" i="26"/>
  <c r="Q110" i="26" s="1"/>
  <c r="N110" i="26"/>
  <c r="M110" i="26"/>
  <c r="K110" i="26"/>
  <c r="L110" i="26" s="1"/>
  <c r="I110" i="26"/>
  <c r="J110" i="26" s="1"/>
  <c r="H110" i="26"/>
  <c r="G110" i="26"/>
  <c r="F110" i="26"/>
  <c r="T109" i="26"/>
  <c r="O109" i="26"/>
  <c r="Q109" i="26" s="1"/>
  <c r="N109" i="26"/>
  <c r="P109" i="26" s="1"/>
  <c r="R109" i="26" s="1"/>
  <c r="S109" i="26" s="1"/>
  <c r="M109" i="26"/>
  <c r="L109" i="26"/>
  <c r="K109" i="26"/>
  <c r="J109" i="26"/>
  <c r="I109" i="26"/>
  <c r="H109" i="26"/>
  <c r="G109" i="26"/>
  <c r="F109" i="26"/>
  <c r="T108" i="26"/>
  <c r="Q108" i="26"/>
  <c r="O108" i="26"/>
  <c r="N108" i="26"/>
  <c r="P108" i="26" s="1"/>
  <c r="R108" i="26" s="1"/>
  <c r="S108" i="26" s="1"/>
  <c r="M108" i="26"/>
  <c r="K108" i="26"/>
  <c r="L108" i="26" s="1"/>
  <c r="I108" i="26"/>
  <c r="J108" i="26" s="1"/>
  <c r="H108" i="26"/>
  <c r="G108" i="26"/>
  <c r="F108" i="26"/>
  <c r="T107" i="26"/>
  <c r="R107" i="26"/>
  <c r="S107" i="26" s="1"/>
  <c r="P107" i="26"/>
  <c r="O107" i="26"/>
  <c r="Q107" i="26" s="1"/>
  <c r="N107" i="26"/>
  <c r="M107" i="26"/>
  <c r="L107" i="26"/>
  <c r="K107" i="26"/>
  <c r="J107" i="26"/>
  <c r="I107" i="26"/>
  <c r="H107" i="26"/>
  <c r="G107" i="26"/>
  <c r="F107" i="26"/>
  <c r="T106" i="26"/>
  <c r="Q106" i="26"/>
  <c r="O106" i="26"/>
  <c r="N106" i="26"/>
  <c r="P106" i="26" s="1"/>
  <c r="R106" i="26" s="1"/>
  <c r="S106" i="26" s="1"/>
  <c r="M106" i="26"/>
  <c r="L106" i="26"/>
  <c r="K106" i="26"/>
  <c r="I106" i="26"/>
  <c r="J106" i="26" s="1"/>
  <c r="H106" i="26"/>
  <c r="G106" i="26"/>
  <c r="F106" i="26"/>
  <c r="T105" i="26"/>
  <c r="S105" i="26"/>
  <c r="Q105" i="26"/>
  <c r="P105" i="26"/>
  <c r="R105" i="26" s="1"/>
  <c r="O105" i="26"/>
  <c r="N105" i="26"/>
  <c r="M105" i="26"/>
  <c r="K105" i="26"/>
  <c r="L105" i="26" s="1"/>
  <c r="J105" i="26"/>
  <c r="I105" i="26"/>
  <c r="H105" i="26"/>
  <c r="G105" i="26"/>
  <c r="F105" i="26"/>
  <c r="T104" i="26"/>
  <c r="P104" i="26"/>
  <c r="O104" i="26"/>
  <c r="Q104" i="26" s="1"/>
  <c r="R104" i="26" s="1"/>
  <c r="S104" i="26" s="1"/>
  <c r="N104" i="26"/>
  <c r="M104" i="26"/>
  <c r="K104" i="26"/>
  <c r="L104" i="26" s="1"/>
  <c r="J104" i="26"/>
  <c r="I104" i="26"/>
  <c r="H104" i="26"/>
  <c r="G104" i="26"/>
  <c r="F104" i="26"/>
  <c r="T103" i="26"/>
  <c r="Q103" i="26"/>
  <c r="O103" i="26"/>
  <c r="N103" i="26"/>
  <c r="P103" i="26" s="1"/>
  <c r="M103" i="26"/>
  <c r="L103" i="26"/>
  <c r="K103" i="26"/>
  <c r="I103" i="26"/>
  <c r="J103" i="26" s="1"/>
  <c r="H103" i="26"/>
  <c r="G103" i="26"/>
  <c r="F103" i="26"/>
  <c r="T102" i="26"/>
  <c r="P102" i="26"/>
  <c r="O102" i="26"/>
  <c r="Q102" i="26" s="1"/>
  <c r="N102" i="26"/>
  <c r="M102" i="26"/>
  <c r="K102" i="26"/>
  <c r="L102" i="26" s="1"/>
  <c r="I102" i="26"/>
  <c r="J102" i="26" s="1"/>
  <c r="H102" i="26"/>
  <c r="G102" i="26"/>
  <c r="F102" i="26"/>
  <c r="T101" i="26"/>
  <c r="O101" i="26"/>
  <c r="Q101" i="26" s="1"/>
  <c r="N101" i="26"/>
  <c r="P101" i="26" s="1"/>
  <c r="M101" i="26"/>
  <c r="L101" i="26"/>
  <c r="K101" i="26"/>
  <c r="J101" i="26"/>
  <c r="I101" i="26"/>
  <c r="H101" i="26"/>
  <c r="G101" i="26"/>
  <c r="F101" i="26"/>
  <c r="T100" i="26"/>
  <c r="S100" i="26"/>
  <c r="Q100" i="26"/>
  <c r="O100" i="26"/>
  <c r="N100" i="26"/>
  <c r="P100" i="26" s="1"/>
  <c r="R100" i="26" s="1"/>
  <c r="M100" i="26"/>
  <c r="K100" i="26"/>
  <c r="L100" i="26" s="1"/>
  <c r="I100" i="26"/>
  <c r="J100" i="26" s="1"/>
  <c r="H100" i="26"/>
  <c r="G100" i="26"/>
  <c r="F100" i="26"/>
  <c r="T99" i="26"/>
  <c r="P99" i="26"/>
  <c r="O99" i="26"/>
  <c r="Q99" i="26" s="1"/>
  <c r="R99" i="26" s="1"/>
  <c r="S99" i="26" s="1"/>
  <c r="N99" i="26"/>
  <c r="M99" i="26"/>
  <c r="L99" i="26"/>
  <c r="K99" i="26"/>
  <c r="J99" i="26"/>
  <c r="I99" i="26"/>
  <c r="H99" i="26"/>
  <c r="G99" i="26"/>
  <c r="F99" i="26"/>
  <c r="T98" i="26"/>
  <c r="Q98" i="26"/>
  <c r="O98" i="26"/>
  <c r="N98" i="26"/>
  <c r="P98" i="26" s="1"/>
  <c r="M98" i="26"/>
  <c r="L98" i="26"/>
  <c r="K98" i="26"/>
  <c r="I98" i="26"/>
  <c r="J98" i="26" s="1"/>
  <c r="H98" i="26"/>
  <c r="G98" i="26"/>
  <c r="F98" i="26"/>
  <c r="T97" i="26"/>
  <c r="Q97" i="26"/>
  <c r="P97" i="26"/>
  <c r="R97" i="26" s="1"/>
  <c r="S97" i="26" s="1"/>
  <c r="O97" i="26"/>
  <c r="N97" i="26"/>
  <c r="M97" i="26"/>
  <c r="K97" i="26"/>
  <c r="L97" i="26" s="1"/>
  <c r="J97" i="26"/>
  <c r="I97" i="26"/>
  <c r="H97" i="26"/>
  <c r="G97" i="26"/>
  <c r="F97" i="26"/>
  <c r="T96" i="26"/>
  <c r="R96" i="26"/>
  <c r="S96" i="26" s="1"/>
  <c r="P96" i="26"/>
  <c r="O96" i="26"/>
  <c r="Q96" i="26" s="1"/>
  <c r="N96" i="26"/>
  <c r="M96" i="26"/>
  <c r="K96" i="26"/>
  <c r="L96" i="26" s="1"/>
  <c r="J96" i="26"/>
  <c r="I96" i="26"/>
  <c r="H96" i="26"/>
  <c r="G96" i="26"/>
  <c r="F96" i="26"/>
  <c r="T95" i="26"/>
  <c r="Q95" i="26"/>
  <c r="O95" i="26"/>
  <c r="N95" i="26"/>
  <c r="P95" i="26" s="1"/>
  <c r="R95" i="26" s="1"/>
  <c r="S95" i="26" s="1"/>
  <c r="M95" i="26"/>
  <c r="L95" i="26"/>
  <c r="K95" i="26"/>
  <c r="I95" i="26"/>
  <c r="J95" i="26" s="1"/>
  <c r="H95" i="26"/>
  <c r="G95" i="26"/>
  <c r="F95" i="26"/>
  <c r="T94" i="26"/>
  <c r="P94" i="26"/>
  <c r="O94" i="26"/>
  <c r="Q94" i="26" s="1"/>
  <c r="N94" i="26"/>
  <c r="M94" i="26"/>
  <c r="K94" i="26"/>
  <c r="L94" i="26" s="1"/>
  <c r="I94" i="26"/>
  <c r="J94" i="26" s="1"/>
  <c r="H94" i="26"/>
  <c r="G94" i="26"/>
  <c r="F94" i="26"/>
  <c r="T93" i="26"/>
  <c r="O93" i="26"/>
  <c r="Q93" i="26" s="1"/>
  <c r="N93" i="26"/>
  <c r="P93" i="26" s="1"/>
  <c r="R93" i="26" s="1"/>
  <c r="S93" i="26" s="1"/>
  <c r="M93" i="26"/>
  <c r="L93" i="26"/>
  <c r="K93" i="26"/>
  <c r="J93" i="26"/>
  <c r="I93" i="26"/>
  <c r="H93" i="26"/>
  <c r="G93" i="26"/>
  <c r="F93" i="26"/>
  <c r="T92" i="26"/>
  <c r="Q92" i="26"/>
  <c r="O92" i="26"/>
  <c r="N92" i="26"/>
  <c r="P92" i="26" s="1"/>
  <c r="R92" i="26" s="1"/>
  <c r="S92" i="26" s="1"/>
  <c r="M92" i="26"/>
  <c r="K92" i="26"/>
  <c r="L92" i="26" s="1"/>
  <c r="I92" i="26"/>
  <c r="J92" i="26" s="1"/>
  <c r="H92" i="26"/>
  <c r="G92" i="26"/>
  <c r="F92" i="26"/>
  <c r="T91" i="26"/>
  <c r="R91" i="26"/>
  <c r="S91" i="26" s="1"/>
  <c r="P91" i="26"/>
  <c r="O91" i="26"/>
  <c r="Q91" i="26" s="1"/>
  <c r="N91" i="26"/>
  <c r="M91" i="26"/>
  <c r="L91" i="26"/>
  <c r="K91" i="26"/>
  <c r="J91" i="26"/>
  <c r="I91" i="26"/>
  <c r="H91" i="26"/>
  <c r="G91" i="26"/>
  <c r="F91" i="26"/>
  <c r="T90" i="26"/>
  <c r="Q90" i="26"/>
  <c r="O90" i="26"/>
  <c r="N90" i="26"/>
  <c r="P90" i="26" s="1"/>
  <c r="R90" i="26" s="1"/>
  <c r="S90" i="26" s="1"/>
  <c r="M90" i="26"/>
  <c r="L90" i="26"/>
  <c r="K90" i="26"/>
  <c r="I90" i="26"/>
  <c r="J90" i="26" s="1"/>
  <c r="H90" i="26"/>
  <c r="G90" i="26"/>
  <c r="F90" i="26"/>
  <c r="T89" i="26"/>
  <c r="S89" i="26"/>
  <c r="Q89" i="26"/>
  <c r="P89" i="26"/>
  <c r="R89" i="26" s="1"/>
  <c r="O89" i="26"/>
  <c r="N89" i="26"/>
  <c r="M89" i="26"/>
  <c r="K89" i="26"/>
  <c r="L89" i="26" s="1"/>
  <c r="J89" i="26"/>
  <c r="I89" i="26"/>
  <c r="H89" i="26"/>
  <c r="G89" i="26"/>
  <c r="F89" i="26"/>
  <c r="T88" i="26"/>
  <c r="P88" i="26"/>
  <c r="O88" i="26"/>
  <c r="Q88" i="26" s="1"/>
  <c r="R88" i="26" s="1"/>
  <c r="S88" i="26" s="1"/>
  <c r="N88" i="26"/>
  <c r="M88" i="26"/>
  <c r="K88" i="26"/>
  <c r="L88" i="26" s="1"/>
  <c r="J88" i="26"/>
  <c r="I88" i="26"/>
  <c r="H88" i="26"/>
  <c r="G88" i="26"/>
  <c r="F88" i="26"/>
  <c r="T87" i="26"/>
  <c r="Q87" i="26"/>
  <c r="O87" i="26"/>
  <c r="N87" i="26"/>
  <c r="P87" i="26" s="1"/>
  <c r="M87" i="26"/>
  <c r="L87" i="26"/>
  <c r="K87" i="26"/>
  <c r="I87" i="26"/>
  <c r="J87" i="26" s="1"/>
  <c r="H87" i="26"/>
  <c r="G87" i="26"/>
  <c r="F87" i="26"/>
  <c r="T86" i="26"/>
  <c r="P86" i="26"/>
  <c r="O86" i="26"/>
  <c r="Q86" i="26" s="1"/>
  <c r="N86" i="26"/>
  <c r="M86" i="26"/>
  <c r="K86" i="26"/>
  <c r="L86" i="26" s="1"/>
  <c r="I86" i="26"/>
  <c r="J86" i="26" s="1"/>
  <c r="H86" i="26"/>
  <c r="G86" i="26"/>
  <c r="F86" i="26"/>
  <c r="T85" i="26"/>
  <c r="O85" i="26"/>
  <c r="Q85" i="26" s="1"/>
  <c r="N85" i="26"/>
  <c r="P85" i="26" s="1"/>
  <c r="M85" i="26"/>
  <c r="L85" i="26"/>
  <c r="K85" i="26"/>
  <c r="J85" i="26"/>
  <c r="I85" i="26"/>
  <c r="H85" i="26"/>
  <c r="G85" i="26"/>
  <c r="F85" i="26"/>
  <c r="T84" i="26"/>
  <c r="S84" i="26"/>
  <c r="Q84" i="26"/>
  <c r="O84" i="26"/>
  <c r="N84" i="26"/>
  <c r="P84" i="26" s="1"/>
  <c r="R84" i="26" s="1"/>
  <c r="M84" i="26"/>
  <c r="K84" i="26"/>
  <c r="L84" i="26" s="1"/>
  <c r="I84" i="26"/>
  <c r="J84" i="26" s="1"/>
  <c r="H84" i="26"/>
  <c r="G84" i="26"/>
  <c r="F84" i="26"/>
  <c r="T83" i="26"/>
  <c r="P83" i="26"/>
  <c r="O83" i="26"/>
  <c r="Q83" i="26" s="1"/>
  <c r="R83" i="26" s="1"/>
  <c r="S83" i="26" s="1"/>
  <c r="N83" i="26"/>
  <c r="M83" i="26"/>
  <c r="K83" i="26"/>
  <c r="L83" i="26" s="1"/>
  <c r="J83" i="26"/>
  <c r="I83" i="26"/>
  <c r="H83" i="26"/>
  <c r="G83" i="26"/>
  <c r="F83" i="26"/>
  <c r="T82" i="26"/>
  <c r="Q82" i="26"/>
  <c r="O82" i="26"/>
  <c r="N82" i="26"/>
  <c r="P82" i="26" s="1"/>
  <c r="M82" i="26"/>
  <c r="L82" i="26"/>
  <c r="K82" i="26"/>
  <c r="I82" i="26"/>
  <c r="J82" i="26" s="1"/>
  <c r="H82" i="26"/>
  <c r="G82" i="26"/>
  <c r="F82" i="26"/>
  <c r="T81" i="26"/>
  <c r="Q81" i="26"/>
  <c r="P81" i="26"/>
  <c r="R81" i="26" s="1"/>
  <c r="S81" i="26" s="1"/>
  <c r="O81" i="26"/>
  <c r="N81" i="26"/>
  <c r="M81" i="26"/>
  <c r="K81" i="26"/>
  <c r="L81" i="26" s="1"/>
  <c r="I81" i="26"/>
  <c r="J81" i="26" s="1"/>
  <c r="H81" i="26"/>
  <c r="G81" i="26"/>
  <c r="F81" i="26"/>
  <c r="T80" i="26"/>
  <c r="P80" i="26"/>
  <c r="O80" i="26"/>
  <c r="Q80" i="26" s="1"/>
  <c r="R80" i="26" s="1"/>
  <c r="S80" i="26" s="1"/>
  <c r="N80" i="26"/>
  <c r="M80" i="26"/>
  <c r="K80" i="26"/>
  <c r="L80" i="26" s="1"/>
  <c r="J80" i="26"/>
  <c r="I80" i="26"/>
  <c r="H80" i="26"/>
  <c r="G80" i="26"/>
  <c r="F80" i="26"/>
  <c r="T79" i="26"/>
  <c r="Q79" i="26"/>
  <c r="O79" i="26"/>
  <c r="N79" i="26"/>
  <c r="P79" i="26" s="1"/>
  <c r="R79" i="26" s="1"/>
  <c r="S79" i="26" s="1"/>
  <c r="M79" i="26"/>
  <c r="L79" i="26"/>
  <c r="K79" i="26"/>
  <c r="I79" i="26"/>
  <c r="J79" i="26" s="1"/>
  <c r="H79" i="26"/>
  <c r="G79" i="26"/>
  <c r="F79" i="26"/>
  <c r="T78" i="26"/>
  <c r="P78" i="26"/>
  <c r="R78" i="26" s="1"/>
  <c r="S78" i="26" s="1"/>
  <c r="O78" i="26"/>
  <c r="Q78" i="26" s="1"/>
  <c r="N78" i="26"/>
  <c r="M78" i="26"/>
  <c r="K78" i="26"/>
  <c r="L78" i="26" s="1"/>
  <c r="I78" i="26"/>
  <c r="J78" i="26" s="1"/>
  <c r="H78" i="26"/>
  <c r="G78" i="26"/>
  <c r="F78" i="26"/>
  <c r="T77" i="26"/>
  <c r="O77" i="26"/>
  <c r="Q77" i="26" s="1"/>
  <c r="N77" i="26"/>
  <c r="P77" i="26" s="1"/>
  <c r="R77" i="26" s="1"/>
  <c r="S77" i="26" s="1"/>
  <c r="M77" i="26"/>
  <c r="L77" i="26"/>
  <c r="K77" i="26"/>
  <c r="J77" i="26"/>
  <c r="I77" i="26"/>
  <c r="H77" i="26"/>
  <c r="G77" i="26"/>
  <c r="F77" i="26"/>
  <c r="T76" i="26"/>
  <c r="Q76" i="26"/>
  <c r="O76" i="26"/>
  <c r="N76" i="26"/>
  <c r="P76" i="26" s="1"/>
  <c r="R76" i="26" s="1"/>
  <c r="S76" i="26" s="1"/>
  <c r="M76" i="26"/>
  <c r="K76" i="26"/>
  <c r="L76" i="26" s="1"/>
  <c r="I76" i="26"/>
  <c r="J76" i="26" s="1"/>
  <c r="H76" i="26"/>
  <c r="G76" i="26"/>
  <c r="F76" i="26"/>
  <c r="T75" i="26"/>
  <c r="R75" i="26"/>
  <c r="S75" i="26" s="1"/>
  <c r="Q75" i="26"/>
  <c r="P75" i="26"/>
  <c r="O75" i="26"/>
  <c r="N75" i="26"/>
  <c r="M75" i="26"/>
  <c r="K75" i="26"/>
  <c r="L75" i="26" s="1"/>
  <c r="J75" i="26"/>
  <c r="I75" i="26"/>
  <c r="H75" i="26"/>
  <c r="G75" i="26"/>
  <c r="F75" i="26"/>
  <c r="T74" i="26"/>
  <c r="Q74" i="26"/>
  <c r="R74" i="26" s="1"/>
  <c r="S74" i="26" s="1"/>
  <c r="P74" i="26"/>
  <c r="O74" i="26"/>
  <c r="N74" i="26"/>
  <c r="M74" i="26"/>
  <c r="L74" i="26"/>
  <c r="K74" i="26"/>
  <c r="I74" i="26"/>
  <c r="J74" i="26" s="1"/>
  <c r="H74" i="26"/>
  <c r="G74" i="26"/>
  <c r="F74" i="26"/>
  <c r="T73" i="26"/>
  <c r="Q73" i="26"/>
  <c r="P73" i="26"/>
  <c r="R73" i="26" s="1"/>
  <c r="S73" i="26" s="1"/>
  <c r="O73" i="26"/>
  <c r="N73" i="26"/>
  <c r="M73" i="26"/>
  <c r="K73" i="26"/>
  <c r="L73" i="26" s="1"/>
  <c r="I73" i="26"/>
  <c r="J73" i="26" s="1"/>
  <c r="H73" i="26"/>
  <c r="G73" i="26"/>
  <c r="F73" i="26"/>
  <c r="T72" i="26"/>
  <c r="P72" i="26"/>
  <c r="O72" i="26"/>
  <c r="Q72" i="26" s="1"/>
  <c r="R72" i="26" s="1"/>
  <c r="S72" i="26" s="1"/>
  <c r="N72" i="26"/>
  <c r="M72" i="26"/>
  <c r="K72" i="26"/>
  <c r="L72" i="26" s="1"/>
  <c r="J72" i="26"/>
  <c r="I72" i="26"/>
  <c r="H72" i="26"/>
  <c r="G72" i="26"/>
  <c r="F72" i="26"/>
  <c r="T71" i="26"/>
  <c r="Q71" i="26"/>
  <c r="O71" i="26"/>
  <c r="N71" i="26"/>
  <c r="P71" i="26" s="1"/>
  <c r="R71" i="26" s="1"/>
  <c r="S71" i="26" s="1"/>
  <c r="M71" i="26"/>
  <c r="L71" i="26"/>
  <c r="K71" i="26"/>
  <c r="I71" i="26"/>
  <c r="J71" i="26" s="1"/>
  <c r="H71" i="26"/>
  <c r="G71" i="26"/>
  <c r="F71" i="26"/>
  <c r="T70" i="26"/>
  <c r="P70" i="26"/>
  <c r="O70" i="26"/>
  <c r="Q70" i="26" s="1"/>
  <c r="N70" i="26"/>
  <c r="M70" i="26"/>
  <c r="K70" i="26"/>
  <c r="L70" i="26" s="1"/>
  <c r="I70" i="26"/>
  <c r="J70" i="26" s="1"/>
  <c r="H70" i="26"/>
  <c r="G70" i="26"/>
  <c r="F70" i="26"/>
  <c r="T69" i="26"/>
  <c r="O69" i="26"/>
  <c r="Q69" i="26" s="1"/>
  <c r="N69" i="26"/>
  <c r="P69" i="26" s="1"/>
  <c r="R69" i="26" s="1"/>
  <c r="S69" i="26" s="1"/>
  <c r="M69" i="26"/>
  <c r="L69" i="26"/>
  <c r="K69" i="26"/>
  <c r="J69" i="26"/>
  <c r="I69" i="26"/>
  <c r="H69" i="26"/>
  <c r="G69" i="26"/>
  <c r="F69" i="26"/>
  <c r="T68" i="26"/>
  <c r="S68" i="26"/>
  <c r="Q68" i="26"/>
  <c r="O68" i="26"/>
  <c r="N68" i="26"/>
  <c r="P68" i="26" s="1"/>
  <c r="R68" i="26" s="1"/>
  <c r="M68" i="26"/>
  <c r="K68" i="26"/>
  <c r="L68" i="26" s="1"/>
  <c r="I68" i="26"/>
  <c r="J68" i="26" s="1"/>
  <c r="H68" i="26"/>
  <c r="G68" i="26"/>
  <c r="F68" i="26"/>
  <c r="T67" i="26"/>
  <c r="R67" i="26"/>
  <c r="S67" i="26" s="1"/>
  <c r="Q67" i="26"/>
  <c r="P67" i="26"/>
  <c r="O67" i="26"/>
  <c r="N67" i="26"/>
  <c r="M67" i="26"/>
  <c r="K67" i="26"/>
  <c r="L67" i="26" s="1"/>
  <c r="J67" i="26"/>
  <c r="I67" i="26"/>
  <c r="H67" i="26"/>
  <c r="G67" i="26"/>
  <c r="F67" i="26"/>
  <c r="T66" i="26"/>
  <c r="Q66" i="26"/>
  <c r="R66" i="26" s="1"/>
  <c r="S66" i="26" s="1"/>
  <c r="P66" i="26"/>
  <c r="O66" i="26"/>
  <c r="N66" i="26"/>
  <c r="M66" i="26"/>
  <c r="L66" i="26"/>
  <c r="K66" i="26"/>
  <c r="I66" i="26"/>
  <c r="J66" i="26" s="1"/>
  <c r="H66" i="26"/>
  <c r="G66" i="26"/>
  <c r="F66" i="26"/>
  <c r="T65" i="26"/>
  <c r="Q65" i="26"/>
  <c r="P65" i="26"/>
  <c r="R65" i="26" s="1"/>
  <c r="S65" i="26" s="1"/>
  <c r="O65" i="26"/>
  <c r="N65" i="26"/>
  <c r="M65" i="26"/>
  <c r="K65" i="26"/>
  <c r="L65" i="26" s="1"/>
  <c r="I65" i="26"/>
  <c r="J65" i="26" s="1"/>
  <c r="H65" i="26"/>
  <c r="G65" i="26"/>
  <c r="F65" i="26"/>
  <c r="T64" i="26"/>
  <c r="P64" i="26"/>
  <c r="O64" i="26"/>
  <c r="Q64" i="26" s="1"/>
  <c r="R64" i="26" s="1"/>
  <c r="S64" i="26" s="1"/>
  <c r="N64" i="26"/>
  <c r="M64" i="26"/>
  <c r="K64" i="26"/>
  <c r="L64" i="26" s="1"/>
  <c r="J64" i="26"/>
  <c r="I64" i="26"/>
  <c r="H64" i="26"/>
  <c r="G64" i="26"/>
  <c r="F64" i="26"/>
  <c r="T63" i="26"/>
  <c r="Q63" i="26"/>
  <c r="O63" i="26"/>
  <c r="N63" i="26"/>
  <c r="P63" i="26" s="1"/>
  <c r="R63" i="26" s="1"/>
  <c r="S63" i="26" s="1"/>
  <c r="M63" i="26"/>
  <c r="L63" i="26"/>
  <c r="K63" i="26"/>
  <c r="I63" i="26"/>
  <c r="J63" i="26" s="1"/>
  <c r="H63" i="26"/>
  <c r="G63" i="26"/>
  <c r="F63" i="26"/>
  <c r="T62" i="26"/>
  <c r="P62" i="26"/>
  <c r="R62" i="26" s="1"/>
  <c r="S62" i="26" s="1"/>
  <c r="O62" i="26"/>
  <c r="Q62" i="26" s="1"/>
  <c r="N62" i="26"/>
  <c r="M62" i="26"/>
  <c r="K62" i="26"/>
  <c r="L62" i="26" s="1"/>
  <c r="I62" i="26"/>
  <c r="J62" i="26" s="1"/>
  <c r="H62" i="26"/>
  <c r="G62" i="26"/>
  <c r="F62" i="26"/>
  <c r="T61" i="26"/>
  <c r="O61" i="26"/>
  <c r="Q61" i="26" s="1"/>
  <c r="N61" i="26"/>
  <c r="P61" i="26" s="1"/>
  <c r="R61" i="26" s="1"/>
  <c r="S61" i="26" s="1"/>
  <c r="M61" i="26"/>
  <c r="L61" i="26"/>
  <c r="K61" i="26"/>
  <c r="J61" i="26"/>
  <c r="I61" i="26"/>
  <c r="H61" i="26"/>
  <c r="G61" i="26"/>
  <c r="F61" i="26"/>
  <c r="T60" i="26"/>
  <c r="Q60" i="26"/>
  <c r="O60" i="26"/>
  <c r="N60" i="26"/>
  <c r="P60" i="26" s="1"/>
  <c r="R60" i="26" s="1"/>
  <c r="S60" i="26" s="1"/>
  <c r="M60" i="26"/>
  <c r="K60" i="26"/>
  <c r="L60" i="26" s="1"/>
  <c r="I60" i="26"/>
  <c r="J60" i="26" s="1"/>
  <c r="H60" i="26"/>
  <c r="G60" i="26"/>
  <c r="F60" i="26"/>
  <c r="T59" i="26"/>
  <c r="R59" i="26"/>
  <c r="S59" i="26" s="1"/>
  <c r="Q59" i="26"/>
  <c r="P59" i="26"/>
  <c r="O59" i="26"/>
  <c r="N59" i="26"/>
  <c r="M59" i="26"/>
  <c r="K59" i="26"/>
  <c r="L59" i="26" s="1"/>
  <c r="J59" i="26"/>
  <c r="I59" i="26"/>
  <c r="H59" i="26"/>
  <c r="G59" i="26"/>
  <c r="F59" i="26"/>
  <c r="T58" i="26"/>
  <c r="Q58" i="26"/>
  <c r="R58" i="26" s="1"/>
  <c r="S58" i="26" s="1"/>
  <c r="P58" i="26"/>
  <c r="O58" i="26"/>
  <c r="N58" i="26"/>
  <c r="M58" i="26"/>
  <c r="L58" i="26"/>
  <c r="K58" i="26"/>
  <c r="I58" i="26"/>
  <c r="J58" i="26" s="1"/>
  <c r="H58" i="26"/>
  <c r="G58" i="26"/>
  <c r="F58" i="26"/>
  <c r="T57" i="26"/>
  <c r="Q57" i="26"/>
  <c r="P57" i="26"/>
  <c r="R57" i="26" s="1"/>
  <c r="S57" i="26" s="1"/>
  <c r="O57" i="26"/>
  <c r="N57" i="26"/>
  <c r="M57" i="26"/>
  <c r="K57" i="26"/>
  <c r="L57" i="26" s="1"/>
  <c r="I57" i="26"/>
  <c r="J57" i="26" s="1"/>
  <c r="H57" i="26"/>
  <c r="G57" i="26"/>
  <c r="F57" i="26"/>
  <c r="T56" i="26"/>
  <c r="P56" i="26"/>
  <c r="O56" i="26"/>
  <c r="Q56" i="26" s="1"/>
  <c r="R56" i="26" s="1"/>
  <c r="S56" i="26" s="1"/>
  <c r="N56" i="26"/>
  <c r="M56" i="26"/>
  <c r="K56" i="26"/>
  <c r="L56" i="26" s="1"/>
  <c r="J56" i="26"/>
  <c r="I56" i="26"/>
  <c r="H56" i="26"/>
  <c r="G56" i="26"/>
  <c r="F56" i="26"/>
  <c r="T55" i="26"/>
  <c r="Q55" i="26"/>
  <c r="O55" i="26"/>
  <c r="N55" i="26"/>
  <c r="P55" i="26" s="1"/>
  <c r="R55" i="26" s="1"/>
  <c r="S55" i="26" s="1"/>
  <c r="M55" i="26"/>
  <c r="L55" i="26"/>
  <c r="K55" i="26"/>
  <c r="I55" i="26"/>
  <c r="J55" i="26" s="1"/>
  <c r="H55" i="26"/>
  <c r="G55" i="26"/>
  <c r="F55" i="26"/>
  <c r="T54" i="26"/>
  <c r="P54" i="26"/>
  <c r="O54" i="26"/>
  <c r="Q54" i="26" s="1"/>
  <c r="N54" i="26"/>
  <c r="M54" i="26"/>
  <c r="K54" i="26"/>
  <c r="L54" i="26" s="1"/>
  <c r="I54" i="26"/>
  <c r="J54" i="26" s="1"/>
  <c r="H54" i="26"/>
  <c r="G54" i="26"/>
  <c r="F54" i="26"/>
  <c r="T53" i="26"/>
  <c r="O53" i="26"/>
  <c r="Q53" i="26" s="1"/>
  <c r="N53" i="26"/>
  <c r="P53" i="26" s="1"/>
  <c r="R53" i="26" s="1"/>
  <c r="S53" i="26" s="1"/>
  <c r="M53" i="26"/>
  <c r="L53" i="26"/>
  <c r="K53" i="26"/>
  <c r="J53" i="26"/>
  <c r="I53" i="26"/>
  <c r="H53" i="26"/>
  <c r="G53" i="26"/>
  <c r="F53" i="26"/>
  <c r="T52" i="26"/>
  <c r="S52" i="26"/>
  <c r="Q52" i="26"/>
  <c r="O52" i="26"/>
  <c r="N52" i="26"/>
  <c r="P52" i="26" s="1"/>
  <c r="R52" i="26" s="1"/>
  <c r="M52" i="26"/>
  <c r="K52" i="26"/>
  <c r="L52" i="26" s="1"/>
  <c r="I52" i="26"/>
  <c r="J52" i="26" s="1"/>
  <c r="H52" i="26"/>
  <c r="G52" i="26"/>
  <c r="F52" i="26"/>
  <c r="T51" i="26"/>
  <c r="R51" i="26"/>
  <c r="S51" i="26" s="1"/>
  <c r="Q51" i="26"/>
  <c r="P51" i="26"/>
  <c r="O51" i="26"/>
  <c r="N51" i="26"/>
  <c r="M51" i="26"/>
  <c r="K51" i="26"/>
  <c r="L51" i="26" s="1"/>
  <c r="J51" i="26"/>
  <c r="I51" i="26"/>
  <c r="H51" i="26"/>
  <c r="G51" i="26"/>
  <c r="F51" i="26"/>
  <c r="T50" i="26"/>
  <c r="Q50" i="26"/>
  <c r="R50" i="26" s="1"/>
  <c r="S50" i="26" s="1"/>
  <c r="P50" i="26"/>
  <c r="O50" i="26"/>
  <c r="N50" i="26"/>
  <c r="M50" i="26"/>
  <c r="L50" i="26"/>
  <c r="K50" i="26"/>
  <c r="I50" i="26"/>
  <c r="J50" i="26" s="1"/>
  <c r="H50" i="26"/>
  <c r="G50" i="26"/>
  <c r="F50" i="26"/>
  <c r="T49" i="26"/>
  <c r="Q49" i="26"/>
  <c r="P49" i="26"/>
  <c r="R49" i="26" s="1"/>
  <c r="S49" i="26" s="1"/>
  <c r="O49" i="26"/>
  <c r="N49" i="26"/>
  <c r="M49" i="26"/>
  <c r="K49" i="26"/>
  <c r="L49" i="26" s="1"/>
  <c r="I49" i="26"/>
  <c r="J49" i="26" s="1"/>
  <c r="H49" i="26"/>
  <c r="G49" i="26"/>
  <c r="F49" i="26"/>
  <c r="T48" i="26"/>
  <c r="P48" i="26"/>
  <c r="O48" i="26"/>
  <c r="Q48" i="26" s="1"/>
  <c r="R48" i="26" s="1"/>
  <c r="S48" i="26" s="1"/>
  <c r="N48" i="26"/>
  <c r="M48" i="26"/>
  <c r="K48" i="26"/>
  <c r="L48" i="26" s="1"/>
  <c r="J48" i="26"/>
  <c r="I48" i="26"/>
  <c r="H48" i="26"/>
  <c r="G48" i="26"/>
  <c r="F48" i="26"/>
  <c r="T47" i="26"/>
  <c r="Q47" i="26"/>
  <c r="O47" i="26"/>
  <c r="N47" i="26"/>
  <c r="P47" i="26" s="1"/>
  <c r="R47" i="26" s="1"/>
  <c r="S47" i="26" s="1"/>
  <c r="M47" i="26"/>
  <c r="L47" i="26"/>
  <c r="K47" i="26"/>
  <c r="I47" i="26"/>
  <c r="J47" i="26" s="1"/>
  <c r="H47" i="26"/>
  <c r="G47" i="26"/>
  <c r="F47" i="26"/>
  <c r="T46" i="26"/>
  <c r="P46" i="26"/>
  <c r="R46" i="26" s="1"/>
  <c r="S46" i="26" s="1"/>
  <c r="O46" i="26"/>
  <c r="Q46" i="26" s="1"/>
  <c r="N46" i="26"/>
  <c r="M46" i="26"/>
  <c r="K46" i="26"/>
  <c r="L46" i="26" s="1"/>
  <c r="I46" i="26"/>
  <c r="J46" i="26" s="1"/>
  <c r="H46" i="26"/>
  <c r="G46" i="26"/>
  <c r="F46" i="26"/>
  <c r="T45" i="26"/>
  <c r="O45" i="26"/>
  <c r="Q45" i="26" s="1"/>
  <c r="N45" i="26"/>
  <c r="P45" i="26" s="1"/>
  <c r="R45" i="26" s="1"/>
  <c r="S45" i="26" s="1"/>
  <c r="M45" i="26"/>
  <c r="L45" i="26"/>
  <c r="K45" i="26"/>
  <c r="J45" i="26"/>
  <c r="I45" i="26"/>
  <c r="H45" i="26"/>
  <c r="G45" i="26"/>
  <c r="F45" i="26"/>
  <c r="T44" i="26"/>
  <c r="Q44" i="26"/>
  <c r="O44" i="26"/>
  <c r="N44" i="26"/>
  <c r="P44" i="26" s="1"/>
  <c r="R44" i="26" s="1"/>
  <c r="S44" i="26" s="1"/>
  <c r="M44" i="26"/>
  <c r="K44" i="26"/>
  <c r="L44" i="26" s="1"/>
  <c r="I44" i="26"/>
  <c r="J44" i="26" s="1"/>
  <c r="H44" i="26"/>
  <c r="G44" i="26"/>
  <c r="F44" i="26"/>
  <c r="T43" i="26"/>
  <c r="R43" i="26"/>
  <c r="S43" i="26" s="1"/>
  <c r="Q43" i="26"/>
  <c r="P43" i="26"/>
  <c r="O43" i="26"/>
  <c r="N43" i="26"/>
  <c r="M43" i="26"/>
  <c r="L43" i="26"/>
  <c r="K43" i="26"/>
  <c r="J43" i="26"/>
  <c r="I43" i="26"/>
  <c r="H43" i="26"/>
  <c r="G43" i="26"/>
  <c r="F43" i="26"/>
  <c r="T42" i="26"/>
  <c r="Q42" i="26"/>
  <c r="R42" i="26" s="1"/>
  <c r="S42" i="26" s="1"/>
  <c r="P42" i="26"/>
  <c r="O42" i="26"/>
  <c r="N42" i="26"/>
  <c r="M42" i="26"/>
  <c r="L42" i="26"/>
  <c r="K42" i="26"/>
  <c r="I42" i="26"/>
  <c r="J42" i="26" s="1"/>
  <c r="H42" i="26"/>
  <c r="G42" i="26"/>
  <c r="F42" i="26"/>
  <c r="T41" i="26"/>
  <c r="S41" i="26"/>
  <c r="Q41" i="26"/>
  <c r="P41" i="26"/>
  <c r="R41" i="26" s="1"/>
  <c r="O41" i="26"/>
  <c r="N41" i="26"/>
  <c r="M41" i="26"/>
  <c r="K41" i="26"/>
  <c r="L41" i="26" s="1"/>
  <c r="J41" i="26"/>
  <c r="I41" i="26"/>
  <c r="H41" i="26"/>
  <c r="G41" i="26"/>
  <c r="F41" i="26"/>
  <c r="T40" i="26"/>
  <c r="P40" i="26"/>
  <c r="O40" i="26"/>
  <c r="Q40" i="26" s="1"/>
  <c r="R40" i="26" s="1"/>
  <c r="S40" i="26" s="1"/>
  <c r="N40" i="26"/>
  <c r="M40" i="26"/>
  <c r="K40" i="26"/>
  <c r="L40" i="26" s="1"/>
  <c r="J40" i="26"/>
  <c r="I40" i="26"/>
  <c r="H40" i="26"/>
  <c r="G40" i="26"/>
  <c r="F40" i="26"/>
  <c r="T39" i="26"/>
  <c r="Q39" i="26"/>
  <c r="O39" i="26"/>
  <c r="N39" i="26"/>
  <c r="P39" i="26" s="1"/>
  <c r="M39" i="26"/>
  <c r="L39" i="26"/>
  <c r="K39" i="26"/>
  <c r="I39" i="26"/>
  <c r="J39" i="26" s="1"/>
  <c r="H39" i="26"/>
  <c r="G39" i="26"/>
  <c r="F39" i="26"/>
  <c r="T38" i="26"/>
  <c r="P38" i="26"/>
  <c r="O38" i="26"/>
  <c r="Q38" i="26" s="1"/>
  <c r="N38" i="26"/>
  <c r="M38" i="26"/>
  <c r="K38" i="26"/>
  <c r="L38" i="26" s="1"/>
  <c r="I38" i="26"/>
  <c r="J38" i="26" s="1"/>
  <c r="H38" i="26"/>
  <c r="G38" i="26"/>
  <c r="F38" i="26"/>
  <c r="T37" i="26"/>
  <c r="O37" i="26"/>
  <c r="Q37" i="26" s="1"/>
  <c r="N37" i="26"/>
  <c r="P37" i="26" s="1"/>
  <c r="M37" i="26"/>
  <c r="L37" i="26"/>
  <c r="K37" i="26"/>
  <c r="J37" i="26"/>
  <c r="I37" i="26"/>
  <c r="H37" i="26"/>
  <c r="G37" i="26"/>
  <c r="F37" i="26"/>
  <c r="T36" i="26"/>
  <c r="S36" i="26"/>
  <c r="Q36" i="26"/>
  <c r="O36" i="26"/>
  <c r="N36" i="26"/>
  <c r="P36" i="26" s="1"/>
  <c r="R36" i="26" s="1"/>
  <c r="M36" i="26"/>
  <c r="K36" i="26"/>
  <c r="L36" i="26" s="1"/>
  <c r="I36" i="26"/>
  <c r="J36" i="26" s="1"/>
  <c r="H36" i="26"/>
  <c r="G36" i="26"/>
  <c r="F36" i="26"/>
  <c r="T35" i="26"/>
  <c r="R35" i="26"/>
  <c r="S35" i="26" s="1"/>
  <c r="Q35" i="26"/>
  <c r="P35" i="26"/>
  <c r="O35" i="26"/>
  <c r="N35" i="26"/>
  <c r="M35" i="26"/>
  <c r="L35" i="26"/>
  <c r="K35" i="26"/>
  <c r="J35" i="26"/>
  <c r="I35" i="26"/>
  <c r="H35" i="26"/>
  <c r="G35" i="26"/>
  <c r="F35" i="26"/>
  <c r="T34" i="26"/>
  <c r="Q34" i="26"/>
  <c r="R34" i="26" s="1"/>
  <c r="S34" i="26" s="1"/>
  <c r="P34" i="26"/>
  <c r="O34" i="26"/>
  <c r="N34" i="26"/>
  <c r="M34" i="26"/>
  <c r="L34" i="26"/>
  <c r="K34" i="26"/>
  <c r="I34" i="26"/>
  <c r="J34" i="26" s="1"/>
  <c r="H34" i="26"/>
  <c r="G34" i="26"/>
  <c r="F34" i="26"/>
  <c r="T33" i="26"/>
  <c r="S33" i="26"/>
  <c r="Q33" i="26"/>
  <c r="P33" i="26"/>
  <c r="R33" i="26" s="1"/>
  <c r="O33" i="26"/>
  <c r="N33" i="26"/>
  <c r="M33" i="26"/>
  <c r="K33" i="26"/>
  <c r="L33" i="26" s="1"/>
  <c r="J33" i="26"/>
  <c r="I33" i="26"/>
  <c r="H33" i="26"/>
  <c r="G33" i="26"/>
  <c r="F33" i="26"/>
  <c r="T32" i="26"/>
  <c r="P32" i="26"/>
  <c r="O32" i="26"/>
  <c r="Q32" i="26" s="1"/>
  <c r="R32" i="26" s="1"/>
  <c r="S32" i="26" s="1"/>
  <c r="N32" i="26"/>
  <c r="M32" i="26"/>
  <c r="K32" i="26"/>
  <c r="L32" i="26" s="1"/>
  <c r="J32" i="26"/>
  <c r="I32" i="26"/>
  <c r="H32" i="26"/>
  <c r="G32" i="26"/>
  <c r="F32" i="26"/>
  <c r="T31" i="26"/>
  <c r="Q31" i="26"/>
  <c r="O31" i="26"/>
  <c r="N31" i="26"/>
  <c r="P31" i="26" s="1"/>
  <c r="R31" i="26" s="1"/>
  <c r="S31" i="26" s="1"/>
  <c r="M31" i="26"/>
  <c r="L31" i="26"/>
  <c r="K31" i="26"/>
  <c r="I31" i="26"/>
  <c r="J31" i="26" s="1"/>
  <c r="H31" i="26"/>
  <c r="G31" i="26"/>
  <c r="F31" i="26"/>
  <c r="T30" i="26"/>
  <c r="P30" i="26"/>
  <c r="O30" i="26"/>
  <c r="Q30" i="26" s="1"/>
  <c r="N30" i="26"/>
  <c r="M30" i="26"/>
  <c r="K30" i="26"/>
  <c r="L30" i="26" s="1"/>
  <c r="I30" i="26"/>
  <c r="J30" i="26" s="1"/>
  <c r="H30" i="26"/>
  <c r="G30" i="26"/>
  <c r="F30" i="26"/>
  <c r="T29" i="26"/>
  <c r="O29" i="26"/>
  <c r="Q29" i="26" s="1"/>
  <c r="N29" i="26"/>
  <c r="P29" i="26" s="1"/>
  <c r="R29" i="26" s="1"/>
  <c r="S29" i="26" s="1"/>
  <c r="M29" i="26"/>
  <c r="L29" i="26"/>
  <c r="K29" i="26"/>
  <c r="J29" i="26"/>
  <c r="I29" i="26"/>
  <c r="H29" i="26"/>
  <c r="G29" i="26"/>
  <c r="F29" i="26"/>
  <c r="T28" i="26"/>
  <c r="S28" i="26"/>
  <c r="Q28" i="26"/>
  <c r="O28" i="26"/>
  <c r="N28" i="26"/>
  <c r="P28" i="26" s="1"/>
  <c r="R28" i="26" s="1"/>
  <c r="M28" i="26"/>
  <c r="K28" i="26"/>
  <c r="L28" i="26" s="1"/>
  <c r="I28" i="26"/>
  <c r="J28" i="26" s="1"/>
  <c r="H28" i="26"/>
  <c r="G28" i="26"/>
  <c r="F28" i="26"/>
  <c r="T27" i="26"/>
  <c r="R27" i="26"/>
  <c r="S27" i="26" s="1"/>
  <c r="Q27" i="26"/>
  <c r="P27" i="26"/>
  <c r="O27" i="26"/>
  <c r="N27" i="26"/>
  <c r="M27" i="26"/>
  <c r="L27" i="26"/>
  <c r="K27" i="26"/>
  <c r="J27" i="26"/>
  <c r="I27" i="26"/>
  <c r="H27" i="26"/>
  <c r="G27" i="26"/>
  <c r="F27" i="26"/>
  <c r="T26" i="26"/>
  <c r="Q26" i="26"/>
  <c r="R26" i="26" s="1"/>
  <c r="S26" i="26" s="1"/>
  <c r="P26" i="26"/>
  <c r="O26" i="26"/>
  <c r="N26" i="26"/>
  <c r="M26" i="26"/>
  <c r="L26" i="26"/>
  <c r="K26" i="26"/>
  <c r="I26" i="26"/>
  <c r="J26" i="26" s="1"/>
  <c r="H26" i="26"/>
  <c r="G26" i="26"/>
  <c r="F26" i="26"/>
  <c r="T25" i="26"/>
  <c r="Q25" i="26"/>
  <c r="P25" i="26"/>
  <c r="R25" i="26" s="1"/>
  <c r="S25" i="26" s="1"/>
  <c r="O25" i="26"/>
  <c r="N25" i="26"/>
  <c r="M25" i="26"/>
  <c r="K25" i="26"/>
  <c r="L25" i="26" s="1"/>
  <c r="J25" i="26"/>
  <c r="I25" i="26"/>
  <c r="H25" i="26"/>
  <c r="G25" i="26"/>
  <c r="F25" i="26"/>
  <c r="T24" i="26"/>
  <c r="R24" i="26"/>
  <c r="S24" i="26" s="1"/>
  <c r="P24" i="26"/>
  <c r="O24" i="26"/>
  <c r="Q24" i="26" s="1"/>
  <c r="N24" i="26"/>
  <c r="M24" i="26"/>
  <c r="K24" i="26"/>
  <c r="L24" i="26" s="1"/>
  <c r="J24" i="26"/>
  <c r="I24" i="26"/>
  <c r="H24" i="26"/>
  <c r="G24" i="26"/>
  <c r="F24" i="26"/>
  <c r="T23" i="26"/>
  <c r="Q23" i="26"/>
  <c r="O23" i="26"/>
  <c r="N23" i="26"/>
  <c r="P23" i="26" s="1"/>
  <c r="R23" i="26" s="1"/>
  <c r="S23" i="26" s="1"/>
  <c r="M23" i="26"/>
  <c r="L23" i="26"/>
  <c r="K23" i="26"/>
  <c r="I23" i="26"/>
  <c r="J23" i="26" s="1"/>
  <c r="H23" i="26"/>
  <c r="G23" i="26"/>
  <c r="F23" i="26"/>
  <c r="T22" i="26"/>
  <c r="P22" i="26"/>
  <c r="O22" i="26"/>
  <c r="Q22" i="26" s="1"/>
  <c r="N22" i="26"/>
  <c r="M22" i="26"/>
  <c r="K22" i="26"/>
  <c r="L22" i="26" s="1"/>
  <c r="I22" i="26"/>
  <c r="J22" i="26" s="1"/>
  <c r="H22" i="26"/>
  <c r="G22" i="26"/>
  <c r="F22" i="26"/>
  <c r="T21" i="26"/>
  <c r="O21" i="26"/>
  <c r="Q21" i="26" s="1"/>
  <c r="N21" i="26"/>
  <c r="P21" i="26" s="1"/>
  <c r="R21" i="26" s="1"/>
  <c r="S21" i="26" s="1"/>
  <c r="M21" i="26"/>
  <c r="L21" i="26"/>
  <c r="K21" i="26"/>
  <c r="J21" i="26"/>
  <c r="I21" i="26"/>
  <c r="H21" i="26"/>
  <c r="G21" i="26"/>
  <c r="F21" i="26"/>
  <c r="T20" i="26"/>
  <c r="Q20" i="26"/>
  <c r="O20" i="26"/>
  <c r="N20" i="26"/>
  <c r="P20" i="26" s="1"/>
  <c r="R20" i="26" s="1"/>
  <c r="S20" i="26" s="1"/>
  <c r="M20" i="26"/>
  <c r="K20" i="26"/>
  <c r="L20" i="26" s="1"/>
  <c r="I20" i="26"/>
  <c r="J20" i="26" s="1"/>
  <c r="H20" i="26"/>
  <c r="G20" i="26"/>
  <c r="F20" i="26"/>
  <c r="T19" i="26"/>
  <c r="R19" i="26"/>
  <c r="S19" i="26" s="1"/>
  <c r="Q19" i="26"/>
  <c r="P19" i="26"/>
  <c r="O19" i="26"/>
  <c r="N19" i="26"/>
  <c r="M19" i="26"/>
  <c r="L19" i="26"/>
  <c r="K19" i="26"/>
  <c r="J19" i="26"/>
  <c r="I19" i="26"/>
  <c r="H19" i="26"/>
  <c r="G19" i="26"/>
  <c r="F19" i="26"/>
  <c r="T18" i="26"/>
  <c r="Q18" i="26"/>
  <c r="R18" i="26" s="1"/>
  <c r="S18" i="26" s="1"/>
  <c r="P18" i="26"/>
  <c r="O18" i="26"/>
  <c r="N18" i="26"/>
  <c r="M18" i="26"/>
  <c r="L18" i="26"/>
  <c r="K18" i="26"/>
  <c r="I18" i="26"/>
  <c r="J18" i="26" s="1"/>
  <c r="H18" i="26"/>
  <c r="G18" i="26"/>
  <c r="F18" i="26"/>
  <c r="T17" i="26"/>
  <c r="Q17" i="26"/>
  <c r="P17" i="26"/>
  <c r="R17" i="26" s="1"/>
  <c r="S17" i="26" s="1"/>
  <c r="O17" i="26"/>
  <c r="N17" i="26"/>
  <c r="M17" i="26"/>
  <c r="K17" i="26"/>
  <c r="L17" i="26" s="1"/>
  <c r="J17" i="26"/>
  <c r="I17" i="26"/>
  <c r="H17" i="26"/>
  <c r="G17" i="26"/>
  <c r="F17" i="26"/>
  <c r="T16" i="26"/>
  <c r="P16" i="26"/>
  <c r="O16" i="26"/>
  <c r="Q16" i="26" s="1"/>
  <c r="R16" i="26" s="1"/>
  <c r="S16" i="26" s="1"/>
  <c r="N16" i="26"/>
  <c r="M16" i="26"/>
  <c r="K16" i="26"/>
  <c r="L16" i="26" s="1"/>
  <c r="J16" i="26"/>
  <c r="I16" i="26"/>
  <c r="H16" i="26"/>
  <c r="G16" i="26"/>
  <c r="F16" i="26"/>
  <c r="T15" i="26"/>
  <c r="Q15" i="26"/>
  <c r="O15" i="26"/>
  <c r="N15" i="26"/>
  <c r="P15" i="26" s="1"/>
  <c r="R15" i="26" s="1"/>
  <c r="S15" i="26" s="1"/>
  <c r="M15" i="26"/>
  <c r="L15" i="26"/>
  <c r="K15" i="26"/>
  <c r="I15" i="26"/>
  <c r="J15" i="26" s="1"/>
  <c r="H15" i="26"/>
  <c r="G15" i="26"/>
  <c r="F15" i="26"/>
  <c r="T14" i="26"/>
  <c r="P14" i="26"/>
  <c r="R14" i="26" s="1"/>
  <c r="S14" i="26" s="1"/>
  <c r="O14" i="26"/>
  <c r="Q14" i="26" s="1"/>
  <c r="N14" i="26"/>
  <c r="M14" i="26"/>
  <c r="K14" i="26"/>
  <c r="L14" i="26" s="1"/>
  <c r="I14" i="26"/>
  <c r="J14" i="26" s="1"/>
  <c r="H14" i="26"/>
  <c r="G14" i="26"/>
  <c r="F14" i="26"/>
  <c r="T13" i="26"/>
  <c r="O13" i="26"/>
  <c r="Q13" i="26" s="1"/>
  <c r="N13" i="26"/>
  <c r="P13" i="26" s="1"/>
  <c r="R13" i="26" s="1"/>
  <c r="S13" i="26" s="1"/>
  <c r="M13" i="26"/>
  <c r="L13" i="26"/>
  <c r="K13" i="26"/>
  <c r="J13" i="26"/>
  <c r="I13" i="26"/>
  <c r="H13" i="26"/>
  <c r="G13" i="26"/>
  <c r="F13" i="26"/>
  <c r="T12" i="26"/>
  <c r="Q12" i="26"/>
  <c r="O12" i="26"/>
  <c r="N12" i="26"/>
  <c r="P12" i="26" s="1"/>
  <c r="R12" i="26" s="1"/>
  <c r="S12" i="26" s="1"/>
  <c r="M12" i="26"/>
  <c r="K12" i="26"/>
  <c r="L12" i="26" s="1"/>
  <c r="I12" i="26"/>
  <c r="J12" i="26" s="1"/>
  <c r="H12" i="26"/>
  <c r="G12" i="26"/>
  <c r="F12" i="26"/>
  <c r="T11" i="26"/>
  <c r="R11" i="26"/>
  <c r="S11" i="26" s="1"/>
  <c r="Q11" i="26"/>
  <c r="P11" i="26"/>
  <c r="O11" i="26"/>
  <c r="N11" i="26"/>
  <c r="M11" i="26"/>
  <c r="L11" i="26"/>
  <c r="K11" i="26"/>
  <c r="J11" i="26"/>
  <c r="I11" i="26"/>
  <c r="H11" i="26"/>
  <c r="G11" i="26"/>
  <c r="F11" i="26"/>
  <c r="T10" i="26"/>
  <c r="Q10" i="26"/>
  <c r="R10" i="26" s="1"/>
  <c r="S10" i="26" s="1"/>
  <c r="P10" i="26"/>
  <c r="O10" i="26"/>
  <c r="N10" i="26"/>
  <c r="M10" i="26"/>
  <c r="L10" i="26"/>
  <c r="K10" i="26"/>
  <c r="I10" i="26"/>
  <c r="J10" i="26" s="1"/>
  <c r="H10" i="26"/>
  <c r="G10" i="26"/>
  <c r="F10" i="26"/>
  <c r="T9" i="26"/>
  <c r="S9" i="26"/>
  <c r="Q9" i="26"/>
  <c r="P9" i="26"/>
  <c r="R9" i="26" s="1"/>
  <c r="O9" i="26"/>
  <c r="N9" i="26"/>
  <c r="M9" i="26"/>
  <c r="K9" i="26"/>
  <c r="L9" i="26" s="1"/>
  <c r="J9" i="26"/>
  <c r="I9" i="26"/>
  <c r="H9" i="26"/>
  <c r="G9" i="26"/>
  <c r="F9" i="26"/>
  <c r="T8" i="26"/>
  <c r="P8" i="26"/>
  <c r="O8" i="26"/>
  <c r="Q8" i="26" s="1"/>
  <c r="R8" i="26" s="1"/>
  <c r="S8" i="26" s="1"/>
  <c r="N8" i="26"/>
  <c r="M8" i="26"/>
  <c r="K8" i="26"/>
  <c r="L8" i="26" s="1"/>
  <c r="J8" i="26"/>
  <c r="I8" i="26"/>
  <c r="H8" i="26"/>
  <c r="G8" i="26"/>
  <c r="F8" i="26"/>
  <c r="T7" i="26"/>
  <c r="Q7" i="26"/>
  <c r="O7" i="26"/>
  <c r="N7" i="26"/>
  <c r="P7" i="26" s="1"/>
  <c r="M7" i="26"/>
  <c r="L7" i="26"/>
  <c r="K7" i="26"/>
  <c r="I7" i="26"/>
  <c r="J7" i="26" s="1"/>
  <c r="H7" i="26"/>
  <c r="G7" i="26"/>
  <c r="F7" i="26"/>
  <c r="T6" i="26"/>
  <c r="P6" i="26"/>
  <c r="O6" i="26"/>
  <c r="Q6" i="26" s="1"/>
  <c r="N6" i="26"/>
  <c r="M6" i="26"/>
  <c r="K6" i="26"/>
  <c r="L6" i="26" s="1"/>
  <c r="I6" i="26"/>
  <c r="J6" i="26" s="1"/>
  <c r="H6" i="26"/>
  <c r="G6" i="26"/>
  <c r="F6" i="26"/>
  <c r="T5" i="26"/>
  <c r="O5" i="26"/>
  <c r="Q5" i="26" s="1"/>
  <c r="N5" i="26"/>
  <c r="P5" i="26" s="1"/>
  <c r="M5" i="26"/>
  <c r="L5" i="26"/>
  <c r="K5" i="26"/>
  <c r="J5" i="26"/>
  <c r="I5" i="26"/>
  <c r="H5" i="26"/>
  <c r="G5" i="26"/>
  <c r="F5" i="26"/>
  <c r="T4" i="26"/>
  <c r="S4" i="26"/>
  <c r="Q4" i="26"/>
  <c r="O4" i="26"/>
  <c r="N4" i="26"/>
  <c r="P4" i="26" s="1"/>
  <c r="R4" i="26" s="1"/>
  <c r="M4" i="26"/>
  <c r="K4" i="26"/>
  <c r="L4" i="26" s="1"/>
  <c r="I4" i="26"/>
  <c r="J4" i="26" s="1"/>
  <c r="H4" i="26"/>
  <c r="G4" i="26"/>
  <c r="F4" i="26"/>
  <c r="T3" i="26"/>
  <c r="O3" i="26"/>
  <c r="Q3" i="26" s="1"/>
  <c r="N3" i="26"/>
  <c r="P3" i="26" s="1"/>
  <c r="R3" i="26" s="1"/>
  <c r="S3" i="26" s="1"/>
  <c r="M3" i="26"/>
  <c r="L3" i="26"/>
  <c r="K3" i="26"/>
  <c r="J3" i="26"/>
  <c r="I3" i="26"/>
  <c r="H3" i="26"/>
  <c r="G3" i="26"/>
  <c r="F3" i="26"/>
  <c r="T2" i="26"/>
  <c r="Q2" i="26"/>
  <c r="O2" i="26"/>
  <c r="N2" i="26"/>
  <c r="P2" i="26" s="1"/>
  <c r="M2" i="26"/>
  <c r="L2" i="26"/>
  <c r="K2" i="26"/>
  <c r="I2" i="26"/>
  <c r="J2" i="26" s="1"/>
  <c r="H2" i="26"/>
  <c r="G2" i="26"/>
  <c r="F2" i="26"/>
  <c r="F3" i="25"/>
  <c r="G3" i="25"/>
  <c r="T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T47" i="17"/>
  <c r="T48" i="17"/>
  <c r="T49" i="17"/>
  <c r="T50" i="17"/>
  <c r="T51" i="17"/>
  <c r="T52" i="17"/>
  <c r="T53" i="17"/>
  <c r="T54" i="17"/>
  <c r="T55" i="17"/>
  <c r="T56" i="17"/>
  <c r="T57" i="17"/>
  <c r="T58" i="17"/>
  <c r="T59" i="17"/>
  <c r="T60" i="17"/>
  <c r="T61" i="17"/>
  <c r="T62" i="17"/>
  <c r="T63" i="17"/>
  <c r="T64" i="17"/>
  <c r="T65" i="17"/>
  <c r="T66" i="17"/>
  <c r="T67" i="17"/>
  <c r="T68" i="17"/>
  <c r="T69" i="17"/>
  <c r="T70" i="17"/>
  <c r="T71" i="17"/>
  <c r="T72" i="17"/>
  <c r="T73" i="17"/>
  <c r="T74" i="17"/>
  <c r="T75" i="17"/>
  <c r="T76" i="17"/>
  <c r="T77" i="17"/>
  <c r="T78" i="17"/>
  <c r="T79" i="17"/>
  <c r="T80" i="17"/>
  <c r="T81" i="17"/>
  <c r="T82" i="17"/>
  <c r="T83" i="17"/>
  <c r="T84" i="17"/>
  <c r="T85" i="17"/>
  <c r="T86" i="17"/>
  <c r="T87" i="17"/>
  <c r="T88" i="17"/>
  <c r="T89" i="17"/>
  <c r="T90" i="17"/>
  <c r="T91" i="17"/>
  <c r="T92" i="17"/>
  <c r="T93" i="17"/>
  <c r="T94" i="17"/>
  <c r="T95" i="17"/>
  <c r="T96" i="17"/>
  <c r="T97" i="17"/>
  <c r="T98" i="17"/>
  <c r="T99" i="17"/>
  <c r="T100" i="17"/>
  <c r="T101" i="17"/>
  <c r="T102" i="17"/>
  <c r="T103" i="17"/>
  <c r="T104" i="17"/>
  <c r="T105" i="17"/>
  <c r="T106" i="17"/>
  <c r="T107" i="17"/>
  <c r="T108" i="17"/>
  <c r="T109" i="17"/>
  <c r="T110" i="17"/>
  <c r="T111" i="17"/>
  <c r="T112" i="17"/>
  <c r="T113" i="17"/>
  <c r="T114" i="17"/>
  <c r="T115" i="17"/>
  <c r="T116" i="17"/>
  <c r="T117" i="17"/>
  <c r="T118" i="17"/>
  <c r="T119" i="17"/>
  <c r="T120" i="17"/>
  <c r="T121" i="17"/>
  <c r="T122" i="17"/>
  <c r="T123" i="17"/>
  <c r="T124" i="17"/>
  <c r="T125" i="17"/>
  <c r="T126" i="17"/>
  <c r="T127" i="17"/>
  <c r="T128" i="17"/>
  <c r="T129" i="17"/>
  <c r="T130" i="17"/>
  <c r="T131" i="17"/>
  <c r="T132" i="17"/>
  <c r="T133" i="17"/>
  <c r="T134" i="17"/>
  <c r="T135" i="17"/>
  <c r="T136" i="17"/>
  <c r="T137" i="17"/>
  <c r="T138" i="17"/>
  <c r="T139" i="17"/>
  <c r="T140" i="17"/>
  <c r="T141" i="17"/>
  <c r="T142" i="17"/>
  <c r="T143" i="17"/>
  <c r="T144" i="17"/>
  <c r="T145" i="17"/>
  <c r="T146" i="17"/>
  <c r="T147" i="17"/>
  <c r="T148" i="17"/>
  <c r="T149" i="17"/>
  <c r="T150" i="17"/>
  <c r="T151" i="17"/>
  <c r="T152" i="17"/>
  <c r="T153" i="17"/>
  <c r="T154" i="17"/>
  <c r="T155" i="17"/>
  <c r="T156" i="17"/>
  <c r="T157" i="17"/>
  <c r="T158" i="17"/>
  <c r="T159" i="17"/>
  <c r="T160" i="17"/>
  <c r="T161" i="17"/>
  <c r="T162" i="17"/>
  <c r="T163" i="17"/>
  <c r="T164" i="17"/>
  <c r="T165" i="17"/>
  <c r="T166" i="17"/>
  <c r="T167" i="17"/>
  <c r="T168" i="17"/>
  <c r="T169" i="17"/>
  <c r="T170" i="17"/>
  <c r="T171" i="17"/>
  <c r="T172" i="17"/>
  <c r="T173" i="17"/>
  <c r="T174" i="17"/>
  <c r="T175" i="17"/>
  <c r="T176" i="17"/>
  <c r="T177" i="17"/>
  <c r="T178" i="17"/>
  <c r="T179" i="17"/>
  <c r="T180" i="17"/>
  <c r="T181" i="17"/>
  <c r="T182" i="17"/>
  <c r="T183" i="17"/>
  <c r="T184" i="17"/>
  <c r="T185" i="17"/>
  <c r="T186" i="17"/>
  <c r="T187" i="17"/>
  <c r="T188" i="17"/>
  <c r="T189" i="17"/>
  <c r="T190" i="17"/>
  <c r="T191" i="17"/>
  <c r="T192" i="17"/>
  <c r="T193" i="17"/>
  <c r="T194" i="17"/>
  <c r="T195" i="17"/>
  <c r="T196" i="17"/>
  <c r="T197" i="17"/>
  <c r="T198" i="17"/>
  <c r="T199" i="17"/>
  <c r="T200" i="17"/>
  <c r="T201" i="17"/>
  <c r="T202" i="17"/>
  <c r="T203" i="17"/>
  <c r="T204" i="17"/>
  <c r="T205" i="17"/>
  <c r="T206" i="17"/>
  <c r="T207" i="17"/>
  <c r="T208" i="17"/>
  <c r="T209" i="17"/>
  <c r="T210" i="17"/>
  <c r="T211" i="17"/>
  <c r="T212" i="17"/>
  <c r="T213" i="17"/>
  <c r="T214" i="17"/>
  <c r="T215" i="17"/>
  <c r="T216" i="17"/>
  <c r="T217" i="17"/>
  <c r="T218" i="17"/>
  <c r="T219" i="17"/>
  <c r="T220" i="17"/>
  <c r="T221" i="17"/>
  <c r="T222" i="17"/>
  <c r="T223" i="17"/>
  <c r="T224" i="17"/>
  <c r="T225" i="17"/>
  <c r="T226" i="17"/>
  <c r="T227" i="17"/>
  <c r="T228" i="17"/>
  <c r="T229" i="17"/>
  <c r="T230" i="17"/>
  <c r="T231" i="17"/>
  <c r="T232" i="17"/>
  <c r="T233" i="17"/>
  <c r="T234" i="17"/>
  <c r="T235" i="17"/>
  <c r="T236" i="17"/>
  <c r="T237" i="17"/>
  <c r="T238" i="17"/>
  <c r="T239" i="17"/>
  <c r="T240" i="17"/>
  <c r="T241" i="17"/>
  <c r="T242" i="17"/>
  <c r="T243" i="17"/>
  <c r="T244" i="17"/>
  <c r="T245" i="17"/>
  <c r="T246" i="17"/>
  <c r="T247" i="17"/>
  <c r="T248" i="17"/>
  <c r="T249" i="17"/>
  <c r="T250" i="17"/>
  <c r="T251" i="17"/>
  <c r="T252" i="17"/>
  <c r="T253" i="17"/>
  <c r="T254" i="17"/>
  <c r="T255" i="17"/>
  <c r="T256" i="17"/>
  <c r="T257" i="17"/>
  <c r="T258" i="17"/>
  <c r="T259" i="17"/>
  <c r="T260" i="17"/>
  <c r="T261" i="17"/>
  <c r="T262" i="17"/>
  <c r="T263" i="17"/>
  <c r="T264" i="17"/>
  <c r="T265" i="17"/>
  <c r="T266" i="17"/>
  <c r="T267" i="17"/>
  <c r="T268" i="17"/>
  <c r="T269" i="17"/>
  <c r="T270" i="17"/>
  <c r="T271" i="17"/>
  <c r="T272" i="17"/>
  <c r="T273" i="17"/>
  <c r="T274" i="17"/>
  <c r="T275" i="17"/>
  <c r="T276" i="17"/>
  <c r="T277" i="17"/>
  <c r="T278" i="17"/>
  <c r="T279" i="17"/>
  <c r="T280" i="17"/>
  <c r="T281" i="17"/>
  <c r="T282" i="17"/>
  <c r="T283" i="17"/>
  <c r="T284" i="17"/>
  <c r="T285" i="17"/>
  <c r="T286" i="17"/>
  <c r="T287" i="17"/>
  <c r="T288" i="17"/>
  <c r="T289" i="17"/>
  <c r="T290" i="17"/>
  <c r="T291" i="17"/>
  <c r="T292" i="17"/>
  <c r="T293" i="17"/>
  <c r="T294" i="17"/>
  <c r="T295" i="17"/>
  <c r="T296" i="17"/>
  <c r="T297" i="17"/>
  <c r="T298" i="17"/>
  <c r="T299" i="17"/>
  <c r="T300" i="17"/>
  <c r="T301" i="17"/>
  <c r="T302" i="17"/>
  <c r="T303" i="17"/>
  <c r="T304" i="17"/>
  <c r="T305" i="17"/>
  <c r="T306" i="17"/>
  <c r="T307" i="17"/>
  <c r="T308" i="17"/>
  <c r="T309" i="17"/>
  <c r="T310" i="17"/>
  <c r="T311" i="17"/>
  <c r="T312" i="17"/>
  <c r="T313" i="17"/>
  <c r="T314" i="17"/>
  <c r="T315" i="17"/>
  <c r="T316" i="17"/>
  <c r="T317" i="17"/>
  <c r="T318" i="17"/>
  <c r="T319" i="17"/>
  <c r="T320" i="17"/>
  <c r="T321" i="17"/>
  <c r="T322" i="17"/>
  <c r="T323" i="17"/>
  <c r="T324" i="17"/>
  <c r="T325" i="17"/>
  <c r="T326" i="17"/>
  <c r="T327" i="17"/>
  <c r="T328" i="17"/>
  <c r="T329" i="17"/>
  <c r="T330" i="17"/>
  <c r="T331" i="17"/>
  <c r="T332" i="17"/>
  <c r="T333" i="17"/>
  <c r="T334" i="17"/>
  <c r="T335" i="17"/>
  <c r="T336" i="17"/>
  <c r="T337" i="17"/>
  <c r="T338" i="17"/>
  <c r="T339" i="17"/>
  <c r="T340" i="17"/>
  <c r="T341" i="17"/>
  <c r="T342" i="17"/>
  <c r="T343" i="17"/>
  <c r="T344" i="17"/>
  <c r="T345" i="17"/>
  <c r="T346" i="17"/>
  <c r="T347" i="17"/>
  <c r="T348" i="17"/>
  <c r="T349" i="17"/>
  <c r="T350" i="17"/>
  <c r="T351" i="17"/>
  <c r="T352" i="17"/>
  <c r="T353" i="17"/>
  <c r="T354" i="17"/>
  <c r="T355" i="17"/>
  <c r="T356" i="17"/>
  <c r="T357" i="17"/>
  <c r="T358" i="17"/>
  <c r="T359" i="17"/>
  <c r="T360" i="17"/>
  <c r="T361" i="17"/>
  <c r="T362" i="17"/>
  <c r="T363" i="17"/>
  <c r="T364" i="17"/>
  <c r="T365" i="17"/>
  <c r="T366" i="17"/>
  <c r="T367" i="17"/>
  <c r="T368" i="17"/>
  <c r="T369" i="17"/>
  <c r="T370" i="17"/>
  <c r="T371" i="17"/>
  <c r="T372" i="17"/>
  <c r="T373" i="17"/>
  <c r="T374" i="17"/>
  <c r="T375" i="17"/>
  <c r="T376" i="17"/>
  <c r="T377" i="17"/>
  <c r="T378" i="17"/>
  <c r="T379" i="17"/>
  <c r="T380" i="17"/>
  <c r="T381" i="17"/>
  <c r="T382" i="17"/>
  <c r="T383" i="17"/>
  <c r="T384" i="17"/>
  <c r="T385" i="17"/>
  <c r="T386" i="17"/>
  <c r="T387" i="17"/>
  <c r="T388" i="17"/>
  <c r="T389" i="17"/>
  <c r="T390" i="17"/>
  <c r="T391" i="17"/>
  <c r="T392" i="17"/>
  <c r="T393" i="17"/>
  <c r="T394" i="17"/>
  <c r="T395" i="17"/>
  <c r="T396" i="17"/>
  <c r="T397" i="17"/>
  <c r="T398" i="17"/>
  <c r="T399" i="17"/>
  <c r="T400" i="17"/>
  <c r="T401" i="17"/>
  <c r="T402" i="17"/>
  <c r="T403" i="17"/>
  <c r="T404" i="17"/>
  <c r="T405" i="17"/>
  <c r="T406" i="17"/>
  <c r="T407" i="17"/>
  <c r="T408" i="17"/>
  <c r="T409" i="17"/>
  <c r="T410" i="17"/>
  <c r="T411" i="17"/>
  <c r="T412" i="17"/>
  <c r="T413" i="17"/>
  <c r="T414" i="17"/>
  <c r="T415" i="17"/>
  <c r="T416" i="17"/>
  <c r="T417" i="17"/>
  <c r="T418" i="17"/>
  <c r="T419" i="17"/>
  <c r="T420" i="17"/>
  <c r="T421" i="17"/>
  <c r="T422" i="17"/>
  <c r="T423" i="17"/>
  <c r="T424" i="17"/>
  <c r="T425" i="17"/>
  <c r="T426" i="17"/>
  <c r="T427" i="17"/>
  <c r="T428" i="17"/>
  <c r="T429" i="17"/>
  <c r="T430" i="17"/>
  <c r="T431" i="17"/>
  <c r="T432" i="17"/>
  <c r="T433" i="17"/>
  <c r="T434" i="17"/>
  <c r="T435" i="17"/>
  <c r="T436" i="17"/>
  <c r="T437" i="17"/>
  <c r="T438" i="17"/>
  <c r="T439" i="17"/>
  <c r="T440" i="17"/>
  <c r="T441" i="17"/>
  <c r="T442" i="17"/>
  <c r="T443" i="17"/>
  <c r="T444" i="17"/>
  <c r="T445" i="17"/>
  <c r="T446" i="17"/>
  <c r="T447" i="17"/>
  <c r="T448" i="17"/>
  <c r="T449" i="17"/>
  <c r="T450" i="17"/>
  <c r="T451" i="17"/>
  <c r="T452" i="17"/>
  <c r="T453" i="17"/>
  <c r="T454" i="17"/>
  <c r="T455" i="17"/>
  <c r="T456" i="17"/>
  <c r="T457" i="17"/>
  <c r="T458" i="17"/>
  <c r="T459" i="17"/>
  <c r="T460" i="17"/>
  <c r="T461" i="17"/>
  <c r="T462" i="17"/>
  <c r="T463" i="17"/>
  <c r="T464" i="17"/>
  <c r="T465" i="17"/>
  <c r="T466" i="17"/>
  <c r="T467" i="17"/>
  <c r="T468" i="17"/>
  <c r="T469" i="17"/>
  <c r="T470" i="17"/>
  <c r="T471" i="17"/>
  <c r="T472" i="17"/>
  <c r="T473" i="17"/>
  <c r="T474" i="17"/>
  <c r="T475" i="17"/>
  <c r="T476" i="17"/>
  <c r="T477" i="17"/>
  <c r="T478" i="17"/>
  <c r="T479" i="17"/>
  <c r="T480" i="17"/>
  <c r="T481" i="17"/>
  <c r="T482" i="17"/>
  <c r="T483" i="17"/>
  <c r="T484" i="17"/>
  <c r="T485" i="17"/>
  <c r="T486" i="17"/>
  <c r="T487" i="17"/>
  <c r="T488" i="17"/>
  <c r="T489" i="17"/>
  <c r="T490" i="17"/>
  <c r="T491" i="17"/>
  <c r="T492" i="17"/>
  <c r="T493" i="17"/>
  <c r="T494" i="17"/>
  <c r="T495" i="17"/>
  <c r="T496" i="17"/>
  <c r="T497" i="17"/>
  <c r="T498" i="17"/>
  <c r="T499" i="17"/>
  <c r="T500" i="17"/>
  <c r="T501" i="17"/>
  <c r="T502" i="17"/>
  <c r="T503" i="17"/>
  <c r="T504" i="17"/>
  <c r="T505" i="17"/>
  <c r="T506" i="17"/>
  <c r="T507" i="17"/>
  <c r="T508" i="17"/>
  <c r="T509" i="17"/>
  <c r="T510" i="17"/>
  <c r="T511" i="17"/>
  <c r="T512" i="17"/>
  <c r="T513" i="17"/>
  <c r="T514" i="17"/>
  <c r="T515" i="17"/>
  <c r="T516" i="17"/>
  <c r="T517" i="17"/>
  <c r="T518" i="17"/>
  <c r="T519" i="17"/>
  <c r="T520" i="17"/>
  <c r="T521" i="17"/>
  <c r="T522" i="17"/>
  <c r="T523" i="17"/>
  <c r="T524" i="17"/>
  <c r="T525" i="17"/>
  <c r="T526" i="17"/>
  <c r="T527" i="17"/>
  <c r="T528" i="17"/>
  <c r="T529" i="17"/>
  <c r="T530" i="17"/>
  <c r="T531" i="17"/>
  <c r="T532" i="17"/>
  <c r="T533" i="17"/>
  <c r="T534" i="17"/>
  <c r="T535" i="17"/>
  <c r="T536" i="17"/>
  <c r="T537" i="17"/>
  <c r="T538" i="17"/>
  <c r="T539" i="17"/>
  <c r="T540" i="17"/>
  <c r="T541" i="17"/>
  <c r="T542" i="17"/>
  <c r="T543" i="17"/>
  <c r="T544" i="17"/>
  <c r="T545" i="17"/>
  <c r="T546" i="17"/>
  <c r="T547" i="17"/>
  <c r="T548" i="17"/>
  <c r="T549" i="17"/>
  <c r="T550" i="17"/>
  <c r="T551" i="17"/>
  <c r="T552" i="17"/>
  <c r="T553" i="17"/>
  <c r="T554" i="17"/>
  <c r="T555" i="17"/>
  <c r="T556" i="17"/>
  <c r="T557" i="17"/>
  <c r="T558" i="17"/>
  <c r="T559" i="17"/>
  <c r="T560" i="17"/>
  <c r="T561" i="17"/>
  <c r="T562" i="17"/>
  <c r="T563" i="17"/>
  <c r="T564" i="17"/>
  <c r="T565" i="17"/>
  <c r="T566" i="17"/>
  <c r="T567" i="17"/>
  <c r="T568" i="17"/>
  <c r="T569" i="17"/>
  <c r="T570" i="17"/>
  <c r="T571" i="17"/>
  <c r="T572" i="17"/>
  <c r="T573" i="17"/>
  <c r="T574" i="17"/>
  <c r="T575" i="17"/>
  <c r="T576" i="17"/>
  <c r="T577" i="17"/>
  <c r="T578" i="17"/>
  <c r="T579" i="17"/>
  <c r="T580" i="17"/>
  <c r="T581" i="17"/>
  <c r="T582" i="17"/>
  <c r="T583" i="17"/>
  <c r="T584" i="17"/>
  <c r="T585" i="17"/>
  <c r="T586" i="17"/>
  <c r="T587" i="17"/>
  <c r="T588" i="17"/>
  <c r="T589" i="17"/>
  <c r="T590" i="17"/>
  <c r="T591" i="17"/>
  <c r="T592" i="17"/>
  <c r="T593" i="17"/>
  <c r="T594" i="17"/>
  <c r="T595" i="17"/>
  <c r="T596" i="17"/>
  <c r="T597" i="17"/>
  <c r="T598" i="17"/>
  <c r="T599" i="17"/>
  <c r="T600" i="17"/>
  <c r="T601" i="17"/>
  <c r="T602" i="17"/>
  <c r="T603" i="17"/>
  <c r="T604" i="17"/>
  <c r="T605" i="17"/>
  <c r="T606" i="17"/>
  <c r="T607" i="17"/>
  <c r="T608" i="17"/>
  <c r="T609" i="17"/>
  <c r="T610" i="17"/>
  <c r="T611" i="17"/>
  <c r="T612" i="17"/>
  <c r="T613" i="17"/>
  <c r="T614" i="17"/>
  <c r="T615" i="17"/>
  <c r="T616" i="17"/>
  <c r="T617" i="17"/>
  <c r="T618" i="17"/>
  <c r="T619" i="17"/>
  <c r="T620" i="17"/>
  <c r="T621" i="17"/>
  <c r="T622" i="17"/>
  <c r="T623" i="17"/>
  <c r="T624" i="17"/>
  <c r="T625" i="17"/>
  <c r="T626" i="17"/>
  <c r="T627" i="17"/>
  <c r="T628" i="17"/>
  <c r="T629" i="17"/>
  <c r="T630" i="17"/>
  <c r="T631" i="17"/>
  <c r="T632" i="17"/>
  <c r="T633" i="17"/>
  <c r="T634" i="17"/>
  <c r="T635" i="17"/>
  <c r="T636" i="17"/>
  <c r="T637" i="17"/>
  <c r="T638" i="17"/>
  <c r="T639" i="17"/>
  <c r="T640" i="17"/>
  <c r="T641" i="17"/>
  <c r="T642" i="17"/>
  <c r="T643" i="17"/>
  <c r="T644" i="17"/>
  <c r="T645" i="17"/>
  <c r="T646" i="17"/>
  <c r="T647" i="17"/>
  <c r="T648" i="17"/>
  <c r="T649" i="17"/>
  <c r="T650" i="17"/>
  <c r="T651" i="17"/>
  <c r="T652" i="17"/>
  <c r="T653" i="17"/>
  <c r="T654" i="17"/>
  <c r="T655" i="17"/>
  <c r="T656" i="17"/>
  <c r="T657" i="17"/>
  <c r="T658" i="17"/>
  <c r="T659" i="17"/>
  <c r="T660" i="17"/>
  <c r="T661" i="17"/>
  <c r="T662" i="17"/>
  <c r="T663" i="17"/>
  <c r="T664" i="17"/>
  <c r="T665" i="17"/>
  <c r="T666" i="17"/>
  <c r="T667" i="17"/>
  <c r="T668" i="17"/>
  <c r="T669" i="17"/>
  <c r="T670" i="17"/>
  <c r="T671" i="17"/>
  <c r="T672" i="17"/>
  <c r="T673" i="17"/>
  <c r="T674" i="17"/>
  <c r="T675" i="17"/>
  <c r="T676" i="17"/>
  <c r="T677" i="17"/>
  <c r="T678" i="17"/>
  <c r="T679" i="17"/>
  <c r="T680" i="17"/>
  <c r="T681" i="17"/>
  <c r="T682" i="17"/>
  <c r="T683" i="17"/>
  <c r="T684" i="17"/>
  <c r="T685" i="17"/>
  <c r="T686" i="17"/>
  <c r="T687" i="17"/>
  <c r="T688" i="17"/>
  <c r="T689" i="17"/>
  <c r="T690" i="17"/>
  <c r="T691" i="17"/>
  <c r="T692" i="17"/>
  <c r="T693" i="17"/>
  <c r="T694" i="17"/>
  <c r="T695" i="17"/>
  <c r="T696" i="17"/>
  <c r="T697" i="17"/>
  <c r="T698" i="17"/>
  <c r="T699" i="17"/>
  <c r="T700" i="17"/>
  <c r="T701" i="17"/>
  <c r="T702" i="17"/>
  <c r="T703" i="17"/>
  <c r="T704" i="17"/>
  <c r="T705" i="17"/>
  <c r="T706" i="17"/>
  <c r="T707" i="17"/>
  <c r="T708" i="17"/>
  <c r="T709" i="17"/>
  <c r="T710" i="17"/>
  <c r="T711" i="17"/>
  <c r="T712" i="17"/>
  <c r="T713" i="17"/>
  <c r="T714" i="17"/>
  <c r="T715" i="17"/>
  <c r="T716" i="17"/>
  <c r="T717" i="17"/>
  <c r="T718" i="17"/>
  <c r="T719" i="17"/>
  <c r="T720" i="17"/>
  <c r="T721" i="17"/>
  <c r="T722" i="17"/>
  <c r="T723" i="17"/>
  <c r="T724" i="17"/>
  <c r="T725" i="17"/>
  <c r="T726" i="17"/>
  <c r="T727" i="17"/>
  <c r="T728" i="17"/>
  <c r="T729" i="17"/>
  <c r="T730" i="17"/>
  <c r="T731" i="17"/>
  <c r="T732" i="17"/>
  <c r="T733" i="17"/>
  <c r="T734" i="17"/>
  <c r="T735" i="17"/>
  <c r="T736" i="17"/>
  <c r="T737" i="17"/>
  <c r="T738" i="17"/>
  <c r="T739" i="17"/>
  <c r="T740" i="17"/>
  <c r="T741" i="17"/>
  <c r="T742" i="17"/>
  <c r="T743" i="17"/>
  <c r="T744" i="17"/>
  <c r="T745" i="17"/>
  <c r="T746" i="17"/>
  <c r="T747" i="17"/>
  <c r="T748" i="17"/>
  <c r="T749" i="17"/>
  <c r="T750" i="17"/>
  <c r="T751" i="17"/>
  <c r="T752" i="17"/>
  <c r="T753" i="17"/>
  <c r="T754" i="17"/>
  <c r="T755" i="17"/>
  <c r="T756" i="17"/>
  <c r="T757" i="17"/>
  <c r="T758" i="17"/>
  <c r="T759" i="17"/>
  <c r="T760" i="17"/>
  <c r="T761" i="17"/>
  <c r="T762" i="17"/>
  <c r="T763" i="17"/>
  <c r="T764" i="17"/>
  <c r="T765" i="17"/>
  <c r="T766" i="17"/>
  <c r="T767" i="17"/>
  <c r="T768" i="17"/>
  <c r="T769" i="17"/>
  <c r="T770" i="17"/>
  <c r="T771" i="17"/>
  <c r="T772" i="17"/>
  <c r="T773" i="17"/>
  <c r="T774" i="17"/>
  <c r="T775" i="17"/>
  <c r="T776" i="17"/>
  <c r="T777" i="17"/>
  <c r="T778" i="17"/>
  <c r="T779" i="17"/>
  <c r="T780" i="17"/>
  <c r="T781" i="17"/>
  <c r="T782" i="17"/>
  <c r="T783" i="17"/>
  <c r="T784" i="17"/>
  <c r="T785" i="17"/>
  <c r="T786" i="17"/>
  <c r="T787" i="17"/>
  <c r="T788" i="17"/>
  <c r="T789" i="17"/>
  <c r="T790" i="17"/>
  <c r="T791" i="17"/>
  <c r="T792" i="17"/>
  <c r="T793" i="17"/>
  <c r="T794" i="17"/>
  <c r="T795" i="17"/>
  <c r="T796" i="17"/>
  <c r="T797" i="17"/>
  <c r="T798" i="17"/>
  <c r="T799" i="17"/>
  <c r="T800" i="17"/>
  <c r="T801" i="17"/>
  <c r="T802" i="17"/>
  <c r="T803" i="17"/>
  <c r="T804" i="17"/>
  <c r="T805" i="17"/>
  <c r="T806" i="17"/>
  <c r="T807" i="17"/>
  <c r="T808" i="17"/>
  <c r="T809" i="17"/>
  <c r="T810" i="17"/>
  <c r="T811" i="17"/>
  <c r="T812" i="17"/>
  <c r="T813" i="17"/>
  <c r="T814" i="17"/>
  <c r="T815" i="17"/>
  <c r="T816" i="17"/>
  <c r="T817" i="17"/>
  <c r="T818" i="17"/>
  <c r="T819" i="17"/>
  <c r="T820" i="17"/>
  <c r="T821" i="17"/>
  <c r="T822" i="17"/>
  <c r="T823" i="17"/>
  <c r="T824" i="17"/>
  <c r="T825" i="17"/>
  <c r="T826" i="17"/>
  <c r="T827" i="17"/>
  <c r="T828" i="17"/>
  <c r="T829" i="17"/>
  <c r="T830" i="17"/>
  <c r="T831" i="17"/>
  <c r="T832" i="17"/>
  <c r="T833" i="17"/>
  <c r="T834" i="17"/>
  <c r="T835" i="17"/>
  <c r="T836" i="17"/>
  <c r="T837" i="17"/>
  <c r="T838" i="17"/>
  <c r="T839" i="17"/>
  <c r="T840" i="17"/>
  <c r="T841" i="17"/>
  <c r="T842" i="17"/>
  <c r="T843" i="17"/>
  <c r="T844" i="17"/>
  <c r="T845" i="17"/>
  <c r="T846" i="17"/>
  <c r="T847" i="17"/>
  <c r="T848" i="17"/>
  <c r="T849" i="17"/>
  <c r="T850" i="17"/>
  <c r="T851" i="17"/>
  <c r="T852" i="17"/>
  <c r="T853" i="17"/>
  <c r="T854" i="17"/>
  <c r="T855" i="17"/>
  <c r="T856" i="17"/>
  <c r="T857" i="17"/>
  <c r="T858" i="17"/>
  <c r="T859" i="17"/>
  <c r="T860" i="17"/>
  <c r="T861" i="17"/>
  <c r="T862" i="17"/>
  <c r="T863" i="17"/>
  <c r="T864" i="17"/>
  <c r="T865" i="17"/>
  <c r="T866" i="17"/>
  <c r="T867" i="17"/>
  <c r="T868" i="17"/>
  <c r="T869" i="17"/>
  <c r="T870" i="17"/>
  <c r="T871" i="17"/>
  <c r="T872" i="17"/>
  <c r="T873" i="17"/>
  <c r="T874" i="17"/>
  <c r="T875" i="17"/>
  <c r="T876" i="17"/>
  <c r="T877" i="17"/>
  <c r="T878" i="17"/>
  <c r="T879" i="17"/>
  <c r="T880" i="17"/>
  <c r="T881" i="17"/>
  <c r="T882" i="17"/>
  <c r="T883" i="17"/>
  <c r="T884" i="17"/>
  <c r="T885" i="17"/>
  <c r="T886" i="17"/>
  <c r="T887" i="17"/>
  <c r="T888" i="17"/>
  <c r="T889" i="17"/>
  <c r="T890" i="17"/>
  <c r="T891" i="17"/>
  <c r="T892" i="17"/>
  <c r="T893" i="17"/>
  <c r="T894" i="17"/>
  <c r="T895" i="17"/>
  <c r="T896" i="17"/>
  <c r="T897" i="17"/>
  <c r="T898" i="17"/>
  <c r="T899" i="17"/>
  <c r="T900" i="17"/>
  <c r="T901" i="17"/>
  <c r="T902" i="17"/>
  <c r="T903" i="17"/>
  <c r="T904" i="17"/>
  <c r="T905" i="17"/>
  <c r="T906" i="17"/>
  <c r="T907" i="17"/>
  <c r="T908" i="17"/>
  <c r="T909" i="17"/>
  <c r="T910" i="17"/>
  <c r="T911" i="17"/>
  <c r="T912" i="17"/>
  <c r="T913" i="17"/>
  <c r="T914" i="17"/>
  <c r="T915" i="17"/>
  <c r="T916" i="17"/>
  <c r="T917" i="17"/>
  <c r="T918" i="17"/>
  <c r="T919" i="17"/>
  <c r="T920" i="17"/>
  <c r="T921" i="17"/>
  <c r="T922" i="17"/>
  <c r="T923" i="17"/>
  <c r="T924" i="17"/>
  <c r="T925" i="17"/>
  <c r="T926" i="17"/>
  <c r="T927" i="17"/>
  <c r="T928" i="17"/>
  <c r="T929" i="17"/>
  <c r="T930" i="17"/>
  <c r="T931" i="17"/>
  <c r="T932" i="17"/>
  <c r="T933" i="17"/>
  <c r="T934" i="17"/>
  <c r="T935" i="17"/>
  <c r="T936" i="17"/>
  <c r="T937" i="17"/>
  <c r="T938" i="17"/>
  <c r="T939" i="17"/>
  <c r="T940" i="17"/>
  <c r="T941" i="17"/>
  <c r="T942" i="17"/>
  <c r="T943" i="17"/>
  <c r="T944" i="17"/>
  <c r="T945" i="17"/>
  <c r="T946" i="17"/>
  <c r="T947" i="17"/>
  <c r="T948" i="17"/>
  <c r="T949" i="17"/>
  <c r="T950" i="17"/>
  <c r="T951" i="17"/>
  <c r="T952" i="17"/>
  <c r="T953" i="17"/>
  <c r="T954" i="17"/>
  <c r="T955" i="17"/>
  <c r="T956" i="17"/>
  <c r="T957" i="17"/>
  <c r="T958" i="17"/>
  <c r="T959" i="17"/>
  <c r="T960" i="17"/>
  <c r="T961" i="17"/>
  <c r="T962" i="17"/>
  <c r="T963" i="17"/>
  <c r="T964" i="17"/>
  <c r="T965" i="17"/>
  <c r="T966" i="17"/>
  <c r="T967" i="17"/>
  <c r="T968" i="17"/>
  <c r="T969" i="17"/>
  <c r="T970" i="17"/>
  <c r="T971" i="17"/>
  <c r="T972" i="17"/>
  <c r="T973" i="17"/>
  <c r="T974" i="17"/>
  <c r="T975" i="17"/>
  <c r="T976" i="17"/>
  <c r="T977" i="17"/>
  <c r="T978" i="17"/>
  <c r="T979" i="17"/>
  <c r="T980" i="17"/>
  <c r="T981" i="17"/>
  <c r="T982" i="17"/>
  <c r="T983" i="17"/>
  <c r="T984" i="17"/>
  <c r="T985" i="17"/>
  <c r="T986" i="17"/>
  <c r="T987" i="17"/>
  <c r="T988" i="17"/>
  <c r="T989" i="17"/>
  <c r="T990" i="17"/>
  <c r="T991" i="17"/>
  <c r="T992" i="17"/>
  <c r="T993" i="17"/>
  <c r="T994" i="17"/>
  <c r="T995" i="17"/>
  <c r="T996" i="17"/>
  <c r="T997" i="17"/>
  <c r="T998" i="17"/>
  <c r="T999" i="17"/>
  <c r="T1000" i="17"/>
  <c r="T1001" i="17"/>
  <c r="T2" i="17"/>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S143" i="17"/>
  <c r="S144" i="17"/>
  <c r="S145" i="17"/>
  <c r="S146" i="17"/>
  <c r="S147" i="17"/>
  <c r="S148" i="17"/>
  <c r="S149" i="17"/>
  <c r="S150" i="17"/>
  <c r="S151" i="17"/>
  <c r="S152" i="17"/>
  <c r="S153" i="17"/>
  <c r="S154" i="17"/>
  <c r="S155" i="17"/>
  <c r="S156" i="17"/>
  <c r="S157" i="17"/>
  <c r="S158" i="17"/>
  <c r="S159" i="17"/>
  <c r="S160" i="17"/>
  <c r="S161" i="17"/>
  <c r="S162" i="17"/>
  <c r="S163" i="17"/>
  <c r="S164" i="17"/>
  <c r="S165" i="17"/>
  <c r="S166" i="17"/>
  <c r="S167" i="17"/>
  <c r="S168" i="17"/>
  <c r="S169" i="17"/>
  <c r="S170" i="17"/>
  <c r="S171" i="17"/>
  <c r="S172" i="17"/>
  <c r="S173" i="17"/>
  <c r="S174" i="17"/>
  <c r="S175" i="17"/>
  <c r="S176" i="17"/>
  <c r="S177" i="17"/>
  <c r="S178" i="17"/>
  <c r="S179" i="17"/>
  <c r="S180" i="17"/>
  <c r="S181" i="17"/>
  <c r="S182" i="17"/>
  <c r="S183" i="17"/>
  <c r="S184" i="17"/>
  <c r="S185" i="17"/>
  <c r="S186" i="17"/>
  <c r="S187" i="17"/>
  <c r="S188" i="17"/>
  <c r="S189" i="17"/>
  <c r="S190" i="17"/>
  <c r="S191" i="17"/>
  <c r="S192" i="17"/>
  <c r="S193" i="17"/>
  <c r="S194" i="17"/>
  <c r="S195" i="17"/>
  <c r="S196" i="17"/>
  <c r="S197" i="17"/>
  <c r="S198" i="17"/>
  <c r="S199" i="17"/>
  <c r="S200" i="17"/>
  <c r="S201" i="17"/>
  <c r="S202" i="17"/>
  <c r="S203" i="17"/>
  <c r="S204" i="17"/>
  <c r="S205" i="17"/>
  <c r="S206" i="17"/>
  <c r="S207" i="17"/>
  <c r="S208" i="17"/>
  <c r="S209" i="17"/>
  <c r="S210" i="17"/>
  <c r="S211" i="17"/>
  <c r="S212" i="17"/>
  <c r="S213" i="17"/>
  <c r="S214" i="17"/>
  <c r="S215" i="17"/>
  <c r="S216" i="17"/>
  <c r="S217" i="17"/>
  <c r="S218" i="17"/>
  <c r="S219" i="17"/>
  <c r="S220" i="17"/>
  <c r="S221" i="17"/>
  <c r="S222" i="17"/>
  <c r="S223" i="17"/>
  <c r="S224" i="17"/>
  <c r="S225" i="17"/>
  <c r="S226" i="17"/>
  <c r="S227" i="17"/>
  <c r="S228" i="17"/>
  <c r="S229" i="17"/>
  <c r="S230" i="17"/>
  <c r="S231" i="17"/>
  <c r="S232" i="17"/>
  <c r="S233" i="17"/>
  <c r="S234" i="17"/>
  <c r="S235" i="17"/>
  <c r="S236" i="17"/>
  <c r="S237" i="17"/>
  <c r="S238" i="17"/>
  <c r="S239" i="17"/>
  <c r="S240" i="17"/>
  <c r="S241" i="17"/>
  <c r="S242" i="17"/>
  <c r="S243" i="17"/>
  <c r="S244" i="17"/>
  <c r="S245" i="17"/>
  <c r="S246" i="17"/>
  <c r="S247" i="17"/>
  <c r="S248" i="17"/>
  <c r="S249" i="17"/>
  <c r="S250" i="17"/>
  <c r="S251" i="17"/>
  <c r="S252" i="17"/>
  <c r="S253" i="17"/>
  <c r="S254" i="17"/>
  <c r="S255" i="17"/>
  <c r="S256" i="17"/>
  <c r="S257" i="17"/>
  <c r="S258" i="17"/>
  <c r="S259" i="17"/>
  <c r="S260" i="17"/>
  <c r="S261" i="17"/>
  <c r="S262" i="17"/>
  <c r="S263" i="17"/>
  <c r="S264" i="17"/>
  <c r="S265" i="17"/>
  <c r="S266" i="17"/>
  <c r="S267" i="17"/>
  <c r="S268" i="17"/>
  <c r="S269" i="17"/>
  <c r="S270" i="17"/>
  <c r="S271" i="17"/>
  <c r="S272" i="17"/>
  <c r="S273" i="17"/>
  <c r="S274" i="17"/>
  <c r="S275" i="17"/>
  <c r="S276" i="17"/>
  <c r="S277" i="17"/>
  <c r="S278" i="17"/>
  <c r="S279" i="17"/>
  <c r="S280" i="17"/>
  <c r="S281" i="17"/>
  <c r="S282" i="17"/>
  <c r="S283" i="17"/>
  <c r="S284" i="17"/>
  <c r="S285" i="17"/>
  <c r="S286" i="17"/>
  <c r="S287" i="17"/>
  <c r="S288" i="17"/>
  <c r="S289" i="17"/>
  <c r="S290" i="17"/>
  <c r="S291" i="17"/>
  <c r="S292" i="17"/>
  <c r="S293" i="17"/>
  <c r="S294" i="17"/>
  <c r="S295" i="17"/>
  <c r="S296" i="17"/>
  <c r="S297" i="17"/>
  <c r="S298" i="17"/>
  <c r="S299" i="17"/>
  <c r="S300" i="17"/>
  <c r="S301" i="17"/>
  <c r="S302" i="17"/>
  <c r="S303" i="17"/>
  <c r="S304" i="17"/>
  <c r="S305" i="17"/>
  <c r="S306" i="17"/>
  <c r="S307" i="17"/>
  <c r="S308" i="17"/>
  <c r="S309" i="17"/>
  <c r="S310" i="17"/>
  <c r="S311" i="17"/>
  <c r="S312" i="17"/>
  <c r="S313" i="17"/>
  <c r="S314" i="17"/>
  <c r="S315" i="17"/>
  <c r="S316" i="17"/>
  <c r="S317" i="17"/>
  <c r="S318" i="17"/>
  <c r="S319" i="17"/>
  <c r="S320" i="17"/>
  <c r="S321" i="17"/>
  <c r="S322" i="17"/>
  <c r="S323" i="17"/>
  <c r="S324" i="17"/>
  <c r="S325" i="17"/>
  <c r="S326" i="17"/>
  <c r="S327" i="17"/>
  <c r="S328" i="17"/>
  <c r="S329" i="17"/>
  <c r="S330" i="17"/>
  <c r="S331" i="17"/>
  <c r="S332" i="17"/>
  <c r="S333" i="17"/>
  <c r="S334" i="17"/>
  <c r="S335" i="17"/>
  <c r="S336" i="17"/>
  <c r="S337" i="17"/>
  <c r="S338" i="17"/>
  <c r="S339" i="17"/>
  <c r="S340" i="17"/>
  <c r="S341" i="17"/>
  <c r="S342" i="17"/>
  <c r="S343" i="17"/>
  <c r="S344" i="17"/>
  <c r="S345" i="17"/>
  <c r="S346" i="17"/>
  <c r="S347" i="17"/>
  <c r="S348" i="17"/>
  <c r="S349" i="17"/>
  <c r="S350" i="17"/>
  <c r="S351" i="17"/>
  <c r="S352" i="17"/>
  <c r="S353" i="17"/>
  <c r="S354" i="17"/>
  <c r="S355" i="17"/>
  <c r="S356" i="17"/>
  <c r="S357" i="17"/>
  <c r="S358" i="17"/>
  <c r="S359" i="17"/>
  <c r="S360" i="17"/>
  <c r="S361" i="17"/>
  <c r="S362" i="17"/>
  <c r="S363" i="17"/>
  <c r="S364" i="17"/>
  <c r="S365" i="17"/>
  <c r="S366" i="17"/>
  <c r="S367" i="17"/>
  <c r="S368" i="17"/>
  <c r="S369" i="17"/>
  <c r="S370" i="17"/>
  <c r="S371" i="17"/>
  <c r="S372" i="17"/>
  <c r="S373" i="17"/>
  <c r="S374" i="17"/>
  <c r="S375" i="17"/>
  <c r="S376" i="17"/>
  <c r="S377" i="17"/>
  <c r="S378" i="17"/>
  <c r="S379" i="17"/>
  <c r="S380" i="17"/>
  <c r="S381" i="17"/>
  <c r="S382" i="17"/>
  <c r="S383" i="17"/>
  <c r="S384" i="17"/>
  <c r="S385" i="17"/>
  <c r="S386" i="17"/>
  <c r="S387" i="17"/>
  <c r="S388" i="17"/>
  <c r="S389" i="17"/>
  <c r="S390" i="17"/>
  <c r="S391" i="17"/>
  <c r="S392" i="17"/>
  <c r="S393" i="17"/>
  <c r="S394" i="17"/>
  <c r="S395" i="17"/>
  <c r="S396" i="17"/>
  <c r="S397" i="17"/>
  <c r="S398" i="17"/>
  <c r="S399" i="17"/>
  <c r="S400" i="17"/>
  <c r="S401" i="17"/>
  <c r="S402" i="17"/>
  <c r="S403" i="17"/>
  <c r="S404" i="17"/>
  <c r="S405" i="17"/>
  <c r="S406" i="17"/>
  <c r="S407" i="17"/>
  <c r="S408" i="17"/>
  <c r="S409" i="17"/>
  <c r="S410" i="17"/>
  <c r="S411" i="17"/>
  <c r="S412" i="17"/>
  <c r="S413" i="17"/>
  <c r="S414" i="17"/>
  <c r="S415" i="17"/>
  <c r="S416" i="17"/>
  <c r="S417" i="17"/>
  <c r="S418" i="17"/>
  <c r="S419" i="17"/>
  <c r="S420" i="17"/>
  <c r="S421" i="17"/>
  <c r="S422" i="17"/>
  <c r="S423" i="17"/>
  <c r="S424" i="17"/>
  <c r="S425" i="17"/>
  <c r="S426" i="17"/>
  <c r="S427" i="17"/>
  <c r="S428" i="17"/>
  <c r="S429" i="17"/>
  <c r="S430" i="17"/>
  <c r="S431" i="17"/>
  <c r="S432" i="17"/>
  <c r="S433" i="17"/>
  <c r="S434" i="17"/>
  <c r="S435" i="17"/>
  <c r="S436" i="17"/>
  <c r="S437" i="17"/>
  <c r="S438" i="17"/>
  <c r="S439" i="17"/>
  <c r="S440" i="17"/>
  <c r="S441" i="17"/>
  <c r="S442" i="17"/>
  <c r="S443" i="17"/>
  <c r="S444" i="17"/>
  <c r="S445" i="17"/>
  <c r="S446" i="17"/>
  <c r="S447" i="17"/>
  <c r="S448" i="17"/>
  <c r="S449" i="17"/>
  <c r="S450" i="17"/>
  <c r="S451" i="17"/>
  <c r="S452" i="17"/>
  <c r="S453" i="17"/>
  <c r="S454" i="17"/>
  <c r="S455" i="17"/>
  <c r="S456" i="17"/>
  <c r="S457" i="17"/>
  <c r="S458" i="17"/>
  <c r="S459" i="17"/>
  <c r="S460" i="17"/>
  <c r="S461" i="17"/>
  <c r="S462" i="17"/>
  <c r="S463" i="17"/>
  <c r="S464" i="17"/>
  <c r="S465" i="17"/>
  <c r="S466" i="17"/>
  <c r="S467" i="17"/>
  <c r="S468" i="17"/>
  <c r="S469" i="17"/>
  <c r="S470" i="17"/>
  <c r="S471" i="17"/>
  <c r="S472" i="17"/>
  <c r="S473" i="17"/>
  <c r="S474" i="17"/>
  <c r="S475" i="17"/>
  <c r="S476" i="17"/>
  <c r="S477" i="17"/>
  <c r="S478" i="17"/>
  <c r="S479" i="17"/>
  <c r="S480" i="17"/>
  <c r="S481" i="17"/>
  <c r="S482" i="17"/>
  <c r="S483" i="17"/>
  <c r="S484" i="17"/>
  <c r="S485" i="17"/>
  <c r="S486" i="17"/>
  <c r="S487" i="17"/>
  <c r="S488" i="17"/>
  <c r="S489" i="17"/>
  <c r="S490" i="17"/>
  <c r="S491" i="17"/>
  <c r="S492" i="17"/>
  <c r="S493" i="17"/>
  <c r="S494" i="17"/>
  <c r="S495" i="17"/>
  <c r="S496" i="17"/>
  <c r="S497" i="17"/>
  <c r="S498" i="17"/>
  <c r="S499" i="17"/>
  <c r="S500" i="17"/>
  <c r="S501" i="17"/>
  <c r="S502" i="17"/>
  <c r="S503" i="17"/>
  <c r="S504" i="17"/>
  <c r="S505" i="17"/>
  <c r="S506" i="17"/>
  <c r="S507" i="17"/>
  <c r="S508" i="17"/>
  <c r="S509" i="17"/>
  <c r="S510" i="17"/>
  <c r="S511" i="17"/>
  <c r="S512" i="17"/>
  <c r="S513" i="17"/>
  <c r="S514" i="17"/>
  <c r="S515" i="17"/>
  <c r="S516" i="17"/>
  <c r="S517" i="17"/>
  <c r="S518" i="17"/>
  <c r="S519" i="17"/>
  <c r="S520" i="17"/>
  <c r="S521" i="17"/>
  <c r="S522" i="17"/>
  <c r="S523" i="17"/>
  <c r="S524" i="17"/>
  <c r="S525" i="17"/>
  <c r="S526" i="17"/>
  <c r="S527" i="17"/>
  <c r="S528" i="17"/>
  <c r="S529" i="17"/>
  <c r="S530" i="17"/>
  <c r="S531" i="17"/>
  <c r="S532" i="17"/>
  <c r="S533" i="17"/>
  <c r="S534" i="17"/>
  <c r="S535" i="17"/>
  <c r="S536" i="17"/>
  <c r="S537" i="17"/>
  <c r="S538" i="17"/>
  <c r="S539" i="17"/>
  <c r="S540" i="17"/>
  <c r="S541" i="17"/>
  <c r="S542" i="17"/>
  <c r="S543" i="17"/>
  <c r="S544" i="17"/>
  <c r="S545" i="17"/>
  <c r="S546" i="17"/>
  <c r="S547" i="17"/>
  <c r="S548" i="17"/>
  <c r="S549" i="17"/>
  <c r="S550" i="17"/>
  <c r="S551" i="17"/>
  <c r="S552" i="17"/>
  <c r="S553" i="17"/>
  <c r="S554" i="17"/>
  <c r="S555" i="17"/>
  <c r="S556" i="17"/>
  <c r="S557" i="17"/>
  <c r="S558" i="17"/>
  <c r="S559" i="17"/>
  <c r="S560" i="17"/>
  <c r="S561" i="17"/>
  <c r="S562" i="17"/>
  <c r="S563" i="17"/>
  <c r="S564" i="17"/>
  <c r="S565" i="17"/>
  <c r="S566" i="17"/>
  <c r="S567" i="17"/>
  <c r="S568" i="17"/>
  <c r="S569" i="17"/>
  <c r="S570" i="17"/>
  <c r="S571" i="17"/>
  <c r="S572" i="17"/>
  <c r="S573" i="17"/>
  <c r="S574" i="17"/>
  <c r="S575" i="17"/>
  <c r="S576" i="17"/>
  <c r="S577" i="17"/>
  <c r="S578" i="17"/>
  <c r="S579" i="17"/>
  <c r="S580" i="17"/>
  <c r="S581" i="17"/>
  <c r="S582" i="17"/>
  <c r="S583" i="17"/>
  <c r="S584" i="17"/>
  <c r="S585" i="17"/>
  <c r="S586" i="17"/>
  <c r="S587" i="17"/>
  <c r="S588" i="17"/>
  <c r="S589" i="17"/>
  <c r="S590" i="17"/>
  <c r="S591" i="17"/>
  <c r="S592" i="17"/>
  <c r="S593" i="17"/>
  <c r="S594" i="17"/>
  <c r="S595" i="17"/>
  <c r="S596" i="17"/>
  <c r="S597" i="17"/>
  <c r="S598" i="17"/>
  <c r="S599" i="17"/>
  <c r="S600" i="17"/>
  <c r="S601" i="17"/>
  <c r="S602" i="17"/>
  <c r="S603" i="17"/>
  <c r="S604" i="17"/>
  <c r="S605" i="17"/>
  <c r="S606" i="17"/>
  <c r="S607" i="17"/>
  <c r="S608" i="17"/>
  <c r="S609" i="17"/>
  <c r="S610" i="17"/>
  <c r="S611" i="17"/>
  <c r="S612" i="17"/>
  <c r="S613" i="17"/>
  <c r="S614" i="17"/>
  <c r="S615" i="17"/>
  <c r="S616" i="17"/>
  <c r="S617" i="17"/>
  <c r="S618" i="17"/>
  <c r="S619" i="17"/>
  <c r="S620" i="17"/>
  <c r="S621" i="17"/>
  <c r="S622" i="17"/>
  <c r="S623" i="17"/>
  <c r="S624" i="17"/>
  <c r="S625" i="17"/>
  <c r="S626" i="17"/>
  <c r="S627" i="17"/>
  <c r="S628" i="17"/>
  <c r="S629" i="17"/>
  <c r="S630" i="17"/>
  <c r="S631" i="17"/>
  <c r="S632" i="17"/>
  <c r="S633" i="17"/>
  <c r="S634" i="17"/>
  <c r="S635" i="17"/>
  <c r="S636" i="17"/>
  <c r="S637" i="17"/>
  <c r="S638" i="17"/>
  <c r="S639" i="17"/>
  <c r="S640" i="17"/>
  <c r="S641" i="17"/>
  <c r="S642" i="17"/>
  <c r="S643" i="17"/>
  <c r="S644" i="17"/>
  <c r="S645" i="17"/>
  <c r="S646" i="17"/>
  <c r="S647" i="17"/>
  <c r="S648" i="17"/>
  <c r="S649" i="17"/>
  <c r="S650" i="17"/>
  <c r="S651" i="17"/>
  <c r="S652" i="17"/>
  <c r="S653" i="17"/>
  <c r="S654" i="17"/>
  <c r="S655" i="17"/>
  <c r="S656" i="17"/>
  <c r="S657" i="17"/>
  <c r="S658" i="17"/>
  <c r="S659" i="17"/>
  <c r="S660" i="17"/>
  <c r="S661" i="17"/>
  <c r="S662" i="17"/>
  <c r="S663" i="17"/>
  <c r="S664" i="17"/>
  <c r="S665" i="17"/>
  <c r="S666" i="17"/>
  <c r="S667" i="17"/>
  <c r="S668" i="17"/>
  <c r="S669" i="17"/>
  <c r="S670" i="17"/>
  <c r="S671" i="17"/>
  <c r="S672" i="17"/>
  <c r="S673" i="17"/>
  <c r="S674" i="17"/>
  <c r="S675" i="17"/>
  <c r="S676" i="17"/>
  <c r="S677" i="17"/>
  <c r="S678" i="17"/>
  <c r="S679" i="17"/>
  <c r="S680" i="17"/>
  <c r="S681" i="17"/>
  <c r="S682" i="17"/>
  <c r="S683" i="17"/>
  <c r="S684" i="17"/>
  <c r="S685" i="17"/>
  <c r="S686" i="17"/>
  <c r="S687" i="17"/>
  <c r="S688" i="17"/>
  <c r="S689" i="17"/>
  <c r="S690" i="17"/>
  <c r="S691" i="17"/>
  <c r="S692" i="17"/>
  <c r="S693" i="17"/>
  <c r="S694" i="17"/>
  <c r="S695" i="17"/>
  <c r="S696" i="17"/>
  <c r="S697" i="17"/>
  <c r="S698" i="17"/>
  <c r="S699" i="17"/>
  <c r="S700" i="17"/>
  <c r="S701" i="17"/>
  <c r="S702" i="17"/>
  <c r="S703" i="17"/>
  <c r="S704" i="17"/>
  <c r="S705" i="17"/>
  <c r="S706" i="17"/>
  <c r="S707" i="17"/>
  <c r="S708" i="17"/>
  <c r="S709" i="17"/>
  <c r="S710" i="17"/>
  <c r="S711" i="17"/>
  <c r="S712" i="17"/>
  <c r="S713" i="17"/>
  <c r="S714" i="17"/>
  <c r="S715" i="17"/>
  <c r="S716" i="17"/>
  <c r="S717" i="17"/>
  <c r="S718" i="17"/>
  <c r="S719" i="17"/>
  <c r="S720" i="17"/>
  <c r="S721" i="17"/>
  <c r="S722" i="17"/>
  <c r="S723" i="17"/>
  <c r="S724" i="17"/>
  <c r="S725" i="17"/>
  <c r="S726" i="17"/>
  <c r="S727" i="17"/>
  <c r="S728" i="17"/>
  <c r="S729" i="17"/>
  <c r="S730" i="17"/>
  <c r="S731" i="17"/>
  <c r="S732" i="17"/>
  <c r="S733" i="17"/>
  <c r="S734" i="17"/>
  <c r="S735" i="17"/>
  <c r="S736" i="17"/>
  <c r="S737" i="17"/>
  <c r="S738" i="17"/>
  <c r="S739" i="17"/>
  <c r="S740" i="17"/>
  <c r="S741" i="17"/>
  <c r="S742" i="17"/>
  <c r="S743" i="17"/>
  <c r="S744" i="17"/>
  <c r="S745" i="17"/>
  <c r="S746" i="17"/>
  <c r="S747" i="17"/>
  <c r="S748" i="17"/>
  <c r="S749" i="17"/>
  <c r="S750" i="17"/>
  <c r="S751" i="17"/>
  <c r="S752" i="17"/>
  <c r="S753" i="17"/>
  <c r="S754" i="17"/>
  <c r="S755" i="17"/>
  <c r="S756" i="17"/>
  <c r="S757" i="17"/>
  <c r="S758" i="17"/>
  <c r="S759" i="17"/>
  <c r="S760" i="17"/>
  <c r="S761" i="17"/>
  <c r="S762" i="17"/>
  <c r="S763" i="17"/>
  <c r="S764" i="17"/>
  <c r="S765" i="17"/>
  <c r="S766" i="17"/>
  <c r="S767" i="17"/>
  <c r="S768" i="17"/>
  <c r="S769" i="17"/>
  <c r="S770" i="17"/>
  <c r="S771" i="17"/>
  <c r="S772" i="17"/>
  <c r="S773" i="17"/>
  <c r="S774" i="17"/>
  <c r="S775" i="17"/>
  <c r="S776" i="17"/>
  <c r="S777" i="17"/>
  <c r="S778" i="17"/>
  <c r="S779" i="17"/>
  <c r="S780" i="17"/>
  <c r="S781" i="17"/>
  <c r="S782" i="17"/>
  <c r="S783" i="17"/>
  <c r="S784" i="17"/>
  <c r="S785" i="17"/>
  <c r="S786" i="17"/>
  <c r="S787" i="17"/>
  <c r="S788" i="17"/>
  <c r="S789" i="17"/>
  <c r="S790" i="17"/>
  <c r="S791" i="17"/>
  <c r="S792" i="17"/>
  <c r="S793" i="17"/>
  <c r="S794" i="17"/>
  <c r="S795" i="17"/>
  <c r="S796" i="17"/>
  <c r="S797" i="17"/>
  <c r="S798" i="17"/>
  <c r="S799" i="17"/>
  <c r="S800" i="17"/>
  <c r="S801" i="17"/>
  <c r="S802" i="17"/>
  <c r="S803" i="17"/>
  <c r="S804" i="17"/>
  <c r="S805" i="17"/>
  <c r="S806" i="17"/>
  <c r="S807" i="17"/>
  <c r="S808" i="17"/>
  <c r="S809" i="17"/>
  <c r="S810" i="17"/>
  <c r="S811" i="17"/>
  <c r="S812" i="17"/>
  <c r="S813" i="17"/>
  <c r="S814" i="17"/>
  <c r="S815" i="17"/>
  <c r="S816" i="17"/>
  <c r="S817" i="17"/>
  <c r="S818" i="17"/>
  <c r="S819" i="17"/>
  <c r="S820" i="17"/>
  <c r="S821" i="17"/>
  <c r="S822" i="17"/>
  <c r="S823" i="17"/>
  <c r="S824" i="17"/>
  <c r="S825" i="17"/>
  <c r="S826" i="17"/>
  <c r="S827" i="17"/>
  <c r="S828" i="17"/>
  <c r="S829" i="17"/>
  <c r="S830" i="17"/>
  <c r="S831" i="17"/>
  <c r="S832" i="17"/>
  <c r="S833" i="17"/>
  <c r="S834" i="17"/>
  <c r="S835" i="17"/>
  <c r="S836" i="17"/>
  <c r="S837" i="17"/>
  <c r="S838" i="17"/>
  <c r="S839" i="17"/>
  <c r="S840" i="17"/>
  <c r="S841" i="17"/>
  <c r="S842" i="17"/>
  <c r="S843" i="17"/>
  <c r="S844" i="17"/>
  <c r="S845" i="17"/>
  <c r="S846" i="17"/>
  <c r="S847" i="17"/>
  <c r="S848" i="17"/>
  <c r="S849" i="17"/>
  <c r="S850" i="17"/>
  <c r="S851" i="17"/>
  <c r="S852" i="17"/>
  <c r="S853" i="17"/>
  <c r="S854" i="17"/>
  <c r="S855" i="17"/>
  <c r="S856" i="17"/>
  <c r="S857" i="17"/>
  <c r="S858" i="17"/>
  <c r="S859" i="17"/>
  <c r="S860" i="17"/>
  <c r="S861" i="17"/>
  <c r="S862" i="17"/>
  <c r="S863" i="17"/>
  <c r="S864" i="17"/>
  <c r="S865" i="17"/>
  <c r="S866" i="17"/>
  <c r="S867" i="17"/>
  <c r="S868" i="17"/>
  <c r="S869" i="17"/>
  <c r="S870" i="17"/>
  <c r="S871" i="17"/>
  <c r="S872" i="17"/>
  <c r="S873" i="17"/>
  <c r="S874" i="17"/>
  <c r="S875" i="17"/>
  <c r="S876" i="17"/>
  <c r="S877" i="17"/>
  <c r="S878" i="17"/>
  <c r="S879" i="17"/>
  <c r="S880" i="17"/>
  <c r="S881" i="17"/>
  <c r="S882" i="17"/>
  <c r="S883" i="17"/>
  <c r="S884" i="17"/>
  <c r="S885" i="17"/>
  <c r="S886" i="17"/>
  <c r="S887" i="17"/>
  <c r="S888" i="17"/>
  <c r="S889" i="17"/>
  <c r="S890" i="17"/>
  <c r="S891" i="17"/>
  <c r="S892" i="17"/>
  <c r="S893" i="17"/>
  <c r="S894" i="17"/>
  <c r="S895" i="17"/>
  <c r="S896" i="17"/>
  <c r="S897" i="17"/>
  <c r="S898" i="17"/>
  <c r="S899" i="17"/>
  <c r="S900" i="17"/>
  <c r="S901" i="17"/>
  <c r="S902" i="17"/>
  <c r="S903" i="17"/>
  <c r="S904" i="17"/>
  <c r="S905" i="17"/>
  <c r="S906" i="17"/>
  <c r="S907" i="17"/>
  <c r="S908" i="17"/>
  <c r="S909" i="17"/>
  <c r="S910" i="17"/>
  <c r="S911" i="17"/>
  <c r="S912" i="17"/>
  <c r="S913" i="17"/>
  <c r="S914" i="17"/>
  <c r="S915" i="17"/>
  <c r="S916" i="17"/>
  <c r="S917" i="17"/>
  <c r="S918" i="17"/>
  <c r="S919" i="17"/>
  <c r="S920" i="17"/>
  <c r="S921" i="17"/>
  <c r="S922" i="17"/>
  <c r="S923" i="17"/>
  <c r="S924" i="17"/>
  <c r="S925" i="17"/>
  <c r="S926" i="17"/>
  <c r="S927" i="17"/>
  <c r="S928" i="17"/>
  <c r="S929" i="17"/>
  <c r="S930" i="17"/>
  <c r="S931" i="17"/>
  <c r="S932" i="17"/>
  <c r="S933" i="17"/>
  <c r="S934" i="17"/>
  <c r="S935" i="17"/>
  <c r="S936" i="17"/>
  <c r="S937" i="17"/>
  <c r="S938" i="17"/>
  <c r="S939" i="17"/>
  <c r="S940" i="17"/>
  <c r="S941" i="17"/>
  <c r="S942" i="17"/>
  <c r="S943" i="17"/>
  <c r="S944" i="17"/>
  <c r="S945" i="17"/>
  <c r="S946" i="17"/>
  <c r="S947" i="17"/>
  <c r="S948" i="17"/>
  <c r="S949" i="17"/>
  <c r="S950" i="17"/>
  <c r="S951" i="17"/>
  <c r="S952" i="17"/>
  <c r="S953" i="17"/>
  <c r="S954" i="17"/>
  <c r="S955" i="17"/>
  <c r="S956" i="17"/>
  <c r="S957" i="17"/>
  <c r="S958" i="17"/>
  <c r="S959" i="17"/>
  <c r="S960" i="17"/>
  <c r="S961" i="17"/>
  <c r="S962" i="17"/>
  <c r="S963" i="17"/>
  <c r="S964" i="17"/>
  <c r="S965" i="17"/>
  <c r="S966" i="17"/>
  <c r="S967" i="17"/>
  <c r="S968" i="17"/>
  <c r="S969" i="17"/>
  <c r="S970" i="17"/>
  <c r="S971" i="17"/>
  <c r="S972" i="17"/>
  <c r="S973" i="17"/>
  <c r="S974" i="17"/>
  <c r="S975" i="17"/>
  <c r="S976" i="17"/>
  <c r="S977" i="17"/>
  <c r="S978" i="17"/>
  <c r="S979" i="17"/>
  <c r="S980" i="17"/>
  <c r="S981" i="17"/>
  <c r="S982" i="17"/>
  <c r="S983" i="17"/>
  <c r="S984" i="17"/>
  <c r="S985" i="17"/>
  <c r="S986" i="17"/>
  <c r="S987" i="17"/>
  <c r="S988" i="17"/>
  <c r="S989" i="17"/>
  <c r="S990" i="17"/>
  <c r="S991" i="17"/>
  <c r="S992" i="17"/>
  <c r="S993" i="17"/>
  <c r="S994" i="17"/>
  <c r="S995" i="17"/>
  <c r="S996" i="17"/>
  <c r="S997" i="17"/>
  <c r="S998" i="17"/>
  <c r="S999" i="17"/>
  <c r="S1000" i="17"/>
  <c r="S1001" i="17"/>
  <c r="S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46" i="17"/>
  <c r="P82" i="17"/>
  <c r="P90" i="17"/>
  <c r="P104" i="17"/>
  <c r="P118" i="17"/>
  <c r="P126" i="17"/>
  <c r="P160" i="17"/>
  <c r="P190" i="17"/>
  <c r="P200" i="17"/>
  <c r="P210" i="17"/>
  <c r="P215" i="17"/>
  <c r="P238" i="17"/>
  <c r="P240" i="17"/>
  <c r="P250" i="17"/>
  <c r="P288" i="17"/>
  <c r="P290" i="17"/>
  <c r="P318" i="17"/>
  <c r="P328" i="17"/>
  <c r="P338" i="17"/>
  <c r="P343" i="17"/>
  <c r="P366" i="17"/>
  <c r="P368" i="17"/>
  <c r="P378" i="17"/>
  <c r="P416" i="17"/>
  <c r="P418" i="17"/>
  <c r="P446" i="17"/>
  <c r="P456" i="17"/>
  <c r="P466" i="17"/>
  <c r="P471" i="17"/>
  <c r="P494" i="17"/>
  <c r="P496" i="17"/>
  <c r="P544" i="17"/>
  <c r="P546" i="17"/>
  <c r="P574" i="17"/>
  <c r="P594" i="17"/>
  <c r="P599" i="17"/>
  <c r="P622" i="17"/>
  <c r="P624" i="17"/>
  <c r="P672" i="17"/>
  <c r="P674" i="17"/>
  <c r="P691" i="17"/>
  <c r="P693" i="17"/>
  <c r="P707" i="17"/>
  <c r="P709" i="17"/>
  <c r="P723" i="17"/>
  <c r="P725" i="17"/>
  <c r="P739" i="17"/>
  <c r="P741" i="17"/>
  <c r="P755" i="17"/>
  <c r="P757" i="17"/>
  <c r="P771" i="17"/>
  <c r="P773" i="17"/>
  <c r="P787" i="17"/>
  <c r="P789" i="17"/>
  <c r="P803" i="17"/>
  <c r="P805" i="17"/>
  <c r="P819" i="17"/>
  <c r="P821" i="17"/>
  <c r="P835" i="17"/>
  <c r="P837" i="17"/>
  <c r="P851" i="17"/>
  <c r="P853" i="17"/>
  <c r="P867" i="17"/>
  <c r="P869" i="17"/>
  <c r="P883" i="17"/>
  <c r="P885" i="17"/>
  <c r="P899" i="17"/>
  <c r="P901" i="17"/>
  <c r="P915" i="17"/>
  <c r="P917" i="17"/>
  <c r="P931" i="17"/>
  <c r="P933" i="17"/>
  <c r="P947" i="17"/>
  <c r="P949" i="17"/>
  <c r="P971" i="17"/>
  <c r="P979" i="17"/>
  <c r="P98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P3" i="17" s="1"/>
  <c r="N4" i="17"/>
  <c r="P4" i="17" s="1"/>
  <c r="N5" i="17"/>
  <c r="P5" i="17" s="1"/>
  <c r="N6" i="17"/>
  <c r="P6" i="17" s="1"/>
  <c r="N7" i="17"/>
  <c r="P7" i="17" s="1"/>
  <c r="N8" i="17"/>
  <c r="P8" i="17" s="1"/>
  <c r="N9" i="17"/>
  <c r="P9" i="17" s="1"/>
  <c r="N10" i="17"/>
  <c r="P10" i="17" s="1"/>
  <c r="N11" i="17"/>
  <c r="P11" i="17" s="1"/>
  <c r="N12" i="17"/>
  <c r="P12" i="17" s="1"/>
  <c r="N13" i="17"/>
  <c r="P13" i="17" s="1"/>
  <c r="N14" i="17"/>
  <c r="P14" i="17" s="1"/>
  <c r="N15" i="17"/>
  <c r="P15" i="17" s="1"/>
  <c r="N16" i="17"/>
  <c r="P16" i="17" s="1"/>
  <c r="N17" i="17"/>
  <c r="P17" i="17" s="1"/>
  <c r="N18" i="17"/>
  <c r="P18" i="17" s="1"/>
  <c r="N19" i="17"/>
  <c r="P19" i="17" s="1"/>
  <c r="N20" i="17"/>
  <c r="P20" i="17" s="1"/>
  <c r="N21" i="17"/>
  <c r="P21" i="17" s="1"/>
  <c r="N22" i="17"/>
  <c r="P22" i="17" s="1"/>
  <c r="N23" i="17"/>
  <c r="P23" i="17" s="1"/>
  <c r="N24" i="17"/>
  <c r="P24" i="17" s="1"/>
  <c r="N25" i="17"/>
  <c r="P25" i="17" s="1"/>
  <c r="N26" i="17"/>
  <c r="P26" i="17" s="1"/>
  <c r="N27" i="17"/>
  <c r="P27" i="17" s="1"/>
  <c r="N28" i="17"/>
  <c r="P28" i="17" s="1"/>
  <c r="N29" i="17"/>
  <c r="P29" i="17" s="1"/>
  <c r="N30" i="17"/>
  <c r="P30" i="17" s="1"/>
  <c r="N31" i="17"/>
  <c r="P31" i="17" s="1"/>
  <c r="N32" i="17"/>
  <c r="P32" i="17" s="1"/>
  <c r="N33" i="17"/>
  <c r="P33" i="17" s="1"/>
  <c r="N34" i="17"/>
  <c r="P34" i="17" s="1"/>
  <c r="N35" i="17"/>
  <c r="P35" i="17" s="1"/>
  <c r="N36" i="17"/>
  <c r="P36" i="17" s="1"/>
  <c r="N37" i="17"/>
  <c r="P37" i="17" s="1"/>
  <c r="N38" i="17"/>
  <c r="P38" i="17" s="1"/>
  <c r="N39" i="17"/>
  <c r="P39" i="17" s="1"/>
  <c r="N40" i="17"/>
  <c r="P40" i="17" s="1"/>
  <c r="N41" i="17"/>
  <c r="P41" i="17" s="1"/>
  <c r="N42" i="17"/>
  <c r="P42" i="17" s="1"/>
  <c r="N43" i="17"/>
  <c r="P43" i="17" s="1"/>
  <c r="N44" i="17"/>
  <c r="P44" i="17" s="1"/>
  <c r="N45" i="17"/>
  <c r="P45" i="17" s="1"/>
  <c r="N46" i="17"/>
  <c r="N47" i="17"/>
  <c r="P47" i="17" s="1"/>
  <c r="N48" i="17"/>
  <c r="P48" i="17" s="1"/>
  <c r="N49" i="17"/>
  <c r="P49" i="17" s="1"/>
  <c r="N50" i="17"/>
  <c r="P50" i="17" s="1"/>
  <c r="N51" i="17"/>
  <c r="P51" i="17" s="1"/>
  <c r="N52" i="17"/>
  <c r="P52" i="17" s="1"/>
  <c r="N53" i="17"/>
  <c r="P53" i="17" s="1"/>
  <c r="N54" i="17"/>
  <c r="P54" i="17" s="1"/>
  <c r="N55" i="17"/>
  <c r="P55" i="17" s="1"/>
  <c r="N56" i="17"/>
  <c r="P56" i="17" s="1"/>
  <c r="N57" i="17"/>
  <c r="P57" i="17" s="1"/>
  <c r="N58" i="17"/>
  <c r="P58" i="17" s="1"/>
  <c r="N59" i="17"/>
  <c r="P59" i="17" s="1"/>
  <c r="N60" i="17"/>
  <c r="P60" i="17" s="1"/>
  <c r="N61" i="17"/>
  <c r="P61" i="17" s="1"/>
  <c r="N62" i="17"/>
  <c r="P62" i="17" s="1"/>
  <c r="N63" i="17"/>
  <c r="P63" i="17" s="1"/>
  <c r="N64" i="17"/>
  <c r="P64" i="17" s="1"/>
  <c r="N65" i="17"/>
  <c r="P65" i="17" s="1"/>
  <c r="N66" i="17"/>
  <c r="P66" i="17" s="1"/>
  <c r="N67" i="17"/>
  <c r="P67" i="17" s="1"/>
  <c r="N68" i="17"/>
  <c r="P68" i="17" s="1"/>
  <c r="N69" i="17"/>
  <c r="P69" i="17" s="1"/>
  <c r="N70" i="17"/>
  <c r="P70" i="17" s="1"/>
  <c r="N71" i="17"/>
  <c r="P71" i="17" s="1"/>
  <c r="N72" i="17"/>
  <c r="P72" i="17" s="1"/>
  <c r="N73" i="17"/>
  <c r="P73" i="17" s="1"/>
  <c r="N74" i="17"/>
  <c r="P74" i="17" s="1"/>
  <c r="N75" i="17"/>
  <c r="P75" i="17" s="1"/>
  <c r="N76" i="17"/>
  <c r="P76" i="17" s="1"/>
  <c r="N77" i="17"/>
  <c r="P77" i="17" s="1"/>
  <c r="N78" i="17"/>
  <c r="P78" i="17" s="1"/>
  <c r="N79" i="17"/>
  <c r="P79" i="17" s="1"/>
  <c r="N80" i="17"/>
  <c r="P80" i="17" s="1"/>
  <c r="N81" i="17"/>
  <c r="P81" i="17" s="1"/>
  <c r="N82" i="17"/>
  <c r="N83" i="17"/>
  <c r="P83" i="17" s="1"/>
  <c r="N84" i="17"/>
  <c r="P84" i="17" s="1"/>
  <c r="N85" i="17"/>
  <c r="P85" i="17" s="1"/>
  <c r="N86" i="17"/>
  <c r="P86" i="17" s="1"/>
  <c r="N87" i="17"/>
  <c r="P87" i="17" s="1"/>
  <c r="N88" i="17"/>
  <c r="P88" i="17" s="1"/>
  <c r="N89" i="17"/>
  <c r="P89" i="17" s="1"/>
  <c r="N90" i="17"/>
  <c r="N91" i="17"/>
  <c r="P91" i="17" s="1"/>
  <c r="N92" i="17"/>
  <c r="P92" i="17" s="1"/>
  <c r="N93" i="17"/>
  <c r="P93" i="17" s="1"/>
  <c r="N94" i="17"/>
  <c r="P94" i="17" s="1"/>
  <c r="N95" i="17"/>
  <c r="P95" i="17" s="1"/>
  <c r="N96" i="17"/>
  <c r="P96" i="17" s="1"/>
  <c r="N97" i="17"/>
  <c r="P97" i="17" s="1"/>
  <c r="N98" i="17"/>
  <c r="P98" i="17" s="1"/>
  <c r="N99" i="17"/>
  <c r="P99" i="17" s="1"/>
  <c r="N100" i="17"/>
  <c r="P100" i="17" s="1"/>
  <c r="N101" i="17"/>
  <c r="P101" i="17" s="1"/>
  <c r="N102" i="17"/>
  <c r="P102" i="17" s="1"/>
  <c r="N103" i="17"/>
  <c r="P103" i="17" s="1"/>
  <c r="N104" i="17"/>
  <c r="N105" i="17"/>
  <c r="P105" i="17" s="1"/>
  <c r="N106" i="17"/>
  <c r="P106" i="17" s="1"/>
  <c r="N107" i="17"/>
  <c r="P107" i="17" s="1"/>
  <c r="N108" i="17"/>
  <c r="P108" i="17" s="1"/>
  <c r="N109" i="17"/>
  <c r="P109" i="17" s="1"/>
  <c r="N110" i="17"/>
  <c r="P110" i="17" s="1"/>
  <c r="N111" i="17"/>
  <c r="P111" i="17" s="1"/>
  <c r="N112" i="17"/>
  <c r="P112" i="17" s="1"/>
  <c r="N113" i="17"/>
  <c r="P113" i="17" s="1"/>
  <c r="N114" i="17"/>
  <c r="P114" i="17" s="1"/>
  <c r="N115" i="17"/>
  <c r="P115" i="17" s="1"/>
  <c r="N116" i="17"/>
  <c r="P116" i="17" s="1"/>
  <c r="N117" i="17"/>
  <c r="P117" i="17" s="1"/>
  <c r="N118" i="17"/>
  <c r="N119" i="17"/>
  <c r="P119" i="17" s="1"/>
  <c r="N120" i="17"/>
  <c r="P120" i="17" s="1"/>
  <c r="N121" i="17"/>
  <c r="P121" i="17" s="1"/>
  <c r="N122" i="17"/>
  <c r="P122" i="17" s="1"/>
  <c r="N123" i="17"/>
  <c r="P123" i="17" s="1"/>
  <c r="N124" i="17"/>
  <c r="P124" i="17" s="1"/>
  <c r="N125" i="17"/>
  <c r="P125" i="17" s="1"/>
  <c r="N126" i="17"/>
  <c r="N127" i="17"/>
  <c r="P127" i="17" s="1"/>
  <c r="N128" i="17"/>
  <c r="P128" i="17" s="1"/>
  <c r="N129" i="17"/>
  <c r="P129" i="17" s="1"/>
  <c r="N130" i="17"/>
  <c r="P130" i="17" s="1"/>
  <c r="N131" i="17"/>
  <c r="P131" i="17" s="1"/>
  <c r="N132" i="17"/>
  <c r="P132" i="17" s="1"/>
  <c r="N133" i="17"/>
  <c r="P133" i="17" s="1"/>
  <c r="N134" i="17"/>
  <c r="P134" i="17" s="1"/>
  <c r="N135" i="17"/>
  <c r="P135" i="17" s="1"/>
  <c r="N136" i="17"/>
  <c r="P136" i="17" s="1"/>
  <c r="N137" i="17"/>
  <c r="P137" i="17" s="1"/>
  <c r="N138" i="17"/>
  <c r="P138" i="17" s="1"/>
  <c r="N139" i="17"/>
  <c r="P139" i="17" s="1"/>
  <c r="N140" i="17"/>
  <c r="P140" i="17" s="1"/>
  <c r="N141" i="17"/>
  <c r="P141" i="17" s="1"/>
  <c r="N142" i="17"/>
  <c r="P142" i="17" s="1"/>
  <c r="N143" i="17"/>
  <c r="P143" i="17" s="1"/>
  <c r="N144" i="17"/>
  <c r="P144" i="17" s="1"/>
  <c r="N145" i="17"/>
  <c r="P145" i="17" s="1"/>
  <c r="N146" i="17"/>
  <c r="P146" i="17" s="1"/>
  <c r="N147" i="17"/>
  <c r="P147" i="17" s="1"/>
  <c r="N148" i="17"/>
  <c r="P148" i="17" s="1"/>
  <c r="N149" i="17"/>
  <c r="P149" i="17" s="1"/>
  <c r="N150" i="17"/>
  <c r="P150" i="17" s="1"/>
  <c r="N151" i="17"/>
  <c r="P151" i="17" s="1"/>
  <c r="N152" i="17"/>
  <c r="P152" i="17" s="1"/>
  <c r="N153" i="17"/>
  <c r="P153" i="17" s="1"/>
  <c r="N154" i="17"/>
  <c r="P154" i="17" s="1"/>
  <c r="N155" i="17"/>
  <c r="P155" i="17" s="1"/>
  <c r="N156" i="17"/>
  <c r="P156" i="17" s="1"/>
  <c r="N157" i="17"/>
  <c r="P157" i="17" s="1"/>
  <c r="N158" i="17"/>
  <c r="P158" i="17" s="1"/>
  <c r="N159" i="17"/>
  <c r="P159" i="17" s="1"/>
  <c r="N160" i="17"/>
  <c r="N161" i="17"/>
  <c r="P161" i="17" s="1"/>
  <c r="N162" i="17"/>
  <c r="P162" i="17" s="1"/>
  <c r="N163" i="17"/>
  <c r="P163" i="17" s="1"/>
  <c r="N164" i="17"/>
  <c r="P164" i="17" s="1"/>
  <c r="N165" i="17"/>
  <c r="P165" i="17" s="1"/>
  <c r="N166" i="17"/>
  <c r="P166" i="17" s="1"/>
  <c r="N167" i="17"/>
  <c r="P167" i="17" s="1"/>
  <c r="N168" i="17"/>
  <c r="P168" i="17" s="1"/>
  <c r="N169" i="17"/>
  <c r="P169" i="17" s="1"/>
  <c r="N170" i="17"/>
  <c r="P170" i="17" s="1"/>
  <c r="N171" i="17"/>
  <c r="P171" i="17" s="1"/>
  <c r="N172" i="17"/>
  <c r="P172" i="17" s="1"/>
  <c r="N173" i="17"/>
  <c r="P173" i="17" s="1"/>
  <c r="N174" i="17"/>
  <c r="P174" i="17" s="1"/>
  <c r="N175" i="17"/>
  <c r="P175" i="17" s="1"/>
  <c r="N176" i="17"/>
  <c r="P176" i="17" s="1"/>
  <c r="N177" i="17"/>
  <c r="P177" i="17" s="1"/>
  <c r="N178" i="17"/>
  <c r="P178" i="17" s="1"/>
  <c r="N179" i="17"/>
  <c r="P179" i="17" s="1"/>
  <c r="N180" i="17"/>
  <c r="P180" i="17" s="1"/>
  <c r="N181" i="17"/>
  <c r="P181" i="17" s="1"/>
  <c r="N182" i="17"/>
  <c r="P182" i="17" s="1"/>
  <c r="N183" i="17"/>
  <c r="P183" i="17" s="1"/>
  <c r="N184" i="17"/>
  <c r="P184" i="17" s="1"/>
  <c r="N185" i="17"/>
  <c r="P185" i="17" s="1"/>
  <c r="N186" i="17"/>
  <c r="P186" i="17" s="1"/>
  <c r="N187" i="17"/>
  <c r="P187" i="17" s="1"/>
  <c r="N188" i="17"/>
  <c r="P188" i="17" s="1"/>
  <c r="N189" i="17"/>
  <c r="P189" i="17" s="1"/>
  <c r="N190" i="17"/>
  <c r="N191" i="17"/>
  <c r="P191" i="17" s="1"/>
  <c r="N192" i="17"/>
  <c r="P192" i="17" s="1"/>
  <c r="N193" i="17"/>
  <c r="P193" i="17" s="1"/>
  <c r="N194" i="17"/>
  <c r="P194" i="17" s="1"/>
  <c r="N195" i="17"/>
  <c r="P195" i="17" s="1"/>
  <c r="N196" i="17"/>
  <c r="P196" i="17" s="1"/>
  <c r="N197" i="17"/>
  <c r="P197" i="17" s="1"/>
  <c r="N198" i="17"/>
  <c r="P198" i="17" s="1"/>
  <c r="N199" i="17"/>
  <c r="P199" i="17" s="1"/>
  <c r="N200" i="17"/>
  <c r="N201" i="17"/>
  <c r="P201" i="17" s="1"/>
  <c r="N202" i="17"/>
  <c r="P202" i="17" s="1"/>
  <c r="N203" i="17"/>
  <c r="P203" i="17" s="1"/>
  <c r="N204" i="17"/>
  <c r="P204" i="17" s="1"/>
  <c r="N205" i="17"/>
  <c r="P205" i="17" s="1"/>
  <c r="N206" i="17"/>
  <c r="P206" i="17" s="1"/>
  <c r="N207" i="17"/>
  <c r="P207" i="17" s="1"/>
  <c r="N208" i="17"/>
  <c r="P208" i="17" s="1"/>
  <c r="N209" i="17"/>
  <c r="P209" i="17" s="1"/>
  <c r="N210" i="17"/>
  <c r="N211" i="17"/>
  <c r="P211" i="17" s="1"/>
  <c r="N212" i="17"/>
  <c r="P212" i="17" s="1"/>
  <c r="N213" i="17"/>
  <c r="P213" i="17" s="1"/>
  <c r="N214" i="17"/>
  <c r="P214" i="17" s="1"/>
  <c r="N215" i="17"/>
  <c r="N216" i="17"/>
  <c r="P216" i="17" s="1"/>
  <c r="N217" i="17"/>
  <c r="P217" i="17" s="1"/>
  <c r="N218" i="17"/>
  <c r="P218" i="17" s="1"/>
  <c r="N219" i="17"/>
  <c r="P219" i="17" s="1"/>
  <c r="N220" i="17"/>
  <c r="P220" i="17" s="1"/>
  <c r="N221" i="17"/>
  <c r="P221" i="17" s="1"/>
  <c r="N222" i="17"/>
  <c r="P222" i="17" s="1"/>
  <c r="N223" i="17"/>
  <c r="P223" i="17" s="1"/>
  <c r="N224" i="17"/>
  <c r="P224" i="17" s="1"/>
  <c r="N225" i="17"/>
  <c r="P225" i="17" s="1"/>
  <c r="N226" i="17"/>
  <c r="P226" i="17" s="1"/>
  <c r="N227" i="17"/>
  <c r="P227" i="17" s="1"/>
  <c r="N228" i="17"/>
  <c r="P228" i="17" s="1"/>
  <c r="N229" i="17"/>
  <c r="P229" i="17" s="1"/>
  <c r="N230" i="17"/>
  <c r="P230" i="17" s="1"/>
  <c r="N231" i="17"/>
  <c r="P231" i="17" s="1"/>
  <c r="N232" i="17"/>
  <c r="P232" i="17" s="1"/>
  <c r="N233" i="17"/>
  <c r="P233" i="17" s="1"/>
  <c r="N234" i="17"/>
  <c r="P234" i="17" s="1"/>
  <c r="N235" i="17"/>
  <c r="P235" i="17" s="1"/>
  <c r="N236" i="17"/>
  <c r="P236" i="17" s="1"/>
  <c r="N237" i="17"/>
  <c r="P237" i="17" s="1"/>
  <c r="N238" i="17"/>
  <c r="N239" i="17"/>
  <c r="P239" i="17" s="1"/>
  <c r="N240" i="17"/>
  <c r="N241" i="17"/>
  <c r="P241" i="17" s="1"/>
  <c r="N242" i="17"/>
  <c r="P242" i="17" s="1"/>
  <c r="N243" i="17"/>
  <c r="P243" i="17" s="1"/>
  <c r="N244" i="17"/>
  <c r="P244" i="17" s="1"/>
  <c r="N245" i="17"/>
  <c r="P245" i="17" s="1"/>
  <c r="N246" i="17"/>
  <c r="P246" i="17" s="1"/>
  <c r="N247" i="17"/>
  <c r="P247" i="17" s="1"/>
  <c r="N248" i="17"/>
  <c r="P248" i="17" s="1"/>
  <c r="N249" i="17"/>
  <c r="P249" i="17" s="1"/>
  <c r="N250" i="17"/>
  <c r="N251" i="17"/>
  <c r="P251" i="17" s="1"/>
  <c r="N252" i="17"/>
  <c r="P252" i="17" s="1"/>
  <c r="N253" i="17"/>
  <c r="P253" i="17" s="1"/>
  <c r="N254" i="17"/>
  <c r="P254" i="17" s="1"/>
  <c r="N255" i="17"/>
  <c r="P255" i="17" s="1"/>
  <c r="N256" i="17"/>
  <c r="P256" i="17" s="1"/>
  <c r="N257" i="17"/>
  <c r="P257" i="17" s="1"/>
  <c r="N258" i="17"/>
  <c r="P258" i="17" s="1"/>
  <c r="N259" i="17"/>
  <c r="P259" i="17" s="1"/>
  <c r="N260" i="17"/>
  <c r="P260" i="17" s="1"/>
  <c r="N261" i="17"/>
  <c r="P261" i="17" s="1"/>
  <c r="N262" i="17"/>
  <c r="P262" i="17" s="1"/>
  <c r="N263" i="17"/>
  <c r="P263" i="17" s="1"/>
  <c r="N264" i="17"/>
  <c r="P264" i="17" s="1"/>
  <c r="N265" i="17"/>
  <c r="P265" i="17" s="1"/>
  <c r="N266" i="17"/>
  <c r="P266" i="17" s="1"/>
  <c r="N267" i="17"/>
  <c r="P267" i="17" s="1"/>
  <c r="N268" i="17"/>
  <c r="P268" i="17" s="1"/>
  <c r="N269" i="17"/>
  <c r="P269" i="17" s="1"/>
  <c r="N270" i="17"/>
  <c r="P270" i="17" s="1"/>
  <c r="N271" i="17"/>
  <c r="P271" i="17" s="1"/>
  <c r="N272" i="17"/>
  <c r="P272" i="17" s="1"/>
  <c r="N273" i="17"/>
  <c r="P273" i="17" s="1"/>
  <c r="N274" i="17"/>
  <c r="P274" i="17" s="1"/>
  <c r="N275" i="17"/>
  <c r="P275" i="17" s="1"/>
  <c r="N276" i="17"/>
  <c r="P276" i="17" s="1"/>
  <c r="N277" i="17"/>
  <c r="P277" i="17" s="1"/>
  <c r="N278" i="17"/>
  <c r="P278" i="17" s="1"/>
  <c r="N279" i="17"/>
  <c r="P279" i="17" s="1"/>
  <c r="N280" i="17"/>
  <c r="P280" i="17" s="1"/>
  <c r="N281" i="17"/>
  <c r="P281" i="17" s="1"/>
  <c r="N282" i="17"/>
  <c r="P282" i="17" s="1"/>
  <c r="N283" i="17"/>
  <c r="P283" i="17" s="1"/>
  <c r="N284" i="17"/>
  <c r="P284" i="17" s="1"/>
  <c r="N285" i="17"/>
  <c r="P285" i="17" s="1"/>
  <c r="N286" i="17"/>
  <c r="P286" i="17" s="1"/>
  <c r="N287" i="17"/>
  <c r="P287" i="17" s="1"/>
  <c r="N288" i="17"/>
  <c r="N289" i="17"/>
  <c r="P289" i="17" s="1"/>
  <c r="N290" i="17"/>
  <c r="N291" i="17"/>
  <c r="P291" i="17" s="1"/>
  <c r="N292" i="17"/>
  <c r="P292" i="17" s="1"/>
  <c r="N293" i="17"/>
  <c r="P293" i="17" s="1"/>
  <c r="N294" i="17"/>
  <c r="P294" i="17" s="1"/>
  <c r="N295" i="17"/>
  <c r="P295" i="17" s="1"/>
  <c r="N296" i="17"/>
  <c r="P296" i="17" s="1"/>
  <c r="N297" i="17"/>
  <c r="P297" i="17" s="1"/>
  <c r="N298" i="17"/>
  <c r="P298" i="17" s="1"/>
  <c r="N299" i="17"/>
  <c r="P299" i="17" s="1"/>
  <c r="N300" i="17"/>
  <c r="P300" i="17" s="1"/>
  <c r="N301" i="17"/>
  <c r="P301" i="17" s="1"/>
  <c r="N302" i="17"/>
  <c r="P302" i="17" s="1"/>
  <c r="N303" i="17"/>
  <c r="P303" i="17" s="1"/>
  <c r="N304" i="17"/>
  <c r="P304" i="17" s="1"/>
  <c r="N305" i="17"/>
  <c r="P305" i="17" s="1"/>
  <c r="N306" i="17"/>
  <c r="P306" i="17" s="1"/>
  <c r="N307" i="17"/>
  <c r="P307" i="17" s="1"/>
  <c r="N308" i="17"/>
  <c r="P308" i="17" s="1"/>
  <c r="N309" i="17"/>
  <c r="P309" i="17" s="1"/>
  <c r="N310" i="17"/>
  <c r="P310" i="17" s="1"/>
  <c r="N311" i="17"/>
  <c r="P311" i="17" s="1"/>
  <c r="N312" i="17"/>
  <c r="P312" i="17" s="1"/>
  <c r="N313" i="17"/>
  <c r="P313" i="17" s="1"/>
  <c r="N314" i="17"/>
  <c r="P314" i="17" s="1"/>
  <c r="N315" i="17"/>
  <c r="P315" i="17" s="1"/>
  <c r="N316" i="17"/>
  <c r="P316" i="17" s="1"/>
  <c r="N317" i="17"/>
  <c r="P317" i="17" s="1"/>
  <c r="N318" i="17"/>
  <c r="N319" i="17"/>
  <c r="P319" i="17" s="1"/>
  <c r="N320" i="17"/>
  <c r="P320" i="17" s="1"/>
  <c r="N321" i="17"/>
  <c r="P321" i="17" s="1"/>
  <c r="N322" i="17"/>
  <c r="P322" i="17" s="1"/>
  <c r="N323" i="17"/>
  <c r="P323" i="17" s="1"/>
  <c r="N324" i="17"/>
  <c r="P324" i="17" s="1"/>
  <c r="N325" i="17"/>
  <c r="P325" i="17" s="1"/>
  <c r="N326" i="17"/>
  <c r="P326" i="17" s="1"/>
  <c r="N327" i="17"/>
  <c r="P327" i="17" s="1"/>
  <c r="N328" i="17"/>
  <c r="N329" i="17"/>
  <c r="P329" i="17" s="1"/>
  <c r="N330" i="17"/>
  <c r="P330" i="17" s="1"/>
  <c r="N331" i="17"/>
  <c r="P331" i="17" s="1"/>
  <c r="N332" i="17"/>
  <c r="P332" i="17" s="1"/>
  <c r="N333" i="17"/>
  <c r="P333" i="17" s="1"/>
  <c r="N334" i="17"/>
  <c r="P334" i="17" s="1"/>
  <c r="N335" i="17"/>
  <c r="P335" i="17" s="1"/>
  <c r="N336" i="17"/>
  <c r="P336" i="17" s="1"/>
  <c r="N337" i="17"/>
  <c r="P337" i="17" s="1"/>
  <c r="N338" i="17"/>
  <c r="N339" i="17"/>
  <c r="P339" i="17" s="1"/>
  <c r="N340" i="17"/>
  <c r="P340" i="17" s="1"/>
  <c r="N341" i="17"/>
  <c r="P341" i="17" s="1"/>
  <c r="N342" i="17"/>
  <c r="P342" i="17" s="1"/>
  <c r="N343" i="17"/>
  <c r="N344" i="17"/>
  <c r="P344" i="17" s="1"/>
  <c r="N345" i="17"/>
  <c r="P345" i="17" s="1"/>
  <c r="N346" i="17"/>
  <c r="P346" i="17" s="1"/>
  <c r="N347" i="17"/>
  <c r="P347" i="17" s="1"/>
  <c r="N348" i="17"/>
  <c r="P348" i="17" s="1"/>
  <c r="N349" i="17"/>
  <c r="P349" i="17" s="1"/>
  <c r="N350" i="17"/>
  <c r="P350" i="17" s="1"/>
  <c r="N351" i="17"/>
  <c r="P351" i="17" s="1"/>
  <c r="N352" i="17"/>
  <c r="P352" i="17" s="1"/>
  <c r="N353" i="17"/>
  <c r="P353" i="17" s="1"/>
  <c r="N354" i="17"/>
  <c r="P354" i="17" s="1"/>
  <c r="N355" i="17"/>
  <c r="P355" i="17" s="1"/>
  <c r="N356" i="17"/>
  <c r="P356" i="17" s="1"/>
  <c r="N357" i="17"/>
  <c r="P357" i="17" s="1"/>
  <c r="N358" i="17"/>
  <c r="P358" i="17" s="1"/>
  <c r="N359" i="17"/>
  <c r="P359" i="17" s="1"/>
  <c r="N360" i="17"/>
  <c r="P360" i="17" s="1"/>
  <c r="N361" i="17"/>
  <c r="P361" i="17" s="1"/>
  <c r="N362" i="17"/>
  <c r="P362" i="17" s="1"/>
  <c r="N363" i="17"/>
  <c r="P363" i="17" s="1"/>
  <c r="N364" i="17"/>
  <c r="P364" i="17" s="1"/>
  <c r="N365" i="17"/>
  <c r="P365" i="17" s="1"/>
  <c r="N366" i="17"/>
  <c r="N367" i="17"/>
  <c r="P367" i="17" s="1"/>
  <c r="N368" i="17"/>
  <c r="N369" i="17"/>
  <c r="P369" i="17" s="1"/>
  <c r="N370" i="17"/>
  <c r="P370" i="17" s="1"/>
  <c r="N371" i="17"/>
  <c r="P371" i="17" s="1"/>
  <c r="N372" i="17"/>
  <c r="P372" i="17" s="1"/>
  <c r="N373" i="17"/>
  <c r="P373" i="17" s="1"/>
  <c r="N374" i="17"/>
  <c r="P374" i="17" s="1"/>
  <c r="N375" i="17"/>
  <c r="P375" i="17" s="1"/>
  <c r="N376" i="17"/>
  <c r="P376" i="17" s="1"/>
  <c r="N377" i="17"/>
  <c r="P377" i="17" s="1"/>
  <c r="N378" i="17"/>
  <c r="N379" i="17"/>
  <c r="P379" i="17" s="1"/>
  <c r="N380" i="17"/>
  <c r="P380" i="17" s="1"/>
  <c r="N381" i="17"/>
  <c r="P381" i="17" s="1"/>
  <c r="N382" i="17"/>
  <c r="P382" i="17" s="1"/>
  <c r="N383" i="17"/>
  <c r="P383" i="17" s="1"/>
  <c r="N384" i="17"/>
  <c r="P384" i="17" s="1"/>
  <c r="N385" i="17"/>
  <c r="P385" i="17" s="1"/>
  <c r="N386" i="17"/>
  <c r="P386" i="17" s="1"/>
  <c r="N387" i="17"/>
  <c r="P387" i="17" s="1"/>
  <c r="N388" i="17"/>
  <c r="P388" i="17" s="1"/>
  <c r="N389" i="17"/>
  <c r="P389" i="17" s="1"/>
  <c r="N390" i="17"/>
  <c r="P390" i="17" s="1"/>
  <c r="N391" i="17"/>
  <c r="P391" i="17" s="1"/>
  <c r="N392" i="17"/>
  <c r="P392" i="17" s="1"/>
  <c r="N393" i="17"/>
  <c r="P393" i="17" s="1"/>
  <c r="N394" i="17"/>
  <c r="P394" i="17" s="1"/>
  <c r="N395" i="17"/>
  <c r="P395" i="17" s="1"/>
  <c r="N396" i="17"/>
  <c r="P396" i="17" s="1"/>
  <c r="N397" i="17"/>
  <c r="P397" i="17" s="1"/>
  <c r="N398" i="17"/>
  <c r="P398" i="17" s="1"/>
  <c r="N399" i="17"/>
  <c r="P399" i="17" s="1"/>
  <c r="N400" i="17"/>
  <c r="P400" i="17" s="1"/>
  <c r="N401" i="17"/>
  <c r="P401" i="17" s="1"/>
  <c r="N402" i="17"/>
  <c r="P402" i="17" s="1"/>
  <c r="N403" i="17"/>
  <c r="P403" i="17" s="1"/>
  <c r="N404" i="17"/>
  <c r="P404" i="17" s="1"/>
  <c r="N405" i="17"/>
  <c r="P405" i="17" s="1"/>
  <c r="N406" i="17"/>
  <c r="P406" i="17" s="1"/>
  <c r="N407" i="17"/>
  <c r="P407" i="17" s="1"/>
  <c r="N408" i="17"/>
  <c r="P408" i="17" s="1"/>
  <c r="N409" i="17"/>
  <c r="P409" i="17" s="1"/>
  <c r="N410" i="17"/>
  <c r="P410" i="17" s="1"/>
  <c r="N411" i="17"/>
  <c r="P411" i="17" s="1"/>
  <c r="N412" i="17"/>
  <c r="P412" i="17" s="1"/>
  <c r="N413" i="17"/>
  <c r="P413" i="17" s="1"/>
  <c r="N414" i="17"/>
  <c r="P414" i="17" s="1"/>
  <c r="N415" i="17"/>
  <c r="P415" i="17" s="1"/>
  <c r="N416" i="17"/>
  <c r="N417" i="17"/>
  <c r="P417" i="17" s="1"/>
  <c r="N418" i="17"/>
  <c r="N419" i="17"/>
  <c r="P419" i="17" s="1"/>
  <c r="N420" i="17"/>
  <c r="P420" i="17" s="1"/>
  <c r="N421" i="17"/>
  <c r="P421" i="17" s="1"/>
  <c r="N422" i="17"/>
  <c r="P422" i="17" s="1"/>
  <c r="N423" i="17"/>
  <c r="P423" i="17" s="1"/>
  <c r="N424" i="17"/>
  <c r="P424" i="17" s="1"/>
  <c r="N425" i="17"/>
  <c r="P425" i="17" s="1"/>
  <c r="N426" i="17"/>
  <c r="P426" i="17" s="1"/>
  <c r="N427" i="17"/>
  <c r="P427" i="17" s="1"/>
  <c r="N428" i="17"/>
  <c r="P428" i="17" s="1"/>
  <c r="N429" i="17"/>
  <c r="P429" i="17" s="1"/>
  <c r="N430" i="17"/>
  <c r="P430" i="17" s="1"/>
  <c r="N431" i="17"/>
  <c r="P431" i="17" s="1"/>
  <c r="N432" i="17"/>
  <c r="P432" i="17" s="1"/>
  <c r="N433" i="17"/>
  <c r="P433" i="17" s="1"/>
  <c r="N434" i="17"/>
  <c r="P434" i="17" s="1"/>
  <c r="N435" i="17"/>
  <c r="P435" i="17" s="1"/>
  <c r="N436" i="17"/>
  <c r="P436" i="17" s="1"/>
  <c r="N437" i="17"/>
  <c r="P437" i="17" s="1"/>
  <c r="N438" i="17"/>
  <c r="P438" i="17" s="1"/>
  <c r="N439" i="17"/>
  <c r="P439" i="17" s="1"/>
  <c r="N440" i="17"/>
  <c r="P440" i="17" s="1"/>
  <c r="N441" i="17"/>
  <c r="P441" i="17" s="1"/>
  <c r="N442" i="17"/>
  <c r="P442" i="17" s="1"/>
  <c r="N443" i="17"/>
  <c r="P443" i="17" s="1"/>
  <c r="N444" i="17"/>
  <c r="P444" i="17" s="1"/>
  <c r="N445" i="17"/>
  <c r="P445" i="17" s="1"/>
  <c r="N446" i="17"/>
  <c r="N447" i="17"/>
  <c r="P447" i="17" s="1"/>
  <c r="N448" i="17"/>
  <c r="P448" i="17" s="1"/>
  <c r="N449" i="17"/>
  <c r="P449" i="17" s="1"/>
  <c r="N450" i="17"/>
  <c r="P450" i="17" s="1"/>
  <c r="N451" i="17"/>
  <c r="P451" i="17" s="1"/>
  <c r="N452" i="17"/>
  <c r="P452" i="17" s="1"/>
  <c r="N453" i="17"/>
  <c r="P453" i="17" s="1"/>
  <c r="N454" i="17"/>
  <c r="P454" i="17" s="1"/>
  <c r="N455" i="17"/>
  <c r="P455" i="17" s="1"/>
  <c r="N456" i="17"/>
  <c r="N457" i="17"/>
  <c r="P457" i="17" s="1"/>
  <c r="N458" i="17"/>
  <c r="P458" i="17" s="1"/>
  <c r="N459" i="17"/>
  <c r="P459" i="17" s="1"/>
  <c r="N460" i="17"/>
  <c r="P460" i="17" s="1"/>
  <c r="N461" i="17"/>
  <c r="P461" i="17" s="1"/>
  <c r="N462" i="17"/>
  <c r="P462" i="17" s="1"/>
  <c r="N463" i="17"/>
  <c r="P463" i="17" s="1"/>
  <c r="N464" i="17"/>
  <c r="P464" i="17" s="1"/>
  <c r="N465" i="17"/>
  <c r="P465" i="17" s="1"/>
  <c r="N466" i="17"/>
  <c r="N467" i="17"/>
  <c r="P467" i="17" s="1"/>
  <c r="N468" i="17"/>
  <c r="P468" i="17" s="1"/>
  <c r="N469" i="17"/>
  <c r="P469" i="17" s="1"/>
  <c r="N470" i="17"/>
  <c r="P470" i="17" s="1"/>
  <c r="N471" i="17"/>
  <c r="N472" i="17"/>
  <c r="P472" i="17" s="1"/>
  <c r="N473" i="17"/>
  <c r="P473" i="17" s="1"/>
  <c r="N474" i="17"/>
  <c r="P474" i="17" s="1"/>
  <c r="N475" i="17"/>
  <c r="P475" i="17" s="1"/>
  <c r="N476" i="17"/>
  <c r="P476" i="17" s="1"/>
  <c r="N477" i="17"/>
  <c r="P477" i="17" s="1"/>
  <c r="N478" i="17"/>
  <c r="P478" i="17" s="1"/>
  <c r="N479" i="17"/>
  <c r="P479" i="17" s="1"/>
  <c r="N480" i="17"/>
  <c r="P480" i="17" s="1"/>
  <c r="N481" i="17"/>
  <c r="P481" i="17" s="1"/>
  <c r="N482" i="17"/>
  <c r="P482" i="17" s="1"/>
  <c r="N483" i="17"/>
  <c r="P483" i="17" s="1"/>
  <c r="N484" i="17"/>
  <c r="P484" i="17" s="1"/>
  <c r="N485" i="17"/>
  <c r="P485" i="17" s="1"/>
  <c r="N486" i="17"/>
  <c r="P486" i="17" s="1"/>
  <c r="N487" i="17"/>
  <c r="P487" i="17" s="1"/>
  <c r="N488" i="17"/>
  <c r="P488" i="17" s="1"/>
  <c r="N489" i="17"/>
  <c r="P489" i="17" s="1"/>
  <c r="N490" i="17"/>
  <c r="P490" i="17" s="1"/>
  <c r="N491" i="17"/>
  <c r="P491" i="17" s="1"/>
  <c r="N492" i="17"/>
  <c r="P492" i="17" s="1"/>
  <c r="N493" i="17"/>
  <c r="P493" i="17" s="1"/>
  <c r="N494" i="17"/>
  <c r="N495" i="17"/>
  <c r="P495" i="17" s="1"/>
  <c r="N496" i="17"/>
  <c r="N497" i="17"/>
  <c r="P497" i="17" s="1"/>
  <c r="N498" i="17"/>
  <c r="P498" i="17" s="1"/>
  <c r="N499" i="17"/>
  <c r="P499" i="17" s="1"/>
  <c r="N500" i="17"/>
  <c r="P500" i="17" s="1"/>
  <c r="N501" i="17"/>
  <c r="P501" i="17" s="1"/>
  <c r="N502" i="17"/>
  <c r="P502" i="17" s="1"/>
  <c r="N503" i="17"/>
  <c r="P503" i="17" s="1"/>
  <c r="N504" i="17"/>
  <c r="P504" i="17" s="1"/>
  <c r="N505" i="17"/>
  <c r="P505" i="17" s="1"/>
  <c r="N506" i="17"/>
  <c r="P506" i="17" s="1"/>
  <c r="N507" i="17"/>
  <c r="P507" i="17" s="1"/>
  <c r="N508" i="17"/>
  <c r="P508" i="17" s="1"/>
  <c r="N509" i="17"/>
  <c r="P509" i="17" s="1"/>
  <c r="N510" i="17"/>
  <c r="P510" i="17" s="1"/>
  <c r="N511" i="17"/>
  <c r="P511" i="17" s="1"/>
  <c r="N512" i="17"/>
  <c r="P512" i="17" s="1"/>
  <c r="N513" i="17"/>
  <c r="P513" i="17" s="1"/>
  <c r="N514" i="17"/>
  <c r="P514" i="17" s="1"/>
  <c r="N515" i="17"/>
  <c r="P515" i="17" s="1"/>
  <c r="N516" i="17"/>
  <c r="P516" i="17" s="1"/>
  <c r="N517" i="17"/>
  <c r="P517" i="17" s="1"/>
  <c r="N518" i="17"/>
  <c r="P518" i="17" s="1"/>
  <c r="N519" i="17"/>
  <c r="P519" i="17" s="1"/>
  <c r="N520" i="17"/>
  <c r="P520" i="17" s="1"/>
  <c r="N521" i="17"/>
  <c r="P521" i="17" s="1"/>
  <c r="N522" i="17"/>
  <c r="P522" i="17" s="1"/>
  <c r="N523" i="17"/>
  <c r="P523" i="17" s="1"/>
  <c r="N524" i="17"/>
  <c r="P524" i="17" s="1"/>
  <c r="N525" i="17"/>
  <c r="P525" i="17" s="1"/>
  <c r="N526" i="17"/>
  <c r="P526" i="17" s="1"/>
  <c r="N527" i="17"/>
  <c r="P527" i="17" s="1"/>
  <c r="N528" i="17"/>
  <c r="P528" i="17" s="1"/>
  <c r="N529" i="17"/>
  <c r="P529" i="17" s="1"/>
  <c r="N530" i="17"/>
  <c r="P530" i="17" s="1"/>
  <c r="N531" i="17"/>
  <c r="P531" i="17" s="1"/>
  <c r="N532" i="17"/>
  <c r="P532" i="17" s="1"/>
  <c r="N533" i="17"/>
  <c r="P533" i="17" s="1"/>
  <c r="N534" i="17"/>
  <c r="P534" i="17" s="1"/>
  <c r="N535" i="17"/>
  <c r="P535" i="17" s="1"/>
  <c r="N536" i="17"/>
  <c r="P536" i="17" s="1"/>
  <c r="N537" i="17"/>
  <c r="P537" i="17" s="1"/>
  <c r="N538" i="17"/>
  <c r="P538" i="17" s="1"/>
  <c r="N539" i="17"/>
  <c r="P539" i="17" s="1"/>
  <c r="N540" i="17"/>
  <c r="P540" i="17" s="1"/>
  <c r="N541" i="17"/>
  <c r="P541" i="17" s="1"/>
  <c r="N542" i="17"/>
  <c r="P542" i="17" s="1"/>
  <c r="N543" i="17"/>
  <c r="P543" i="17" s="1"/>
  <c r="N544" i="17"/>
  <c r="N545" i="17"/>
  <c r="P545" i="17" s="1"/>
  <c r="N546" i="17"/>
  <c r="N547" i="17"/>
  <c r="P547" i="17" s="1"/>
  <c r="N548" i="17"/>
  <c r="P548" i="17" s="1"/>
  <c r="N549" i="17"/>
  <c r="P549" i="17" s="1"/>
  <c r="N550" i="17"/>
  <c r="P550" i="17" s="1"/>
  <c r="N551" i="17"/>
  <c r="P551" i="17" s="1"/>
  <c r="N552" i="17"/>
  <c r="P552" i="17" s="1"/>
  <c r="N553" i="17"/>
  <c r="P553" i="17" s="1"/>
  <c r="N554" i="17"/>
  <c r="P554" i="17" s="1"/>
  <c r="N555" i="17"/>
  <c r="P555" i="17" s="1"/>
  <c r="N556" i="17"/>
  <c r="P556" i="17" s="1"/>
  <c r="N557" i="17"/>
  <c r="P557" i="17" s="1"/>
  <c r="N558" i="17"/>
  <c r="P558" i="17" s="1"/>
  <c r="N559" i="17"/>
  <c r="P559" i="17" s="1"/>
  <c r="N560" i="17"/>
  <c r="P560" i="17" s="1"/>
  <c r="N561" i="17"/>
  <c r="P561" i="17" s="1"/>
  <c r="N562" i="17"/>
  <c r="P562" i="17" s="1"/>
  <c r="N563" i="17"/>
  <c r="P563" i="17" s="1"/>
  <c r="N564" i="17"/>
  <c r="P564" i="17" s="1"/>
  <c r="N565" i="17"/>
  <c r="P565" i="17" s="1"/>
  <c r="N566" i="17"/>
  <c r="P566" i="17" s="1"/>
  <c r="N567" i="17"/>
  <c r="P567" i="17" s="1"/>
  <c r="N568" i="17"/>
  <c r="P568" i="17" s="1"/>
  <c r="N569" i="17"/>
  <c r="P569" i="17" s="1"/>
  <c r="N570" i="17"/>
  <c r="P570" i="17" s="1"/>
  <c r="N571" i="17"/>
  <c r="P571" i="17" s="1"/>
  <c r="N572" i="17"/>
  <c r="P572" i="17" s="1"/>
  <c r="N573" i="17"/>
  <c r="P573" i="17" s="1"/>
  <c r="N574" i="17"/>
  <c r="N575" i="17"/>
  <c r="P575" i="17" s="1"/>
  <c r="N576" i="17"/>
  <c r="P576" i="17" s="1"/>
  <c r="N577" i="17"/>
  <c r="P577" i="17" s="1"/>
  <c r="N578" i="17"/>
  <c r="P578" i="17" s="1"/>
  <c r="N579" i="17"/>
  <c r="P579" i="17" s="1"/>
  <c r="N580" i="17"/>
  <c r="P580" i="17" s="1"/>
  <c r="N581" i="17"/>
  <c r="P581" i="17" s="1"/>
  <c r="N582" i="17"/>
  <c r="P582" i="17" s="1"/>
  <c r="N583" i="17"/>
  <c r="P583" i="17" s="1"/>
  <c r="N584" i="17"/>
  <c r="P584" i="17" s="1"/>
  <c r="N585" i="17"/>
  <c r="P585" i="17" s="1"/>
  <c r="N586" i="17"/>
  <c r="P586" i="17" s="1"/>
  <c r="N587" i="17"/>
  <c r="P587" i="17" s="1"/>
  <c r="N588" i="17"/>
  <c r="P588" i="17" s="1"/>
  <c r="N589" i="17"/>
  <c r="P589" i="17" s="1"/>
  <c r="N590" i="17"/>
  <c r="P590" i="17" s="1"/>
  <c r="N591" i="17"/>
  <c r="P591" i="17" s="1"/>
  <c r="N592" i="17"/>
  <c r="P592" i="17" s="1"/>
  <c r="N593" i="17"/>
  <c r="P593" i="17" s="1"/>
  <c r="N594" i="17"/>
  <c r="N595" i="17"/>
  <c r="P595" i="17" s="1"/>
  <c r="N596" i="17"/>
  <c r="P596" i="17" s="1"/>
  <c r="N597" i="17"/>
  <c r="P597" i="17" s="1"/>
  <c r="N598" i="17"/>
  <c r="P598" i="17" s="1"/>
  <c r="N599" i="17"/>
  <c r="N600" i="17"/>
  <c r="P600" i="17" s="1"/>
  <c r="N601" i="17"/>
  <c r="P601" i="17" s="1"/>
  <c r="N602" i="17"/>
  <c r="P602" i="17" s="1"/>
  <c r="N603" i="17"/>
  <c r="P603" i="17" s="1"/>
  <c r="N604" i="17"/>
  <c r="P604" i="17" s="1"/>
  <c r="N605" i="17"/>
  <c r="P605" i="17" s="1"/>
  <c r="N606" i="17"/>
  <c r="P606" i="17" s="1"/>
  <c r="N607" i="17"/>
  <c r="P607" i="17" s="1"/>
  <c r="N608" i="17"/>
  <c r="P608" i="17" s="1"/>
  <c r="N609" i="17"/>
  <c r="P609" i="17" s="1"/>
  <c r="N610" i="17"/>
  <c r="P610" i="17" s="1"/>
  <c r="N611" i="17"/>
  <c r="P611" i="17" s="1"/>
  <c r="N612" i="17"/>
  <c r="P612" i="17" s="1"/>
  <c r="N613" i="17"/>
  <c r="P613" i="17" s="1"/>
  <c r="N614" i="17"/>
  <c r="P614" i="17" s="1"/>
  <c r="N615" i="17"/>
  <c r="P615" i="17" s="1"/>
  <c r="N616" i="17"/>
  <c r="P616" i="17" s="1"/>
  <c r="N617" i="17"/>
  <c r="P617" i="17" s="1"/>
  <c r="N618" i="17"/>
  <c r="P618" i="17" s="1"/>
  <c r="N619" i="17"/>
  <c r="P619" i="17" s="1"/>
  <c r="N620" i="17"/>
  <c r="P620" i="17" s="1"/>
  <c r="N621" i="17"/>
  <c r="P621" i="17" s="1"/>
  <c r="N622" i="17"/>
  <c r="N623" i="17"/>
  <c r="P623" i="17" s="1"/>
  <c r="N624" i="17"/>
  <c r="N625" i="17"/>
  <c r="P625" i="17" s="1"/>
  <c r="N626" i="17"/>
  <c r="P626" i="17" s="1"/>
  <c r="N627" i="17"/>
  <c r="P627" i="17" s="1"/>
  <c r="N628" i="17"/>
  <c r="P628" i="17" s="1"/>
  <c r="N629" i="17"/>
  <c r="P629" i="17" s="1"/>
  <c r="N630" i="17"/>
  <c r="P630" i="17" s="1"/>
  <c r="N631" i="17"/>
  <c r="P631" i="17" s="1"/>
  <c r="N632" i="17"/>
  <c r="P632" i="17" s="1"/>
  <c r="N633" i="17"/>
  <c r="P633" i="17" s="1"/>
  <c r="N634" i="17"/>
  <c r="P634" i="17" s="1"/>
  <c r="N635" i="17"/>
  <c r="P635" i="17" s="1"/>
  <c r="N636" i="17"/>
  <c r="P636" i="17" s="1"/>
  <c r="N637" i="17"/>
  <c r="P637" i="17" s="1"/>
  <c r="N638" i="17"/>
  <c r="P638" i="17" s="1"/>
  <c r="N639" i="17"/>
  <c r="P639" i="17" s="1"/>
  <c r="N640" i="17"/>
  <c r="P640" i="17" s="1"/>
  <c r="N641" i="17"/>
  <c r="P641" i="17" s="1"/>
  <c r="N642" i="17"/>
  <c r="P642" i="17" s="1"/>
  <c r="N643" i="17"/>
  <c r="P643" i="17" s="1"/>
  <c r="N644" i="17"/>
  <c r="P644" i="17" s="1"/>
  <c r="N645" i="17"/>
  <c r="P645" i="17" s="1"/>
  <c r="N646" i="17"/>
  <c r="P646" i="17" s="1"/>
  <c r="N647" i="17"/>
  <c r="P647" i="17" s="1"/>
  <c r="N648" i="17"/>
  <c r="P648" i="17" s="1"/>
  <c r="N649" i="17"/>
  <c r="P649" i="17" s="1"/>
  <c r="N650" i="17"/>
  <c r="P650" i="17" s="1"/>
  <c r="N651" i="17"/>
  <c r="P651" i="17" s="1"/>
  <c r="N652" i="17"/>
  <c r="P652" i="17" s="1"/>
  <c r="N653" i="17"/>
  <c r="P653" i="17" s="1"/>
  <c r="N654" i="17"/>
  <c r="P654" i="17" s="1"/>
  <c r="N655" i="17"/>
  <c r="P655" i="17" s="1"/>
  <c r="N656" i="17"/>
  <c r="P656" i="17" s="1"/>
  <c r="N657" i="17"/>
  <c r="P657" i="17" s="1"/>
  <c r="N658" i="17"/>
  <c r="P658" i="17" s="1"/>
  <c r="N659" i="17"/>
  <c r="P659" i="17" s="1"/>
  <c r="N660" i="17"/>
  <c r="P660" i="17" s="1"/>
  <c r="N661" i="17"/>
  <c r="P661" i="17" s="1"/>
  <c r="N662" i="17"/>
  <c r="P662" i="17" s="1"/>
  <c r="N663" i="17"/>
  <c r="P663" i="17" s="1"/>
  <c r="N664" i="17"/>
  <c r="P664" i="17" s="1"/>
  <c r="N665" i="17"/>
  <c r="P665" i="17" s="1"/>
  <c r="N666" i="17"/>
  <c r="P666" i="17" s="1"/>
  <c r="N667" i="17"/>
  <c r="P667" i="17" s="1"/>
  <c r="N668" i="17"/>
  <c r="P668" i="17" s="1"/>
  <c r="N669" i="17"/>
  <c r="P669" i="17" s="1"/>
  <c r="N670" i="17"/>
  <c r="P670" i="17" s="1"/>
  <c r="N671" i="17"/>
  <c r="P671" i="17" s="1"/>
  <c r="N672" i="17"/>
  <c r="N673" i="17"/>
  <c r="P673" i="17" s="1"/>
  <c r="N674" i="17"/>
  <c r="N675" i="17"/>
  <c r="P675" i="17" s="1"/>
  <c r="N676" i="17"/>
  <c r="P676" i="17" s="1"/>
  <c r="N677" i="17"/>
  <c r="P677" i="17" s="1"/>
  <c r="N678" i="17"/>
  <c r="P678" i="17" s="1"/>
  <c r="N679" i="17"/>
  <c r="P679" i="17" s="1"/>
  <c r="N680" i="17"/>
  <c r="P680" i="17" s="1"/>
  <c r="N681" i="17"/>
  <c r="P681" i="17" s="1"/>
  <c r="N682" i="17"/>
  <c r="P682" i="17" s="1"/>
  <c r="N683" i="17"/>
  <c r="P683" i="17" s="1"/>
  <c r="N684" i="17"/>
  <c r="P684" i="17" s="1"/>
  <c r="N685" i="17"/>
  <c r="P685" i="17" s="1"/>
  <c r="N686" i="17"/>
  <c r="P686" i="17" s="1"/>
  <c r="N687" i="17"/>
  <c r="P687" i="17" s="1"/>
  <c r="N688" i="17"/>
  <c r="P688" i="17" s="1"/>
  <c r="N689" i="17"/>
  <c r="P689" i="17" s="1"/>
  <c r="N690" i="17"/>
  <c r="P690" i="17" s="1"/>
  <c r="N691" i="17"/>
  <c r="N692" i="17"/>
  <c r="P692" i="17" s="1"/>
  <c r="N693" i="17"/>
  <c r="N694" i="17"/>
  <c r="P694" i="17" s="1"/>
  <c r="N695" i="17"/>
  <c r="P695" i="17" s="1"/>
  <c r="N696" i="17"/>
  <c r="P696" i="17" s="1"/>
  <c r="N697" i="17"/>
  <c r="P697" i="17" s="1"/>
  <c r="N698" i="17"/>
  <c r="P698" i="17" s="1"/>
  <c r="N699" i="17"/>
  <c r="P699" i="17" s="1"/>
  <c r="N700" i="17"/>
  <c r="P700" i="17" s="1"/>
  <c r="N701" i="17"/>
  <c r="P701" i="17" s="1"/>
  <c r="N702" i="17"/>
  <c r="P702" i="17" s="1"/>
  <c r="N703" i="17"/>
  <c r="P703" i="17" s="1"/>
  <c r="N704" i="17"/>
  <c r="P704" i="17" s="1"/>
  <c r="N705" i="17"/>
  <c r="P705" i="17" s="1"/>
  <c r="N706" i="17"/>
  <c r="P706" i="17" s="1"/>
  <c r="N707" i="17"/>
  <c r="N708" i="17"/>
  <c r="P708" i="17" s="1"/>
  <c r="N709" i="17"/>
  <c r="N710" i="17"/>
  <c r="P710" i="17" s="1"/>
  <c r="N711" i="17"/>
  <c r="P711" i="17" s="1"/>
  <c r="N712" i="17"/>
  <c r="P712" i="17" s="1"/>
  <c r="N713" i="17"/>
  <c r="P713" i="17" s="1"/>
  <c r="N714" i="17"/>
  <c r="P714" i="17" s="1"/>
  <c r="N715" i="17"/>
  <c r="P715" i="17" s="1"/>
  <c r="N716" i="17"/>
  <c r="P716" i="17" s="1"/>
  <c r="N717" i="17"/>
  <c r="P717" i="17" s="1"/>
  <c r="N718" i="17"/>
  <c r="P718" i="17" s="1"/>
  <c r="N719" i="17"/>
  <c r="P719" i="17" s="1"/>
  <c r="N720" i="17"/>
  <c r="P720" i="17" s="1"/>
  <c r="N721" i="17"/>
  <c r="P721" i="17" s="1"/>
  <c r="N722" i="17"/>
  <c r="P722" i="17" s="1"/>
  <c r="N723" i="17"/>
  <c r="N724" i="17"/>
  <c r="P724" i="17" s="1"/>
  <c r="N725" i="17"/>
  <c r="N726" i="17"/>
  <c r="P726" i="17" s="1"/>
  <c r="N727" i="17"/>
  <c r="P727" i="17" s="1"/>
  <c r="N728" i="17"/>
  <c r="P728" i="17" s="1"/>
  <c r="N729" i="17"/>
  <c r="P729" i="17" s="1"/>
  <c r="N730" i="17"/>
  <c r="P730" i="17" s="1"/>
  <c r="N731" i="17"/>
  <c r="P731" i="17" s="1"/>
  <c r="N732" i="17"/>
  <c r="P732" i="17" s="1"/>
  <c r="N733" i="17"/>
  <c r="P733" i="17" s="1"/>
  <c r="N734" i="17"/>
  <c r="P734" i="17" s="1"/>
  <c r="N735" i="17"/>
  <c r="P735" i="17" s="1"/>
  <c r="N736" i="17"/>
  <c r="P736" i="17" s="1"/>
  <c r="N737" i="17"/>
  <c r="P737" i="17" s="1"/>
  <c r="N738" i="17"/>
  <c r="P738" i="17" s="1"/>
  <c r="N739" i="17"/>
  <c r="N740" i="17"/>
  <c r="P740" i="17" s="1"/>
  <c r="N741" i="17"/>
  <c r="N742" i="17"/>
  <c r="P742" i="17" s="1"/>
  <c r="N743" i="17"/>
  <c r="P743" i="17" s="1"/>
  <c r="N744" i="17"/>
  <c r="P744" i="17" s="1"/>
  <c r="N745" i="17"/>
  <c r="P745" i="17" s="1"/>
  <c r="N746" i="17"/>
  <c r="P746" i="17" s="1"/>
  <c r="N747" i="17"/>
  <c r="P747" i="17" s="1"/>
  <c r="N748" i="17"/>
  <c r="P748" i="17" s="1"/>
  <c r="N749" i="17"/>
  <c r="P749" i="17" s="1"/>
  <c r="N750" i="17"/>
  <c r="P750" i="17" s="1"/>
  <c r="N751" i="17"/>
  <c r="P751" i="17" s="1"/>
  <c r="N752" i="17"/>
  <c r="P752" i="17" s="1"/>
  <c r="N753" i="17"/>
  <c r="P753" i="17" s="1"/>
  <c r="N754" i="17"/>
  <c r="P754" i="17" s="1"/>
  <c r="N755" i="17"/>
  <c r="N756" i="17"/>
  <c r="P756" i="17" s="1"/>
  <c r="N757" i="17"/>
  <c r="N758" i="17"/>
  <c r="P758" i="17" s="1"/>
  <c r="N759" i="17"/>
  <c r="P759" i="17" s="1"/>
  <c r="N760" i="17"/>
  <c r="P760" i="17" s="1"/>
  <c r="N761" i="17"/>
  <c r="P761" i="17" s="1"/>
  <c r="N762" i="17"/>
  <c r="P762" i="17" s="1"/>
  <c r="N763" i="17"/>
  <c r="P763" i="17" s="1"/>
  <c r="N764" i="17"/>
  <c r="P764" i="17" s="1"/>
  <c r="N765" i="17"/>
  <c r="P765" i="17" s="1"/>
  <c r="N766" i="17"/>
  <c r="P766" i="17" s="1"/>
  <c r="N767" i="17"/>
  <c r="P767" i="17" s="1"/>
  <c r="N768" i="17"/>
  <c r="P768" i="17" s="1"/>
  <c r="N769" i="17"/>
  <c r="P769" i="17" s="1"/>
  <c r="N770" i="17"/>
  <c r="P770" i="17" s="1"/>
  <c r="N771" i="17"/>
  <c r="N772" i="17"/>
  <c r="P772" i="17" s="1"/>
  <c r="N773" i="17"/>
  <c r="N774" i="17"/>
  <c r="P774" i="17" s="1"/>
  <c r="N775" i="17"/>
  <c r="P775" i="17" s="1"/>
  <c r="N776" i="17"/>
  <c r="P776" i="17" s="1"/>
  <c r="N777" i="17"/>
  <c r="P777" i="17" s="1"/>
  <c r="N778" i="17"/>
  <c r="P778" i="17" s="1"/>
  <c r="N779" i="17"/>
  <c r="P779" i="17" s="1"/>
  <c r="N780" i="17"/>
  <c r="P780" i="17" s="1"/>
  <c r="N781" i="17"/>
  <c r="P781" i="17" s="1"/>
  <c r="N782" i="17"/>
  <c r="P782" i="17" s="1"/>
  <c r="N783" i="17"/>
  <c r="P783" i="17" s="1"/>
  <c r="N784" i="17"/>
  <c r="P784" i="17" s="1"/>
  <c r="N785" i="17"/>
  <c r="P785" i="17" s="1"/>
  <c r="N786" i="17"/>
  <c r="P786" i="17" s="1"/>
  <c r="N787" i="17"/>
  <c r="N788" i="17"/>
  <c r="P788" i="17" s="1"/>
  <c r="N789" i="17"/>
  <c r="N790" i="17"/>
  <c r="P790" i="17" s="1"/>
  <c r="N791" i="17"/>
  <c r="P791" i="17" s="1"/>
  <c r="N792" i="17"/>
  <c r="P792" i="17" s="1"/>
  <c r="N793" i="17"/>
  <c r="P793" i="17" s="1"/>
  <c r="N794" i="17"/>
  <c r="P794" i="17" s="1"/>
  <c r="N795" i="17"/>
  <c r="P795" i="17" s="1"/>
  <c r="N796" i="17"/>
  <c r="P796" i="17" s="1"/>
  <c r="N797" i="17"/>
  <c r="P797" i="17" s="1"/>
  <c r="N798" i="17"/>
  <c r="P798" i="17" s="1"/>
  <c r="N799" i="17"/>
  <c r="P799" i="17" s="1"/>
  <c r="N800" i="17"/>
  <c r="P800" i="17" s="1"/>
  <c r="N801" i="17"/>
  <c r="P801" i="17" s="1"/>
  <c r="N802" i="17"/>
  <c r="P802" i="17" s="1"/>
  <c r="N803" i="17"/>
  <c r="N804" i="17"/>
  <c r="P804" i="17" s="1"/>
  <c r="N805" i="17"/>
  <c r="N806" i="17"/>
  <c r="P806" i="17" s="1"/>
  <c r="N807" i="17"/>
  <c r="P807" i="17" s="1"/>
  <c r="N808" i="17"/>
  <c r="P808" i="17" s="1"/>
  <c r="N809" i="17"/>
  <c r="P809" i="17" s="1"/>
  <c r="N810" i="17"/>
  <c r="P810" i="17" s="1"/>
  <c r="N811" i="17"/>
  <c r="P811" i="17" s="1"/>
  <c r="N812" i="17"/>
  <c r="P812" i="17" s="1"/>
  <c r="N813" i="17"/>
  <c r="P813" i="17" s="1"/>
  <c r="N814" i="17"/>
  <c r="P814" i="17" s="1"/>
  <c r="N815" i="17"/>
  <c r="P815" i="17" s="1"/>
  <c r="N816" i="17"/>
  <c r="P816" i="17" s="1"/>
  <c r="N817" i="17"/>
  <c r="P817" i="17" s="1"/>
  <c r="N818" i="17"/>
  <c r="P818" i="17" s="1"/>
  <c r="N819" i="17"/>
  <c r="N820" i="17"/>
  <c r="P820" i="17" s="1"/>
  <c r="N821" i="17"/>
  <c r="N822" i="17"/>
  <c r="P822" i="17" s="1"/>
  <c r="N823" i="17"/>
  <c r="P823" i="17" s="1"/>
  <c r="N824" i="17"/>
  <c r="P824" i="17" s="1"/>
  <c r="N825" i="17"/>
  <c r="P825" i="17" s="1"/>
  <c r="N826" i="17"/>
  <c r="P826" i="17" s="1"/>
  <c r="N827" i="17"/>
  <c r="P827" i="17" s="1"/>
  <c r="N828" i="17"/>
  <c r="P828" i="17" s="1"/>
  <c r="N829" i="17"/>
  <c r="P829" i="17" s="1"/>
  <c r="N830" i="17"/>
  <c r="P830" i="17" s="1"/>
  <c r="N831" i="17"/>
  <c r="P831" i="17" s="1"/>
  <c r="N832" i="17"/>
  <c r="P832" i="17" s="1"/>
  <c r="N833" i="17"/>
  <c r="P833" i="17" s="1"/>
  <c r="N834" i="17"/>
  <c r="P834" i="17" s="1"/>
  <c r="N835" i="17"/>
  <c r="N836" i="17"/>
  <c r="P836" i="17" s="1"/>
  <c r="N837" i="17"/>
  <c r="N838" i="17"/>
  <c r="P838" i="17" s="1"/>
  <c r="N839" i="17"/>
  <c r="P839" i="17" s="1"/>
  <c r="N840" i="17"/>
  <c r="P840" i="17" s="1"/>
  <c r="N841" i="17"/>
  <c r="P841" i="17" s="1"/>
  <c r="N842" i="17"/>
  <c r="P842" i="17" s="1"/>
  <c r="N843" i="17"/>
  <c r="P843" i="17" s="1"/>
  <c r="N844" i="17"/>
  <c r="P844" i="17" s="1"/>
  <c r="N845" i="17"/>
  <c r="P845" i="17" s="1"/>
  <c r="N846" i="17"/>
  <c r="P846" i="17" s="1"/>
  <c r="N847" i="17"/>
  <c r="P847" i="17" s="1"/>
  <c r="N848" i="17"/>
  <c r="P848" i="17" s="1"/>
  <c r="N849" i="17"/>
  <c r="P849" i="17" s="1"/>
  <c r="N850" i="17"/>
  <c r="P850" i="17" s="1"/>
  <c r="N851" i="17"/>
  <c r="N852" i="17"/>
  <c r="P852" i="17" s="1"/>
  <c r="N853" i="17"/>
  <c r="N854" i="17"/>
  <c r="P854" i="17" s="1"/>
  <c r="N855" i="17"/>
  <c r="P855" i="17" s="1"/>
  <c r="N856" i="17"/>
  <c r="P856" i="17" s="1"/>
  <c r="N857" i="17"/>
  <c r="P857" i="17" s="1"/>
  <c r="N858" i="17"/>
  <c r="P858" i="17" s="1"/>
  <c r="N859" i="17"/>
  <c r="P859" i="17" s="1"/>
  <c r="N860" i="17"/>
  <c r="P860" i="17" s="1"/>
  <c r="N861" i="17"/>
  <c r="P861" i="17" s="1"/>
  <c r="N862" i="17"/>
  <c r="P862" i="17" s="1"/>
  <c r="N863" i="17"/>
  <c r="P863" i="17" s="1"/>
  <c r="N864" i="17"/>
  <c r="P864" i="17" s="1"/>
  <c r="N865" i="17"/>
  <c r="P865" i="17" s="1"/>
  <c r="N866" i="17"/>
  <c r="P866" i="17" s="1"/>
  <c r="N867" i="17"/>
  <c r="N868" i="17"/>
  <c r="P868" i="17" s="1"/>
  <c r="N869" i="17"/>
  <c r="N870" i="17"/>
  <c r="P870" i="17" s="1"/>
  <c r="N871" i="17"/>
  <c r="P871" i="17" s="1"/>
  <c r="N872" i="17"/>
  <c r="P872" i="17" s="1"/>
  <c r="N873" i="17"/>
  <c r="P873" i="17" s="1"/>
  <c r="N874" i="17"/>
  <c r="P874" i="17" s="1"/>
  <c r="N875" i="17"/>
  <c r="P875" i="17" s="1"/>
  <c r="N876" i="17"/>
  <c r="P876" i="17" s="1"/>
  <c r="N877" i="17"/>
  <c r="P877" i="17" s="1"/>
  <c r="N878" i="17"/>
  <c r="P878" i="17" s="1"/>
  <c r="N879" i="17"/>
  <c r="P879" i="17" s="1"/>
  <c r="N880" i="17"/>
  <c r="P880" i="17" s="1"/>
  <c r="N881" i="17"/>
  <c r="P881" i="17" s="1"/>
  <c r="N882" i="17"/>
  <c r="P882" i="17" s="1"/>
  <c r="N883" i="17"/>
  <c r="N884" i="17"/>
  <c r="P884" i="17" s="1"/>
  <c r="N885" i="17"/>
  <c r="N886" i="17"/>
  <c r="P886" i="17" s="1"/>
  <c r="N887" i="17"/>
  <c r="P887" i="17" s="1"/>
  <c r="N888" i="17"/>
  <c r="P888" i="17" s="1"/>
  <c r="N889" i="17"/>
  <c r="P889" i="17" s="1"/>
  <c r="N890" i="17"/>
  <c r="P890" i="17" s="1"/>
  <c r="N891" i="17"/>
  <c r="P891" i="17" s="1"/>
  <c r="N892" i="17"/>
  <c r="P892" i="17" s="1"/>
  <c r="N893" i="17"/>
  <c r="P893" i="17" s="1"/>
  <c r="N894" i="17"/>
  <c r="P894" i="17" s="1"/>
  <c r="N895" i="17"/>
  <c r="P895" i="17" s="1"/>
  <c r="N896" i="17"/>
  <c r="P896" i="17" s="1"/>
  <c r="N897" i="17"/>
  <c r="P897" i="17" s="1"/>
  <c r="N898" i="17"/>
  <c r="P898" i="17" s="1"/>
  <c r="N899" i="17"/>
  <c r="N900" i="17"/>
  <c r="P900" i="17" s="1"/>
  <c r="N901" i="17"/>
  <c r="N902" i="17"/>
  <c r="P902" i="17" s="1"/>
  <c r="N903" i="17"/>
  <c r="P903" i="17" s="1"/>
  <c r="N904" i="17"/>
  <c r="P904" i="17" s="1"/>
  <c r="N905" i="17"/>
  <c r="P905" i="17" s="1"/>
  <c r="N906" i="17"/>
  <c r="P906" i="17" s="1"/>
  <c r="N907" i="17"/>
  <c r="P907" i="17" s="1"/>
  <c r="N908" i="17"/>
  <c r="P908" i="17" s="1"/>
  <c r="N909" i="17"/>
  <c r="P909" i="17" s="1"/>
  <c r="N910" i="17"/>
  <c r="P910" i="17" s="1"/>
  <c r="N911" i="17"/>
  <c r="P911" i="17" s="1"/>
  <c r="N912" i="17"/>
  <c r="P912" i="17" s="1"/>
  <c r="N913" i="17"/>
  <c r="P913" i="17" s="1"/>
  <c r="N914" i="17"/>
  <c r="P914" i="17" s="1"/>
  <c r="N915" i="17"/>
  <c r="N916" i="17"/>
  <c r="P916" i="17" s="1"/>
  <c r="N917" i="17"/>
  <c r="N918" i="17"/>
  <c r="P918" i="17" s="1"/>
  <c r="N919" i="17"/>
  <c r="P919" i="17" s="1"/>
  <c r="N920" i="17"/>
  <c r="P920" i="17" s="1"/>
  <c r="N921" i="17"/>
  <c r="P921" i="17" s="1"/>
  <c r="N922" i="17"/>
  <c r="P922" i="17" s="1"/>
  <c r="N923" i="17"/>
  <c r="P923" i="17" s="1"/>
  <c r="N924" i="17"/>
  <c r="P924" i="17" s="1"/>
  <c r="N925" i="17"/>
  <c r="P925" i="17" s="1"/>
  <c r="N926" i="17"/>
  <c r="P926" i="17" s="1"/>
  <c r="N927" i="17"/>
  <c r="P927" i="17" s="1"/>
  <c r="N928" i="17"/>
  <c r="P928" i="17" s="1"/>
  <c r="N929" i="17"/>
  <c r="P929" i="17" s="1"/>
  <c r="N930" i="17"/>
  <c r="P930" i="17" s="1"/>
  <c r="N931" i="17"/>
  <c r="N932" i="17"/>
  <c r="P932" i="17" s="1"/>
  <c r="N933" i="17"/>
  <c r="N934" i="17"/>
  <c r="P934" i="17" s="1"/>
  <c r="N935" i="17"/>
  <c r="P935" i="17" s="1"/>
  <c r="N936" i="17"/>
  <c r="P936" i="17" s="1"/>
  <c r="N937" i="17"/>
  <c r="P937" i="17" s="1"/>
  <c r="N938" i="17"/>
  <c r="P938" i="17" s="1"/>
  <c r="N939" i="17"/>
  <c r="P939" i="17" s="1"/>
  <c r="N940" i="17"/>
  <c r="P940" i="17" s="1"/>
  <c r="N941" i="17"/>
  <c r="P941" i="17" s="1"/>
  <c r="N942" i="17"/>
  <c r="P942" i="17" s="1"/>
  <c r="N943" i="17"/>
  <c r="P943" i="17" s="1"/>
  <c r="N944" i="17"/>
  <c r="P944" i="17" s="1"/>
  <c r="N945" i="17"/>
  <c r="P945" i="17" s="1"/>
  <c r="N946" i="17"/>
  <c r="P946" i="17" s="1"/>
  <c r="N947" i="17"/>
  <c r="N948" i="17"/>
  <c r="P948" i="17" s="1"/>
  <c r="N949" i="17"/>
  <c r="N950" i="17"/>
  <c r="P950" i="17" s="1"/>
  <c r="N951" i="17"/>
  <c r="P951" i="17" s="1"/>
  <c r="N952" i="17"/>
  <c r="P952" i="17" s="1"/>
  <c r="N953" i="17"/>
  <c r="P953" i="17" s="1"/>
  <c r="N954" i="17"/>
  <c r="P954" i="17" s="1"/>
  <c r="N955" i="17"/>
  <c r="P955" i="17" s="1"/>
  <c r="N956" i="17"/>
  <c r="P956" i="17" s="1"/>
  <c r="N957" i="17"/>
  <c r="P957" i="17" s="1"/>
  <c r="N958" i="17"/>
  <c r="P958" i="17" s="1"/>
  <c r="N959" i="17"/>
  <c r="P959" i="17" s="1"/>
  <c r="N960" i="17"/>
  <c r="P960" i="17" s="1"/>
  <c r="N961" i="17"/>
  <c r="P961" i="17" s="1"/>
  <c r="N962" i="17"/>
  <c r="P962" i="17" s="1"/>
  <c r="N963" i="17"/>
  <c r="P963" i="17" s="1"/>
  <c r="N964" i="17"/>
  <c r="P964" i="17" s="1"/>
  <c r="N965" i="17"/>
  <c r="P965" i="17" s="1"/>
  <c r="N966" i="17"/>
  <c r="P966" i="17" s="1"/>
  <c r="N967" i="17"/>
  <c r="P967" i="17" s="1"/>
  <c r="N968" i="17"/>
  <c r="P968" i="17" s="1"/>
  <c r="N969" i="17"/>
  <c r="P969" i="17" s="1"/>
  <c r="N970" i="17"/>
  <c r="P970" i="17" s="1"/>
  <c r="N971" i="17"/>
  <c r="N972" i="17"/>
  <c r="P972" i="17" s="1"/>
  <c r="N973" i="17"/>
  <c r="P973" i="17" s="1"/>
  <c r="N974" i="17"/>
  <c r="P974" i="17" s="1"/>
  <c r="N975" i="17"/>
  <c r="P975" i="17" s="1"/>
  <c r="N976" i="17"/>
  <c r="P976" i="17" s="1"/>
  <c r="N977" i="17"/>
  <c r="P977" i="17" s="1"/>
  <c r="N978" i="17"/>
  <c r="P978" i="17" s="1"/>
  <c r="N979" i="17"/>
  <c r="N980" i="17"/>
  <c r="P980" i="17" s="1"/>
  <c r="N981" i="17"/>
  <c r="N982" i="17"/>
  <c r="P982" i="17" s="1"/>
  <c r="N983" i="17"/>
  <c r="P983" i="17" s="1"/>
  <c r="N984" i="17"/>
  <c r="P984" i="17" s="1"/>
  <c r="N985" i="17"/>
  <c r="P985" i="17" s="1"/>
  <c r="N986" i="17"/>
  <c r="P986" i="17" s="1"/>
  <c r="N987" i="17"/>
  <c r="P987" i="17" s="1"/>
  <c r="N988" i="17"/>
  <c r="P988" i="17" s="1"/>
  <c r="N989" i="17"/>
  <c r="P989" i="17" s="1"/>
  <c r="N990" i="17"/>
  <c r="P990" i="17" s="1"/>
  <c r="N991" i="17"/>
  <c r="P991" i="17" s="1"/>
  <c r="N992" i="17"/>
  <c r="P992" i="17" s="1"/>
  <c r="N993" i="17"/>
  <c r="P993" i="17" s="1"/>
  <c r="N994" i="17"/>
  <c r="P994" i="17" s="1"/>
  <c r="N995" i="17"/>
  <c r="P995" i="17" s="1"/>
  <c r="N996" i="17"/>
  <c r="P996" i="17" s="1"/>
  <c r="N997" i="17"/>
  <c r="P997" i="17" s="1"/>
  <c r="N998" i="17"/>
  <c r="P998" i="17" s="1"/>
  <c r="N999" i="17"/>
  <c r="P999" i="17" s="1"/>
  <c r="N1000" i="17"/>
  <c r="P1000" i="17" s="1"/>
  <c r="N1001" i="17"/>
  <c r="P1001" i="17" s="1"/>
  <c r="N2" i="17"/>
  <c r="P2" i="17"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2" i="2"/>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K2" i="17"/>
  <c r="L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C95" i="18"/>
  <c r="C103" i="18"/>
  <c r="C86" i="18"/>
  <c r="C96" i="18"/>
  <c r="C94" i="18"/>
  <c r="C84" i="18"/>
  <c r="C107" i="18"/>
  <c r="C85" i="18"/>
  <c r="C93" i="18"/>
  <c r="C105" i="18"/>
  <c r="C83" i="18"/>
  <c r="C106" i="18"/>
  <c r="C104" i="18"/>
  <c r="E4" i="21"/>
  <c r="E6" i="21"/>
  <c r="E7" i="21"/>
  <c r="E8" i="21"/>
  <c r="E5" i="21"/>
  <c r="R22" i="26" l="1"/>
  <c r="S22" i="26" s="1"/>
  <c r="R94" i="26"/>
  <c r="S94" i="26" s="1"/>
  <c r="R110" i="26"/>
  <c r="S110" i="26" s="1"/>
  <c r="R117" i="26"/>
  <c r="S117" i="26" s="1"/>
  <c r="R122" i="26"/>
  <c r="S122" i="26" s="1"/>
  <c r="R141" i="26"/>
  <c r="S141" i="26" s="1"/>
  <c r="R149" i="26"/>
  <c r="S149" i="26" s="1"/>
  <c r="R186" i="26"/>
  <c r="S186" i="26" s="1"/>
  <c r="R5" i="26"/>
  <c r="S5" i="26" s="1"/>
  <c r="R37" i="26"/>
  <c r="S37" i="26" s="1"/>
  <c r="R85" i="26"/>
  <c r="S85" i="26" s="1"/>
  <c r="R101" i="26"/>
  <c r="S101" i="26" s="1"/>
  <c r="R157" i="26"/>
  <c r="S157" i="26" s="1"/>
  <c r="R165" i="26"/>
  <c r="S165" i="26" s="1"/>
  <c r="R173" i="26"/>
  <c r="S173" i="26" s="1"/>
  <c r="R197" i="26"/>
  <c r="S197" i="26" s="1"/>
  <c r="R118" i="26"/>
  <c r="S118" i="26" s="1"/>
  <c r="R142" i="26"/>
  <c r="S142" i="26" s="1"/>
  <c r="R150" i="26"/>
  <c r="S150" i="26" s="1"/>
  <c r="R6" i="26"/>
  <c r="S6" i="26" s="1"/>
  <c r="R38" i="26"/>
  <c r="S38" i="26" s="1"/>
  <c r="R86" i="26"/>
  <c r="S86" i="26" s="1"/>
  <c r="R102" i="26"/>
  <c r="S102" i="26" s="1"/>
  <c r="R148" i="26"/>
  <c r="S148" i="26" s="1"/>
  <c r="R158" i="26"/>
  <c r="S158" i="26" s="1"/>
  <c r="R166" i="26"/>
  <c r="S166" i="26" s="1"/>
  <c r="R174" i="26"/>
  <c r="S174" i="26" s="1"/>
  <c r="R198" i="26"/>
  <c r="S198" i="26" s="1"/>
  <c r="R7" i="26"/>
  <c r="S7" i="26" s="1"/>
  <c r="R39" i="26"/>
  <c r="S39" i="26" s="1"/>
  <c r="R87" i="26"/>
  <c r="S87" i="26" s="1"/>
  <c r="R98" i="26"/>
  <c r="S98" i="26" s="1"/>
  <c r="R103" i="26"/>
  <c r="S103" i="26" s="1"/>
  <c r="R114" i="26"/>
  <c r="S114" i="26" s="1"/>
  <c r="R138" i="26"/>
  <c r="S138" i="26" s="1"/>
  <c r="R2" i="26"/>
  <c r="S2" i="26" s="1"/>
  <c r="R30" i="26"/>
  <c r="S30" i="26" s="1"/>
  <c r="R54" i="26"/>
  <c r="S54" i="26" s="1"/>
  <c r="R70" i="26"/>
  <c r="S70" i="26" s="1"/>
  <c r="R82" i="26"/>
  <c r="S82" i="26" s="1"/>
  <c r="R126" i="26"/>
  <c r="S126" i="26" s="1"/>
  <c r="R133" i="26"/>
  <c r="S133" i="26" s="1"/>
  <c r="R146" i="26"/>
  <c r="S146" i="26" s="1"/>
  <c r="R154" i="26"/>
  <c r="S154" i="26" s="1"/>
  <c r="R180" i="26"/>
  <c r="S180" i="26" s="1"/>
  <c r="R188" i="26"/>
  <c r="S188" i="26" s="1"/>
  <c r="R196" i="26"/>
  <c r="S196" i="26" s="1"/>
  <c r="R225" i="26"/>
  <c r="S225" i="26" s="1"/>
  <c r="R226" i="26"/>
  <c r="S226" i="26" s="1"/>
  <c r="R228" i="26"/>
  <c r="S228" i="26" s="1"/>
  <c r="R233" i="26"/>
  <c r="S233" i="26" s="1"/>
  <c r="R234" i="26"/>
  <c r="S234" i="26" s="1"/>
  <c r="R239" i="26"/>
  <c r="S239" i="26" s="1"/>
  <c r="R253" i="26"/>
  <c r="S253" i="26" s="1"/>
  <c r="R256" i="26"/>
  <c r="S256" i="26" s="1"/>
  <c r="R285" i="26"/>
  <c r="S285" i="26" s="1"/>
  <c r="R288" i="26"/>
  <c r="S288" i="26" s="1"/>
  <c r="R294" i="26"/>
  <c r="S294" i="26" s="1"/>
  <c r="R299" i="26"/>
  <c r="S299" i="26" s="1"/>
  <c r="R208" i="26"/>
  <c r="S208" i="26" s="1"/>
  <c r="R223" i="26"/>
  <c r="S223" i="26" s="1"/>
  <c r="R271" i="26"/>
  <c r="S271" i="26" s="1"/>
  <c r="R257" i="26"/>
  <c r="S257" i="26" s="1"/>
  <c r="R289" i="26"/>
  <c r="S289" i="26" s="1"/>
  <c r="R295" i="26"/>
  <c r="S295" i="26" s="1"/>
  <c r="R224" i="26"/>
  <c r="S224" i="26" s="1"/>
  <c r="R240" i="26"/>
  <c r="S240" i="26" s="1"/>
  <c r="R269" i="26"/>
  <c r="S269" i="26" s="1"/>
  <c r="R272" i="26"/>
  <c r="S272" i="26" s="1"/>
  <c r="R298" i="26"/>
  <c r="S298" i="26" s="1"/>
  <c r="R313" i="26"/>
  <c r="S313" i="26" s="1"/>
  <c r="R315" i="26"/>
  <c r="S315" i="26" s="1"/>
  <c r="R250" i="26"/>
  <c r="S250" i="26" s="1"/>
  <c r="R282" i="26"/>
  <c r="S282" i="26" s="1"/>
  <c r="R207" i="26"/>
  <c r="S207" i="26" s="1"/>
  <c r="R261" i="26"/>
  <c r="S261" i="26" s="1"/>
  <c r="R264" i="26"/>
  <c r="S264" i="26" s="1"/>
  <c r="R293" i="26"/>
  <c r="S293" i="26" s="1"/>
  <c r="R311" i="26"/>
  <c r="S311" i="26" s="1"/>
  <c r="R302" i="26"/>
  <c r="S302" i="26" s="1"/>
  <c r="R318" i="26"/>
  <c r="S318" i="26" s="1"/>
  <c r="R328" i="26"/>
  <c r="S328" i="26" s="1"/>
  <c r="R348" i="26"/>
  <c r="S348" i="26" s="1"/>
  <c r="R356" i="26"/>
  <c r="S356" i="26" s="1"/>
  <c r="R461" i="26"/>
  <c r="S461" i="26" s="1"/>
  <c r="R464" i="26"/>
  <c r="S464" i="26" s="1"/>
  <c r="R331" i="26"/>
  <c r="S331" i="26" s="1"/>
  <c r="R333" i="26"/>
  <c r="S333" i="26" s="1"/>
  <c r="R359" i="26"/>
  <c r="S359" i="26" s="1"/>
  <c r="R373" i="26"/>
  <c r="S373" i="26" s="1"/>
  <c r="R376" i="26"/>
  <c r="S376" i="26" s="1"/>
  <c r="R391" i="26"/>
  <c r="S391" i="26" s="1"/>
  <c r="R405" i="26"/>
  <c r="S405" i="26" s="1"/>
  <c r="R408" i="26"/>
  <c r="S408" i="26" s="1"/>
  <c r="R420" i="26"/>
  <c r="S420" i="26" s="1"/>
  <c r="R453" i="26"/>
  <c r="S453" i="26" s="1"/>
  <c r="R456" i="26"/>
  <c r="S456" i="26" s="1"/>
  <c r="R459" i="26"/>
  <c r="S459" i="26" s="1"/>
  <c r="R341" i="26"/>
  <c r="S341" i="26" s="1"/>
  <c r="R365" i="26"/>
  <c r="S365" i="26" s="1"/>
  <c r="R368" i="26"/>
  <c r="S368" i="26" s="1"/>
  <c r="R397" i="26"/>
  <c r="S397" i="26" s="1"/>
  <c r="R400" i="26"/>
  <c r="S400" i="26" s="1"/>
  <c r="R437" i="26"/>
  <c r="S437" i="26" s="1"/>
  <c r="R440" i="26"/>
  <c r="S440" i="26" s="1"/>
  <c r="R332" i="26"/>
  <c r="S332" i="26" s="1"/>
  <c r="R344" i="26"/>
  <c r="S344" i="26" s="1"/>
  <c r="R429" i="26"/>
  <c r="S429" i="26" s="1"/>
  <c r="R432" i="26"/>
  <c r="S432" i="26" s="1"/>
  <c r="R349" i="26"/>
  <c r="S349" i="26" s="1"/>
  <c r="R350" i="26"/>
  <c r="S350" i="26" s="1"/>
  <c r="R357" i="26"/>
  <c r="S357" i="26" s="1"/>
  <c r="R360" i="26"/>
  <c r="S360" i="26" s="1"/>
  <c r="R375" i="26"/>
  <c r="S375" i="26" s="1"/>
  <c r="R389" i="26"/>
  <c r="S389" i="26" s="1"/>
  <c r="R392" i="26"/>
  <c r="S392" i="26" s="1"/>
  <c r="R407" i="26"/>
  <c r="S407" i="26" s="1"/>
  <c r="R418" i="26"/>
  <c r="S418" i="26" s="1"/>
  <c r="R427" i="26"/>
  <c r="S427" i="26" s="1"/>
  <c r="R444" i="26"/>
  <c r="S444" i="26" s="1"/>
  <c r="R455" i="26"/>
  <c r="S455" i="26" s="1"/>
  <c r="R300" i="26"/>
  <c r="S300" i="26" s="1"/>
  <c r="R316" i="26"/>
  <c r="S316" i="26" s="1"/>
  <c r="R340" i="26"/>
  <c r="S340" i="26" s="1"/>
  <c r="R345" i="26"/>
  <c r="S345" i="26" s="1"/>
  <c r="R355" i="26"/>
  <c r="S355" i="26" s="1"/>
  <c r="R364" i="26"/>
  <c r="S364" i="26" s="1"/>
  <c r="R378" i="26"/>
  <c r="S378" i="26" s="1"/>
  <c r="R387" i="26"/>
  <c r="S387" i="26" s="1"/>
  <c r="R396" i="26"/>
  <c r="S396" i="26" s="1"/>
  <c r="R410" i="26"/>
  <c r="S410" i="26" s="1"/>
  <c r="R436" i="26"/>
  <c r="S436" i="26" s="1"/>
  <c r="R447" i="26"/>
  <c r="S447" i="26" s="1"/>
  <c r="R499" i="26"/>
  <c r="S499" i="26" s="1"/>
  <c r="R501" i="26"/>
  <c r="S501" i="26" s="1"/>
  <c r="R502" i="26"/>
  <c r="S502" i="26" s="1"/>
  <c r="R531" i="26"/>
  <c r="S531" i="26" s="1"/>
  <c r="R533" i="26"/>
  <c r="S533" i="26" s="1"/>
  <c r="R534" i="26"/>
  <c r="S534" i="26" s="1"/>
  <c r="R563" i="26"/>
  <c r="S563" i="26" s="1"/>
  <c r="R565" i="26"/>
  <c r="S565" i="26" s="1"/>
  <c r="R566" i="26"/>
  <c r="S566" i="26" s="1"/>
  <c r="R589" i="26"/>
  <c r="S589" i="26" s="1"/>
  <c r="R590" i="26"/>
  <c r="S590" i="26" s="1"/>
  <c r="R596" i="26"/>
  <c r="S596" i="26" s="1"/>
  <c r="R601" i="26"/>
  <c r="S601" i="26" s="1"/>
  <c r="R492" i="26"/>
  <c r="S492" i="26" s="1"/>
  <c r="R508" i="26"/>
  <c r="S508" i="26" s="1"/>
  <c r="R540" i="26"/>
  <c r="S540" i="26" s="1"/>
  <c r="R572" i="26"/>
  <c r="S572" i="26" s="1"/>
  <c r="R587" i="26"/>
  <c r="S587" i="26" s="1"/>
  <c r="R611" i="26"/>
  <c r="S611" i="26" s="1"/>
  <c r="R619" i="26"/>
  <c r="S619" i="26" s="1"/>
  <c r="R500" i="26"/>
  <c r="S500" i="26" s="1"/>
  <c r="R532" i="26"/>
  <c r="S532" i="26" s="1"/>
  <c r="R564" i="26"/>
  <c r="S564" i="26" s="1"/>
  <c r="R612" i="26"/>
  <c r="S612" i="26" s="1"/>
  <c r="R620" i="26"/>
  <c r="S620" i="26" s="1"/>
  <c r="R653" i="26"/>
  <c r="S653" i="26" s="1"/>
  <c r="R598" i="26"/>
  <c r="S598" i="26" s="1"/>
  <c r="R524" i="26"/>
  <c r="S524" i="26" s="1"/>
  <c r="R556" i="26"/>
  <c r="S556" i="26" s="1"/>
  <c r="R595" i="26"/>
  <c r="S595" i="26" s="1"/>
  <c r="R491" i="26"/>
  <c r="S491" i="26" s="1"/>
  <c r="R507" i="26"/>
  <c r="S507" i="26" s="1"/>
  <c r="R539" i="26"/>
  <c r="S539" i="26" s="1"/>
  <c r="R571" i="26"/>
  <c r="S571" i="26" s="1"/>
  <c r="R659" i="26"/>
  <c r="S659" i="26" s="1"/>
  <c r="R684" i="26"/>
  <c r="S684" i="26" s="1"/>
  <c r="R694" i="26"/>
  <c r="S694" i="26" s="1"/>
  <c r="R708" i="26"/>
  <c r="S708" i="26" s="1"/>
  <c r="R772" i="26"/>
  <c r="S772" i="26" s="1"/>
  <c r="R682" i="26"/>
  <c r="S682" i="26" s="1"/>
  <c r="R642" i="26"/>
  <c r="S642" i="26" s="1"/>
  <c r="R660" i="26"/>
  <c r="S660" i="26" s="1"/>
  <c r="R740" i="26"/>
  <c r="S740" i="26" s="1"/>
  <c r="R704" i="26"/>
  <c r="S704" i="26" s="1"/>
  <c r="R634" i="26"/>
  <c r="S634" i="26" s="1"/>
  <c r="R683" i="26"/>
  <c r="S683" i="26" s="1"/>
  <c r="R688" i="26"/>
  <c r="S688" i="26" s="1"/>
  <c r="R705" i="26"/>
  <c r="S705" i="26" s="1"/>
  <c r="R728" i="26"/>
  <c r="S728" i="26" s="1"/>
  <c r="R651" i="26"/>
  <c r="S651" i="26" s="1"/>
  <c r="R661" i="26"/>
  <c r="S661" i="26" s="1"/>
  <c r="R674" i="26"/>
  <c r="S674" i="26" s="1"/>
  <c r="R677" i="26"/>
  <c r="S677" i="26" s="1"/>
  <c r="R700" i="26"/>
  <c r="S700" i="26" s="1"/>
  <c r="R733" i="26"/>
  <c r="S733" i="26" s="1"/>
  <c r="R735" i="26"/>
  <c r="S735" i="26" s="1"/>
  <c r="R736" i="26"/>
  <c r="S736" i="26" s="1"/>
  <c r="R765" i="26"/>
  <c r="S765" i="26" s="1"/>
  <c r="R767" i="26"/>
  <c r="S767" i="26" s="1"/>
  <c r="R768" i="26"/>
  <c r="S768" i="26" s="1"/>
  <c r="R793" i="26"/>
  <c r="S793" i="26" s="1"/>
  <c r="R738" i="26"/>
  <c r="S738" i="26" s="1"/>
  <c r="R742" i="26"/>
  <c r="S742" i="26" s="1"/>
  <c r="R770" i="26"/>
  <c r="S770" i="26" s="1"/>
  <c r="R774" i="26"/>
  <c r="S774" i="26" s="1"/>
  <c r="R794" i="26"/>
  <c r="S794" i="26" s="1"/>
  <c r="R806" i="26"/>
  <c r="S806" i="26" s="1"/>
  <c r="R749" i="26"/>
  <c r="S749" i="26" s="1"/>
  <c r="R752" i="26"/>
  <c r="S752" i="26" s="1"/>
  <c r="R781" i="26"/>
  <c r="S781" i="26" s="1"/>
  <c r="R784" i="26"/>
  <c r="S784" i="26" s="1"/>
  <c r="R710" i="26"/>
  <c r="S710" i="26" s="1"/>
  <c r="R712" i="26"/>
  <c r="S712" i="26" s="1"/>
  <c r="R802" i="26"/>
  <c r="S802" i="26" s="1"/>
  <c r="R741" i="26"/>
  <c r="S741" i="26" s="1"/>
  <c r="R744" i="26"/>
  <c r="S744" i="26" s="1"/>
  <c r="R773" i="26"/>
  <c r="S773" i="26" s="1"/>
  <c r="R776" i="26"/>
  <c r="S776" i="26" s="1"/>
  <c r="R796" i="26"/>
  <c r="S796" i="26" s="1"/>
  <c r="R807" i="26"/>
  <c r="S807" i="26" s="1"/>
  <c r="R822" i="26"/>
  <c r="S822" i="26" s="1"/>
  <c r="R830" i="26"/>
  <c r="S830" i="26" s="1"/>
  <c r="R820" i="26"/>
  <c r="S820" i="26" s="1"/>
  <c r="R828" i="26"/>
  <c r="S828" i="26" s="1"/>
  <c r="R836" i="26"/>
  <c r="S836" i="26" s="1"/>
  <c r="R844" i="26"/>
  <c r="S844" i="26" s="1"/>
  <c r="R852" i="26"/>
  <c r="S852" i="26" s="1"/>
  <c r="R860" i="26"/>
  <c r="S860" i="26" s="1"/>
  <c r="R865" i="26"/>
  <c r="S865" i="26" s="1"/>
  <c r="R882" i="26"/>
  <c r="S882" i="26" s="1"/>
  <c r="R888" i="26"/>
  <c r="S888" i="26" s="1"/>
  <c r="R813" i="26"/>
  <c r="S813" i="26" s="1"/>
  <c r="R825" i="26"/>
  <c r="S825" i="26" s="1"/>
  <c r="R833" i="26"/>
  <c r="S833" i="26" s="1"/>
  <c r="R841" i="26"/>
  <c r="S841" i="26" s="1"/>
  <c r="R849" i="26"/>
  <c r="S849" i="26" s="1"/>
  <c r="R857" i="26"/>
  <c r="S857" i="26" s="1"/>
  <c r="R877" i="26"/>
  <c r="S877" i="26" s="1"/>
  <c r="R880" i="26"/>
  <c r="S880" i="26" s="1"/>
  <c r="R886" i="26"/>
  <c r="S886" i="26" s="1"/>
  <c r="R814" i="26"/>
  <c r="S814" i="26" s="1"/>
  <c r="R821" i="26"/>
  <c r="S821" i="26" s="1"/>
  <c r="R824" i="26"/>
  <c r="S824" i="26" s="1"/>
  <c r="R829" i="26"/>
  <c r="S829" i="26" s="1"/>
  <c r="R832" i="26"/>
  <c r="S832" i="26" s="1"/>
  <c r="R837" i="26"/>
  <c r="S837" i="26" s="1"/>
  <c r="R840" i="26"/>
  <c r="S840" i="26" s="1"/>
  <c r="R845" i="26"/>
  <c r="S845" i="26" s="1"/>
  <c r="R848" i="26"/>
  <c r="S848" i="26" s="1"/>
  <c r="R853" i="26"/>
  <c r="S853" i="26" s="1"/>
  <c r="R856" i="26"/>
  <c r="S856" i="26" s="1"/>
  <c r="R861" i="26"/>
  <c r="S861" i="26" s="1"/>
  <c r="R864" i="26"/>
  <c r="S864" i="26" s="1"/>
  <c r="R878" i="26"/>
  <c r="S878" i="26" s="1"/>
  <c r="R884" i="26"/>
  <c r="S884" i="26" s="1"/>
  <c r="R812" i="26"/>
  <c r="S812" i="26" s="1"/>
  <c r="R870" i="26"/>
  <c r="S870" i="26" s="1"/>
  <c r="R875" i="26"/>
  <c r="S875" i="26" s="1"/>
  <c r="R891" i="26"/>
  <c r="S891" i="26" s="1"/>
  <c r="R960" i="26"/>
  <c r="S960" i="26" s="1"/>
  <c r="R968" i="26"/>
  <c r="S968" i="26" s="1"/>
  <c r="R992" i="26"/>
  <c r="S992" i="26" s="1"/>
  <c r="R999" i="26"/>
  <c r="S999" i="26" s="1"/>
  <c r="R954" i="26"/>
  <c r="S954" i="26" s="1"/>
  <c r="R986" i="26"/>
  <c r="S986" i="26" s="1"/>
  <c r="R946" i="26"/>
  <c r="S946" i="26" s="1"/>
  <c r="R905" i="26"/>
  <c r="S905" i="26" s="1"/>
  <c r="R913" i="26"/>
  <c r="S913" i="26" s="1"/>
  <c r="R921" i="26"/>
  <c r="S921" i="26" s="1"/>
  <c r="R929" i="26"/>
  <c r="S929" i="26" s="1"/>
  <c r="R978" i="26"/>
  <c r="S978" i="26" s="1"/>
  <c r="R984" i="26"/>
  <c r="S984" i="26" s="1"/>
  <c r="R988" i="26"/>
  <c r="S988" i="26" s="1"/>
  <c r="R994" i="26"/>
  <c r="S994" i="26" s="1"/>
  <c r="R1001" i="26"/>
  <c r="S1001" i="26" s="1"/>
  <c r="R970" i="26"/>
  <c r="S970" i="26" s="1"/>
  <c r="R991" i="26"/>
  <c r="S991" i="26" s="1"/>
  <c r="R902" i="26"/>
  <c r="S902" i="26" s="1"/>
  <c r="R910" i="26"/>
  <c r="S910" i="26" s="1"/>
  <c r="R918" i="26"/>
  <c r="S918" i="26" s="1"/>
  <c r="R926" i="26"/>
  <c r="S926" i="26" s="1"/>
  <c r="R934" i="26"/>
  <c r="S934" i="26" s="1"/>
  <c r="R945" i="26"/>
  <c r="S945" i="26" s="1"/>
  <c r="R976" i="26"/>
  <c r="S976" i="2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DDD08C-C40C-4C85-B201-BEB58F72A44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461349E-C087-499F-860B-79F2FA031F64}" name="WorksheetConnection_Research data coffeeOrdersData (1).xlsx!Table1" type="102" refreshedVersion="8" minRefreshableVersion="5">
    <extLst>
      <ext xmlns:x15="http://schemas.microsoft.com/office/spreadsheetml/2010/11/main" uri="{DE250136-89BD-433C-8126-D09CA5730AF9}">
        <x15:connection id="Table1">
          <x15:rangePr sourceName="_xlcn.WorksheetConnection_ResearchdatacoffeeOrdersData1.xlsxTable11"/>
        </x15:connection>
      </ext>
    </extLst>
  </connection>
</connections>
</file>

<file path=xl/sharedStrings.xml><?xml version="1.0" encoding="utf-8"?>
<sst xmlns="http://schemas.openxmlformats.org/spreadsheetml/2006/main" count="16889" uniqueCount="6249">
  <si>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</si>
  <si>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</si>
  <si>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</si>
  <si>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</si>
  <si>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</si>
  <si>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</si>
  <si>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</si>
  <si>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</si>
  <si>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</si>
  <si>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</si>
  <si>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</si>
  <si>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</si>
  <si>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</si>
  <si>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</si>
  <si>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</si>
  <si>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</si>
  <si>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</si>
  <si>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</si>
  <si>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</si>
  <si>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</si>
  <si>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</si>
  <si>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</si>
  <si>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</si>
  <si>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</si>
  <si>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</si>
  <si>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</si>
  <si>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</si>
  <si>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</si>
  <si>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</si>
  <si>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</si>
  <si>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</si>
  <si>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</si>
  <si>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</si>
  <si>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</si>
  <si>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</si>
  <si>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</si>
  <si>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</si>
  <si>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</si>
  <si>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</si>
  <si>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</si>
  <si>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</si>
  <si>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</si>
  <si>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</si>
  <si>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</si>
  <si>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</si>
  <si>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</si>
  <si>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</si>
  <si>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</si>
  <si>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</si>
  <si>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</si>
  <si>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</si>
  <si>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</si>
  <si>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</si>
  <si>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</si>
  <si>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</si>
  <si>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</si>
  <si>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</si>
  <si>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</si>
  <si>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</si>
  <si>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</si>
  <si>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</si>
  <si>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</si>
  <si>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</si>
  <si>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</si>
  <si>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</si>
  <si>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</si>
  <si>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</si>
  <si>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</si>
  <si>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</si>
  <si>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</si>
  <si>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</si>
  <si>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</si>
  <si>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</si>
  <si>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</si>
  <si>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</si>
  <si>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</si>
  <si>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</si>
  <si>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</si>
  <si>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</si>
  <si>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</si>
  <si>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</si>
  <si>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</si>
  <si>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</si>
  <si>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</si>
  <si>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</si>
  <si>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</si>
  <si>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</si>
  <si>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</si>
  <si>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</si>
  <si>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</si>
  <si>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</si>
  <si>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</si>
  <si>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</si>
  <si>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</si>
  <si>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</si>
  <si>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</si>
  <si>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</si>
  <si>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</si>
  <si>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</si>
  <si>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</si>
  <si>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</si>
  <si>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</si>
  <si>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</si>
  <si>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</si>
  <si>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</si>
  <si>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</si>
  <si>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</si>
  <si>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</si>
  <si>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</si>
  <si>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</si>
  <si>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</si>
  <si>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</si>
  <si>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</si>
  <si>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</si>
  <si>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</si>
  <si>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</si>
  <si>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</si>
  <si>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</si>
  <si>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</si>
  <si>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</si>
  <si>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</si>
  <si>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</si>
  <si>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</si>
  <si>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</si>
  <si>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</si>
  <si>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</si>
  <si>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</si>
  <si>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</si>
  <si>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</si>
  <si>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</si>
  <si>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</si>
  <si>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</si>
  <si>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</si>
  <si>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</si>
  <si>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</si>
  <si>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</si>
  <si>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</si>
  <si>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</si>
  <si>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</si>
  <si>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</si>
  <si>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</si>
  <si>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</si>
  <si>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</si>
  <si>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</si>
  <si>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</si>
  <si>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</si>
  <si>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</si>
  <si>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</si>
  <si>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</si>
  <si>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</si>
  <si>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</si>
  <si>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</si>
  <si>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</si>
  <si>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</si>
  <si>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</si>
  <si>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</si>
  <si>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</si>
  <si>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</si>
  <si>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</si>
  <si>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</si>
  <si>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</si>
  <si>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</si>
  <si>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</si>
  <si>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</si>
  <si>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</si>
  <si>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</si>
  <si>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</si>
  <si>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</si>
  <si>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</si>
  <si>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</si>
  <si>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</si>
  <si>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</si>
  <si>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</si>
  <si>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</si>
  <si>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</si>
  <si>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</si>
  <si>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</si>
  <si>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</si>
  <si>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</si>
  <si>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</si>
  <si>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</si>
  <si>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</si>
  <si>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</si>
  <si>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</si>
  <si>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</si>
  <si>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</si>
  <si>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</si>
  <si>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</si>
  <si>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</si>
  <si>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</si>
  <si>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</si>
  <si>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</si>
  <si>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</si>
  <si>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</si>
  <si>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</si>
  <si>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</si>
  <si>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</si>
  <si>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</si>
  <si>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</si>
  <si>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</si>
  <si>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</si>
  <si>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</si>
  <si>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</si>
  <si>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</si>
  <si>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</si>
  <si>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</si>
  <si>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</si>
  <si>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</si>
  <si>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</si>
  <si>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</si>
  <si>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</si>
  <si>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</si>
  <si>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</si>
  <si>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</si>
  <si>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</si>
  <si>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</si>
  <si>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</si>
  <si>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</si>
  <si>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</si>
  <si>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</si>
  <si>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</si>
  <si>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</si>
  <si>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</si>
  <si>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</si>
  <si>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</si>
  <si>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</si>
  <si>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</si>
  <si>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</si>
  <si>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</si>
  <si>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</si>
  <si>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</si>
  <si>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</si>
  <si>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</si>
  <si>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</si>
  <si>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</si>
  <si>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</si>
  <si>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</si>
  <si>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</si>
  <si>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</si>
  <si>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</si>
  <si>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</si>
  <si>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</si>
  <si>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</si>
  <si>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</si>
  <si>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</si>
  <si>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</si>
  <si>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</si>
  <si>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</si>
  <si>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</si>
  <si>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</si>
  <si>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</si>
  <si>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</si>
  <si>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</si>
  <si>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</si>
  <si>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</si>
  <si>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</si>
  <si>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</si>
  <si>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</si>
  <si>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</si>
  <si>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</si>
  <si>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</si>
  <si>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</si>
  <si>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</si>
  <si>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</si>
  <si>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</si>
  <si>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</si>
  <si>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</si>
  <si>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</si>
  <si>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</si>
  <si>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</si>
  <si>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</si>
  <si>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</si>
  <si>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</si>
  <si>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</si>
  <si>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</si>
  <si>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</si>
  <si>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</si>
  <si>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</si>
  <si>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</si>
  <si>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</si>
  <si>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</si>
  <si>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</si>
  <si>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</si>
  <si>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</si>
  <si>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</si>
  <si>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</si>
  <si>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</si>
  <si>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</si>
  <si>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</si>
  <si>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</si>
  <si>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</si>
  <si>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</si>
  <si>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</si>
  <si>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</si>
  <si>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</si>
  <si>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</si>
  <si>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</si>
  <si>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</si>
  <si>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</si>
  <si>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</si>
  <si>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</si>
  <si>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</si>
  <si>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</si>
  <si>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</si>
  <si>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</si>
  <si>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</si>
  <si>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</si>
  <si>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</si>
  <si>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</si>
  <si>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</si>
  <si>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</si>
  <si>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</si>
  <si>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</si>
  <si>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</si>
  <si>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</si>
  <si>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</si>
  <si>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</si>
  <si>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</si>
  <si>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</si>
  <si>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</si>
  <si>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</si>
  <si>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</si>
  <si>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</si>
  <si>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</si>
  <si>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</si>
  <si>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</si>
  <si>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</si>
  <si>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</si>
  <si>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</si>
  <si>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</si>
  <si>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</si>
  <si>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</si>
  <si>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</si>
  <si>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</si>
  <si>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</si>
  <si>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</si>
  <si>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</si>
  <si>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</si>
  <si>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</si>
  <si>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</si>
  <si>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</si>
  <si>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</si>
  <si>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</si>
  <si>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</si>
  <si>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</si>
  <si>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</si>
  <si>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</si>
  <si>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</si>
  <si>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</si>
  <si>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</si>
  <si>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</si>
  <si>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</si>
  <si>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</si>
  <si>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</si>
  <si>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</si>
  <si>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</si>
  <si>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</si>
  <si>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</si>
  <si>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</si>
  <si>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</si>
  <si>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</si>
  <si>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</si>
  <si>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</si>
  <si>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</si>
  <si>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</si>
  <si>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</si>
  <si>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</si>
  <si>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</si>
  <si>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</si>
  <si>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</si>
  <si>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</si>
  <si>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</si>
  <si>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</si>
  <si>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</si>
  <si>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</si>
  <si>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</si>
  <si>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</si>
  <si>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</si>
  <si>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</si>
  <si>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</si>
  <si>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</si>
  <si>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</si>
  <si>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</si>
  <si>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</si>
  <si>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</si>
  <si>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</si>
  <si>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</si>
  <si>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</si>
  <si>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</si>
  <si>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</si>
  <si>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</si>
  <si>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</si>
  <si>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</si>
  <si>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</si>
  <si>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</si>
  <si>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</si>
  <si>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</si>
  <si>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</si>
  <si>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</si>
  <si>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</si>
  <si>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</si>
  <si>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</si>
  <si>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</si>
  <si>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</si>
  <si>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</si>
  <si>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</si>
  <si>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</si>
  <si>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</si>
  <si>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</si>
  <si>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</si>
  <si>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</si>
  <si>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</si>
  <si>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</si>
  <si>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</si>
  <si>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</si>
  <si>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</si>
  <si>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</si>
  <si>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</si>
  <si>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</si>
  <si>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</si>
  <si>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</si>
  <si>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</si>
  <si>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</si>
  <si>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</si>
  <si>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</si>
  <si>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</si>
  <si>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</si>
  <si>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</si>
  <si>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</si>
  <si>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</si>
  <si>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</si>
  <si>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</si>
  <si>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</si>
  <si>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</si>
  <si>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</si>
  <si>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</si>
  <si>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</si>
  <si>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</si>
  <si>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</si>
  <si>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</si>
  <si>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</si>
  <si>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</si>
  <si>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</si>
  <si>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</si>
  <si>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</si>
  <si>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</si>
  <si>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</si>
  <si>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</si>
  <si>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</si>
  <si>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</si>
  <si>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</si>
  <si>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</si>
  <si>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</si>
  <si>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</si>
  <si>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</si>
  <si>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</si>
  <si>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</si>
  <si>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</si>
  <si>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</si>
  <si>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</si>
  <si>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</si>
  <si>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</si>
  <si>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</si>
  <si>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</si>
  <si>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</si>
  <si>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</si>
  <si>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</si>
  <si>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</si>
  <si>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</si>
  <si>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</si>
  <si>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</si>
  <si>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</si>
  <si>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</si>
  <si>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</si>
  <si>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</si>
  <si>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</si>
  <si>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</si>
  <si>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</si>
  <si>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</si>
  <si>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</si>
  <si>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</si>
  <si>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</si>
  <si>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</si>
  <si>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</si>
  <si>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</si>
  <si>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</si>
  <si>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</si>
  <si>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</si>
  <si>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</si>
  <si>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</si>
  <si>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</si>
  <si>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</si>
  <si>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</si>
  <si>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</si>
  <si>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</si>
  <si>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</si>
  <si>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</si>
  <si>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</si>
  <si>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</si>
  <si>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</si>
  <si>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</si>
  <si>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</si>
  <si>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</si>
  <si>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</si>
  <si>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</si>
  <si>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</si>
  <si>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</si>
  <si>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</si>
  <si>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</si>
  <si>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</si>
  <si>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</si>
  <si>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</si>
  <si>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</si>
  <si>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</si>
  <si>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</si>
  <si>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</si>
  <si>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</si>
  <si>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</si>
  <si>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</si>
  <si>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</si>
  <si>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</si>
  <si>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</si>
  <si>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</si>
  <si>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</si>
  <si>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</si>
  <si>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</si>
  <si>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</si>
  <si>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</si>
  <si>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</si>
  <si>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</si>
  <si>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</si>
  <si>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</si>
  <si>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</si>
  <si>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</si>
  <si>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</si>
  <si>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</si>
  <si>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</si>
  <si>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</si>
  <si>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</si>
  <si>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</si>
  <si>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</si>
  <si>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</si>
  <si>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</si>
  <si>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</si>
  <si>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</si>
  <si>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</si>
  <si>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</si>
  <si>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</si>
  <si>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</si>
  <si>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</si>
  <si>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</si>
  <si>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</si>
  <si>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</si>
  <si>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</si>
  <si>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</si>
  <si>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</si>
  <si>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</si>
  <si>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</si>
  <si>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</si>
  <si>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</si>
  <si>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</si>
  <si>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</si>
  <si>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</si>
  <si>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</si>
  <si>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</si>
  <si>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</si>
  <si>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</si>
  <si>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</si>
  <si>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</si>
  <si>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</si>
  <si>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</si>
  <si>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</si>
  <si>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</si>
  <si>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</si>
  <si>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</si>
  <si>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</si>
  <si>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</si>
  <si>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</si>
  <si>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</si>
  <si>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</si>
  <si>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</si>
  <si>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</si>
  <si>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</si>
  <si>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</si>
  <si>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</si>
  <si>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</si>
  <si>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</si>
  <si>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</si>
  <si>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</si>
  <si>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</si>
  <si>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</si>
  <si>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</si>
  <si>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</si>
  <si>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</si>
  <si>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</si>
  <si>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</si>
  <si>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</si>
  <si>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</si>
  <si>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</si>
  <si>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</si>
  <si>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</si>
  <si>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</si>
  <si>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</si>
  <si>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</si>
  <si>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</si>
  <si>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</si>
  <si>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</si>
  <si>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</si>
  <si>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</si>
  <si>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</si>
  <si>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</si>
  <si>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</si>
  <si>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</si>
  <si>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</si>
  <si>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</si>
  <si>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</si>
  <si>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</si>
  <si>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</si>
  <si>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</si>
  <si>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</si>
  <si>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</si>
  <si>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</si>
  <si>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</si>
  <si>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</si>
  <si>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</si>
  <si>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</si>
  <si>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</si>
  <si>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</si>
  <si>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</si>
  <si>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</si>
  <si>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</si>
  <si>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</si>
  <si>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</si>
  <si>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</si>
  <si>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</si>
  <si>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</si>
  <si>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</si>
  <si>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</si>
  <si>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</si>
  <si>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</si>
  <si>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</si>
  <si>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</si>
  <si>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</si>
  <si>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</si>
  <si>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</si>
  <si>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</si>
  <si>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</si>
  <si>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</si>
  <si>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</si>
  <si>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</si>
  <si>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</si>
  <si>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</si>
  <si>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</si>
  <si>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</si>
  <si>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</si>
  <si>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</si>
  <si>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</si>
  <si>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</si>
  <si>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</si>
  <si>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</si>
  <si>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</si>
  <si>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</si>
  <si>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</si>
  <si>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</si>
  <si>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</si>
  <si>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</si>
  <si>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</si>
  <si>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</si>
  <si>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</si>
  <si>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</si>
  <si>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</si>
  <si>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</si>
  <si>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</si>
  <si>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</si>
  <si>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</si>
  <si>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</si>
  <si>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</si>
  <si>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</si>
  <si>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</si>
  <si>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</si>
  <si>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</si>
  <si>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</si>
  <si>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</si>
  <si>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</si>
  <si>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</si>
  <si>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</si>
  <si>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</si>
  <si>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</si>
  <si>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</si>
  <si>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</si>
  <si>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</si>
  <si>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</si>
  <si>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</si>
  <si>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</si>
  <si>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</si>
  <si>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</si>
  <si>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</si>
  <si>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</si>
  <si>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</si>
  <si>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</si>
  <si>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</si>
  <si>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</si>
  <si>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</si>
  <si>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</si>
  <si>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</si>
  <si>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</si>
  <si>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</si>
  <si>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</si>
  <si>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</si>
  <si>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</si>
  <si>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</si>
  <si>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</si>
  <si>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</si>
  <si>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</si>
  <si>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</si>
  <si>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</si>
  <si>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</si>
  <si>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</si>
  <si>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</si>
  <si>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</si>
  <si>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</si>
  <si>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</si>
  <si>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</si>
  <si>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</si>
  <si>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</si>
  <si>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</si>
  <si>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</si>
  <si>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</si>
  <si>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</si>
  <si>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</si>
  <si>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</si>
  <si>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</si>
  <si>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</si>
  <si>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</si>
  <si>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</si>
  <si>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</si>
  <si>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</si>
  <si>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</si>
  <si>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</si>
  <si>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</si>
  <si>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</si>
  <si>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</si>
  <si>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</si>
  <si>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</si>
  <si>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</si>
  <si>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</si>
  <si>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</si>
  <si>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</si>
  <si>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</si>
  <si>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</si>
  <si>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</si>
  <si>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</si>
  <si>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</si>
  <si>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</si>
  <si>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</si>
  <si>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</si>
  <si>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</si>
  <si>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</si>
  <si>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</si>
  <si>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</si>
  <si>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</si>
  <si>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</si>
  <si>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</si>
  <si>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</si>
  <si>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</si>
  <si>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</si>
  <si>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</si>
  <si>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</si>
  <si>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</si>
  <si>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</si>
  <si>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</si>
  <si>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</si>
  <si>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</si>
  <si>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</si>
  <si>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</si>
  <si>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</si>
  <si>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</si>
  <si>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</si>
  <si>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</si>
  <si>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</si>
  <si>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</si>
  <si>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</si>
  <si>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</si>
  <si>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</si>
  <si>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</si>
  <si>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</si>
  <si>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</si>
  <si>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</si>
  <si>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</si>
  <si>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</si>
  <si>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</si>
  <si>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</si>
  <si>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</si>
  <si>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</si>
  <si>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</si>
  <si>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</si>
  <si>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</si>
  <si>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</si>
  <si>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</si>
  <si>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</si>
  <si>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</si>
  <si>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</si>
  <si>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</si>
  <si>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</si>
  <si>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</si>
  <si>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</si>
  <si>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</si>
  <si>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</si>
  <si>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</si>
  <si>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</si>
  <si>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</si>
  <si>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</si>
  <si>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</si>
  <si>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</si>
  <si>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</si>
  <si>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</si>
  <si>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</si>
  <si>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</si>
  <si>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</si>
  <si>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</si>
  <si>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</si>
  <si>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</si>
  <si>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</si>
  <si>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</si>
  <si>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</si>
  <si>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</si>
  <si>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</si>
  <si>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</si>
  <si>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</si>
  <si>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</si>
  <si>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</si>
  <si>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</si>
  <si>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</si>
  <si>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</si>
  <si>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</si>
  <si>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</si>
  <si>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</si>
  <si>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</si>
  <si>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</si>
  <si>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</si>
  <si>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</si>
  <si>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</si>
  <si>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</si>
  <si>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</si>
  <si>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</si>
  <si>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</si>
  <si>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</si>
  <si>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</si>
  <si>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</si>
  <si>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</si>
  <si>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</si>
  <si>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</si>
  <si>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</si>
  <si>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</si>
  <si>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</si>
  <si>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</si>
  <si>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</si>
  <si>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</si>
  <si>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</si>
  <si>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</si>
  <si>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</si>
  <si>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</si>
  <si>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</si>
  <si>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</si>
  <si>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</si>
  <si>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</si>
  <si>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</si>
  <si>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</si>
  <si>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</si>
  <si>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</si>
  <si>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</si>
  <si>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</si>
  <si>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</si>
  <si>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</si>
  <si>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</si>
  <si>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</si>
  <si>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</si>
  <si>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</si>
  <si>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</si>
  <si>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</si>
  <si>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</si>
  <si>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</si>
  <si>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</si>
  <si>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</si>
  <si>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</si>
  <si>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</si>
  <si>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</si>
  <si>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</si>
  <si>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</si>
  <si>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</si>
  <si>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</si>
  <si>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</si>
  <si>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</si>
  <si>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</si>
  <si>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</si>
  <si>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</si>
  <si>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</si>
  <si>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</si>
  <si>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</si>
  <si>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</si>
  <si>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</si>
  <si>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</si>
  <si>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</si>
  <si>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</si>
  <si>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</si>
  <si>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</si>
  <si>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</si>
  <si>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</si>
  <si>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</si>
  <si>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</si>
  <si>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</si>
  <si>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</si>
  <si>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</si>
  <si>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</si>
  <si>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</si>
  <si>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</si>
  <si>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</si>
  <si>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</si>
  <si>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</si>
  <si>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</si>
  <si>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</si>
  <si>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</si>
  <si>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</si>
  <si>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</si>
  <si>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</si>
  <si>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</si>
  <si>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</si>
  <si>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</si>
  <si>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</si>
  <si>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</si>
  <si>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</si>
  <si>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</si>
  <si>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</si>
  <si>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</si>
  <si>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</si>
  <si>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</si>
  <si>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</si>
  <si>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</si>
  <si>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</si>
  <si>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</si>
  <si>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</si>
  <si>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</si>
  <si>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</si>
  <si>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</si>
  <si>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</si>
  <si>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</si>
  <si>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</si>
  <si>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</si>
  <si>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</si>
  <si>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</si>
  <si>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</si>
  <si>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</si>
  <si>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</si>
  <si>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</si>
  <si>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</si>
  <si>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</si>
  <si>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</si>
  <si>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</si>
  <si>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</si>
  <si>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</si>
  <si>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</si>
  <si>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</si>
  <si>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</si>
  <si>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</si>
  <si>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</si>
  <si>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</si>
  <si>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</si>
  <si>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</si>
  <si>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</si>
  <si>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</si>
  <si>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</si>
  <si>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</si>
  <si>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</si>
  <si>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</si>
  <si>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</si>
  <si>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</si>
  <si>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</si>
  <si>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</si>
  <si>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</si>
  <si>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</si>
  <si>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</si>
  <si>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</si>
  <si>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</si>
  <si>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</si>
  <si>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</si>
  <si>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</si>
  <si>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</si>
  <si>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</si>
  <si>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</si>
  <si>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</si>
  <si>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</si>
  <si>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</si>
  <si>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</si>
  <si>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</si>
  <si>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</si>
  <si>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</si>
  <si>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</si>
  <si>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</si>
  <si>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</si>
  <si>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</si>
  <si>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</si>
  <si>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</si>
  <si>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</si>
  <si>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</si>
  <si>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</si>
  <si>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</si>
  <si>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</si>
  <si>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</si>
  <si>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</si>
  <si>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</si>
  <si>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</si>
  <si>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</si>
  <si>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</si>
  <si>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</si>
  <si>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</si>
  <si>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</si>
  <si>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</si>
  <si>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</si>
  <si>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</si>
  <si>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</si>
  <si>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</si>
  <si>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</si>
  <si>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</si>
  <si>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</si>
  <si>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</si>
  <si>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</si>
  <si>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</si>
  <si>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</si>
  <si>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</si>
  <si>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</si>
  <si>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</si>
  <si>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</si>
  <si>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</si>
  <si>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</si>
  <si>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</si>
  <si>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</si>
  <si>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</si>
  <si>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</si>
  <si>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</si>
  <si>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</si>
  <si>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</si>
  <si>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</si>
  <si>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</si>
  <si>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</si>
  <si>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</si>
  <si>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</si>
  <si>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</si>
  <si>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</si>
  <si>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</si>
  <si>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</si>
  <si>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</si>
  <si>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</si>
  <si>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</si>
  <si>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</si>
  <si>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</si>
  <si>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</si>
  <si>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</si>
  <si>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</si>
  <si>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</si>
  <si>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</si>
  <si>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</si>
  <si>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</si>
  <si>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</si>
  <si>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</si>
  <si>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</si>
  <si>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</si>
  <si>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</si>
  <si>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</si>
  <si>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</si>
  <si>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</si>
  <si>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</si>
  <si>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</si>
  <si>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</si>
  <si>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</si>
  <si>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</si>
  <si>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</si>
  <si>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</si>
  <si>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</si>
  <si>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</si>
  <si>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</si>
  <si>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</si>
  <si>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</si>
  <si>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</si>
  <si>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</si>
  <si>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</si>
  <si>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</si>
  <si>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</si>
  <si>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</si>
  <si>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</si>
  <si>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</si>
  <si>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</si>
  <si>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</si>
  <si>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</si>
  <si>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</si>
  <si>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</si>
  <si>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</si>
  <si>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</si>
  <si>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</si>
  <si>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</si>
  <si>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</si>
  <si>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</si>
  <si>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</si>
  <si>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</si>
  <si>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</si>
  <si>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</si>
  <si>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</si>
  <si>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</si>
  <si>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</si>
  <si>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</si>
  <si>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</si>
  <si>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</si>
  <si>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</si>
  <si>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</si>
  <si>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</si>
  <si>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</si>
  <si>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</si>
  <si>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</si>
  <si>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</si>
  <si>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</si>
  <si>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</si>
  <si>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</si>
  <si>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</si>
  <si>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</si>
  <si>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</si>
  <si>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</si>
  <si>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</si>
  <si>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</si>
  <si>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</si>
  <si>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</si>
  <si>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</si>
  <si>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</si>
  <si>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</si>
  <si>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</si>
  <si>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</si>
  <si>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</si>
  <si>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</si>
  <si>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</si>
  <si>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</si>
  <si>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</si>
  <si>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</si>
  <si>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</si>
  <si>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</si>
  <si>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</si>
  <si>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</si>
  <si>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</si>
  <si>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</si>
  <si>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</si>
  <si>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</si>
  <si>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</si>
  <si>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</si>
  <si>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</si>
  <si>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</si>
  <si>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</si>
  <si>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</si>
  <si>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</si>
  <si>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</si>
  <si>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</si>
  <si>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</si>
  <si>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</si>
  <si>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</si>
  <si>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</si>
  <si>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</si>
  <si>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</si>
  <si>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</si>
  <si>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</si>
  <si>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</si>
  <si>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</si>
  <si>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</si>
  <si>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</si>
  <si>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</si>
  <si>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</si>
  <si>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</si>
  <si>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</si>
  <si>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</si>
  <si>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</si>
  <si>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</si>
  <si>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</si>
  <si>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</si>
  <si>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</si>
  <si>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</si>
  <si>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</si>
  <si>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</si>
  <si>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</si>
  <si>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</si>
  <si>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</si>
  <si>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</si>
  <si>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</si>
  <si>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</si>
  <si>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</si>
  <si>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</si>
  <si>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</si>
  <si>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</si>
  <si>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</si>
  <si>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</si>
  <si>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</si>
  <si>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</si>
  <si>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</si>
  <si>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</si>
  <si>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</si>
  <si>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</si>
  <si>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</si>
  <si>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</si>
  <si>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</si>
  <si>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</si>
  <si>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</si>
  <si>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</si>
  <si>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</si>
  <si>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</si>
  <si>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</si>
  <si>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</si>
  <si>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</si>
  <si>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</si>
  <si>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</si>
  <si>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</si>
  <si>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</si>
  <si>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</si>
  <si>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</si>
  <si>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</si>
  <si>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</si>
  <si>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</si>
  <si>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</si>
  <si>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</si>
  <si>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</si>
  <si>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</si>
  <si>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</si>
  <si>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</si>
  <si>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</si>
  <si>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</si>
  <si>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</si>
  <si>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</si>
  <si>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</si>
  <si>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</si>
  <si>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</si>
  <si>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</si>
  <si>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</si>
  <si>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</si>
  <si>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</si>
  <si>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</si>
  <si>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</si>
  <si>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</si>
  <si>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</si>
  <si>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</si>
  <si>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</si>
  <si>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</si>
  <si>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</si>
  <si>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</si>
  <si>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</si>
  <si>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</si>
  <si>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</si>
  <si>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</si>
  <si>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</si>
  <si>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</si>
  <si>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</si>
  <si>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</si>
  <si>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</si>
  <si>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</si>
  <si>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</si>
  <si>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</si>
  <si>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</si>
  <si>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</si>
  <si>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</si>
  <si>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</si>
  <si>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</si>
  <si>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</si>
  <si>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</si>
  <si>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</si>
  <si>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</si>
  <si>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</si>
  <si>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</si>
  <si>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</si>
  <si>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</si>
  <si>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</si>
  <si>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</si>
  <si>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</si>
  <si>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</si>
  <si>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</si>
  <si>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</si>
  <si>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</si>
  <si>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</si>
  <si>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</si>
  <si>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</si>
  <si>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</si>
  <si>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</si>
  <si>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</si>
  <si>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</si>
  <si>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</si>
  <si>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</si>
  <si>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</si>
  <si>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</si>
  <si>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</si>
  <si>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</si>
  <si>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</si>
  <si>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</si>
  <si>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</si>
  <si>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</si>
  <si>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</si>
  <si>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</si>
  <si>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</si>
  <si>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</si>
  <si>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</si>
  <si>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</si>
  <si>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</si>
  <si>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</si>
  <si>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</si>
  <si>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</si>
  <si>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</si>
  <si>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</si>
  <si>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</si>
  <si>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</si>
  <si>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</si>
  <si>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</si>
  <si>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</si>
  <si>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</si>
  <si>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</si>
  <si>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</si>
  <si>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</si>
  <si>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</si>
  <si>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</si>
  <si>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</si>
  <si>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</si>
  <si>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</si>
  <si>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</si>
  <si>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</si>
  <si>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</si>
  <si>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</si>
  <si>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</si>
  <si>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</si>
  <si>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</si>
  <si>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</si>
  <si>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</si>
  <si>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</si>
  <si>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</si>
  <si>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</si>
  <si>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</si>
  <si>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</si>
  <si>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</si>
  <si>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</si>
  <si>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</si>
  <si>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</si>
  <si>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</si>
  <si>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</si>
  <si>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</si>
  <si>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</si>
  <si>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</si>
  <si>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</si>
  <si>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</si>
  <si>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</si>
  <si>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</si>
  <si>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</si>
  <si>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</si>
  <si>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</si>
  <si>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</si>
  <si>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</si>
  <si>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</si>
  <si>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</si>
  <si>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</si>
  <si>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</si>
  <si>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</si>
  <si>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</si>
  <si>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</si>
  <si>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</si>
  <si>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</si>
  <si>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</si>
  <si>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</si>
  <si>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</si>
  <si>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</si>
  <si>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</si>
  <si>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</si>
  <si>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</si>
  <si>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</si>
  <si>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</si>
  <si>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</si>
  <si>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</si>
  <si>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</si>
  <si>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</si>
  <si>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</si>
  <si>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</si>
  <si>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</si>
  <si>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</si>
  <si>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</si>
  <si>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</si>
  <si>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</si>
  <si>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</si>
  <si>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</si>
  <si>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</si>
  <si>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</si>
  <si>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</si>
  <si>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</si>
  <si>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</si>
  <si>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</si>
  <si>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</si>
  <si>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</si>
  <si>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</si>
  <si>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</si>
  <si>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</si>
  <si>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</si>
  <si>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</si>
  <si>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</si>
  <si>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</si>
  <si>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</si>
  <si>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</si>
  <si>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</si>
  <si>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</si>
  <si>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</si>
  <si>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</si>
  <si>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</si>
  <si>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</si>
  <si>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</si>
  <si>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</si>
  <si>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</si>
  <si>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</si>
  <si>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</si>
  <si>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</si>
  <si>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</si>
  <si>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</si>
  <si>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</si>
  <si>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</si>
  <si>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</si>
  <si>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</si>
  <si>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</si>
  <si>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</si>
  <si>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</si>
  <si>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</si>
  <si>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</si>
  <si>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</si>
  <si>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</si>
  <si>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</si>
  <si>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</si>
  <si>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</si>
  <si>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</si>
  <si>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</si>
  <si>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</si>
  <si>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</si>
  <si>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</si>
  <si>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</si>
  <si>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</si>
  <si>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</si>
  <si>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</si>
  <si>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</si>
  <si>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</si>
  <si>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</si>
  <si>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</si>
  <si>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</si>
  <si>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</si>
  <si>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</si>
  <si>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</si>
  <si>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</si>
  <si>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</si>
  <si>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</si>
  <si>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</si>
  <si>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</si>
  <si>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</si>
  <si>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</si>
  <si>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</si>
  <si>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</si>
  <si>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</si>
  <si>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</si>
  <si>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</si>
  <si>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</si>
  <si>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</si>
  <si>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</si>
  <si>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</si>
  <si>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</si>
  <si>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</si>
  <si>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</si>
  <si>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</si>
  <si>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</si>
  <si>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</si>
  <si>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</si>
  <si>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</si>
  <si>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</si>
  <si>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</si>
  <si>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</si>
  <si>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</si>
  <si>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</si>
  <si>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</si>
  <si>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</si>
  <si>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</si>
  <si>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</si>
  <si>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</si>
  <si>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</si>
  <si>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</si>
  <si>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</si>
  <si>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</si>
  <si>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</si>
  <si>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</si>
  <si>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</si>
  <si>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</si>
  <si>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</si>
  <si>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</si>
  <si>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</si>
  <si>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</si>
  <si>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</si>
  <si>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</si>
  <si>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</si>
  <si>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</si>
  <si>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</si>
  <si>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</si>
  <si>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</si>
  <si>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</si>
  <si>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</si>
  <si>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</si>
  <si>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</si>
  <si>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</si>
  <si>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</si>
  <si>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</si>
  <si>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</si>
  <si>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</si>
  <si>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</si>
  <si>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</si>
  <si>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</si>
  <si>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</si>
  <si>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</si>
  <si>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</si>
  <si>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</si>
  <si>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</si>
  <si>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</si>
  <si>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</si>
  <si>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</si>
  <si>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</si>
  <si>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</si>
  <si>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</si>
  <si>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</si>
  <si>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</si>
  <si>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</si>
  <si>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</si>
  <si>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</si>
  <si>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</si>
  <si>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</si>
  <si>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</si>
  <si>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</si>
  <si>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</si>
  <si>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</si>
  <si>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</si>
  <si>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</si>
  <si>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</si>
  <si>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</si>
  <si>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</si>
  <si>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</si>
  <si>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</si>
  <si>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</si>
  <si>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</si>
  <si>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</si>
  <si>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</si>
  <si>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</si>
  <si>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</si>
  <si>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</si>
  <si>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</si>
  <si>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</si>
  <si>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</si>
  <si>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</si>
  <si>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</si>
  <si>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</si>
  <si>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</si>
  <si>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</si>
  <si>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</si>
  <si>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</si>
  <si>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</si>
  <si>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</si>
  <si>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</si>
  <si>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</si>
  <si>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</si>
  <si>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</si>
  <si>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</si>
  <si>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</si>
  <si>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</si>
  <si>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</si>
  <si>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</si>
  <si>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</si>
  <si>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</si>
  <si>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</si>
  <si>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</si>
  <si>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</si>
  <si>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</si>
  <si>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</si>
  <si>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</si>
  <si>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</si>
  <si>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</si>
  <si>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</si>
  <si>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</si>
  <si>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</si>
  <si>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</si>
  <si>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</si>
  <si>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</si>
  <si>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</si>
  <si>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</si>
  <si>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</si>
  <si>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</si>
  <si>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</si>
  <si>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</si>
  <si>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</si>
  <si>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</si>
  <si>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</si>
  <si>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</si>
  <si>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</si>
  <si>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</si>
  <si>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</si>
  <si>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</si>
  <si>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</si>
  <si>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</si>
  <si>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</si>
  <si>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</si>
  <si>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</si>
  <si>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</si>
  <si>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</si>
  <si>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</si>
  <si>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</si>
  <si>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</si>
  <si>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</si>
  <si>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</si>
  <si>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</si>
  <si>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</si>
  <si>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</si>
  <si>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</si>
  <si>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</si>
  <si>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</si>
  <si>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</si>
  <si>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</si>
  <si>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</si>
  <si>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</si>
  <si>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</si>
  <si>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</si>
  <si>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</si>
  <si>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</si>
  <si>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</si>
  <si>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</si>
  <si>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</si>
  <si>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</si>
  <si>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</si>
  <si>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</si>
  <si>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</si>
  <si>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</si>
  <si>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</si>
  <si>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</si>
  <si>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</si>
  <si>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</si>
  <si>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</si>
  <si>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</si>
  <si>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</si>
  <si>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</si>
  <si>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</si>
  <si>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</si>
  <si>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</si>
  <si>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</si>
  <si>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</si>
  <si>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</si>
  <si>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</si>
  <si>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</si>
  <si>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</si>
  <si>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</si>
  <si>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</si>
  <si>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</si>
  <si>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</si>
  <si>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</si>
  <si>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</si>
  <si>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</si>
  <si>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</si>
  <si>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</si>
  <si>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</si>
  <si>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</si>
  <si>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</si>
  <si>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</si>
  <si>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</si>
  <si>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</si>
  <si>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</si>
  <si>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</si>
  <si>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</si>
  <si>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</si>
  <si>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</si>
  <si>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</si>
  <si>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</si>
  <si>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</si>
  <si>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</si>
  <si>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</si>
  <si>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</si>
  <si>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</si>
  <si>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</si>
  <si>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</si>
  <si>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</si>
  <si>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</si>
  <si>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</si>
  <si>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</si>
  <si>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</si>
  <si>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</si>
  <si>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</si>
  <si>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</si>
  <si>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</si>
  <si>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</si>
  <si>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</si>
  <si>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</si>
  <si>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</si>
  <si>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</si>
  <si>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</si>
  <si>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</si>
  <si>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</si>
  <si>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</si>
  <si>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</si>
  <si>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</si>
  <si>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</si>
  <si>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</si>
  <si>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</si>
  <si>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</si>
  <si>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</si>
  <si>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</si>
  <si>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</si>
  <si>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</si>
  <si>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</si>
  <si>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</si>
  <si>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</si>
  <si>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</si>
  <si>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</si>
  <si>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</si>
  <si>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</si>
  <si>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</si>
  <si>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</si>
  <si>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</si>
  <si>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</si>
  <si>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</si>
  <si>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</si>
  <si>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</si>
  <si>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</si>
  <si>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</si>
  <si>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</si>
  <si>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</si>
  <si>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</si>
  <si>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</si>
  <si>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</si>
  <si>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</si>
  <si>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</si>
  <si>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</si>
  <si>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</si>
  <si>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</si>
  <si>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</si>
  <si>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</si>
  <si>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</si>
  <si>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</si>
  <si>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</si>
  <si>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</si>
  <si>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</si>
  <si>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</si>
  <si>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</si>
  <si>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</si>
  <si>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</si>
  <si>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</si>
  <si>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</si>
  <si>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</si>
  <si>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</si>
  <si>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</si>
  <si>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</si>
  <si>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</si>
  <si>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</si>
  <si>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</si>
  <si>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</si>
  <si>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</si>
  <si>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</si>
  <si>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</si>
  <si>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</si>
  <si>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</si>
  <si>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</si>
  <si>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</si>
  <si>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</si>
  <si>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</si>
  <si>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</si>
  <si>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</si>
  <si>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</si>
  <si>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</si>
  <si>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</si>
  <si>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</si>
  <si>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</si>
  <si>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</si>
  <si>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</si>
  <si>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</si>
  <si>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</si>
  <si>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</si>
  <si>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</si>
  <si>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</si>
  <si>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</si>
  <si>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</si>
  <si>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</si>
  <si>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</si>
  <si>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</si>
  <si>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</si>
  <si>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</si>
  <si>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</si>
  <si>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</si>
  <si>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</si>
  <si>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</si>
  <si>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</si>
  <si>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</si>
  <si>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</si>
  <si>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</si>
  <si>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</si>
  <si>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</si>
  <si>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</si>
  <si>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</si>
  <si>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</si>
  <si>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</si>
  <si>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</si>
  <si>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</si>
  <si>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</si>
  <si>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</si>
  <si>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</si>
  <si>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</si>
  <si>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</si>
  <si>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</si>
  <si>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</si>
  <si>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</si>
  <si>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</si>
  <si>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</si>
  <si>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</si>
  <si>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</si>
  <si>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</si>
  <si>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</si>
  <si>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</si>
  <si>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</si>
  <si>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</si>
  <si>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</si>
  <si>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</si>
  <si>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</si>
  <si>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</si>
  <si>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</si>
  <si>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</si>
  <si>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</si>
  <si>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</si>
  <si>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</si>
  <si>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</si>
  <si>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</si>
  <si>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</si>
  <si>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</si>
  <si>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</si>
  <si>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</si>
  <si>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</si>
  <si>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</si>
  <si>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</si>
  <si>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</si>
  <si>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</si>
  <si>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</si>
  <si>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</si>
  <si>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</si>
  <si>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</si>
  <si>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</si>
  <si>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</si>
  <si>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</si>
  <si>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</si>
  <si>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</si>
  <si>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</si>
  <si>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</si>
  <si>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</si>
  <si>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</si>
  <si>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</si>
  <si>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</si>
  <si>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</si>
  <si>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</si>
  <si>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</si>
  <si>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</si>
  <si>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</si>
  <si>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</si>
  <si>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</si>
  <si>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</si>
  <si>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</si>
  <si>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</si>
  <si>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</si>
  <si>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</si>
  <si>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</si>
  <si>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</si>
  <si>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</si>
  <si>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</si>
  <si>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</si>
  <si>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</si>
  <si>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</si>
  <si>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</si>
  <si>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</si>
  <si>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</si>
  <si>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</si>
  <si>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</si>
  <si>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</si>
  <si>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</si>
  <si>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</si>
  <si>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</si>
  <si>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</si>
  <si>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</si>
  <si>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</si>
  <si>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</si>
  <si>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</si>
  <si>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</si>
  <si>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</si>
  <si>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</si>
  <si>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</si>
  <si>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</si>
  <si>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</si>
  <si>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</si>
  <si>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</si>
  <si>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</si>
  <si>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</si>
  <si>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</si>
  <si>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</si>
  <si>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</si>
  <si>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</si>
  <si>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</si>
  <si>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</si>
  <si>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</si>
  <si>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</si>
  <si>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</si>
  <si>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</si>
  <si>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</si>
  <si>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</si>
  <si>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</si>
  <si>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</si>
  <si>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</si>
  <si>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</si>
  <si>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</si>
  <si>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</si>
  <si>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</si>
  <si>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</si>
  <si>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</si>
  <si>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</si>
  <si>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</si>
  <si>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</si>
  <si>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</si>
  <si>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</si>
  <si>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</si>
  <si>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</si>
  <si>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</si>
  <si>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</si>
  <si>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</si>
  <si>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</si>
  <si>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</si>
  <si>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</si>
  <si>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</si>
  <si>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</si>
  <si>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</si>
  <si>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</si>
  <si>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</si>
  <si>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</si>
  <si>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</si>
  <si>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</si>
  <si>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</si>
  <si>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</si>
  <si>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</si>
  <si>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</si>
  <si>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</si>
  <si>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</si>
  <si>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</si>
  <si>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</si>
  <si>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</si>
  <si>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</si>
  <si>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</si>
  <si>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</si>
  <si>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</si>
  <si>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</si>
  <si>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</si>
  <si>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</si>
  <si>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</si>
  <si>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</si>
  <si>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</si>
  <si>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</si>
  <si>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</si>
  <si>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</si>
  <si>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</si>
  <si>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</si>
  <si>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</si>
  <si>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</si>
  <si>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</si>
  <si>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</si>
  <si>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</si>
  <si>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</si>
  <si>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</si>
  <si>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</si>
  <si>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</si>
  <si>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</si>
  <si>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</si>
  <si>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</si>
  <si>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</si>
  <si>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</si>
  <si>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</si>
  <si>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</si>
  <si>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</si>
  <si>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</si>
  <si>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</si>
  <si>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</si>
  <si>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</si>
  <si>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</si>
  <si>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</si>
  <si>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</si>
  <si>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</si>
  <si>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</si>
  <si>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</si>
  <si>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</si>
  <si>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</si>
  <si>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</si>
  <si>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</si>
  <si>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</si>
  <si>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</si>
  <si>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</si>
  <si>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</si>
  <si>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</si>
  <si>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</si>
  <si>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</si>
  <si>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</si>
  <si>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</si>
  <si>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</si>
  <si>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</si>
  <si>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</si>
  <si>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</si>
  <si>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</si>
  <si>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</si>
  <si>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</si>
  <si>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</si>
  <si>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</si>
  <si>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</si>
  <si>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</si>
  <si>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</si>
  <si>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</si>
  <si>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</si>
  <si>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</si>
  <si>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</si>
  <si>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</si>
  <si>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</si>
  <si>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</si>
  <si>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</si>
  <si>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</si>
  <si>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</si>
  <si>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</si>
  <si>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</si>
  <si>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</si>
  <si>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</si>
  <si>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</si>
  <si>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</si>
  <si>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</si>
  <si>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</si>
  <si>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</si>
  <si>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</si>
  <si>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</si>
  <si>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</si>
  <si>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</si>
  <si>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</si>
  <si>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</si>
  <si>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</si>
  <si>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</si>
  <si>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</si>
  <si>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</si>
  <si>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</si>
  <si>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</si>
  <si>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</si>
  <si>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</si>
  <si>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</si>
  <si>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</si>
  <si>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</si>
  <si>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</si>
  <si>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</si>
  <si>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</si>
  <si>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</si>
  <si>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</si>
  <si>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</si>
  <si>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</si>
  <si>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</si>
  <si>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</si>
  <si>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</si>
  <si>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</si>
  <si>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</si>
  <si>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</si>
  <si>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</si>
  <si>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</si>
  <si>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</si>
  <si>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</si>
  <si>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</si>
  <si>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</si>
  <si>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</si>
  <si>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</si>
  <si>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</si>
  <si>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</si>
  <si>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</si>
  <si>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</si>
  <si>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</si>
  <si>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</si>
  <si>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</si>
  <si>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</si>
  <si>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</si>
  <si>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</si>
  <si>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</si>
  <si>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</si>
  <si>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</si>
  <si>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</si>
  <si>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</si>
  <si>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</si>
  <si>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</si>
  <si>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</si>
  <si>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</si>
  <si>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</si>
  <si>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</si>
  <si>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</si>
  <si>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</si>
  <si>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</si>
  <si>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</si>
  <si>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</si>
  <si>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</si>
  <si>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</si>
  <si>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</si>
  <si>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</si>
  <si>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</si>
  <si>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</si>
  <si>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</si>
  <si>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</si>
  <si>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</si>
  <si>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</si>
  <si>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</si>
  <si>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</si>
  <si>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</si>
  <si>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</si>
  <si>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</si>
  <si>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</si>
  <si>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</si>
  <si>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</si>
  <si>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</si>
  <si>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</si>
  <si>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</si>
  <si>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</si>
  <si>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</si>
  <si>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</si>
  <si>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</si>
  <si>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</si>
  <si>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</si>
  <si>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</si>
  <si>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</si>
  <si>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</si>
  <si>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</si>
  <si>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</si>
  <si>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</si>
  <si>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</si>
  <si>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</si>
  <si>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</si>
  <si>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</si>
  <si>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</si>
  <si>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</si>
  <si>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</si>
  <si>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</si>
  <si>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</si>
  <si>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</si>
  <si>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</si>
  <si>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</si>
  <si>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</si>
  <si>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</si>
  <si>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</si>
  <si>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</si>
  <si>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</si>
  <si>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</si>
  <si>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</si>
  <si>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</si>
  <si>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</si>
  <si>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</si>
  <si>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</si>
  <si>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</si>
  <si>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</si>
  <si>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</si>
  <si>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</si>
  <si>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</si>
  <si>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</si>
  <si>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</si>
  <si>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</si>
  <si>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</si>
  <si>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</si>
  <si>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</si>
  <si>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</si>
  <si>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</si>
  <si>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</si>
  <si>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</si>
  <si>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</si>
  <si>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</si>
  <si>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</si>
  <si>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</si>
  <si>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</si>
  <si>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</si>
  <si>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</si>
  <si>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</si>
  <si>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</si>
  <si>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</si>
  <si>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</si>
  <si>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</si>
  <si>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</si>
  <si>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</si>
  <si>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</si>
  <si>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</si>
  <si>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</si>
  <si>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</si>
  <si>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</si>
  <si>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</si>
  <si>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</si>
  <si>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</si>
  <si>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</si>
  <si>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</si>
  <si>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</si>
  <si>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</si>
  <si>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</si>
  <si>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</si>
  <si>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</si>
  <si>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</si>
  <si>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</si>
  <si>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</si>
  <si>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</si>
  <si>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</si>
  <si>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</si>
  <si>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</si>
  <si>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</si>
  <si>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</si>
  <si>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</si>
  <si>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</si>
  <si>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</si>
  <si>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</si>
  <si>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</si>
  <si>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</si>
  <si>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</si>
  <si>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</si>
  <si>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</si>
  <si>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</si>
  <si>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</si>
  <si>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</si>
  <si>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</si>
  <si>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</si>
  <si>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</si>
  <si>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</si>
  <si>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</si>
  <si>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</si>
  <si>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</si>
  <si>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</si>
  <si>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</si>
  <si>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</si>
  <si>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</si>
  <si>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</si>
  <si>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</si>
  <si>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</si>
  <si>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</si>
  <si>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</si>
  <si>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</si>
  <si>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</si>
  <si>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</si>
  <si>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</si>
  <si>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</si>
  <si>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</si>
  <si>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</si>
  <si>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</si>
  <si>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</si>
  <si>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</si>
  <si>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</si>
  <si>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</si>
  <si>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</si>
  <si>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</si>
  <si>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</si>
  <si>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</si>
  <si>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</si>
  <si>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</si>
  <si>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</si>
  <si>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</si>
  <si>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</si>
  <si>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</si>
  <si>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</si>
  <si>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</si>
  <si>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</si>
  <si>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</si>
  <si>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</si>
  <si>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</si>
  <si>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</si>
  <si>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</si>
  <si>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</si>
  <si>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</si>
  <si>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</si>
  <si>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</si>
  <si>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</si>
  <si>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</si>
  <si>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</si>
  <si>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</si>
  <si>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</si>
  <si>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</si>
  <si>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</si>
  <si>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</si>
  <si>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</si>
  <si>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</si>
  <si>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</si>
  <si>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</si>
  <si>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</si>
  <si>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</si>
  <si>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</si>
  <si>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</si>
  <si>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</si>
  <si>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</si>
  <si>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</si>
  <si>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</si>
  <si>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</si>
  <si>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</si>
  <si>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</si>
  <si>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</si>
  <si>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</si>
  <si>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</si>
  <si>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</si>
  <si>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</si>
  <si>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</si>
  <si>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</si>
  <si>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</si>
  <si>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</si>
  <si>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</si>
  <si>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</si>
  <si>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</si>
  <si>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</si>
  <si>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</si>
  <si>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</si>
  <si>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</si>
  <si>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</si>
  <si>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</si>
  <si>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</si>
  <si>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</si>
  <si>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</si>
  <si>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</si>
  <si>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</si>
  <si>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</si>
  <si>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</si>
  <si>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</si>
  <si>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</si>
  <si>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</si>
  <si>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</si>
  <si>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</si>
  <si>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</si>
  <si>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</si>
  <si>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</si>
  <si>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</si>
  <si>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</si>
  <si>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</si>
  <si>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</si>
  <si>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</si>
  <si>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</si>
  <si>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</si>
  <si>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</si>
  <si>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</si>
  <si>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</si>
  <si>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</si>
  <si>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</si>
  <si>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</si>
  <si>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</si>
  <si>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</si>
  <si>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</si>
  <si>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</si>
  <si>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</si>
  <si>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</si>
  <si>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</si>
  <si>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</si>
  <si>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</si>
  <si>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</si>
  <si>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</si>
  <si>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</si>
  <si>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</si>
  <si>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</si>
  <si>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</si>
  <si>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</si>
  <si>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</si>
  <si>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</si>
  <si>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</si>
  <si>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</si>
  <si>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</si>
  <si>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</si>
  <si>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</si>
  <si>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</si>
  <si>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</si>
  <si>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</si>
  <si>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</si>
  <si>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</si>
  <si>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</si>
  <si>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</si>
  <si>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</si>
  <si>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</si>
  <si>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</si>
  <si>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</si>
  <si>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</si>
  <si>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</si>
  <si>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</si>
  <si>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</si>
  <si>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</si>
  <si>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</si>
  <si>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</si>
  <si>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</si>
  <si>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</si>
  <si>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</si>
  <si>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</si>
  <si>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</si>
  <si>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</si>
  <si>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</si>
  <si>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</si>
  <si>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</si>
  <si>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</si>
  <si>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</si>
  <si>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</si>
  <si>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</si>
  <si>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</si>
  <si>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</si>
  <si>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</si>
  <si>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</si>
  <si>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</si>
  <si>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</si>
  <si>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</si>
  <si>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</si>
  <si>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</si>
  <si>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</si>
  <si>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</si>
  <si>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</si>
  <si>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</si>
  <si>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</si>
  <si>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</si>
  <si>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</si>
  <si>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</si>
  <si>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</si>
  <si>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</si>
  <si>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</si>
  <si>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</si>
  <si>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</si>
  <si>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</si>
  <si>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</si>
  <si>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</si>
  <si>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</si>
  <si>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</si>
  <si>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</si>
  <si>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</si>
  <si>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</si>
  <si>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</si>
  <si>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</si>
  <si>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</si>
  <si>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</si>
  <si>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</si>
  <si>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</si>
  <si>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</si>
  <si>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</si>
  <si>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</si>
  <si>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</si>
  <si>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</si>
  <si>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</si>
  <si>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</si>
  <si>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</si>
  <si>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</si>
  <si>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</si>
  <si>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</si>
  <si>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</si>
  <si>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</si>
  <si>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</si>
  <si>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</si>
  <si>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</si>
  <si>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</si>
  <si>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</si>
  <si>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</si>
  <si>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</si>
  <si>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</si>
  <si>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</si>
  <si>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</si>
  <si>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</si>
  <si>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</si>
  <si>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</si>
  <si>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</si>
  <si>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</si>
  <si>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</si>
  <si>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</si>
  <si>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</si>
  <si>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</si>
  <si>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</si>
  <si>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</si>
  <si>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</si>
  <si>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</si>
  <si>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</si>
  <si>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</si>
  <si>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</si>
  <si>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</si>
  <si>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</si>
  <si>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</si>
  <si>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</si>
  <si>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</si>
  <si>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</si>
  <si>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</si>
  <si>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</si>
  <si>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</si>
  <si>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</si>
  <si>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</si>
  <si>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</si>
  <si>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</si>
  <si>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</si>
  <si>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</si>
  <si>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</si>
  <si>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</si>
  <si>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</si>
  <si>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</si>
  <si>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</si>
  <si>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</si>
  <si>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</si>
  <si>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</si>
  <si>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</si>
  <si>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</si>
  <si>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</si>
  <si>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</si>
  <si>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</si>
  <si>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</si>
  <si>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</si>
  <si>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</si>
  <si>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</si>
  <si>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</si>
  <si>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</si>
  <si>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</si>
  <si>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</si>
  <si>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</si>
  <si>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</si>
  <si>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</si>
  <si>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</si>
  <si>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</si>
  <si>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</si>
  <si>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</si>
  <si>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</si>
  <si>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</si>
  <si>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</si>
  <si>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</si>
  <si>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</si>
  <si>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</si>
  <si>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</si>
  <si>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</si>
  <si>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</si>
  <si>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</si>
  <si>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</si>
  <si>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</si>
  <si>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</si>
  <si>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</si>
  <si>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</si>
  <si>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</si>
  <si>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</si>
  <si>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</si>
  <si>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</si>
  <si>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</si>
  <si>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</si>
  <si>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</si>
  <si>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</si>
  <si>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</si>
  <si>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</si>
  <si>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</si>
  <si>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</si>
  <si>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</si>
  <si>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</si>
  <si>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</si>
  <si>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</si>
  <si>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</si>
  <si>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</si>
  <si>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</si>
  <si>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</si>
  <si>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</si>
  <si>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</si>
  <si>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</si>
  <si>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</si>
  <si>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</si>
  <si>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</si>
  <si>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</si>
  <si>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</si>
  <si>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</si>
  <si>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</si>
  <si>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</si>
  <si>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</si>
  <si>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</si>
  <si>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</si>
  <si>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</si>
  <si>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</si>
  <si>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</si>
  <si>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</si>
  <si>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</si>
  <si>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</si>
  <si>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</si>
  <si>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</si>
  <si>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</si>
  <si>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</si>
  <si>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</si>
  <si>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</si>
  <si>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</si>
  <si>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</si>
  <si>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</si>
  <si>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</si>
  <si>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</si>
  <si>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</si>
  <si>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</si>
  <si>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</si>
  <si>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</si>
  <si>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</si>
  <si>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</si>
  <si>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</si>
  <si>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</si>
  <si>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</si>
  <si>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</si>
  <si>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</si>
  <si>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</si>
  <si>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</si>
  <si>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</si>
  <si>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</si>
  <si>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</si>
  <si>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</si>
  <si>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</si>
  <si>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</si>
  <si>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</si>
  <si>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</si>
  <si>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</si>
  <si>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</si>
  <si>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</si>
  <si>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</si>
  <si>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</si>
  <si>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</si>
  <si>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</si>
  <si>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</si>
  <si>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</si>
  <si>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</si>
  <si>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</si>
  <si>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</si>
  <si>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</si>
  <si>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</si>
  <si>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</si>
  <si>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</si>
  <si>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</si>
  <si>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</si>
  <si>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</si>
  <si>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</si>
  <si>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</si>
  <si>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</si>
  <si>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</si>
  <si>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</si>
  <si>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</si>
  <si>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</si>
  <si>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</si>
  <si>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</si>
  <si>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</si>
  <si>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</si>
  <si>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</si>
  <si>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</si>
  <si>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</si>
  <si>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</si>
  <si>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</si>
  <si>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</si>
  <si>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</si>
  <si>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</si>
  <si>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</si>
  <si>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</si>
  <si>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</si>
  <si>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</si>
  <si>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</si>
  <si>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</si>
  <si>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</si>
  <si>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</si>
  <si>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</si>
  <si>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</si>
  <si>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</si>
  <si>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</si>
  <si>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</si>
  <si>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</si>
  <si>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</si>
  <si>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</si>
  <si>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</si>
  <si>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</si>
  <si>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</si>
  <si>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</si>
  <si>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</si>
  <si>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</si>
  <si>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</si>
  <si>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</si>
  <si>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</si>
  <si>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</si>
  <si>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</si>
  <si>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</si>
  <si>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</si>
  <si>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</si>
  <si>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</si>
  <si>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</si>
  <si>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</si>
  <si>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</si>
  <si>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</si>
  <si>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</si>
  <si>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</si>
  <si>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</si>
  <si>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</si>
  <si>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</si>
  <si>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</si>
  <si>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</si>
  <si>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</si>
  <si>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</si>
  <si>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</si>
  <si>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</si>
  <si>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</si>
  <si>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</si>
  <si>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</si>
  <si>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</si>
  <si>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</si>
  <si>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</si>
  <si>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</si>
  <si>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</si>
  <si>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</si>
  <si>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</si>
  <si>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</si>
  <si>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</si>
  <si>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</si>
  <si>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</si>
  <si>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</si>
  <si>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</si>
  <si>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</si>
  <si>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</si>
  <si>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</si>
  <si>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</si>
  <si>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</si>
  <si>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</si>
  <si>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</si>
  <si>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</si>
  <si>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</si>
  <si>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</si>
  <si>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</si>
  <si>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</si>
  <si>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</si>
  <si>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</si>
  <si>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</si>
  <si>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</si>
  <si>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</si>
  <si>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</si>
  <si>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</si>
  <si>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</si>
  <si>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</si>
  <si>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</si>
  <si>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</si>
  <si>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</si>
  <si>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</si>
  <si>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</si>
  <si>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</si>
  <si>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</si>
  <si>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</si>
  <si>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</si>
  <si>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</si>
  <si>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</si>
  <si>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</si>
  <si>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</si>
  <si>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</si>
  <si>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</si>
  <si>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</si>
  <si>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</si>
  <si>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</si>
  <si>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</si>
  <si>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</si>
  <si>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</si>
  <si>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</si>
  <si>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</si>
  <si>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</si>
  <si>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</si>
  <si>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</si>
  <si>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</si>
  <si>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</si>
  <si>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</si>
  <si>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</si>
  <si>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</si>
  <si>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</si>
  <si>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</si>
  <si>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</si>
  <si>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</si>
  <si>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</si>
  <si>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</si>
  <si>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</si>
  <si>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</si>
  <si>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</si>
  <si>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</si>
  <si>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</si>
  <si>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</si>
  <si>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</si>
  <si>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</si>
  <si>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</si>
  <si>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</si>
  <si>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</si>
  <si>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</si>
  <si>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</si>
  <si>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</si>
  <si>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</si>
  <si>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</si>
  <si>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</si>
  <si>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</si>
  <si>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</si>
  <si>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</si>
  <si>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</si>
  <si>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</si>
  <si>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</si>
  <si>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</si>
  <si>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</si>
  <si>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</si>
  <si>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</si>
  <si>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</si>
  <si>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</si>
  <si>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</si>
  <si>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</si>
  <si>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</si>
  <si>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</si>
  <si>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</si>
  <si>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</si>
  <si>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</si>
  <si>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</si>
  <si>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</si>
  <si>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</si>
  <si>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</si>
  <si>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</si>
  <si>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</si>
  <si>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</si>
  <si>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</si>
  <si>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</si>
  <si>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</si>
  <si>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</si>
  <si>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</si>
  <si>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</si>
  <si>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</si>
  <si>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</si>
  <si>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</si>
  <si>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</si>
  <si>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</si>
  <si>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</si>
  <si>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</si>
  <si>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</si>
  <si>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</si>
  <si>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</si>
  <si>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</si>
  <si>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</si>
  <si>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</si>
  <si>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</si>
  <si>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</si>
  <si>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</si>
  <si>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</si>
  <si>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</si>
  <si>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</si>
  <si>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</si>
  <si>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</si>
  <si>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</si>
  <si>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</si>
  <si>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</si>
  <si>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</si>
  <si>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</si>
  <si>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</si>
  <si>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</si>
  <si>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</si>
  <si>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</si>
  <si>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</si>
  <si>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</si>
  <si>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</si>
  <si>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</si>
  <si>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</si>
  <si>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</si>
  <si>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</si>
  <si>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</si>
  <si>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</si>
  <si>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</si>
  <si>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</si>
  <si>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</si>
  <si>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</si>
  <si>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</si>
  <si>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</si>
  <si>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</si>
  <si>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</si>
  <si>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</si>
  <si>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</si>
  <si>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</si>
  <si>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</si>
  <si>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</si>
  <si>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</si>
  <si>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</si>
  <si>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</si>
  <si>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</si>
  <si>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</si>
  <si>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</si>
  <si>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</si>
  <si>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</si>
  <si>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</si>
  <si>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</si>
  <si>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</si>
  <si>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</si>
  <si>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</si>
  <si>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</si>
  <si>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</si>
  <si>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</si>
  <si>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</si>
  <si>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</si>
  <si>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</si>
  <si>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</si>
  <si>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</si>
  <si>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</si>
  <si>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</si>
  <si>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</si>
  <si>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</si>
  <si>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</si>
  <si>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</si>
  <si>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</si>
  <si>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</si>
  <si>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</si>
  <si>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</si>
  <si>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</si>
  <si>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</si>
  <si>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</si>
  <si>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</si>
  <si>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</si>
  <si>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</si>
  <si>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</si>
  <si>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</si>
  <si>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</si>
  <si>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</si>
  <si>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</si>
  <si>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</si>
  <si>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</si>
  <si>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</si>
  <si>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</si>
  <si>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</si>
  <si>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</si>
  <si>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</si>
  <si>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</si>
  <si>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</si>
  <si>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</si>
  <si>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</si>
  <si>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</si>
  <si>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</si>
  <si>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</si>
  <si>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</si>
  <si>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</si>
  <si>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</si>
  <si>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</si>
  <si>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</si>
  <si>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</si>
  <si>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</si>
  <si>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</si>
  <si>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</si>
  <si>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</si>
  <si>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</si>
  <si>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</si>
  <si>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</si>
  <si>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</si>
  <si>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</si>
  <si>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</si>
  <si>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</si>
  <si>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</si>
  <si>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</si>
  <si>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</si>
  <si>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</si>
  <si>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</si>
  <si>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</si>
  <si>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</si>
  <si>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</si>
  <si>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</si>
  <si>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</si>
  <si>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</si>
  <si>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</si>
  <si>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</si>
  <si>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</si>
  <si>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</si>
  <si>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</si>
  <si>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</si>
  <si>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</si>
  <si>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</si>
  <si>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</si>
  <si>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</si>
  <si>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</si>
  <si>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</si>
  <si>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</si>
  <si>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</si>
  <si>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</si>
  <si>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</si>
  <si>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</si>
  <si>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</si>
  <si>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</si>
  <si>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</si>
  <si>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</si>
  <si>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</si>
  <si>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</si>
  <si>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</si>
  <si>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</si>
  <si>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</si>
  <si>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</si>
  <si>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</si>
  <si>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</si>
  <si>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</si>
  <si>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</si>
  <si>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</si>
  <si>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</si>
  <si>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</si>
  <si>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</si>
  <si>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</si>
  <si>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</si>
  <si>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</si>
  <si>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</si>
  <si>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</si>
  <si>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</si>
  <si>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</si>
  <si>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</si>
  <si>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</si>
  <si>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</si>
  <si>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</si>
  <si>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</si>
  <si>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</si>
  <si>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</si>
  <si>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</si>
  <si>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</si>
  <si>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</si>
  <si>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</si>
  <si>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</si>
  <si>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</si>
  <si>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</si>
  <si>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</si>
  <si>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</si>
  <si>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</si>
  <si>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</si>
  <si>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</si>
  <si>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</si>
  <si>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</si>
  <si>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</si>
  <si>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</si>
  <si>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</si>
  <si>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</si>
  <si>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</si>
  <si>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</si>
  <si>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</si>
  <si>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</si>
  <si>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</si>
  <si>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</si>
  <si>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</si>
  <si>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</si>
  <si>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</si>
  <si>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</si>
  <si>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</si>
  <si>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</si>
  <si>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</si>
  <si>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</si>
  <si>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</si>
  <si>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</si>
  <si>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</si>
  <si>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</si>
  <si>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</si>
  <si>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</si>
  <si>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</si>
  <si>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</si>
  <si>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</si>
  <si>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</si>
  <si>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</si>
  <si>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</si>
  <si>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</si>
  <si>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</si>
  <si>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</si>
  <si>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</si>
  <si>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</si>
  <si>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</si>
  <si>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</si>
  <si>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</si>
  <si>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</si>
  <si>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</si>
  <si>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</si>
  <si>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</si>
  <si>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</si>
  <si>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</si>
  <si>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</si>
  <si>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</si>
  <si>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</si>
  <si>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</si>
  <si>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</si>
  <si>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</si>
  <si>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</si>
  <si>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</si>
  <si>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</si>
  <si>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</si>
  <si>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</si>
  <si>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</si>
  <si>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</si>
  <si>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</si>
  <si>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</si>
  <si>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</si>
  <si>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</si>
  <si>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</si>
  <si>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</si>
  <si>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</si>
  <si>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</si>
  <si>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</si>
  <si>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</si>
  <si>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</si>
  <si>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</si>
  <si>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</si>
  <si>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</si>
  <si>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</si>
  <si>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</si>
  <si>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</si>
  <si>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</si>
  <si>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</si>
  <si>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</si>
  <si>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</si>
  <si>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</si>
  <si>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</si>
  <si>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</si>
  <si>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</si>
  <si>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</si>
  <si>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</si>
  <si>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</si>
  <si>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</si>
  <si>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</si>
  <si>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</si>
  <si>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</si>
  <si>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</si>
  <si>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</si>
  <si>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</si>
  <si>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</si>
  <si>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</si>
  <si>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</si>
  <si>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</si>
  <si>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</si>
  <si>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</si>
  <si>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</si>
  <si>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</si>
  <si>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</si>
  <si>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</si>
  <si>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</si>
  <si>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</si>
  <si>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</si>
  <si>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</si>
  <si>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</si>
  <si>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</si>
  <si>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</si>
  <si>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</si>
  <si>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</si>
  <si>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</si>
  <si>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</si>
  <si>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</si>
  <si>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</si>
  <si>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</si>
  <si>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</si>
  <si>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</si>
  <si>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</si>
  <si>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</si>
  <si>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</si>
  <si>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</si>
  <si>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</si>
  <si>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</si>
  <si>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</si>
  <si>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</si>
  <si>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</si>
  <si>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</si>
  <si>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</si>
  <si>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</si>
  <si>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</si>
  <si>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</si>
  <si>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</si>
  <si>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</si>
  <si>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</si>
  <si>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</si>
  <si>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</si>
  <si>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</si>
  <si>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</si>
  <si>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</si>
  <si>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</si>
  <si>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</si>
  <si>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</si>
  <si>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</si>
  <si>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</si>
  <si>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</si>
  <si>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</si>
  <si>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</si>
  <si>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</si>
  <si>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</si>
  <si>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</si>
  <si>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</si>
  <si>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</si>
  <si>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</si>
  <si>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</si>
  <si>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</si>
  <si>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</si>
  <si>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</si>
  <si>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</si>
  <si>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</si>
  <si>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</si>
  <si>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</si>
  <si>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</si>
  <si>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</si>
  <si>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</si>
  <si>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</si>
  <si>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</si>
  <si>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</si>
  <si>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</si>
  <si>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</si>
  <si>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</si>
  <si>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</si>
  <si>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</si>
  <si>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</si>
  <si>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</si>
  <si>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</si>
  <si>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</si>
  <si>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</si>
  <si>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</si>
  <si>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</si>
  <si>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</si>
  <si>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</si>
  <si>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</si>
  <si>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</si>
  <si>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</si>
  <si>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</si>
  <si>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</si>
  <si>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</si>
  <si>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</si>
  <si>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</si>
  <si>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</si>
  <si>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</si>
  <si>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</si>
  <si>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</si>
  <si>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</si>
  <si>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</si>
  <si>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</si>
  <si>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</si>
  <si>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</si>
  <si>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</si>
  <si>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</si>
  <si>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</si>
  <si>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</si>
  <si>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</si>
  <si>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</si>
  <si>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</si>
  <si>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</si>
  <si>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</si>
  <si>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</si>
  <si>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</si>
  <si>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</si>
  <si>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</si>
  <si>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</si>
  <si>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</si>
  <si>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</si>
  <si>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</si>
  <si>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</si>
  <si>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</si>
  <si>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</si>
  <si>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</si>
  <si>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</si>
  <si>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</si>
  <si>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</si>
  <si>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</si>
  <si>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</si>
  <si>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</si>
  <si>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</si>
  <si>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</si>
  <si>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</si>
  <si>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</si>
  <si>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</si>
  <si>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</si>
  <si>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</si>
  <si>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</si>
  <si>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</si>
  <si>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</si>
  <si>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</si>
  <si>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</si>
  <si>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</si>
  <si>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</si>
  <si>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</si>
  <si>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</si>
  <si>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</si>
  <si>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</si>
  <si>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</si>
  <si>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</si>
  <si>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</si>
  <si>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</si>
  <si>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</si>
  <si>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</si>
  <si>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</si>
  <si>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</si>
  <si>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</si>
  <si>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</si>
  <si>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</si>
  <si>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</si>
  <si>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</si>
  <si>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</si>
  <si>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</si>
  <si>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</si>
  <si>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</si>
  <si>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</si>
  <si>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</si>
  <si>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</si>
  <si>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</si>
  <si>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</si>
  <si>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</si>
  <si>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</si>
  <si>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</si>
  <si>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</si>
  <si>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</si>
  <si>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</si>
  <si>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</si>
  <si>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</si>
  <si>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</si>
  <si>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</si>
  <si>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</si>
  <si>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</si>
  <si>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</si>
  <si>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</si>
  <si>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</si>
  <si>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</si>
  <si>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</si>
  <si>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</si>
  <si>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</si>
  <si>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</si>
  <si>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</si>
  <si>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</si>
  <si>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</si>
  <si>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</si>
  <si>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</si>
  <si>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</si>
  <si>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</si>
  <si>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</si>
  <si>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</si>
  <si>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</si>
  <si>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</si>
  <si>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</si>
  <si>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</si>
  <si>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</si>
  <si>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</si>
  <si>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</si>
  <si>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</si>
  <si>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</si>
  <si>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</si>
  <si>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</si>
  <si>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</si>
  <si>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</si>
  <si>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</si>
  <si>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</si>
  <si>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</si>
  <si>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</si>
  <si>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</si>
  <si>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</si>
  <si>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</si>
  <si>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</si>
  <si>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</si>
  <si>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</si>
  <si>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</si>
  <si>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</si>
  <si>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</si>
  <si>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</si>
  <si>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</si>
  <si>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</si>
  <si>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</si>
  <si>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</si>
  <si>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</si>
  <si>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</si>
  <si>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</si>
  <si>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</si>
  <si>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</si>
  <si>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</si>
  <si>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</si>
  <si>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</si>
  <si>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</si>
  <si>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</si>
  <si>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</si>
  <si>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</si>
  <si>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</si>
  <si>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</si>
  <si>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</si>
  <si>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</si>
  <si>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</si>
  <si>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</si>
  <si>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</si>
  <si>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</si>
  <si>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</si>
  <si>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</si>
  <si>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</si>
  <si>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</si>
  <si>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</si>
  <si>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</si>
  <si>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</si>
  <si>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</si>
  <si>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</si>
  <si>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</si>
  <si>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</si>
  <si>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</si>
  <si>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</si>
  <si>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</si>
  <si>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</si>
  <si>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</si>
  <si>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</si>
  <si>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</si>
  <si>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</si>
  <si>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</si>
  <si>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</si>
  <si>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</si>
  <si>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</si>
  <si>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</si>
  <si>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</si>
  <si>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</si>
  <si>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</si>
  <si>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</si>
  <si>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</si>
  <si>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</si>
  <si>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</si>
  <si>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</si>
  <si>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</si>
  <si>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</si>
  <si>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</si>
  <si>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</si>
  <si>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</si>
  <si>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</si>
  <si>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</si>
  <si>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</si>
  <si>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</si>
  <si>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</si>
  <si>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</si>
  <si>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</si>
  <si>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</si>
  <si>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</si>
  <si>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</si>
  <si>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</si>
  <si>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</si>
  <si>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</si>
  <si>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</si>
  <si>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</si>
  <si>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</si>
  <si>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</si>
  <si>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</si>
  <si>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</si>
  <si>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</si>
  <si>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</si>
  <si>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</si>
  <si>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</si>
  <si>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</si>
  <si>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</si>
  <si>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</si>
  <si>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</si>
  <si>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</si>
  <si>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</si>
  <si>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</si>
  <si>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</si>
  <si>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</si>
  <si>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</si>
  <si>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</si>
  <si>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</si>
  <si>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</si>
  <si>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</si>
  <si>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</si>
  <si>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</si>
  <si>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</si>
  <si>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</si>
  <si>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</si>
  <si>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</si>
  <si>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</si>
  <si>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</si>
  <si>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</si>
  <si>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</si>
  <si>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</si>
  <si>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</si>
  <si>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</si>
  <si>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</si>
  <si>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</si>
  <si>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</si>
  <si>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</si>
  <si>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</si>
  <si>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</si>
  <si>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</si>
  <si>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</si>
  <si>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</si>
  <si>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</si>
  <si>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</si>
  <si>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</si>
  <si>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</si>
  <si>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</si>
  <si>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</si>
  <si>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</si>
  <si>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</si>
  <si>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</si>
  <si>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</si>
  <si>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</si>
  <si>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</si>
  <si>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</si>
  <si>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</si>
  <si>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</si>
  <si>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</si>
  <si>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</si>
  <si>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</si>
  <si>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</si>
  <si>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</si>
  <si>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</si>
  <si>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</si>
  <si>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</si>
  <si>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</si>
  <si>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</si>
  <si>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</si>
  <si>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</si>
  <si>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</si>
  <si>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</si>
  <si>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</si>
  <si>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</si>
  <si>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</si>
  <si>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</si>
  <si>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</si>
  <si>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</si>
  <si>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</si>
  <si>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</si>
  <si>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</si>
  <si>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</si>
  <si>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</si>
  <si>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</si>
  <si>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</si>
  <si>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</si>
  <si>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</si>
  <si>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</si>
  <si>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</si>
  <si>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</si>
  <si>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</si>
  <si>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</si>
  <si>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</si>
  <si>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</si>
  <si>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</si>
  <si>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</si>
  <si>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</si>
  <si>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</si>
  <si>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</si>
  <si>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</si>
  <si>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</si>
  <si>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</si>
  <si>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</si>
  <si>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</si>
  <si>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</si>
  <si>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</si>
  <si>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</si>
  <si>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</si>
  <si>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</si>
  <si>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</si>
  <si>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</si>
  <si>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</si>
  <si>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</si>
  <si>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</si>
  <si>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</si>
  <si>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</si>
  <si>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</si>
  <si>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</si>
  <si>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</si>
  <si>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</si>
  <si>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</si>
  <si>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</si>
  <si>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</si>
  <si>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</si>
  <si>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</si>
  <si>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</si>
  <si>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</si>
  <si>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</si>
  <si>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</si>
  <si>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</si>
  <si>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</si>
  <si>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</si>
  <si>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</si>
  <si>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</si>
  <si>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</si>
  <si>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</si>
  <si>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</si>
  <si>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</si>
  <si>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</si>
  <si>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</si>
  <si>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</si>
  <si>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</si>
  <si>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</si>
  <si>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</si>
  <si>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</si>
  <si>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</si>
  <si>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</si>
  <si>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</si>
  <si>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</si>
  <si>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</si>
  <si>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</si>
  <si>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</si>
  <si>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</si>
  <si>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</si>
  <si>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</si>
  <si>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</si>
  <si>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</si>
  <si>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</si>
  <si>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</si>
  <si>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</si>
  <si>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</si>
  <si>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</si>
  <si>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</si>
  <si>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</si>
  <si>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</si>
  <si>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</si>
  <si>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</si>
  <si>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</si>
  <si>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</si>
  <si>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</si>
  <si>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</si>
  <si>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</si>
  <si>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</si>
  <si>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</si>
  <si>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</si>
  <si>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</si>
  <si>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</si>
  <si>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</si>
  <si>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</si>
  <si>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</si>
  <si>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</si>
  <si>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</si>
  <si>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</si>
  <si>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</si>
  <si>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</si>
  <si>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</si>
  <si>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</si>
  <si>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</si>
  <si>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</si>
  <si>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</si>
  <si>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</si>
  <si>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</si>
  <si>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</si>
  <si>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</si>
  <si>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</si>
  <si>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</si>
  <si>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</si>
  <si>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</si>
  <si>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</si>
  <si>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</si>
  <si>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</si>
  <si>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</si>
  <si>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</si>
  <si>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</si>
  <si>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</si>
  <si>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</si>
  <si>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</si>
  <si>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</si>
  <si>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</si>
  <si>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</si>
  <si>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</si>
  <si>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</si>
  <si>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</si>
  <si>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</si>
  <si>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</si>
  <si>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</si>
  <si>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</si>
  <si>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</si>
  <si>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</si>
  <si>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</si>
  <si>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</si>
  <si>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</si>
  <si>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</si>
  <si>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</si>
  <si>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</si>
  <si>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</si>
  <si>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</si>
  <si>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</si>
  <si>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</si>
  <si>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</si>
  <si>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</si>
  <si>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</si>
  <si>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</si>
  <si>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</si>
  <si>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</si>
  <si>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</si>
  <si>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</si>
  <si>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</si>
  <si>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</si>
  <si>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</si>
  <si>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</si>
  <si>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</si>
  <si>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</si>
  <si>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</si>
  <si>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</si>
  <si>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</si>
  <si>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</si>
  <si>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</si>
  <si>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</si>
  <si>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</si>
  <si>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</si>
  <si>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</si>
  <si>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</si>
  <si>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</si>
  <si>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</si>
  <si>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</si>
  <si>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</si>
  <si>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</si>
  <si>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</si>
  <si>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</si>
  <si>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</si>
  <si>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</si>
  <si>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</si>
  <si>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</si>
  <si>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</si>
  <si>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</si>
  <si>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</si>
  <si>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</si>
  <si>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</si>
  <si>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</si>
  <si>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</si>
  <si>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</si>
  <si>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</si>
  <si>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</si>
  <si>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</si>
  <si>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</si>
  <si>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</si>
  <si>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</si>
  <si>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</si>
  <si>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</si>
  <si>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</si>
  <si>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</si>
  <si>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</si>
  <si>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</si>
  <si>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</si>
  <si>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</si>
  <si>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</si>
  <si>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</si>
  <si>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</si>
  <si>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</si>
  <si>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</si>
  <si>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</si>
  <si>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</si>
  <si>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</si>
  <si>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</si>
  <si>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</si>
  <si>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</si>
  <si>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</si>
  <si>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</si>
  <si>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</si>
  <si>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</si>
  <si>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</si>
  <si>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</si>
  <si>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</si>
  <si>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</si>
  <si>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</si>
  <si>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</si>
  <si>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</si>
  <si>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</si>
  <si>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</si>
  <si>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</si>
  <si>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</si>
  <si>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</si>
  <si>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</si>
  <si>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</si>
  <si>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</si>
  <si>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</si>
  <si>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</si>
  <si>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</si>
  <si>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</si>
  <si>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</si>
  <si>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</si>
  <si>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</si>
  <si>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</si>
  <si>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</si>
  <si>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</si>
  <si>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</si>
  <si>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</si>
  <si>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</si>
  <si>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</si>
  <si>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</si>
  <si>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</si>
  <si>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</si>
  <si>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</si>
  <si>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</si>
  <si>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</si>
  <si>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</si>
  <si>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</si>
  <si>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</si>
  <si>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</si>
  <si>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</si>
  <si>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</si>
  <si>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</si>
  <si>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</si>
  <si>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</si>
  <si>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</si>
  <si>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</si>
  <si>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</si>
  <si>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</si>
  <si>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</si>
  <si>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</si>
  <si>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</si>
  <si>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</si>
  <si>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</si>
  <si>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</si>
  <si>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</si>
  <si>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</si>
  <si>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</si>
  <si>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</si>
  <si>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</si>
  <si>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</si>
  <si>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</si>
  <si>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</si>
  <si>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</si>
  <si>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</si>
  <si>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</si>
  <si>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</si>
  <si>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</si>
  <si>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</si>
  <si>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</si>
  <si>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</si>
  <si>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</si>
  <si>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</si>
  <si>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</si>
  <si>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</si>
  <si>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</si>
  <si>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</si>
  <si>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</si>
  <si>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</si>
  <si>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</si>
  <si>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</si>
  <si>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</si>
  <si>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</si>
  <si>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</si>
  <si>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</si>
  <si>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</si>
  <si>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</si>
  <si>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</si>
  <si>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</si>
  <si>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</si>
  <si>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</si>
  <si>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</si>
  <si>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</si>
  <si>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</si>
  <si>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</si>
  <si>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</si>
  <si>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</si>
  <si>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</si>
  <si>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</si>
  <si>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</si>
  <si>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</si>
  <si>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</si>
  <si>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</si>
  <si>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</si>
  <si>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</si>
  <si>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</si>
  <si>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</si>
  <si>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</si>
  <si>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</si>
  <si>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</si>
  <si>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</si>
  <si>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</si>
  <si>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</si>
  <si>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</si>
  <si>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</si>
  <si>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</si>
  <si>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</si>
  <si>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</si>
  <si>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</si>
  <si>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</si>
  <si>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</si>
  <si>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</si>
  <si>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</si>
  <si>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</si>
  <si>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</si>
  <si>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</si>
  <si>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</si>
  <si>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</si>
  <si>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</si>
  <si>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</si>
  <si>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</si>
  <si>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</si>
  <si>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</si>
  <si>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</si>
  <si>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</si>
  <si>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</si>
  <si>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</si>
  <si>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</si>
  <si>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</si>
  <si>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</si>
  <si>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</si>
  <si>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</si>
  <si>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</si>
  <si>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</si>
  <si>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</si>
  <si>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</si>
  <si>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</si>
  <si>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</si>
  <si>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</si>
  <si>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</si>
  <si>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</si>
  <si>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</si>
  <si>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</si>
  <si>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</si>
  <si>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</si>
  <si>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</si>
  <si>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</si>
  <si>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</si>
  <si>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</si>
  <si>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</si>
  <si>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</si>
  <si>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</si>
  <si>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</si>
  <si>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</si>
  <si>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</si>
  <si>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</si>
  <si>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</si>
  <si>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</si>
  <si>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</si>
  <si>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</si>
  <si>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</si>
  <si>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</si>
  <si>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</si>
  <si>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</si>
  <si>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</si>
  <si>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</si>
  <si>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</si>
  <si>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</si>
  <si>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</si>
  <si>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</si>
  <si>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</si>
  <si>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</si>
  <si>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</si>
  <si>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</si>
  <si>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</si>
  <si>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</si>
  <si>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</si>
  <si>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</si>
  <si>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</si>
  <si>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</si>
  <si>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</si>
  <si>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</si>
  <si>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</si>
  <si>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</si>
  <si>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</si>
  <si>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</si>
  <si>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</si>
  <si>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</si>
  <si>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</si>
  <si>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</si>
  <si>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</si>
  <si>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</si>
  <si>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</si>
  <si>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</si>
  <si>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</si>
  <si>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</si>
  <si>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</si>
  <si>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</si>
  <si>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</si>
  <si>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</si>
  <si>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</si>
  <si>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</si>
  <si>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</si>
  <si>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</si>
  <si>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</si>
  <si>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</si>
  <si>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</si>
  <si>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</si>
  <si>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</si>
  <si>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</si>
  <si>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</si>
  <si>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</si>
  <si>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</si>
  <si>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</si>
  <si>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</si>
  <si>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</si>
  <si>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</si>
  <si>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</si>
  <si>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</si>
  <si>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</si>
  <si>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</si>
  <si>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</si>
  <si>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</si>
  <si>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</si>
  <si>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</si>
  <si>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</si>
  <si>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</si>
  <si>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</si>
  <si>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</si>
  <si>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</si>
  <si>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</si>
  <si>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</si>
  <si>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</si>
  <si>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</si>
  <si>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</si>
  <si>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</si>
  <si>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</si>
  <si>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</si>
  <si>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</si>
  <si>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</si>
  <si>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</si>
  <si>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</si>
  <si>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</si>
  <si>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</si>
  <si>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</si>
  <si>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</si>
  <si>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</si>
  <si>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</si>
  <si>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</si>
  <si>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</si>
  <si>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</si>
  <si>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</si>
  <si>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</si>
  <si>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</si>
  <si>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</si>
  <si>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</si>
  <si>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</si>
  <si>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</si>
  <si>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</si>
  <si>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</si>
  <si>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</si>
  <si>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</si>
  <si>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</si>
  <si>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</si>
  <si>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</si>
  <si>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</si>
  <si>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</si>
  <si>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</si>
  <si>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</si>
  <si>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</si>
  <si>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</si>
  <si>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</si>
  <si>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</si>
  <si>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</si>
  <si>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</si>
  <si>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</si>
  <si>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</si>
  <si>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</si>
  <si>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</si>
  <si>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</si>
  <si>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</si>
  <si>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</si>
  <si>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</si>
  <si>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</si>
  <si>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</si>
  <si>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</si>
  <si>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</si>
  <si>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</si>
  <si>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</si>
  <si>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</si>
  <si>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</si>
  <si>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</si>
  <si>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</si>
  <si>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</si>
  <si>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</si>
  <si>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</si>
  <si>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</si>
  <si>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</si>
  <si>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</si>
  <si>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</si>
  <si>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</si>
  <si>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</si>
  <si>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</si>
  <si>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</si>
  <si>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</si>
  <si>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</si>
  <si>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</si>
  <si>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</si>
  <si>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</si>
  <si>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</si>
  <si>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</si>
  <si>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</si>
  <si>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</si>
  <si>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</si>
  <si>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</si>
  <si>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</si>
  <si>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</si>
  <si>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</si>
  <si>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</si>
  <si>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</si>
  <si>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</si>
  <si>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</si>
  <si>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</si>
  <si>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</si>
  <si>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</si>
  <si>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</si>
  <si>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</si>
  <si>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</si>
  <si>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</si>
  <si>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</si>
  <si>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</si>
  <si>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</si>
  <si>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</si>
  <si>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</si>
  <si>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</si>
  <si>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</si>
  <si>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</si>
  <si>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</si>
  <si>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</si>
  <si>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</si>
  <si>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</si>
  <si>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</si>
  <si>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</si>
  <si>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</si>
  <si>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</si>
  <si>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</si>
  <si>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</si>
  <si>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</si>
  <si>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</si>
  <si>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</si>
  <si>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</si>
  <si>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</si>
  <si>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</si>
  <si>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</si>
  <si>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</si>
  <si>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</si>
  <si>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</si>
  <si>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</si>
  <si>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</si>
  <si>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</si>
  <si>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</si>
  <si>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</si>
  <si>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</si>
  <si>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</si>
  <si>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</si>
  <si>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</si>
  <si>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</si>
  <si>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</si>
  <si>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</si>
  <si>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</si>
  <si>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</si>
  <si>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</si>
  <si>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</si>
  <si>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</si>
  <si>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</si>
  <si>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</si>
  <si>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</si>
  <si>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</si>
  <si>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</si>
  <si>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</si>
  <si>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</si>
  <si>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</si>
  <si>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</si>
  <si>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</si>
  <si>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</si>
  <si>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</si>
  <si>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</si>
  <si>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</si>
  <si>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</si>
  <si>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</si>
  <si>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</si>
  <si>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</si>
  <si>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</si>
  <si>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</si>
  <si>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</si>
  <si>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</si>
  <si>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</si>
  <si>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</si>
  <si>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</si>
  <si>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</si>
  <si>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</si>
  <si>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</si>
  <si>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</si>
  <si>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</si>
  <si>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</si>
  <si>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</si>
  <si>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</si>
  <si>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</si>
  <si>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</si>
  <si>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</si>
  <si>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</si>
  <si>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</si>
  <si>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</si>
  <si>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</si>
  <si>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</si>
  <si>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</si>
  <si>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</si>
  <si>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</si>
  <si>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</si>
  <si>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</si>
  <si>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</si>
  <si>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</si>
  <si>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</si>
  <si>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</si>
  <si>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</si>
  <si>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</si>
  <si>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</si>
  <si>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</si>
  <si>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</si>
  <si>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</si>
  <si>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</si>
  <si>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</si>
  <si>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</si>
  <si>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</si>
  <si>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</si>
  <si>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</si>
  <si>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</si>
  <si>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</si>
  <si>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</si>
  <si>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</si>
  <si>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</si>
  <si>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</si>
  <si>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</si>
  <si>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</si>
  <si>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</si>
  <si>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</si>
  <si>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</si>
  <si>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</si>
  <si>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</si>
  <si>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</si>
  <si>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</si>
  <si>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</si>
  <si>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</si>
  <si>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</si>
  <si>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</si>
  <si>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</si>
  <si>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</si>
  <si>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</si>
  <si>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</si>
  <si>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</si>
  <si>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</si>
  <si>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</si>
  <si>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</si>
  <si>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</si>
  <si>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</si>
  <si>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</si>
  <si>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</si>
  <si>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</si>
  <si>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</si>
  <si>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</si>
  <si>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</si>
  <si>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</si>
  <si>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</si>
  <si>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</si>
  <si>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</si>
  <si>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</si>
  <si>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</si>
  <si>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</si>
  <si>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</si>
  <si>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</si>
  <si>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</si>
  <si>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</si>
  <si>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</si>
  <si>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</si>
  <si>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</si>
  <si>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</si>
  <si>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</si>
  <si>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</si>
  <si>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</si>
  <si>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</si>
  <si>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</si>
  <si>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</si>
  <si>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</si>
  <si>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</si>
  <si>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</si>
  <si>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</si>
  <si>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</si>
  <si>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</si>
  <si>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</si>
  <si>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</si>
  <si>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</si>
  <si>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</si>
  <si>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</si>
  <si>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</si>
  <si>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</si>
  <si>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</si>
  <si>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</si>
  <si>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</si>
  <si>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</si>
  <si>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</si>
  <si>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</si>
  <si>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</si>
  <si>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</si>
  <si>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</si>
  <si>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</si>
  <si>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</si>
  <si>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</si>
  <si>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</si>
  <si>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</si>
  <si>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</si>
  <si>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</si>
  <si>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</si>
  <si>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</si>
  <si>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</si>
  <si>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</si>
  <si>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</si>
  <si>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</si>
  <si>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</si>
  <si>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</si>
  <si>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</si>
  <si>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</si>
  <si>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</si>
  <si>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</si>
  <si>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</si>
  <si>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</si>
  <si>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</si>
  <si>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</si>
  <si>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</si>
  <si>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</si>
  <si>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</si>
  <si>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</si>
  <si>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</si>
  <si>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</si>
  <si>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</si>
  <si>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</si>
  <si>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</si>
  <si>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</si>
  <si>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</si>
  <si>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</si>
  <si>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</si>
  <si>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</si>
  <si>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</si>
  <si>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</si>
  <si>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</si>
  <si>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</si>
  <si>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</si>
  <si>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</si>
  <si>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</si>
  <si>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</si>
  <si>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</si>
  <si>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</si>
  <si>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</si>
  <si>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</si>
  <si>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</si>
  <si>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</si>
  <si>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</si>
  <si>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</si>
  <si>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</si>
  <si>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</si>
  <si>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</si>
  <si>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</si>
  <si>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</si>
  <si>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</si>
  <si>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</si>
  <si>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</si>
  <si>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</si>
  <si>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</si>
  <si>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</si>
  <si>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</si>
  <si>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</si>
  <si>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</si>
  <si>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</si>
  <si>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</si>
  <si>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</si>
  <si>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</si>
  <si>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</si>
  <si>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</si>
  <si>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</si>
  <si>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</si>
  <si>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</si>
  <si>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</si>
  <si>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</si>
  <si>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</si>
  <si>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</si>
  <si>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</si>
  <si>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</si>
  <si>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</si>
  <si>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</si>
  <si>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</si>
  <si>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</si>
  <si>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</si>
  <si>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</si>
  <si>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</si>
  <si>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</si>
  <si>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</si>
  <si>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</si>
  <si>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</si>
  <si>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</si>
  <si>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</si>
  <si>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</si>
  <si>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</si>
  <si>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</si>
  <si>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</si>
  <si>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</si>
  <si>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</si>
  <si>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</si>
  <si>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</si>
  <si>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</si>
  <si>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</si>
  <si>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</si>
  <si>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</si>
  <si>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</si>
  <si>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</si>
  <si>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</si>
  <si>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</si>
  <si>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</si>
  <si>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</si>
  <si>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</si>
  <si>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</si>
  <si>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</si>
  <si>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</si>
  <si>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</si>
  <si>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</si>
  <si>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</si>
  <si>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</si>
  <si>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</si>
  <si>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</si>
  <si>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</si>
  <si>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</si>
  <si>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</si>
  <si>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</si>
  <si>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</si>
  <si>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</si>
  <si>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</si>
  <si>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</si>
  <si>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</si>
  <si>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</si>
  <si>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</si>
  <si>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</si>
  <si>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</si>
  <si>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</si>
  <si>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</si>
  <si>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</si>
  <si>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</si>
  <si>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</si>
  <si>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</si>
  <si>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</si>
  <si>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</si>
  <si>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</si>
  <si>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</si>
  <si>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</si>
  <si>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</si>
  <si>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</si>
  <si>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</si>
  <si>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</si>
  <si>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</si>
  <si>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</si>
  <si>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</si>
  <si>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</si>
  <si>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</si>
  <si>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</si>
  <si>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</si>
  <si>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</si>
  <si>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</si>
  <si>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</si>
  <si>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</si>
  <si>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</si>
  <si>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</si>
  <si>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</si>
  <si>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</si>
  <si>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</si>
  <si>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</si>
  <si>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</si>
  <si>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</si>
  <si>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</si>
  <si>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</si>
  <si>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</si>
  <si>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</si>
  <si>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</si>
  <si>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</si>
  <si>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</si>
  <si>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</si>
  <si>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</si>
  <si>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</si>
  <si>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</si>
  <si>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</si>
  <si>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</si>
  <si>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</si>
  <si>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</si>
  <si>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</si>
  <si>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</si>
  <si>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</si>
  <si>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</si>
  <si>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</si>
  <si>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</si>
  <si>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</si>
  <si>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</si>
  <si>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</si>
  <si>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</si>
  <si>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</si>
  <si>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</si>
  <si>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</si>
  <si>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</si>
  <si>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</si>
  <si>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</si>
  <si>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</si>
  <si>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</si>
  <si>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</si>
  <si>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</si>
  <si>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</si>
  <si>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</si>
  <si>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</si>
  <si>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</si>
  <si>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</si>
  <si>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</si>
  <si>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</si>
  <si>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</si>
  <si>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</si>
  <si>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</si>
  <si>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</si>
  <si>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</si>
  <si>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</si>
  <si>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</si>
  <si>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</si>
  <si>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</si>
  <si>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</si>
  <si>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</si>
  <si>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</si>
  <si>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</si>
  <si>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</si>
  <si>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</si>
  <si>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</si>
  <si>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</si>
  <si>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</si>
  <si>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</si>
  <si>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</si>
  <si>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</si>
  <si>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</si>
  <si>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</si>
  <si>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</si>
  <si>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</si>
  <si>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</si>
  <si>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</si>
  <si>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</si>
  <si>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</si>
  <si>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</si>
  <si>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</si>
  <si>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</si>
  <si>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</si>
  <si>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</si>
  <si>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</si>
  <si>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</si>
  <si>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</si>
  <si>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</si>
  <si>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</si>
  <si>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</si>
  <si>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</si>
  <si>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</si>
  <si>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</si>
  <si>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</si>
  <si>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</si>
  <si>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</si>
  <si>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</si>
  <si>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</si>
  <si>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</si>
  <si>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</si>
  <si>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</si>
  <si>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</si>
  <si>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</si>
  <si>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</si>
  <si>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</si>
  <si>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</si>
  <si>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</si>
  <si>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</si>
  <si>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</si>
  <si>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</si>
  <si>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</si>
  <si>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</si>
  <si>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</si>
  <si>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</si>
  <si>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</si>
  <si>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</si>
  <si>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</si>
  <si>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</si>
  <si>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</si>
  <si>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</si>
  <si>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</si>
  <si>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</si>
  <si>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</si>
  <si>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</si>
  <si>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</si>
  <si>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</si>
  <si>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</si>
  <si>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</si>
  <si>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</si>
  <si>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</si>
  <si>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</si>
  <si>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</si>
  <si>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</si>
  <si>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</si>
  <si>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</si>
  <si>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</si>
  <si>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</si>
  <si>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</si>
  <si>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</si>
  <si>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</si>
  <si>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</si>
  <si>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</si>
  <si>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</si>
  <si>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</si>
  <si>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</si>
  <si>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</si>
  <si>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</si>
  <si>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</si>
  <si>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</si>
  <si>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</si>
  <si>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</si>
  <si>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</si>
  <si>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</si>
  <si>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</si>
  <si>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</si>
  <si>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</si>
  <si>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</si>
  <si>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</si>
  <si>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</si>
  <si>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</si>
  <si>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</si>
  <si>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</si>
  <si>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</si>
  <si>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</si>
  <si>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</si>
  <si>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</si>
  <si>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</si>
  <si>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</si>
  <si>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</si>
  <si>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</si>
  <si>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</si>
  <si>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</si>
  <si>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</si>
  <si>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</si>
  <si>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</si>
  <si>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</si>
  <si>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</si>
  <si>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</si>
  <si>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</si>
  <si>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</si>
  <si>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</si>
  <si>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</si>
  <si>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</si>
  <si>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</si>
  <si>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</si>
  <si>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</si>
  <si>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</si>
  <si>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</si>
  <si>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</si>
  <si>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</si>
  <si>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</si>
  <si>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</si>
  <si>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</si>
  <si>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</si>
  <si>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</si>
  <si>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</si>
  <si>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</si>
  <si>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</si>
  <si>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</si>
  <si>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</si>
  <si>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</si>
  <si>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</si>
  <si>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</si>
  <si>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</si>
  <si>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</si>
  <si>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</si>
  <si>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</si>
  <si>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</si>
  <si>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</si>
  <si>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</si>
  <si>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</si>
  <si>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</si>
  <si>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</si>
  <si>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</si>
  <si>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</si>
  <si>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</si>
  <si>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</si>
  <si>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</si>
  <si>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</si>
  <si>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</si>
  <si>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</si>
  <si>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</si>
  <si>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</si>
  <si>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</si>
  <si>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</si>
  <si>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</si>
  <si>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</si>
  <si>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</si>
  <si>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</si>
  <si>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</si>
  <si>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</si>
  <si>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</si>
  <si>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</si>
  <si>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</si>
  <si>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</si>
  <si>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</si>
  <si>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</si>
  <si>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</si>
  <si>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</si>
  <si>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</si>
  <si>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</si>
  <si>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</si>
  <si>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</si>
  <si>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</si>
  <si>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</si>
  <si>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</si>
  <si>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</si>
  <si>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</si>
  <si>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</si>
  <si>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</si>
  <si>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</si>
  <si>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</si>
  <si>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</si>
  <si>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</si>
  <si>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</si>
  <si>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</si>
  <si>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</si>
  <si>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</si>
  <si>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</si>
  <si>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</si>
  <si>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</si>
  <si>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</si>
  <si>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</si>
  <si>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</si>
  <si>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</si>
  <si>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</si>
  <si>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</si>
  <si>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</si>
  <si>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</si>
  <si>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</si>
  <si>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</si>
  <si>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</si>
  <si>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</si>
  <si>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</si>
  <si>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</si>
  <si>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</si>
  <si>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</si>
  <si>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</si>
  <si>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</si>
  <si>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</si>
  <si>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</si>
  <si>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</si>
  <si>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</si>
  <si>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</si>
  <si>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</si>
  <si>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</si>
  <si>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</si>
  <si>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</si>
  <si>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</si>
  <si>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</si>
  <si>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</si>
  <si>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</si>
  <si>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</si>
  <si>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</si>
  <si>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</si>
  <si>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</si>
  <si>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</si>
  <si>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</si>
  <si>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</si>
  <si>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</si>
  <si>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</si>
  <si>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</si>
  <si>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</si>
  <si>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</si>
  <si>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</si>
  <si>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</si>
  <si>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</si>
  <si>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</si>
  <si>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</si>
  <si>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</si>
  <si>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</si>
  <si>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</si>
  <si>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</si>
  <si>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</si>
  <si>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</si>
  <si>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</si>
  <si>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</si>
  <si>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</si>
  <si>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</si>
  <si>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</si>
  <si>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</si>
  <si>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</si>
  <si>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</si>
  <si>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</si>
  <si>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</si>
  <si>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</si>
  <si>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</si>
  <si>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</si>
  <si>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</si>
  <si>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</si>
  <si>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</si>
  <si>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</si>
  <si>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</si>
  <si>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</si>
  <si>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</si>
  <si>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</si>
  <si>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</si>
  <si>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</si>
  <si>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</si>
  <si>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</si>
  <si>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</si>
  <si>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</si>
  <si>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</si>
  <si>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</si>
  <si>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</si>
  <si>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</si>
  <si>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</si>
  <si>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</si>
  <si>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</si>
  <si>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</si>
  <si>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</si>
  <si>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</si>
  <si>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</si>
  <si>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</si>
  <si>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</si>
  <si>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</si>
  <si>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</si>
  <si>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</si>
  <si>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</si>
  <si>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</si>
  <si>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</si>
  <si>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</si>
  <si>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</si>
  <si>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</si>
  <si>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</si>
  <si>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</si>
  <si>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</si>
  <si>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</si>
  <si>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</si>
  <si>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</si>
  <si>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</si>
  <si>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</si>
  <si>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</si>
  <si>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</si>
  <si>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</si>
  <si>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</si>
  <si>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</si>
  <si>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</si>
  <si>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</si>
  <si>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</si>
  <si>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</si>
  <si>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</si>
  <si>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</si>
  <si>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</si>
  <si>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</si>
  <si>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</si>
  <si>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</si>
  <si>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</si>
  <si>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</si>
  <si>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</si>
  <si>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</si>
  <si>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</si>
  <si>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</si>
  <si>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</si>
  <si>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</si>
  <si>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</si>
  <si>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</si>
  <si>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</si>
  <si>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</si>
  <si>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</si>
  <si>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</si>
  <si>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</si>
  <si>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</si>
  <si>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</si>
  <si>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</si>
  <si>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</si>
  <si>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</si>
  <si>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</si>
  <si>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</si>
  <si>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</si>
  <si>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</si>
  <si>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</si>
  <si>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</si>
  <si>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</si>
  <si>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</si>
  <si>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</si>
  <si>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</si>
  <si>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</si>
  <si>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</si>
  <si>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</si>
  <si>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</si>
  <si>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</si>
  <si>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</si>
  <si>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</si>
  <si>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</si>
  <si>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</si>
  <si>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</si>
  <si>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</si>
  <si>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</si>
  <si>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</si>
  <si>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</si>
  <si>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</si>
  <si>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</si>
  <si>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</si>
  <si>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</si>
  <si>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</si>
  <si>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</si>
  <si>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</si>
  <si>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</si>
  <si>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</si>
  <si>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</si>
  <si>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</si>
  <si>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</si>
  <si>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</si>
  <si>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</si>
  <si>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</si>
  <si>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</si>
  <si>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</si>
  <si>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</si>
  <si>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</si>
  <si>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</si>
  <si>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</si>
  <si>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</si>
  <si>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</si>
  <si>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</si>
  <si>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</si>
  <si>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</si>
  <si>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</si>
  <si>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</si>
  <si>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</si>
  <si>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</si>
  <si>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</si>
  <si>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</si>
  <si>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</si>
  <si>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</si>
  <si>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</si>
  <si>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</si>
  <si>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</si>
  <si>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</si>
  <si>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</si>
  <si>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</si>
  <si>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</si>
  <si>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</si>
  <si>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</si>
  <si>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</si>
  <si>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</si>
  <si>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</si>
  <si>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</si>
  <si>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</si>
  <si>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</si>
  <si>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</si>
  <si>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</si>
  <si>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</si>
  <si>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</si>
  <si>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</si>
  <si>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</si>
  <si>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</si>
  <si>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</si>
  <si>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</si>
  <si>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</si>
  <si>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</si>
  <si>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</si>
  <si>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</si>
  <si>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</si>
  <si>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</si>
  <si>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</si>
  <si>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</si>
  <si>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</si>
  <si>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</si>
  <si>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</si>
  <si>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</si>
  <si>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</si>
  <si>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</si>
  <si>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</si>
  <si>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</si>
  <si>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</si>
  <si>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</si>
  <si>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</si>
  <si>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</si>
  <si>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</si>
  <si>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</si>
  <si>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</si>
  <si>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</si>
  <si>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</si>
  <si>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</si>
  <si>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</si>
  <si>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</si>
  <si>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</si>
  <si>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</si>
  <si>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</si>
  <si>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</si>
  <si>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</si>
  <si>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</si>
  <si>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</si>
  <si>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</si>
  <si>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</si>
  <si>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</si>
  <si>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</si>
  <si>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</si>
  <si>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</si>
  <si>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</si>
  <si>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</si>
  <si>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</si>
  <si>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</si>
  <si>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</si>
  <si>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</si>
  <si>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</si>
  <si>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</si>
  <si>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</si>
  <si>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</si>
  <si>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</si>
  <si>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</si>
  <si>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</si>
  <si>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</si>
  <si>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</si>
  <si>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</si>
  <si>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</si>
  <si>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</si>
  <si>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</si>
  <si>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</si>
  <si>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</si>
  <si>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</si>
  <si>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</si>
  <si>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</si>
  <si>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</si>
  <si>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</si>
  <si>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</si>
  <si>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</si>
  <si>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</si>
  <si>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</si>
  <si>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</si>
  <si>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</si>
  <si>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</si>
  <si>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</si>
  <si>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</si>
  <si>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</si>
  <si>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</si>
  <si>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</si>
  <si>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</si>
  <si>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</si>
  <si>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</si>
  <si>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</si>
  <si>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</si>
  <si>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</si>
  <si>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</si>
  <si>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</si>
  <si>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</si>
  <si>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</si>
  <si>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</si>
  <si>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</si>
  <si>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</si>
  <si>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</si>
  <si>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</si>
  <si>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</si>
  <si>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</si>
  <si>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</si>
  <si>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</si>
  <si>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</si>
  <si>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</si>
  <si>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</si>
  <si>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</si>
  <si>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</si>
  <si>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</si>
  <si>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</si>
  <si>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</si>
  <si>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</si>
  <si>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</si>
  <si>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</si>
  <si>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</si>
  <si>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</si>
  <si>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</si>
  <si>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</si>
  <si>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</si>
  <si>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</si>
  <si>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</si>
  <si>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</si>
  <si>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</si>
  <si>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</si>
  <si>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</si>
  <si>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</si>
  <si>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</si>
  <si>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</si>
  <si>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</si>
  <si>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</si>
  <si>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</si>
  <si>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</si>
  <si>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</si>
  <si>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</si>
  <si>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</si>
  <si>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</si>
  <si>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</si>
  <si>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</si>
  <si>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</si>
  <si>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</si>
  <si>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</si>
  <si>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</si>
  <si>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</si>
  <si>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</si>
  <si>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</si>
  <si>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</si>
  <si>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</si>
  <si>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</si>
  <si>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</si>
  <si>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</si>
  <si>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</si>
  <si>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</si>
  <si>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</si>
  <si>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</si>
  <si>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</si>
  <si>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</si>
  <si>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</si>
  <si>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</si>
  <si>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</si>
  <si>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</si>
  <si>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</si>
  <si>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</si>
  <si>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</si>
  <si>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</si>
  <si>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</si>
  <si>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</si>
  <si>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</si>
  <si>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</si>
  <si>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</si>
  <si>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</si>
  <si>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</si>
  <si>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</si>
  <si>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</si>
  <si>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</si>
  <si>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</si>
  <si>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</si>
  <si>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</si>
  <si>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</si>
  <si>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</si>
  <si>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</si>
  <si>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</si>
  <si>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</si>
  <si>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</si>
  <si>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</si>
  <si>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</si>
  <si>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</si>
  <si>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</si>
  <si>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</si>
  <si>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</si>
  <si>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</si>
  <si>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</si>
  <si>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</si>
  <si>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</si>
  <si>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</si>
  <si>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</si>
  <si>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</si>
  <si>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</si>
  <si>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</si>
  <si>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</si>
  <si>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</si>
  <si>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</si>
  <si>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</si>
  <si>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</si>
  <si>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</si>
  <si>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</si>
  <si>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</si>
  <si>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</si>
  <si>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</si>
  <si>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</si>
  <si>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</si>
  <si>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</si>
  <si>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</si>
  <si>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</si>
  <si>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</si>
  <si>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</si>
  <si>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</si>
  <si>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</si>
  <si>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</si>
  <si>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</si>
  <si>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</si>
  <si>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</si>
  <si>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</si>
  <si>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</si>
  <si>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</si>
  <si>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</si>
  <si>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</si>
  <si>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</si>
  <si>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</si>
  <si>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</si>
  <si>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</si>
  <si>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</si>
  <si>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</si>
  <si>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</si>
  <si>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</si>
  <si>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</si>
  <si>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</si>
  <si>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</si>
  <si>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</si>
  <si>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</si>
  <si>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</si>
  <si>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</si>
  <si>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</si>
  <si>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</si>
  <si>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</si>
  <si>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</si>
  <si>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</si>
  <si>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</si>
  <si>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</si>
  <si>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</si>
  <si>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</si>
  <si>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</si>
  <si>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</si>
  <si>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</si>
  <si>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</si>
  <si>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</si>
  <si>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</si>
  <si>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</si>
  <si>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</si>
  <si>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</si>
  <si>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</si>
  <si>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</si>
  <si>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</si>
  <si>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</si>
  <si>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</si>
  <si>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</si>
  <si>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</si>
  <si>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</si>
  <si>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</si>
  <si>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</si>
  <si>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</si>
  <si>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</si>
  <si>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</si>
  <si>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</si>
  <si>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</si>
  <si>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</si>
  <si>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</si>
  <si>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</si>
  <si>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</si>
  <si>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</si>
  <si>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</si>
  <si>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</si>
  <si>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</si>
  <si>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</si>
  <si>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</si>
  <si>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</si>
  <si>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</si>
  <si>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</si>
  <si>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</si>
  <si>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</si>
  <si>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</si>
  <si>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</si>
  <si>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</si>
  <si>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</si>
  <si>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</si>
  <si>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</si>
  <si>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</si>
  <si>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</si>
  <si>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</si>
  <si>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</si>
  <si>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</si>
  <si>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</si>
  <si>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</si>
  <si>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</si>
  <si>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</si>
  <si>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</si>
  <si>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</si>
  <si>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</si>
  <si>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</si>
  <si>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</si>
  <si>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</si>
  <si>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</si>
  <si>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</si>
  <si>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</si>
  <si>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</si>
  <si>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</si>
  <si>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</si>
  <si>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</si>
  <si>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</si>
  <si>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</si>
  <si>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</si>
  <si>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</si>
  <si>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</si>
  <si>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</si>
  <si>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</si>
  <si>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</si>
  <si>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</si>
  <si>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</si>
  <si>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</si>
  <si>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</si>
  <si>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</si>
  <si>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</si>
  <si>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</si>
  <si>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</si>
  <si>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</si>
  <si>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</si>
  <si>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</si>
  <si>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</si>
  <si>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</si>
  <si>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</si>
  <si>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</si>
  <si>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</si>
  <si>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</si>
  <si>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</si>
  <si>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</si>
  <si>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</si>
  <si>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</si>
  <si>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</si>
  <si>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</si>
  <si>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</si>
  <si>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</si>
  <si>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</si>
  <si>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</si>
  <si>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</si>
  <si>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</si>
  <si>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</si>
  <si>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</si>
  <si>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</si>
  <si>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</si>
  <si>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</si>
  <si>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</si>
  <si>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</si>
  <si>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</si>
  <si>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</si>
  <si>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</si>
  <si>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</si>
  <si>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</si>
  <si>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</si>
  <si>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</si>
  <si>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</si>
  <si>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</si>
  <si>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</si>
  <si>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</si>
  <si>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</si>
  <si>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</si>
  <si>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</si>
  <si>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</si>
  <si>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</si>
  <si>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</si>
  <si>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</si>
  <si>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</si>
  <si>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</si>
  <si>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</si>
  <si>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</si>
  <si>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</si>
  <si>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</si>
  <si>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</si>
  <si>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</si>
  <si>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</si>
  <si>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</si>
  <si>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</si>
  <si>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</si>
  <si>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</si>
  <si>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</si>
  <si>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</si>
  <si>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</si>
  <si>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</si>
  <si>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</si>
  <si>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</si>
  <si>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</si>
  <si>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</si>
  <si>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</si>
  <si>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</si>
  <si>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</si>
  <si>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</si>
  <si>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</si>
  <si>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</si>
  <si>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</si>
  <si>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</si>
  <si>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</si>
  <si>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</si>
  <si>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</si>
  <si>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</si>
  <si>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</si>
  <si>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</si>
  <si>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</si>
  <si>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</si>
  <si>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</si>
  <si>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</si>
  <si>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</si>
  <si>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</si>
  <si>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</si>
  <si>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</si>
  <si>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</si>
  <si>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</si>
  <si>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</si>
  <si>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</si>
  <si>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</si>
  <si>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</si>
  <si>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</si>
  <si>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</si>
  <si>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</si>
  <si>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</si>
  <si>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</si>
  <si>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</si>
  <si>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</si>
  <si>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</si>
  <si>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</si>
  <si>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</si>
  <si>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</si>
  <si>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</si>
  <si>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</si>
  <si>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</si>
  <si>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</si>
  <si>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</si>
  <si>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</si>
  <si>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</si>
  <si>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</si>
  <si>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</si>
  <si>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</si>
  <si>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</si>
  <si>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</si>
  <si>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</si>
  <si>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</si>
  <si>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</si>
  <si>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</si>
  <si>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</si>
  <si>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</si>
  <si>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</si>
  <si>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</si>
  <si>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</si>
  <si>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</si>
  <si>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</si>
  <si>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</si>
  <si>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</si>
  <si>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</si>
  <si>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</si>
  <si>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</si>
  <si>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</si>
  <si>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</si>
  <si>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</si>
  <si>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</si>
  <si>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</si>
  <si>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</si>
  <si>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</si>
  <si>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</si>
  <si>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</si>
  <si>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</si>
  <si>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</si>
  <si>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</si>
  <si>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</si>
  <si>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</si>
  <si>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</si>
  <si>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</si>
  <si>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</si>
  <si>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</si>
  <si>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</si>
  <si>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</si>
  <si>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</si>
  <si>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</si>
  <si>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</si>
  <si>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</si>
  <si>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</si>
  <si>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</si>
  <si>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</si>
  <si>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</si>
  <si>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</si>
  <si>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</si>
  <si>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</si>
  <si>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</si>
  <si>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</si>
  <si>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</si>
  <si>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</si>
  <si>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</si>
  <si>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</si>
  <si>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</si>
  <si>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</si>
  <si>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</si>
  <si>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</si>
  <si>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</si>
  <si>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</si>
  <si>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</si>
  <si>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</si>
  <si>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</si>
  <si>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</si>
  <si>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</si>
  <si>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</si>
  <si>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</si>
  <si>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</si>
  <si>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</si>
  <si>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</si>
  <si>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</si>
  <si>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</si>
  <si>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</si>
  <si>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</si>
  <si>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</si>
  <si>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</si>
  <si>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</si>
  <si>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</si>
  <si>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</si>
  <si>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</si>
  <si>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</si>
  <si>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</si>
  <si>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</si>
  <si>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</si>
  <si>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</si>
  <si>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</si>
  <si>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</si>
  <si>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</si>
  <si>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</si>
  <si>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</si>
  <si>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</si>
  <si>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</si>
  <si>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</si>
  <si>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</si>
  <si>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</si>
  <si>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</si>
  <si>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</si>
  <si>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</si>
  <si>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</si>
  <si>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</si>
  <si>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</si>
  <si>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</si>
  <si>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</si>
  <si>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</si>
  <si>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</si>
  <si>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</si>
  <si>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</si>
  <si>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</si>
  <si>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</si>
  <si>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</si>
  <si>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</si>
  <si>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</si>
  <si>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</si>
  <si>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</si>
  <si>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</si>
  <si>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</si>
  <si>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</si>
  <si>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</si>
  <si>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</si>
  <si>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</si>
  <si>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</si>
  <si>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</si>
  <si>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</si>
  <si>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</si>
  <si>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</si>
  <si>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</si>
  <si>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</si>
  <si>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</si>
  <si>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</si>
  <si>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</si>
  <si>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</si>
  <si>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</si>
  <si>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</si>
  <si>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</si>
  <si>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</si>
  <si>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</si>
  <si>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</si>
  <si>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</si>
  <si>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</si>
  <si>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</si>
  <si>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</si>
  <si>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</si>
  <si>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</si>
  <si>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</si>
  <si>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</si>
  <si>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</si>
  <si>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</si>
  <si>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</si>
  <si>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</si>
  <si>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</si>
  <si>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</si>
  <si>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</si>
  <si>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</si>
  <si>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</si>
  <si>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</si>
  <si>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</si>
  <si>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</si>
  <si>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</si>
  <si>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</si>
  <si>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</si>
  <si>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</si>
  <si>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</si>
  <si>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</si>
  <si>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</si>
  <si>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</si>
  <si>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</si>
  <si>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</si>
  <si>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</si>
  <si>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</si>
  <si>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</si>
  <si>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</si>
  <si>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</si>
  <si>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</si>
  <si>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</si>
  <si>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</si>
  <si>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</si>
  <si>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</si>
  <si>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</si>
  <si>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</si>
  <si>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</si>
  <si>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</si>
  <si>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</si>
  <si>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</si>
  <si>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</si>
  <si>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</si>
  <si>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</si>
  <si>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</si>
  <si>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</si>
  <si>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</si>
  <si>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</si>
  <si>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</si>
  <si>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</si>
  <si>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</si>
  <si>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</si>
  <si>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</si>
  <si>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</si>
  <si>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</si>
  <si>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</si>
  <si>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</si>
  <si>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</si>
  <si>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</si>
  <si>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</si>
  <si>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</si>
  <si>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</si>
  <si>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</si>
  <si>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</si>
  <si>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</si>
  <si>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</si>
  <si>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</si>
  <si>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</si>
  <si>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</si>
  <si>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</si>
  <si>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</si>
  <si>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</si>
  <si>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</si>
  <si>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</si>
  <si>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</si>
  <si>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</si>
  <si>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</si>
  <si>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</si>
  <si>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</si>
  <si>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</si>
  <si>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</si>
  <si>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</si>
  <si>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</si>
  <si>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</si>
  <si>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</si>
  <si>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</si>
  <si>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</si>
  <si>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</si>
  <si>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</si>
  <si>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</si>
  <si>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</si>
  <si>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</si>
  <si>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</si>
  <si>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</si>
  <si>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</si>
  <si>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</si>
  <si>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</si>
  <si>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</si>
  <si>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</si>
  <si>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</si>
  <si>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</si>
  <si>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</si>
  <si>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</si>
  <si>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</si>
  <si>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</si>
  <si>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</si>
  <si>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</si>
  <si>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</si>
  <si>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</si>
  <si>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</si>
  <si>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</si>
  <si>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</si>
  <si>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</si>
  <si>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</si>
  <si>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</si>
  <si>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</si>
  <si>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</si>
  <si>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</si>
  <si>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</si>
  <si>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</si>
  <si>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</si>
  <si>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</si>
  <si>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</si>
  <si>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</si>
  <si>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</si>
  <si>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</si>
  <si>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</si>
  <si>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</si>
  <si>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</si>
  <si>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</si>
  <si>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</si>
  <si>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</si>
  <si>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</si>
  <si>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</si>
  <si>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</si>
  <si>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</si>
  <si>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</si>
  <si>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</si>
  <si>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</si>
  <si>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</si>
  <si>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</si>
  <si>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</si>
  <si>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</si>
  <si>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</si>
  <si>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</si>
  <si>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</si>
  <si>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</si>
  <si>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</si>
  <si>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</si>
  <si>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</si>
  <si>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</si>
  <si>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</si>
  <si>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</si>
  <si>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</si>
  <si>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</si>
  <si>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</si>
  <si>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</si>
  <si>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</si>
  <si>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</si>
  <si>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</si>
  <si>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</si>
  <si>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</si>
  <si>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</si>
  <si>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</si>
  <si>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</si>
  <si>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</si>
  <si>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</si>
  <si>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</si>
  <si>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</si>
  <si>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</si>
  <si>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</si>
  <si>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</si>
  <si>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</si>
  <si>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</si>
  <si>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</si>
  <si>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</si>
  <si>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</si>
  <si>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</si>
  <si>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</si>
  <si>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</si>
  <si>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</si>
  <si>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</si>
  <si>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</si>
  <si>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</si>
  <si>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</si>
  <si>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</si>
  <si>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</si>
  <si>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</si>
  <si>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</si>
  <si>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</si>
  <si>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</si>
  <si>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</si>
  <si>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</si>
  <si>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</si>
  <si>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</si>
  <si>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</si>
  <si>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</si>
  <si>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</si>
  <si>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</si>
  <si>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</si>
  <si>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</si>
  <si>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</si>
  <si>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</si>
  <si>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</si>
  <si>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</si>
  <si>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</si>
  <si>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</si>
  <si>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</si>
  <si>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</si>
  <si>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</si>
  <si>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</si>
  <si>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</si>
  <si>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</si>
  <si>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</si>
  <si>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</si>
  <si>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</si>
  <si>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</si>
  <si>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</si>
  <si>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</si>
  <si>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</si>
  <si>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</si>
  <si>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</si>
  <si>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</si>
  <si>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</si>
  <si>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</si>
  <si>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</si>
  <si>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</si>
  <si>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</si>
  <si>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</si>
  <si>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</si>
  <si>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</si>
  <si>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</si>
  <si>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</si>
  <si>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</si>
  <si>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</si>
  <si>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</si>
  <si>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</si>
  <si>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</si>
  <si>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</si>
  <si>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</si>
  <si>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</si>
  <si>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</si>
  <si>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</si>
  <si>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</si>
  <si>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</si>
  <si>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</si>
  <si>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</si>
  <si>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</si>
  <si>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</si>
  <si>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</si>
  <si>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</si>
  <si>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</si>
  <si>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</si>
  <si>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</si>
  <si>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</si>
  <si>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</si>
  <si>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</si>
  <si>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</si>
  <si>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</si>
  <si>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</si>
  <si>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</si>
  <si>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</si>
  <si>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</si>
  <si>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</si>
  <si>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</si>
  <si>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</si>
  <si>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</si>
  <si>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</si>
  <si>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</si>
  <si>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</si>
  <si>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</si>
  <si>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</si>
  <si>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</si>
  <si>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</si>
  <si>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</si>
  <si>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</si>
  <si>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</si>
  <si>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</si>
  <si>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</si>
  <si>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</si>
  <si>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</si>
  <si>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</si>
  <si>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</si>
  <si>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</si>
  <si>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</si>
  <si>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</si>
  <si>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</si>
  <si>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</si>
  <si>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</si>
  <si>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</si>
  <si>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</si>
  <si>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</si>
  <si>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</si>
  <si>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</si>
  <si>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</si>
  <si>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</si>
  <si>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</si>
  <si>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</si>
  <si>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</si>
  <si>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</si>
  <si>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</si>
  <si>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</si>
  <si>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</si>
  <si>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</si>
  <si>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</si>
  <si>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</si>
  <si>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</si>
  <si>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</si>
  <si>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</si>
  <si>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</si>
  <si>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</si>
  <si>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</si>
  <si>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</si>
  <si>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</si>
  <si>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</si>
  <si>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</si>
  <si>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</si>
  <si>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</si>
  <si>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</si>
  <si>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</si>
  <si>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</si>
  <si>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</si>
  <si>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</si>
  <si>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</si>
  <si>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</si>
  <si>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</si>
  <si>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</si>
  <si>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</si>
  <si>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</si>
  <si>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</si>
  <si>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</si>
  <si>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</si>
  <si>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</si>
  <si>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</si>
  <si>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</si>
  <si>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</si>
  <si>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</si>
  <si>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</si>
  <si>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</si>
  <si>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</si>
  <si>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</si>
  <si>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</si>
  <si>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</si>
  <si>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</si>
  <si>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</si>
  <si>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</si>
  <si>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</si>
  <si>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</si>
  <si>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</si>
  <si>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</si>
  <si>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</si>
  <si>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</si>
  <si>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</si>
  <si>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</si>
  <si>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</si>
  <si>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</si>
  <si>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</si>
  <si>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</si>
  <si>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</si>
  <si>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</si>
  <si>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</si>
  <si>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</si>
  <si>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</si>
  <si>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</si>
  <si>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</si>
  <si>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</si>
  <si>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</si>
  <si>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</si>
  <si>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</si>
  <si>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</si>
  <si>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</si>
  <si>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</si>
  <si>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</si>
  <si>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</si>
  <si>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</si>
  <si>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</si>
  <si>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</si>
  <si>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</si>
  <si>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</si>
  <si>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</si>
  <si>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</si>
  <si>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</si>
  <si>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</si>
  <si>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</si>
  <si>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</si>
  <si>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</si>
  <si>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</si>
  <si>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</si>
  <si>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</si>
  <si>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</si>
  <si>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</si>
  <si>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</si>
  <si>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</si>
  <si>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</si>
  <si>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</si>
  <si>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</si>
  <si>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</si>
  <si>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</si>
  <si>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</si>
  <si>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</si>
  <si>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</si>
  <si>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</si>
  <si>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</si>
  <si>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</si>
  <si>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</si>
  <si>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</si>
  <si>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</si>
  <si>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</si>
  <si>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</si>
  <si>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</si>
  <si>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</si>
  <si>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</si>
  <si>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</si>
  <si>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</si>
  <si>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</si>
  <si>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</si>
  <si>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</si>
  <si>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</si>
  <si>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</si>
  <si>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</si>
  <si>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</si>
  <si>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</si>
  <si>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</si>
  <si>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</si>
  <si>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</si>
  <si>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</si>
  <si>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</si>
  <si>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</si>
  <si>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</si>
  <si>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</si>
  <si>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</si>
  <si>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</si>
  <si>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</si>
  <si>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</si>
  <si>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</si>
  <si>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</si>
  <si>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</si>
  <si>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</si>
  <si>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</si>
  <si>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</si>
  <si>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</si>
  <si>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</si>
  <si>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</si>
  <si>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</si>
  <si>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</si>
  <si>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</si>
  <si>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</si>
  <si>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</si>
  <si>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</si>
  <si>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</si>
  <si>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</si>
  <si>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</si>
  <si>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</si>
  <si>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</si>
  <si>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</si>
  <si>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</si>
  <si>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</si>
  <si>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</si>
  <si>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</si>
  <si>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</si>
  <si>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</si>
  <si>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</si>
  <si>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</si>
  <si>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</si>
  <si>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</si>
  <si>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</si>
  <si>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</si>
  <si>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</si>
  <si>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</si>
  <si>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</si>
  <si>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</si>
  <si>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</si>
  <si>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</si>
  <si>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</si>
  <si>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</si>
  <si>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</si>
  <si>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</si>
  <si>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</si>
  <si>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</si>
  <si>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</si>
  <si>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</si>
  <si>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</si>
  <si>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</si>
  <si>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</si>
  <si>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</si>
  <si>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</si>
  <si>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</si>
  <si>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</si>
  <si>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</si>
  <si>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</si>
  <si>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</si>
  <si>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</si>
  <si>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</si>
  <si>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</si>
  <si>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</si>
  <si>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</si>
  <si>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</si>
  <si>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</si>
  <si>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</si>
  <si>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</si>
  <si>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</si>
  <si>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</si>
  <si>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</si>
  <si>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</si>
  <si>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</si>
  <si>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</si>
  <si>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</si>
  <si>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</si>
  <si>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</si>
  <si>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</si>
  <si>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</si>
  <si>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</si>
  <si>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</si>
  <si>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</si>
  <si>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</si>
  <si>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</si>
  <si>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</si>
  <si>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</si>
  <si>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</si>
  <si>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</si>
  <si>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</si>
  <si>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</si>
  <si>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</si>
  <si>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</si>
  <si>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</si>
  <si>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</si>
  <si>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</si>
  <si>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</si>
  <si>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</si>
  <si>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</si>
  <si>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</si>
  <si>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</si>
  <si>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</si>
  <si>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</si>
  <si>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</si>
  <si>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</si>
  <si>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</si>
  <si>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</si>
  <si>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</si>
  <si>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</si>
  <si>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</si>
  <si>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</si>
  <si>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</si>
  <si>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</si>
  <si>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</si>
  <si>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</si>
  <si>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</si>
  <si>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</si>
  <si>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</si>
  <si>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</si>
  <si>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</si>
  <si>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</si>
  <si>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</si>
  <si>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</si>
  <si>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</si>
  <si>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</si>
  <si>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</si>
  <si>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</si>
  <si>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</si>
  <si>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</si>
  <si>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</si>
  <si>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</si>
  <si>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</si>
  <si>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</si>
  <si>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</si>
  <si>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</si>
  <si>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</si>
  <si>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</si>
  <si>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</si>
  <si>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</si>
  <si>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</si>
  <si>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</si>
  <si>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</si>
  <si>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</si>
  <si>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</si>
  <si>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</si>
  <si>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</si>
  <si>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</si>
  <si>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</si>
  <si>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</si>
  <si>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</si>
  <si>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</si>
  <si>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</si>
  <si>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</si>
  <si>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</si>
  <si>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</si>
  <si>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</si>
  <si>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</si>
  <si>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</si>
  <si>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</si>
  <si>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</si>
  <si>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</si>
  <si>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</si>
  <si>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</si>
  <si>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</si>
  <si>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</si>
  <si>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</si>
  <si>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</si>
  <si>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</si>
  <si>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</si>
  <si>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</si>
  <si>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</si>
  <si>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</si>
  <si>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</si>
  <si>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</si>
  <si>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</si>
  <si>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</si>
  <si>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</si>
  <si>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</si>
  <si>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</si>
  <si>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</si>
  <si>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</si>
  <si>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</si>
  <si>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</si>
  <si>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</si>
  <si>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</si>
  <si>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</si>
  <si>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</si>
  <si>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</si>
  <si>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</si>
  <si>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</si>
  <si>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</si>
  <si>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</si>
  <si>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</si>
  <si>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</si>
  <si>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</si>
  <si>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</si>
  <si>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</si>
  <si>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</si>
  <si>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</si>
  <si>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</si>
  <si>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</si>
  <si>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</si>
  <si>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</si>
  <si>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</si>
  <si>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</si>
  <si>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</si>
  <si>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</si>
  <si>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</si>
  <si>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</si>
  <si>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</si>
  <si>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</si>
  <si>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</si>
  <si>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</si>
  <si>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</si>
  <si>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</si>
  <si>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</si>
  <si>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</si>
  <si>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</si>
  <si>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</si>
  <si>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</si>
  <si>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</si>
  <si>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</si>
  <si>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</si>
  <si>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</si>
  <si>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</si>
  <si>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</si>
  <si>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</si>
  <si>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</si>
  <si>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</si>
  <si>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</si>
  <si>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</si>
  <si>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</si>
  <si>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</si>
  <si>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</si>
  <si>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</si>
  <si>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</si>
  <si>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</si>
  <si>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</si>
  <si>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</si>
  <si>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</si>
  <si>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</si>
  <si>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</si>
  <si>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</si>
  <si>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</si>
  <si>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</si>
  <si>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</si>
  <si>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</si>
  <si>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</si>
  <si>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</si>
  <si>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</si>
  <si>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</si>
  <si>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</si>
  <si>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</si>
  <si>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</si>
  <si>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</si>
  <si>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</si>
  <si>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</si>
  <si>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</si>
  <si>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</si>
  <si>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</si>
  <si>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</si>
  <si>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</si>
  <si>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</si>
  <si>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</si>
  <si>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</si>
  <si>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</si>
  <si>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</si>
  <si>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</si>
  <si>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</si>
  <si>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</si>
  <si>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</si>
  <si>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</si>
  <si>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</si>
  <si>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</si>
  <si>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</si>
  <si>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</si>
  <si>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</si>
  <si>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</si>
  <si>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</si>
  <si>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</si>
  <si>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</si>
  <si>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</si>
  <si>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</si>
  <si>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</si>
  <si>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</si>
  <si>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</si>
  <si>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</si>
  <si>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</si>
  <si>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</si>
  <si>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</si>
  <si>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</si>
  <si>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</si>
  <si>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</si>
  <si>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</si>
  <si>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</si>
  <si>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</si>
  <si>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</si>
  <si>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</si>
  <si>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</si>
  <si>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</si>
  <si>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</si>
  <si>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</si>
  <si>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</si>
  <si>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</si>
  <si>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Gross Profit</t>
  </si>
  <si>
    <t>Coffee fullname</t>
  </si>
  <si>
    <t>Roast Type Fullname</t>
  </si>
  <si>
    <t>Cost Price</t>
  </si>
  <si>
    <t>COGs</t>
  </si>
  <si>
    <t>Row Labels</t>
  </si>
  <si>
    <t>Grand Total</t>
  </si>
  <si>
    <t>2019</t>
  </si>
  <si>
    <t>2020</t>
  </si>
  <si>
    <t>2021</t>
  </si>
  <si>
    <t>2022</t>
  </si>
  <si>
    <t>Sum of Quantity</t>
  </si>
  <si>
    <t>Column Labels</t>
  </si>
  <si>
    <t>(All)</t>
  </si>
  <si>
    <t>% Difference</t>
  </si>
  <si>
    <t>Jan</t>
  </si>
  <si>
    <t>Feb</t>
  </si>
  <si>
    <t>Mar</t>
  </si>
  <si>
    <t>Apr</t>
  </si>
  <si>
    <t>May</t>
  </si>
  <si>
    <t>Jun</t>
  </si>
  <si>
    <t>Jul</t>
  </si>
  <si>
    <t>Aug</t>
  </si>
  <si>
    <t>Sep</t>
  </si>
  <si>
    <t>Oct</t>
  </si>
  <si>
    <t>Nov</t>
  </si>
  <si>
    <t>Dec</t>
  </si>
  <si>
    <t>Sum of Sales</t>
  </si>
  <si>
    <t>Count of Order ID</t>
  </si>
  <si>
    <t>.</t>
  </si>
  <si>
    <t>Arabica</t>
  </si>
  <si>
    <t>Excelsa</t>
  </si>
  <si>
    <t>Liberica</t>
  </si>
  <si>
    <t>Robusta</t>
  </si>
  <si>
    <t>Sum of Gross Profit</t>
  </si>
  <si>
    <t>Dark</t>
  </si>
  <si>
    <t>Light</t>
  </si>
  <si>
    <t>Medium</t>
  </si>
  <si>
    <t xml:space="preserve">Profit margin </t>
  </si>
  <si>
    <t xml:space="preserve"> Status</t>
  </si>
  <si>
    <t>Slicer</t>
  </si>
  <si>
    <t>Chart</t>
  </si>
  <si>
    <t>Total orders</t>
  </si>
  <si>
    <t>total</t>
  </si>
  <si>
    <t>Logo</t>
  </si>
  <si>
    <t>Top 5 Customer  EmailID and Phone Numbers</t>
  </si>
  <si>
    <t>Name</t>
  </si>
  <si>
    <t>Phone number</t>
  </si>
  <si>
    <t>% difference</t>
  </si>
  <si>
    <t>Sum of profit margin</t>
  </si>
  <si>
    <t>Profit margin</t>
  </si>
  <si>
    <t>Sum of Profit</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</si>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</sst>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_(&quot;$&quot;* #,##0_);_(&quot;$&quot;* \(#,##0\);_(&quot;$&quot;* &quot;-&quot;??_);_(@_)"/>
    <numFmt numFmtId="166" formatCode="0.00%;\-0.00%;0.00%"/>
  </numFmts>
  <fonts count="6"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
      <sz val="11"/>
      <color rgb="FFC00000"/>
      <name val="Calibri"/>
      <family val="2"/>
      <scheme val="minor"/>
    </font>
    <font>
      <sz val="11"/>
      <color theme="0" tint="-0.74999237037263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FF00"/>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9" fontId="0" fillId="0" borderId="0" xfId="2"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1" applyNumberFormat="1" applyFont="1"/>
    <xf numFmtId="16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9" xfId="0" applyFont="1" applyBorder="1" applyAlignment="1">
      <alignment vertical="center"/>
    </xf>
    <xf numFmtId="0" fontId="3" fillId="0" borderId="9" xfId="0" applyFont="1" applyBorder="1" applyAlignment="1">
      <alignment horizontal="left"/>
    </xf>
    <xf numFmtId="0" fontId="0" fillId="0" borderId="0" xfId="0" applyAlignment="1">
      <alignment vertical="center"/>
    </xf>
    <xf numFmtId="0" fontId="3" fillId="2" borderId="9" xfId="0" applyFont="1" applyFill="1" applyBorder="1"/>
    <xf numFmtId="0" fontId="0" fillId="0" borderId="9" xfId="0" applyBorder="1" applyAlignment="1">
      <alignment horizontal="center" vertical="center"/>
    </xf>
    <xf numFmtId="0" fontId="1" fillId="0" borderId="9" xfId="0" quotePrefix="1" applyFont="1" applyBorder="1" applyAlignment="1">
      <alignment horizontal="center"/>
    </xf>
    <xf numFmtId="0" fontId="0" fillId="0" borderId="9" xfId="0" applyBorder="1"/>
    <xf numFmtId="0" fontId="1" fillId="2" borderId="9" xfId="0" applyFont="1" applyFill="1" applyBorder="1" applyAlignment="1">
      <alignment vertical="center"/>
    </xf>
    <xf numFmtId="0" fontId="1" fillId="2" borderId="0" xfId="0" applyFont="1" applyFill="1" applyAlignment="1">
      <alignment vertical="center"/>
    </xf>
    <xf numFmtId="0" fontId="4" fillId="3" borderId="0" xfId="0" applyFont="1" applyFill="1" applyAlignment="1">
      <alignment wrapText="1"/>
    </xf>
    <xf numFmtId="10" fontId="0" fillId="0" borderId="0" xfId="2" applyNumberFormat="1" applyFont="1"/>
    <xf numFmtId="165" fontId="0" fillId="0" borderId="0" xfId="0" applyNumberFormat="1"/>
    <xf numFmtId="0" fontId="0" fillId="0" borderId="0" xfId="0" applyBorder="1"/>
    <xf numFmtId="0" fontId="0" fillId="0" borderId="10" xfId="0" applyBorder="1"/>
    <xf numFmtId="0" fontId="0" fillId="0" borderId="11" xfId="0" applyBorder="1"/>
    <xf numFmtId="0" fontId="0" fillId="0" borderId="12" xfId="0" applyBorder="1"/>
    <xf numFmtId="0" fontId="5" fillId="0" borderId="8" xfId="0" applyFont="1" applyBorder="1"/>
    <xf numFmtId="0" fontId="0" fillId="0" borderId="11"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5" xfId="0" applyBorder="1" applyAlignment="1">
      <alignment horizontal="center"/>
    </xf>
  </cellXfs>
  <cellStyles count="3">
    <cellStyle name="Currency" xfId="1" builtinId="4"/>
    <cellStyle name="Normal" xfId="0" builtinId="0"/>
    <cellStyle name="Percent" xfId="2" builtinId="5"/>
  </cellStyles>
  <dxfs count="35">
    <dxf>
      <fill>
        <patternFill>
          <bgColor rgb="FF92D050"/>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2" formatCode="0.00"/>
    </dxf>
    <dxf>
      <numFmt numFmtId="165" formatCode="_(&quot;$&quot;* #,##0_);_(&quot;$&quot;* \(#,##0\);_(&quot;$&quot;* &quot;-&quot;??_);_(@_)"/>
    </dxf>
    <dxf>
      <numFmt numFmtId="14" formatCode="0.00%"/>
    </dxf>
    <dxf>
      <numFmt numFmtId="2" formatCode="0.00"/>
    </dxf>
    <dxf>
      <numFmt numFmtId="165" formatCode="_(&quot;$&quot;* #,##0_);_(&quot;$&quot;* \(#,##0\);_(&quot;$&quot;* &quot;-&quot;??_);_(@_)"/>
    </dxf>
    <dxf>
      <numFmt numFmtId="165" formatCode="_(&quot;$&quot;* #,##0_);_(&quot;$&quot;* \(#,##0\);_(&quot;$&quot;* &quot;-&quot;??_);_(@_)"/>
    </dxf>
    <dxf>
      <numFmt numFmtId="1" formatCode="0"/>
    </dxf>
    <dxf>
      <numFmt numFmtId="164" formatCode="0.0"/>
    </dxf>
    <dxf>
      <numFmt numFmtId="165" formatCode="_(&quot;$&quot;* #,##0_);_(&quot;$&quot;* \(#,##0\);_(&quot;$&quot;* &quot;-&quot;??_);_(@_)"/>
    </dxf>
    <dxf>
      <numFmt numFmtId="165" formatCode="_(&quot;$&quot;* #,##0_);_(&quot;$&quot;* \(#,##0\);_(&quot;$&quot;* &quot;-&quot;??_);_(@_)"/>
    </dxf>
    <dxf>
      <fill>
        <patternFill>
          <bgColor theme="6" tint="0.59996337778862885"/>
        </patternFill>
      </fill>
    </dxf>
    <dxf>
      <border diagonalUp="0" diagonalDown="0">
        <left/>
        <right/>
        <top/>
        <bottom/>
        <vertical/>
        <horizontal/>
      </border>
    </dxf>
    <dxf>
      <fill>
        <patternFill>
          <bgColor theme="6" tint="0.59996337778862885"/>
        </patternFill>
      </fill>
    </dxf>
    <dxf>
      <border diagonalUp="0" diagonalDown="0">
        <left/>
        <right/>
        <top/>
        <bottom/>
        <vertical/>
        <horizontal/>
      </border>
    </dxf>
    <dxf>
      <fill>
        <patternFill>
          <bgColor theme="6" tint="0.59996337778862885"/>
        </patternFill>
      </fill>
    </dxf>
    <dxf>
      <border diagonalUp="0" diagonalDown="0">
        <left/>
        <right/>
        <top/>
        <bottom/>
        <vertical/>
        <horizontal/>
      </border>
    </dxf>
  </dxfs>
  <tableStyles count="4" defaultTableStyle="TableStyleMedium2" defaultPivotStyle="PivotStyleMedium9">
    <tableStyle name="Invisible" pivot="0" table="0" count="0" xr9:uid="{79CA8097-C8E6-4E93-BE62-434600BD3190}"/>
    <tableStyle name="Slicer Style 2" pivot="0" table="0" count="10" xr9:uid="{7C48FE5A-C385-4C14-81A2-F361F7BD00E9}">
      <tableStyleElement type="wholeTable" dxfId="34"/>
      <tableStyleElement type="headerRow" dxfId="33"/>
    </tableStyle>
    <tableStyle name="Slicer Style 2 2" pivot="0" table="0" count="10" xr9:uid="{4E0013F0-1B51-4B26-A6EB-7C3299DAE469}">
      <tableStyleElement type="wholeTable" dxfId="32"/>
      <tableStyleElement type="headerRow" dxfId="31"/>
    </tableStyle>
    <tableStyle name="Slicer Style 2 3" pivot="0" table="0" count="10" xr9:uid="{640C64B0-0862-4CB8-9BE0-EF77E67366FB}">
      <tableStyleElement type="wholeTable" dxfId="30"/>
      <tableStyleElement type="headerRow" dxfId="29"/>
    </tableStyle>
  </tableStyles>
  <colors>
    <mruColors>
      <color rgb="FF432105"/>
    </mruColors>
  </colors>
  <extLst>
    <ext xmlns:x14="http://schemas.microsoft.com/office/spreadsheetml/2009/9/main" uri="{46F421CA-312F-682f-3DD2-61675219B42D}">
      <x14:dxfs count="24">
        <dxf>
          <fill>
            <gradientFill>
              <stop position="0">
                <color theme="0"/>
              </stop>
              <stop position="1">
                <color theme="4"/>
              </stop>
            </gradientFill>
          </fill>
        </dxf>
        <dxf>
          <font>
            <strike/>
          </font>
          <fill>
            <patternFill>
              <bgColor rgb="FFFF7F61"/>
            </patternFill>
          </fill>
        </dxf>
        <dxf>
          <fill>
            <patternFill>
              <bgColor rgb="FF92D050"/>
            </patternFill>
          </fill>
        </dxf>
        <dxf>
          <font>
            <strike/>
          </font>
          <fill>
            <patternFill>
              <bgColor rgb="FF92D050"/>
            </patternFill>
          </fill>
        </dxf>
        <dxf>
          <fill>
            <patternFill>
              <bgColor theme="9" tint="0.79998168889431442"/>
            </patternFill>
          </fill>
        </dxf>
        <dxf>
          <fill>
            <patternFill>
              <bgColor theme="9" tint="0.39994506668294322"/>
            </patternFill>
          </fill>
        </dxf>
        <dxf>
          <fill>
            <patternFill>
              <bgColor rgb="FFFF7F61"/>
            </patternFill>
          </fill>
          <border diagonalUp="0" diagonalDown="0">
            <left style="thin">
              <color auto="1"/>
            </left>
            <right style="thin">
              <color auto="1"/>
            </right>
            <top style="thin">
              <color auto="1"/>
            </top>
            <bottom style="thin">
              <color auto="1"/>
            </bottom>
            <vertical/>
            <horizontal/>
          </border>
        </dxf>
        <dxf>
          <font>
            <strike/>
          </font>
          <fill>
            <patternFill>
              <bgColor theme="9" tint="0.59996337778862885"/>
            </patternFill>
          </fill>
        </dxf>
        <dxf>
          <fill>
            <gradientFill>
              <stop position="0">
                <color theme="0"/>
              </stop>
              <stop position="1">
                <color theme="4"/>
              </stop>
            </gradientFill>
          </fill>
        </dxf>
        <dxf>
          <font>
            <strike/>
          </font>
          <fill>
            <patternFill>
              <bgColor rgb="FFFF7F61"/>
            </patternFill>
          </fill>
        </dxf>
        <dxf>
          <fill>
            <patternFill>
              <bgColor rgb="FF92D050"/>
            </patternFill>
          </fill>
        </dxf>
        <dxf>
          <font>
            <strike/>
          </font>
          <fill>
            <patternFill>
              <bgColor rgb="FF92D050"/>
            </patternFill>
          </fill>
        </dxf>
        <dxf>
          <fill>
            <patternFill>
              <bgColor theme="9" tint="0.79998168889431442"/>
            </patternFill>
          </fill>
        </dxf>
        <dxf>
          <fill>
            <patternFill>
              <bgColor theme="9" tint="0.39994506668294322"/>
            </patternFill>
          </fill>
        </dxf>
        <dxf>
          <fill>
            <patternFill>
              <bgColor rgb="FFFF7F61"/>
            </patternFill>
          </fill>
          <border diagonalUp="0" diagonalDown="0">
            <left style="thin">
              <color auto="1"/>
            </left>
            <right style="thin">
              <color auto="1"/>
            </right>
            <top style="thin">
              <color auto="1"/>
            </top>
            <bottom style="thin">
              <color auto="1"/>
            </bottom>
            <vertical/>
            <horizontal/>
          </border>
        </dxf>
        <dxf>
          <font>
            <strike/>
          </font>
          <fill>
            <patternFill>
              <bgColor theme="9" tint="0.59996337778862885"/>
            </patternFill>
          </fill>
        </dxf>
        <dxf>
          <fill>
            <gradientFill>
              <stop position="0">
                <color theme="0"/>
              </stop>
              <stop position="1">
                <color theme="4"/>
              </stop>
            </gradientFill>
          </fill>
        </dxf>
        <dxf>
          <font>
            <strike/>
          </font>
          <fill>
            <patternFill>
              <bgColor rgb="FFFF7F61"/>
            </patternFill>
          </fill>
        </dxf>
        <dxf>
          <fill>
            <patternFill>
              <bgColor rgb="FF92D050"/>
            </patternFill>
          </fill>
        </dxf>
        <dxf>
          <font>
            <strike/>
          </font>
          <fill>
            <patternFill>
              <bgColor rgb="FF92D050"/>
            </patternFill>
          </fill>
        </dxf>
        <dxf>
          <fill>
            <patternFill>
              <bgColor theme="9" tint="0.79998168889431442"/>
            </patternFill>
          </fill>
        </dxf>
        <dxf>
          <fill>
            <patternFill>
              <bgColor theme="9" tint="0.39994506668294322"/>
            </patternFill>
          </fill>
        </dxf>
        <dxf>
          <fill>
            <patternFill>
              <bgColor rgb="FFFF7F61"/>
            </patternFill>
          </fill>
          <border diagonalUp="0" diagonalDown="0">
            <left style="thin">
              <color auto="1"/>
            </left>
            <right style="thin">
              <color auto="1"/>
            </right>
            <top style="thin">
              <color auto="1"/>
            </top>
            <bottom style="thin">
              <color auto="1"/>
            </bottom>
            <vertical/>
            <horizontal/>
          </border>
        </dxf>
        <dxf>
          <font>
            <strike/>
          </font>
          <fill>
            <patternFill>
              <bgColor theme="9" tint="0.59996337778862885"/>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Table!Sale Quantity %(1)</c:name>
    <c:fmtId val="3"/>
  </c:pivotSource>
  <c:chart>
    <c:autoTitleDeleted val="1"/>
    <c:pivotFmts>
      <c:pivotFmt>
        <c:idx val="0"/>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layout>
            <c:manualLayout>
              <c:x val="1.8055555555555555E-3"/>
              <c:y val="-0.1087616652085156"/>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layout>
            <c:manualLayout>
              <c:x val="4.1312660659685481E-2"/>
              <c:y val="1.5128086364770015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layout>
            <c:manualLayout>
              <c:x val="4.1312660659685481E-2"/>
              <c:y val="1.5128086364770015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layout>
            <c:manualLayout>
              <c:x val="1.8055555555555555E-3"/>
              <c:y val="-0.1087616652085156"/>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lumMod val="50000"/>
              </a:schemeClr>
            </a:solidFill>
            <a:round/>
          </a:ln>
          <a:effectLst/>
        </c:spPr>
        <c:marker>
          <c:symbol val="none"/>
        </c:marker>
        <c:dLbl>
          <c:idx val="0"/>
          <c:layout>
            <c:manualLayout>
              <c:x val="4.1312660659685481E-2"/>
              <c:y val="1.5128086364770015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lumMod val="50000"/>
              </a:schemeClr>
            </a:solidFill>
            <a:round/>
          </a:ln>
          <a:effectLst/>
        </c:spPr>
        <c:marker>
          <c:symbol val="none"/>
        </c:marker>
        <c:dLbl>
          <c:idx val="0"/>
          <c:layout>
            <c:manualLayout>
              <c:x val="1.8055555555555555E-3"/>
              <c:y val="-0.108761665208515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bg1">
                <a:lumMod val="25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25000"/>
              </a:schemeClr>
            </a:solidFill>
            <a:round/>
          </a:ln>
          <a:effectLst/>
        </c:spPr>
        <c:marker>
          <c:symbol val="none"/>
        </c:marker>
        <c:dLbl>
          <c:idx val="0"/>
          <c:layout>
            <c:manualLayout>
              <c:x val="-3.5554353756358695E-2"/>
              <c:y val="-0.18193434342515385"/>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25000"/>
              </a:schemeClr>
            </a:solidFill>
            <a:round/>
          </a:ln>
          <a:effectLst/>
        </c:spPr>
        <c:marker>
          <c:symbol val="none"/>
        </c:marker>
        <c:dLbl>
          <c:idx val="0"/>
          <c:layout>
            <c:manualLayout>
              <c:x val="1.5938762361718477E-2"/>
              <c:y val="-0.1703802127779587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bg1">
                <a:lumMod val="25000"/>
              </a:schemeClr>
            </a:solidFill>
            <a:round/>
          </a:ln>
          <a:effectLst/>
        </c:spPr>
        <c:marker>
          <c:symbol val="none"/>
        </c:marker>
        <c:dLbl>
          <c:idx val="0"/>
          <c:layout>
            <c:manualLayout>
              <c:x val="-7.1639369509080994E-2"/>
              <c:y val="0.1415813146963083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bg1">
                <a:lumMod val="25000"/>
              </a:schemeClr>
            </a:solidFill>
            <a:round/>
          </a:ln>
          <a:effectLst/>
        </c:spPr>
        <c:marker>
          <c:symbol val="none"/>
        </c:marker>
        <c:dLbl>
          <c:idx val="0"/>
          <c:layout>
            <c:manualLayout>
              <c:x val="-0.10954379782076398"/>
              <c:y val="3.7594138871552642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bg1">
                <a:lumMod val="25000"/>
              </a:schemeClr>
            </a:solidFill>
            <a:round/>
          </a:ln>
          <a:effectLst/>
        </c:spPr>
        <c:marker>
          <c:symbol val="none"/>
        </c:marker>
        <c:dLbl>
          <c:idx val="0"/>
          <c:layout>
            <c:manualLayout>
              <c:x val="-7.5985743955487267E-2"/>
              <c:y val="-0.21081967004314148"/>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bg1">
                <a:lumMod val="25000"/>
              </a:schemeClr>
            </a:solidFill>
            <a:round/>
          </a:ln>
          <a:effectLst/>
        </c:spPr>
        <c:marker>
          <c:symbol val="none"/>
        </c:marker>
        <c:dLbl>
          <c:idx val="0"/>
          <c:layout>
            <c:manualLayout>
              <c:x val="-1.8530839771424926E-16"/>
              <c:y val="0.14158131469630841"/>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bg1">
                <a:lumMod val="25000"/>
              </a:schemeClr>
            </a:solidFill>
            <a:round/>
          </a:ln>
          <a:effectLst/>
        </c:spPr>
        <c:marker>
          <c:symbol val="none"/>
        </c:marker>
        <c:dLbl>
          <c:idx val="0"/>
          <c:layout>
            <c:manualLayout>
              <c:x val="-0.11459772159565505"/>
              <c:y val="8.3810661460332836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bg1">
                <a:lumMod val="25000"/>
              </a:schemeClr>
            </a:solidFill>
            <a:round/>
          </a:ln>
          <a:effectLst/>
        </c:spPr>
        <c:marker>
          <c:symbol val="none"/>
        </c:marker>
        <c:dLbl>
          <c:idx val="0"/>
          <c:layout>
            <c:manualLayout>
              <c:x val="-2.0392582431685475E-2"/>
              <c:y val="-0.11838662486558088"/>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bg1">
                <a:lumMod val="25000"/>
              </a:schemeClr>
            </a:solidFill>
            <a:round/>
          </a:ln>
          <a:effectLst/>
        </c:spPr>
        <c:marker>
          <c:symbol val="none"/>
        </c:marker>
      </c:pivotFmt>
    </c:pivotFmts>
    <c:plotArea>
      <c:layout>
        <c:manualLayout>
          <c:layoutTarget val="inner"/>
          <c:xMode val="edge"/>
          <c:yMode val="edge"/>
          <c:x val="1.0006886605214305E-2"/>
          <c:y val="2.4314364447554887E-2"/>
          <c:w val="0.98999311339478568"/>
          <c:h val="0.9678492148543435"/>
        </c:manualLayout>
      </c:layout>
      <c:lineChart>
        <c:grouping val="standard"/>
        <c:varyColors val="0"/>
        <c:ser>
          <c:idx val="0"/>
          <c:order val="0"/>
          <c:tx>
            <c:strRef>
              <c:f>'Pivot Table'!$B$1</c:f>
              <c:strCache>
                <c:ptCount val="1"/>
                <c:pt idx="0">
                  <c:v>Total</c:v>
                </c:pt>
              </c:strCache>
            </c:strRef>
          </c:tx>
          <c:spPr>
            <a:ln w="28575" cap="rnd">
              <a:solidFill>
                <a:schemeClr val="bg1">
                  <a:lumMod val="25000"/>
                </a:schemeClr>
              </a:solidFill>
              <a:round/>
            </a:ln>
            <a:effectLst/>
          </c:spPr>
          <c:marker>
            <c:symbol val="none"/>
          </c:marker>
          <c:dPt>
            <c:idx val="2"/>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0-191D-4D49-9466-655387E0526F}"/>
              </c:ext>
            </c:extLst>
          </c:dPt>
          <c:dPt>
            <c:idx val="3"/>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1-191D-4D49-9466-655387E0526F}"/>
              </c:ext>
            </c:extLst>
          </c:dPt>
          <c:dPt>
            <c:idx val="4"/>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7-B5A4-42A9-8BA8-EFBD3A5D8171}"/>
              </c:ext>
            </c:extLst>
          </c:dPt>
          <c:dPt>
            <c:idx val="6"/>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6-B5A4-42A9-8BA8-EFBD3A5D8171}"/>
              </c:ext>
            </c:extLst>
          </c:dPt>
          <c:dPt>
            <c:idx val="7"/>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8-B5A4-42A9-8BA8-EFBD3A5D8171}"/>
              </c:ext>
            </c:extLst>
          </c:dPt>
          <c:dPt>
            <c:idx val="8"/>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9-B5A4-42A9-8BA8-EFBD3A5D8171}"/>
              </c:ext>
            </c:extLst>
          </c:dPt>
          <c:dPt>
            <c:idx val="9"/>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C-B5A4-42A9-8BA8-EFBD3A5D8171}"/>
              </c:ext>
            </c:extLst>
          </c:dPt>
          <c:dPt>
            <c:idx val="10"/>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B-B5A4-42A9-8BA8-EFBD3A5D8171}"/>
              </c:ext>
            </c:extLst>
          </c:dPt>
          <c:dPt>
            <c:idx val="11"/>
            <c:marker>
              <c:symbol val="none"/>
            </c:marker>
            <c:bubble3D val="0"/>
            <c:spPr>
              <a:ln w="28575" cap="rnd">
                <a:solidFill>
                  <a:schemeClr val="bg1">
                    <a:lumMod val="25000"/>
                  </a:schemeClr>
                </a:solidFill>
                <a:round/>
              </a:ln>
              <a:effectLst/>
            </c:spPr>
            <c:extLst>
              <c:ext xmlns:c16="http://schemas.microsoft.com/office/drawing/2014/chart" uri="{C3380CC4-5D6E-409C-BE32-E72D297353CC}">
                <c16:uniqueId val="{0000000A-B5A4-42A9-8BA8-EFBD3A5D8171}"/>
              </c:ext>
            </c:extLst>
          </c:dPt>
          <c:dLbls>
            <c:dLbl>
              <c:idx val="3"/>
              <c:layout>
                <c:manualLayout>
                  <c:x val="-3.5554353756358695E-2"/>
                  <c:y val="-0.181934343425153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1D-4D49-9466-655387E0526F}"/>
                </c:ext>
              </c:extLst>
            </c:dLbl>
            <c:dLbl>
              <c:idx val="4"/>
              <c:layout>
                <c:manualLayout>
                  <c:x val="-7.1639369509080994E-2"/>
                  <c:y val="0.1415813146963083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A4-42A9-8BA8-EFBD3A5D8171}"/>
                </c:ext>
              </c:extLst>
            </c:dLbl>
            <c:dLbl>
              <c:idx val="6"/>
              <c:layout>
                <c:manualLayout>
                  <c:x val="1.5938762361718477E-2"/>
                  <c:y val="-0.170380212777958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A4-42A9-8BA8-EFBD3A5D8171}"/>
                </c:ext>
              </c:extLst>
            </c:dLbl>
            <c:dLbl>
              <c:idx val="7"/>
              <c:layout>
                <c:manualLayout>
                  <c:x val="-0.10954379782076398"/>
                  <c:y val="3.75941388715526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5A4-42A9-8BA8-EFBD3A5D8171}"/>
                </c:ext>
              </c:extLst>
            </c:dLbl>
            <c:dLbl>
              <c:idx val="8"/>
              <c:layout>
                <c:manualLayout>
                  <c:x val="-7.5985743955487267E-2"/>
                  <c:y val="-0.210819670043141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5A4-42A9-8BA8-EFBD3A5D8171}"/>
                </c:ext>
              </c:extLst>
            </c:dLbl>
            <c:dLbl>
              <c:idx val="9"/>
              <c:layout>
                <c:manualLayout>
                  <c:x val="-2.0392582431685475E-2"/>
                  <c:y val="-0.118386624865580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5A4-42A9-8BA8-EFBD3A5D8171}"/>
                </c:ext>
              </c:extLst>
            </c:dLbl>
            <c:dLbl>
              <c:idx val="10"/>
              <c:layout>
                <c:manualLayout>
                  <c:x val="-0.11459772159565505"/>
                  <c:y val="8.3810661460332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A4-42A9-8BA8-EFBD3A5D8171}"/>
                </c:ext>
              </c:extLst>
            </c:dLbl>
            <c:dLbl>
              <c:idx val="11"/>
              <c:layout>
                <c:manualLayout>
                  <c:x val="-1.8530839771424926E-16"/>
                  <c:y val="0.1415813146963084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A4-42A9-8BA8-EFBD3A5D8171}"/>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0.00%</c:formatCode>
                <c:ptCount val="12"/>
                <c:pt idx="1">
                  <c:v>0.132013201320132</c:v>
                </c:pt>
                <c:pt idx="2">
                  <c:v>0.31353135313531355</c:v>
                </c:pt>
                <c:pt idx="3">
                  <c:v>-3.3003300330033004E-3</c:v>
                </c:pt>
                <c:pt idx="4">
                  <c:v>-0.10561056105610561</c:v>
                </c:pt>
                <c:pt idx="5">
                  <c:v>0.10891089108910891</c:v>
                </c:pt>
                <c:pt idx="6">
                  <c:v>5.6105610561056105E-2</c:v>
                </c:pt>
                <c:pt idx="7">
                  <c:v>-0.28712871287128711</c:v>
                </c:pt>
                <c:pt idx="8">
                  <c:v>-9.9009900990099015E-2</c:v>
                </c:pt>
                <c:pt idx="9">
                  <c:v>-3.9603960396039604E-2</c:v>
                </c:pt>
                <c:pt idx="10">
                  <c:v>-0.19141914191419143</c:v>
                </c:pt>
                <c:pt idx="11">
                  <c:v>-0.16501650165016502</c:v>
                </c:pt>
              </c:numCache>
            </c:numRef>
          </c:val>
          <c:smooth val="0"/>
          <c:extLst>
            <c:ext xmlns:c16="http://schemas.microsoft.com/office/drawing/2014/chart" uri="{C3380CC4-5D6E-409C-BE32-E72D297353CC}">
              <c16:uniqueId val="{00000002-191D-4D49-9466-655387E0526F}"/>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upDownBars>
          <c:gapWidth val="198"/>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cap="sq">
                <a:solidFill>
                  <a:schemeClr val="tx1">
                    <a:lumMod val="65000"/>
                    <a:lumOff val="35000"/>
                  </a:schemeClr>
                </a:solidFill>
              </a:ln>
              <a:effectLst/>
            </c:spPr>
          </c:downBars>
        </c:upDownBars>
        <c:smooth val="0"/>
        <c:axId val="251149712"/>
        <c:axId val="251145872"/>
      </c:lineChart>
      <c:catAx>
        <c:axId val="2511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10000"/>
                  </a:schemeClr>
                </a:solidFill>
                <a:latin typeface="+mn-lt"/>
                <a:ea typeface="+mn-ea"/>
                <a:cs typeface="+mn-cs"/>
              </a:defRPr>
            </a:pPr>
            <a:endParaRPr lang="en-US"/>
          </a:p>
        </c:txPr>
        <c:crossAx val="251145872"/>
        <c:crosses val="autoZero"/>
        <c:auto val="1"/>
        <c:lblAlgn val="ctr"/>
        <c:lblOffset val="100"/>
        <c:noMultiLvlLbl val="0"/>
      </c:catAx>
      <c:valAx>
        <c:axId val="251145872"/>
        <c:scaling>
          <c:orientation val="minMax"/>
        </c:scaling>
        <c:delete val="1"/>
        <c:axPos val="l"/>
        <c:numFmt formatCode="0.00%" sourceLinked="1"/>
        <c:majorTickMark val="out"/>
        <c:minorTickMark val="none"/>
        <c:tickLblPos val="nextTo"/>
        <c:crossAx val="2511497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Table!Coffe type wise Loyalty Crad holder (5)</c:name>
    <c:fmtId val="12"/>
  </c:pivotSource>
  <c:chart>
    <c:autoTitleDeleted val="1"/>
    <c:pivotFmts>
      <c:pivotFmt>
        <c:idx val="0"/>
        <c:spPr>
          <a:solidFill>
            <a:srgbClr val="FF0000"/>
          </a:solidFill>
          <a:ln>
            <a:solidFill>
              <a:srgbClr val="FF0000"/>
            </a:solidFill>
          </a:ln>
          <a:effectLst/>
          <a:sp3d>
            <a:contourClr>
              <a:srgbClr val="FF0000"/>
            </a:contourClr>
          </a:sp3d>
        </c:spPr>
        <c:marker>
          <c:symbol val="none"/>
        </c:marker>
        <c:dLbl>
          <c:idx val="0"/>
          <c:spPr>
            <a:solidFill>
              <a:srgbClr val="FF0000"/>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rgbClr val="00B050"/>
          </a:solidFill>
          <a:ln>
            <a:solidFill>
              <a:srgbClr val="00B050"/>
            </a:solidFill>
          </a:ln>
          <a:effectLst/>
          <a:sp3d>
            <a:contourClr>
              <a:srgbClr val="00B050"/>
            </a:contourClr>
          </a:sp3d>
        </c:spPr>
        <c:marker>
          <c:symbol val="none"/>
        </c:marker>
        <c:dLbl>
          <c:idx val="0"/>
          <c:spPr>
            <a:solidFill>
              <a:srgbClr val="00B050"/>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7857142857142894E-2"/>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9523809523809521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1825396825396824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1309523809523803"/>
              <c:y val="-0.324074074074074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35FB-47CE-93D1-200EE482A61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35FB-47CE-93D1-200EE482A61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35FB-47CE-93D1-200EE482A61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35FB-47CE-93D1-200EE482A616}"/>
              </c:ext>
            </c:extLst>
          </c:dPt>
          <c:dLbls>
            <c:dLbl>
              <c:idx val="0"/>
              <c:layout>
                <c:manualLayout>
                  <c:x val="-5.9523809523809521E-3"/>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FB-47CE-93D1-200EE482A616}"/>
                </c:ext>
              </c:extLst>
            </c:dLbl>
            <c:dLbl>
              <c:idx val="1"/>
              <c:layout>
                <c:manualLayout>
                  <c:x val="-1.7857142857142894E-2"/>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FB-47CE-93D1-200EE482A616}"/>
                </c:ext>
              </c:extLst>
            </c:dLbl>
            <c:dLbl>
              <c:idx val="2"/>
              <c:layout>
                <c:manualLayout>
                  <c:x val="-2.1825396825396824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FB-47CE-93D1-200EE482A616}"/>
                </c:ext>
              </c:extLst>
            </c:dLbl>
            <c:dLbl>
              <c:idx val="3"/>
              <c:layout>
                <c:manualLayout>
                  <c:x val="-0.11309523809523803"/>
                  <c:y val="-0.324074074074074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FB-47CE-93D1-200EE482A6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Table'!$A$65:$A$69</c:f>
              <c:strCache>
                <c:ptCount val="4"/>
                <c:pt idx="0">
                  <c:v>0.2</c:v>
                </c:pt>
                <c:pt idx="1">
                  <c:v>0.5</c:v>
                </c:pt>
                <c:pt idx="2">
                  <c:v>1</c:v>
                </c:pt>
                <c:pt idx="3">
                  <c:v>2.5</c:v>
                </c:pt>
              </c:strCache>
            </c:strRef>
          </c:cat>
          <c:val>
            <c:numRef>
              <c:f>'Pivot Table'!$B$65:$B$69</c:f>
              <c:numCache>
                <c:formatCode>_("$"* #,##0_);_("$"* \(#,##0\);_("$"* "-"??_);_(@_)</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35FB-47CE-93D1-200EE482A616}"/>
            </c:ext>
          </c:extLst>
        </c:ser>
        <c:dLbls>
          <c:showLegendKey val="0"/>
          <c:showVal val="1"/>
          <c:showCatName val="0"/>
          <c:showSerName val="0"/>
          <c:showPercent val="0"/>
          <c:showBubbleSize val="0"/>
        </c:dLbls>
        <c:gapWidth val="150"/>
        <c:overlap val="100"/>
        <c:axId val="712099696"/>
        <c:axId val="536273360"/>
      </c:barChart>
      <c:catAx>
        <c:axId val="712099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10000"/>
                  </a:schemeClr>
                </a:solidFill>
                <a:latin typeface="+mn-lt"/>
                <a:ea typeface="+mn-ea"/>
                <a:cs typeface="+mn-cs"/>
              </a:defRPr>
            </a:pPr>
            <a:endParaRPr lang="en-US"/>
          </a:p>
        </c:txPr>
        <c:crossAx val="536273360"/>
        <c:crosses val="autoZero"/>
        <c:auto val="1"/>
        <c:lblAlgn val="ctr"/>
        <c:lblOffset val="100"/>
        <c:noMultiLvlLbl val="0"/>
      </c:catAx>
      <c:valAx>
        <c:axId val="536273360"/>
        <c:scaling>
          <c:orientation val="minMax"/>
        </c:scaling>
        <c:delete val="1"/>
        <c:axPos val="l"/>
        <c:numFmt formatCode="_(&quot;$&quot;* #,##0_);_(&quot;$&quot;* \(#,##0\);_(&quot;$&quot;* &quot;-&quot;??_);_(@_)" sourceLinked="1"/>
        <c:majorTickMark val="none"/>
        <c:minorTickMark val="none"/>
        <c:tickLblPos val="nextTo"/>
        <c:crossAx val="7120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Table!Percentage of sales by coffeetype(9)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5.5555555555555552E-2"/>
          <c:w val="0.70674781277340337"/>
          <c:h val="0.8416746864975212"/>
        </c:manualLayout>
      </c:layout>
      <c:barChart>
        <c:barDir val="col"/>
        <c:grouping val="clustered"/>
        <c:varyColors val="0"/>
        <c:ser>
          <c:idx val="0"/>
          <c:order val="0"/>
          <c:tx>
            <c:strRef>
              <c:f>'Pivot Table'!$B$114:$B$115</c:f>
              <c:strCache>
                <c:ptCount val="1"/>
                <c:pt idx="0">
                  <c:v>Dark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Table'!$A$116:$A$120</c:f>
              <c:strCache>
                <c:ptCount val="4"/>
                <c:pt idx="0">
                  <c:v>Arabica</c:v>
                </c:pt>
                <c:pt idx="1">
                  <c:v>Excelsa</c:v>
                </c:pt>
                <c:pt idx="2">
                  <c:v>Liberica</c:v>
                </c:pt>
                <c:pt idx="3">
                  <c:v>Robusta</c:v>
                </c:pt>
              </c:strCache>
            </c:strRef>
          </c:cat>
          <c:val>
            <c:numRef>
              <c:f>'Pivot Table'!$B$116:$B$120</c:f>
              <c:numCache>
                <c:formatCode>0.00%</c:formatCode>
                <c:ptCount val="4"/>
                <c:pt idx="0">
                  <c:v>0.25896981729609436</c:v>
                </c:pt>
                <c:pt idx="1">
                  <c:v>0.27851393254263623</c:v>
                </c:pt>
                <c:pt idx="2">
                  <c:v>0.33980915167692249</c:v>
                </c:pt>
                <c:pt idx="3">
                  <c:v>0.28961233148015403</c:v>
                </c:pt>
              </c:numCache>
            </c:numRef>
          </c:val>
          <c:extLst>
            <c:ext xmlns:c16="http://schemas.microsoft.com/office/drawing/2014/chart" uri="{C3380CC4-5D6E-409C-BE32-E72D297353CC}">
              <c16:uniqueId val="{00000000-D992-407C-8041-4B18FC2D7D21}"/>
            </c:ext>
          </c:extLst>
        </c:ser>
        <c:ser>
          <c:idx val="1"/>
          <c:order val="1"/>
          <c:tx>
            <c:strRef>
              <c:f>'Pivot Table'!$C$114:$C$115</c:f>
              <c:strCache>
                <c:ptCount val="1"/>
                <c:pt idx="0">
                  <c:v>Light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Table'!$A$116:$A$120</c:f>
              <c:strCache>
                <c:ptCount val="4"/>
                <c:pt idx="0">
                  <c:v>Arabica</c:v>
                </c:pt>
                <c:pt idx="1">
                  <c:v>Excelsa</c:v>
                </c:pt>
                <c:pt idx="2">
                  <c:v>Liberica</c:v>
                </c:pt>
                <c:pt idx="3">
                  <c:v>Robusta</c:v>
                </c:pt>
              </c:strCache>
            </c:strRef>
          </c:cat>
          <c:val>
            <c:numRef>
              <c:f>'Pivot Table'!$C$116:$C$120</c:f>
              <c:numCache>
                <c:formatCode>0.00%</c:formatCode>
                <c:ptCount val="4"/>
                <c:pt idx="0">
                  <c:v>0.35960927884151711</c:v>
                </c:pt>
                <c:pt idx="1">
                  <c:v>0.38975934551340591</c:v>
                </c:pt>
                <c:pt idx="2">
                  <c:v>0.37882500316283091</c:v>
                </c:pt>
                <c:pt idx="3">
                  <c:v>0.41747559339029655</c:v>
                </c:pt>
              </c:numCache>
            </c:numRef>
          </c:val>
          <c:extLst>
            <c:ext xmlns:c16="http://schemas.microsoft.com/office/drawing/2014/chart" uri="{C3380CC4-5D6E-409C-BE32-E72D297353CC}">
              <c16:uniqueId val="{00000002-3B14-44C5-A9D6-BF7361C95C5B}"/>
            </c:ext>
          </c:extLst>
        </c:ser>
        <c:ser>
          <c:idx val="2"/>
          <c:order val="2"/>
          <c:tx>
            <c:strRef>
              <c:f>'Pivot Table'!$D$114:$D$115</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Table'!$A$116:$A$120</c:f>
              <c:strCache>
                <c:ptCount val="4"/>
                <c:pt idx="0">
                  <c:v>Arabica</c:v>
                </c:pt>
                <c:pt idx="1">
                  <c:v>Excelsa</c:v>
                </c:pt>
                <c:pt idx="2">
                  <c:v>Liberica</c:v>
                </c:pt>
                <c:pt idx="3">
                  <c:v>Robusta</c:v>
                </c:pt>
              </c:strCache>
            </c:strRef>
          </c:cat>
          <c:val>
            <c:numRef>
              <c:f>'Pivot Table'!$D$116:$D$120</c:f>
              <c:numCache>
                <c:formatCode>0.00%</c:formatCode>
                <c:ptCount val="4"/>
                <c:pt idx="0">
                  <c:v>0.38142090386238853</c:v>
                </c:pt>
                <c:pt idx="1">
                  <c:v>0.33172672194395786</c:v>
                </c:pt>
                <c:pt idx="2">
                  <c:v>0.28136584516024676</c:v>
                </c:pt>
                <c:pt idx="3">
                  <c:v>0.29291207512954942</c:v>
                </c:pt>
              </c:numCache>
            </c:numRef>
          </c:val>
          <c:extLst>
            <c:ext xmlns:c16="http://schemas.microsoft.com/office/drawing/2014/chart" uri="{C3380CC4-5D6E-409C-BE32-E72D297353CC}">
              <c16:uniqueId val="{00000003-3B14-44C5-A9D6-BF7361C95C5B}"/>
            </c:ext>
          </c:extLst>
        </c:ser>
        <c:dLbls>
          <c:dLblPos val="outEnd"/>
          <c:showLegendKey val="0"/>
          <c:showVal val="1"/>
          <c:showCatName val="0"/>
          <c:showSerName val="0"/>
          <c:showPercent val="0"/>
          <c:showBubbleSize val="0"/>
        </c:dLbls>
        <c:gapWidth val="219"/>
        <c:overlap val="-27"/>
        <c:axId val="890502480"/>
        <c:axId val="890477040"/>
      </c:barChart>
      <c:catAx>
        <c:axId val="8905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477040"/>
        <c:crosses val="autoZero"/>
        <c:auto val="1"/>
        <c:lblAlgn val="ctr"/>
        <c:lblOffset val="100"/>
        <c:noMultiLvlLbl val="0"/>
      </c:catAx>
      <c:valAx>
        <c:axId val="890477040"/>
        <c:scaling>
          <c:orientation val="minMax"/>
        </c:scaling>
        <c:delete val="1"/>
        <c:axPos val="l"/>
        <c:numFmt formatCode="0.00%" sourceLinked="1"/>
        <c:majorTickMark val="none"/>
        <c:minorTickMark val="none"/>
        <c:tickLblPos val="nextTo"/>
        <c:crossAx val="8905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Table!Total Sales(6)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785375118708452E-2"/>
          <c:y val="0.12158058590992697"/>
          <c:w val="0.91642924976258311"/>
          <c:h val="0.72281030492793874"/>
        </c:manualLayout>
      </c:layout>
      <c:barChart>
        <c:barDir val="col"/>
        <c:grouping val="clustered"/>
        <c:varyColors val="0"/>
        <c:ser>
          <c:idx val="0"/>
          <c:order val="0"/>
          <c:tx>
            <c:strRef>
              <c:f>'Pivot Table'!$B$82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Table'!$A$83:$A$86</c:f>
              <c:strCache>
                <c:ptCount val="3"/>
                <c:pt idx="0">
                  <c:v>Ireland</c:v>
                </c:pt>
                <c:pt idx="1">
                  <c:v>United Kingdom</c:v>
                </c:pt>
                <c:pt idx="2">
                  <c:v>United States</c:v>
                </c:pt>
              </c:strCache>
            </c:strRef>
          </c:cat>
          <c:val>
            <c:numRef>
              <c:f>'Pivot Table'!$B$83:$B$86</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7A2-4CBD-8A88-229BDEC6DD2A}"/>
            </c:ext>
          </c:extLst>
        </c:ser>
        <c:dLbls>
          <c:dLblPos val="outEnd"/>
          <c:showLegendKey val="0"/>
          <c:showVal val="1"/>
          <c:showCatName val="0"/>
          <c:showSerName val="0"/>
          <c:showPercent val="0"/>
          <c:showBubbleSize val="0"/>
        </c:dLbls>
        <c:gapWidth val="219"/>
        <c:overlap val="-27"/>
        <c:axId val="1137883584"/>
        <c:axId val="1137898464"/>
      </c:barChart>
      <c:catAx>
        <c:axId val="113788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98464"/>
        <c:crosses val="autoZero"/>
        <c:auto val="1"/>
        <c:lblAlgn val="ctr"/>
        <c:lblOffset val="100"/>
        <c:noMultiLvlLbl val="0"/>
      </c:catAx>
      <c:valAx>
        <c:axId val="1137898464"/>
        <c:scaling>
          <c:orientation val="minMax"/>
        </c:scaling>
        <c:delete val="1"/>
        <c:axPos val="l"/>
        <c:numFmt formatCode="_(&quot;$&quot;* #,##0_);_(&quot;$&quot;* \(#,##0\);_(&quot;$&quot;* &quot;-&quot;??_);_(@_)" sourceLinked="1"/>
        <c:majorTickMark val="none"/>
        <c:minorTickMark val="none"/>
        <c:tickLblPos val="nextTo"/>
        <c:crossAx val="113788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Table!Total Ordes(7)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Table'!$A$93:$A$96</c:f>
              <c:strCache>
                <c:ptCount val="3"/>
                <c:pt idx="0">
                  <c:v>Ireland</c:v>
                </c:pt>
                <c:pt idx="1">
                  <c:v>United Kingdom</c:v>
                </c:pt>
                <c:pt idx="2">
                  <c:v>United States</c:v>
                </c:pt>
              </c:strCache>
            </c:strRef>
          </c:cat>
          <c:val>
            <c:numRef>
              <c:f>'Pivot Table'!$B$93:$B$96</c:f>
              <c:numCache>
                <c:formatCode>General</c:formatCode>
                <c:ptCount val="3"/>
                <c:pt idx="0">
                  <c:v>153</c:v>
                </c:pt>
                <c:pt idx="1">
                  <c:v>73</c:v>
                </c:pt>
                <c:pt idx="2">
                  <c:v>774</c:v>
                </c:pt>
              </c:numCache>
            </c:numRef>
          </c:val>
          <c:extLst>
            <c:ext xmlns:c16="http://schemas.microsoft.com/office/drawing/2014/chart" uri="{C3380CC4-5D6E-409C-BE32-E72D297353CC}">
              <c16:uniqueId val="{00000000-D876-4927-9878-CF3FDFEFBDA4}"/>
            </c:ext>
          </c:extLst>
        </c:ser>
        <c:dLbls>
          <c:dLblPos val="outEnd"/>
          <c:showLegendKey val="0"/>
          <c:showVal val="1"/>
          <c:showCatName val="0"/>
          <c:showSerName val="0"/>
          <c:showPercent val="0"/>
          <c:showBubbleSize val="0"/>
        </c:dLbls>
        <c:gapWidth val="219"/>
        <c:overlap val="-27"/>
        <c:axId val="1137879744"/>
        <c:axId val="1137891264"/>
      </c:barChart>
      <c:catAx>
        <c:axId val="1137879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91264"/>
        <c:crosses val="autoZero"/>
        <c:auto val="1"/>
        <c:lblAlgn val="ctr"/>
        <c:lblOffset val="100"/>
        <c:noMultiLvlLbl val="0"/>
      </c:catAx>
      <c:valAx>
        <c:axId val="1137891264"/>
        <c:scaling>
          <c:orientation val="minMax"/>
        </c:scaling>
        <c:delete val="1"/>
        <c:axPos val="l"/>
        <c:numFmt formatCode="General" sourceLinked="1"/>
        <c:majorTickMark val="out"/>
        <c:minorTickMark val="none"/>
        <c:tickLblPos val="nextTo"/>
        <c:crossAx val="11378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Table!Quantity(8)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Table'!$A$103:$A$107</c:f>
              <c:strCache>
                <c:ptCount val="4"/>
                <c:pt idx="0">
                  <c:v>2019</c:v>
                </c:pt>
                <c:pt idx="1">
                  <c:v>2020</c:v>
                </c:pt>
                <c:pt idx="2">
                  <c:v>2021</c:v>
                </c:pt>
                <c:pt idx="3">
                  <c:v>2022</c:v>
                </c:pt>
              </c:strCache>
            </c:strRef>
          </c:cat>
          <c:val>
            <c:numRef>
              <c:f>'Pivot Table'!$B$103:$B$107</c:f>
              <c:numCache>
                <c:formatCode>General</c:formatCode>
                <c:ptCount val="4"/>
                <c:pt idx="0">
                  <c:v>914</c:v>
                </c:pt>
                <c:pt idx="1">
                  <c:v>951</c:v>
                </c:pt>
                <c:pt idx="2">
                  <c:v>1143</c:v>
                </c:pt>
                <c:pt idx="3">
                  <c:v>543</c:v>
                </c:pt>
              </c:numCache>
            </c:numRef>
          </c:val>
          <c:extLst>
            <c:ext xmlns:c16="http://schemas.microsoft.com/office/drawing/2014/chart" uri="{C3380CC4-5D6E-409C-BE32-E72D297353CC}">
              <c16:uniqueId val="{00000000-0BCA-472F-8971-428F02ECFFD2}"/>
            </c:ext>
          </c:extLst>
        </c:ser>
        <c:dLbls>
          <c:dLblPos val="outEnd"/>
          <c:showLegendKey val="0"/>
          <c:showVal val="1"/>
          <c:showCatName val="0"/>
          <c:showSerName val="0"/>
          <c:showPercent val="0"/>
          <c:showBubbleSize val="0"/>
        </c:dLbls>
        <c:gapWidth val="219"/>
        <c:overlap val="-27"/>
        <c:axId val="1137874944"/>
        <c:axId val="1137885024"/>
      </c:barChart>
      <c:catAx>
        <c:axId val="113787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85024"/>
        <c:crosses val="autoZero"/>
        <c:auto val="1"/>
        <c:lblAlgn val="ctr"/>
        <c:lblOffset val="100"/>
        <c:noMultiLvlLbl val="0"/>
      </c:catAx>
      <c:valAx>
        <c:axId val="1137885024"/>
        <c:scaling>
          <c:orientation val="minMax"/>
        </c:scaling>
        <c:delete val="1"/>
        <c:axPos val="l"/>
        <c:numFmt formatCode="General" sourceLinked="1"/>
        <c:majorTickMark val="none"/>
        <c:minorTickMark val="none"/>
        <c:tickLblPos val="nextTo"/>
        <c:crossAx val="11378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82389937106917E-2"/>
          <c:y val="9.6564559344507375E-2"/>
          <c:w val="0.86163522012578619"/>
          <c:h val="0.74597379596978952"/>
        </c:manualLayout>
      </c:layout>
      <c:barChart>
        <c:barDir val="col"/>
        <c:grouping val="clustered"/>
        <c:varyColors val="0"/>
        <c:ser>
          <c:idx val="0"/>
          <c:order val="0"/>
          <c:tx>
            <c:strRef>
              <c:f>'Pivot Table'!$C$132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Table'!$B$133:$B$137</c:f>
              <c:strCache>
                <c:ptCount val="4"/>
                <c:pt idx="0">
                  <c:v>Arabica</c:v>
                </c:pt>
                <c:pt idx="1">
                  <c:v>Excelsa</c:v>
                </c:pt>
                <c:pt idx="2">
                  <c:v>Liberica</c:v>
                </c:pt>
                <c:pt idx="3">
                  <c:v>Robusta</c:v>
                </c:pt>
              </c:strCache>
            </c:strRef>
          </c:cat>
          <c:val>
            <c:numRef>
              <c:f>'Pivot Table'!$C$133:$C$137</c:f>
              <c:numCache>
                <c:formatCode>General</c:formatCode>
                <c:ptCount val="4"/>
                <c:pt idx="0">
                  <c:v>8.9999999999999947</c:v>
                </c:pt>
                <c:pt idx="1">
                  <c:v>10.999999999999998</c:v>
                </c:pt>
                <c:pt idx="2">
                  <c:v>13.000000000000018</c:v>
                </c:pt>
                <c:pt idx="3">
                  <c:v>6</c:v>
                </c:pt>
              </c:numCache>
            </c:numRef>
          </c:val>
          <c:extLst>
            <c:ext xmlns:c16="http://schemas.microsoft.com/office/drawing/2014/chart" uri="{C3380CC4-5D6E-409C-BE32-E72D297353CC}">
              <c16:uniqueId val="{00000000-F212-4633-868A-ECB6154B4647}"/>
            </c:ext>
          </c:extLst>
        </c:ser>
        <c:dLbls>
          <c:dLblPos val="outEnd"/>
          <c:showLegendKey val="0"/>
          <c:showVal val="1"/>
          <c:showCatName val="0"/>
          <c:showSerName val="0"/>
          <c:showPercent val="0"/>
          <c:showBubbleSize val="0"/>
        </c:dLbls>
        <c:gapWidth val="219"/>
        <c:overlap val="-27"/>
        <c:axId val="1137902784"/>
        <c:axId val="1137903264"/>
      </c:barChart>
      <c:catAx>
        <c:axId val="11379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903264"/>
        <c:crosses val="autoZero"/>
        <c:auto val="1"/>
        <c:lblAlgn val="ctr"/>
        <c:lblOffset val="100"/>
        <c:noMultiLvlLbl val="0"/>
      </c:catAx>
      <c:valAx>
        <c:axId val="1137903264"/>
        <c:scaling>
          <c:orientation val="minMax"/>
        </c:scaling>
        <c:delete val="1"/>
        <c:axPos val="l"/>
        <c:numFmt formatCode="General" sourceLinked="1"/>
        <c:majorTickMark val="none"/>
        <c:minorTickMark val="none"/>
        <c:tickLblPos val="nextTo"/>
        <c:crossAx val="113790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Table'!$A$153:$A$157</c:f>
              <c:strCache>
                <c:ptCount val="4"/>
                <c:pt idx="0">
                  <c:v>Arabica</c:v>
                </c:pt>
                <c:pt idx="1">
                  <c:v>Excelsa</c:v>
                </c:pt>
                <c:pt idx="2">
                  <c:v>Liberica</c:v>
                </c:pt>
                <c:pt idx="3">
                  <c:v>Robusta</c:v>
                </c:pt>
              </c:strCache>
            </c:strRef>
          </c:cat>
          <c:val>
            <c:numRef>
              <c:f>'Pivot Table'!$B$153:$B$157</c:f>
              <c:numCache>
                <c:formatCode>_("$"* #,##0_);_("$"* \(#,##0\);_("$"* "-"??_);_(@_)</c:formatCode>
                <c:ptCount val="4"/>
                <c:pt idx="0">
                  <c:v>1059.1645499999993</c:v>
                </c:pt>
                <c:pt idx="1">
                  <c:v>1353.7083999999993</c:v>
                </c:pt>
                <c:pt idx="2">
                  <c:v>1567.0297500000013</c:v>
                </c:pt>
                <c:pt idx="3">
                  <c:v>540.31470000000058</c:v>
                </c:pt>
              </c:numCache>
            </c:numRef>
          </c:val>
          <c:extLst>
            <c:ext xmlns:c16="http://schemas.microsoft.com/office/drawing/2014/chart" uri="{C3380CC4-5D6E-409C-BE32-E72D297353CC}">
              <c16:uniqueId val="{00000000-EBC4-4DBE-A3DF-5B1A74C3D506}"/>
            </c:ext>
          </c:extLst>
        </c:ser>
        <c:dLbls>
          <c:dLblPos val="outEnd"/>
          <c:showLegendKey val="0"/>
          <c:showVal val="1"/>
          <c:showCatName val="0"/>
          <c:showSerName val="0"/>
          <c:showPercent val="0"/>
          <c:showBubbleSize val="0"/>
        </c:dLbls>
        <c:gapWidth val="219"/>
        <c:overlap val="-27"/>
        <c:axId val="1141798032"/>
        <c:axId val="1141794672"/>
      </c:barChart>
      <c:catAx>
        <c:axId val="11417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794672"/>
        <c:crosses val="autoZero"/>
        <c:auto val="1"/>
        <c:lblAlgn val="ctr"/>
        <c:lblOffset val="100"/>
        <c:noMultiLvlLbl val="0"/>
      </c:catAx>
      <c:valAx>
        <c:axId val="1141794672"/>
        <c:scaling>
          <c:orientation val="minMax"/>
        </c:scaling>
        <c:delete val="1"/>
        <c:axPos val="l"/>
        <c:numFmt formatCode="_(&quot;$&quot;* #,##0_);_(&quot;$&quot;* \(#,##0\);_(&quot;$&quot;* &quot;-&quot;??_);_(@_)" sourceLinked="1"/>
        <c:majorTickMark val="none"/>
        <c:minorTickMark val="none"/>
        <c:tickLblPos val="nextTo"/>
        <c:crossAx val="11417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Table'!$A$163:$A$166</c:f>
              <c:strCache>
                <c:ptCount val="3"/>
                <c:pt idx="0">
                  <c:v>Ireland</c:v>
                </c:pt>
                <c:pt idx="1">
                  <c:v>United Kingdom</c:v>
                </c:pt>
                <c:pt idx="2">
                  <c:v>United States</c:v>
                </c:pt>
              </c:strCache>
            </c:strRef>
          </c:cat>
          <c:val>
            <c:numRef>
              <c:f>'Pivot Table'!$B$163:$B$166</c:f>
              <c:numCache>
                <c:formatCode>_("$"* #,##0_);_("$"* \(#,##0\);_("$"* "-"??_);_(@_)</c:formatCode>
                <c:ptCount val="3"/>
                <c:pt idx="0">
                  <c:v>670.94949999999994</c:v>
                </c:pt>
                <c:pt idx="1">
                  <c:v>284.8048500000001</c:v>
                </c:pt>
                <c:pt idx="2">
                  <c:v>3564.4630499999967</c:v>
                </c:pt>
              </c:numCache>
            </c:numRef>
          </c:val>
          <c:extLst>
            <c:ext xmlns:c16="http://schemas.microsoft.com/office/drawing/2014/chart" uri="{C3380CC4-5D6E-409C-BE32-E72D297353CC}">
              <c16:uniqueId val="{00000000-A581-4311-96CE-946966198EA0}"/>
            </c:ext>
          </c:extLst>
        </c:ser>
        <c:dLbls>
          <c:dLblPos val="outEnd"/>
          <c:showLegendKey val="0"/>
          <c:showVal val="1"/>
          <c:showCatName val="0"/>
          <c:showSerName val="0"/>
          <c:showPercent val="0"/>
          <c:showBubbleSize val="0"/>
        </c:dLbls>
        <c:gapWidth val="219"/>
        <c:overlap val="-27"/>
        <c:axId val="1162827312"/>
        <c:axId val="1162823472"/>
      </c:barChart>
      <c:catAx>
        <c:axId val="11628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62823472"/>
        <c:crosses val="autoZero"/>
        <c:auto val="1"/>
        <c:lblAlgn val="ctr"/>
        <c:lblOffset val="100"/>
        <c:noMultiLvlLbl val="0"/>
      </c:catAx>
      <c:valAx>
        <c:axId val="1162823472"/>
        <c:scaling>
          <c:orientation val="minMax"/>
        </c:scaling>
        <c:delete val="1"/>
        <c:axPos val="l"/>
        <c:numFmt formatCode="_(&quot;$&quot;* #,##0_);_(&quot;$&quot;* \(#,##0\);_(&quot;$&quot;* &quot;-&quot;??_);_(@_)" sourceLinked="1"/>
        <c:majorTickMark val="none"/>
        <c:minorTickMark val="none"/>
        <c:tickLblPos val="nextTo"/>
        <c:crossAx val="11628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Table!YOY change in customer frequency(2)</c:name>
    <c:fmtId val="6"/>
  </c:pivotSource>
  <c:chart>
    <c:autoTitleDeleted val="1"/>
    <c:pivotFmts>
      <c:pivotFmt>
        <c:idx val="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1.2083333333333435E-2"/>
              <c:y val="-0.155057961504811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0.10192366579177603"/>
              <c:y val="-0.1180209244677748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0.18325699912510937"/>
              <c:y val="-5.320610965296004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0.10192366579177603"/>
              <c:y val="-0.1180209244677748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0.18325699912510937"/>
              <c:y val="-5.320610965296004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1.2083333333333435E-2"/>
              <c:y val="-0.155057961504811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lumMod val="50000"/>
              </a:schemeClr>
            </a:solidFill>
            <a:round/>
          </a:ln>
          <a:effectLst/>
        </c:spPr>
        <c:marker>
          <c:symbol val="circle"/>
          <c:size val="5"/>
          <c:spPr>
            <a:solidFill>
              <a:schemeClr val="accent1"/>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bg1">
                <a:lumMod val="50000"/>
              </a:schemeClr>
            </a:solidFill>
            <a:round/>
          </a:ln>
          <a:effectLst/>
        </c:spPr>
        <c:marker>
          <c:symbol val="circle"/>
          <c:size val="5"/>
        </c:marker>
        <c:dLbl>
          <c:idx val="0"/>
          <c:layout>
            <c:manualLayout>
              <c:x val="-0.10192366579177603"/>
              <c:y val="-0.1180209244677748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50000"/>
              </a:schemeClr>
            </a:solidFill>
            <a:round/>
          </a:ln>
          <a:effectLst/>
        </c:spPr>
        <c:marker>
          <c:symbol val="circle"/>
          <c:size val="5"/>
        </c:marker>
        <c:dLbl>
          <c:idx val="0"/>
          <c:layout>
            <c:manualLayout>
              <c:x val="-0.18325699912510937"/>
              <c:y val="-5.320610965296004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50000"/>
              </a:schemeClr>
            </a:solidFill>
            <a:round/>
          </a:ln>
          <a:effectLst/>
        </c:spPr>
        <c:marker>
          <c:symbol val="circle"/>
          <c:size val="5"/>
        </c:marker>
        <c:dLbl>
          <c:idx val="0"/>
          <c:layout>
            <c:manualLayout>
              <c:x val="-1.2083333333333435E-2"/>
              <c:y val="-0.155057961504811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bg1">
                <a:lumMod val="50000"/>
              </a:schemeClr>
            </a:solidFill>
            <a:round/>
          </a:ln>
          <a:effectLst/>
        </c:spPr>
        <c:marker>
          <c:symbol val="circle"/>
          <c:size val="5"/>
        </c:marker>
        <c:dLbl>
          <c:idx val="0"/>
          <c:layout>
            <c:manualLayout>
              <c:x val="-2.2380179689934065E-2"/>
              <c:y val="-9.0252587322265251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96452102506512E-2"/>
          <c:y val="5.9819993147616171E-2"/>
          <c:w val="0.93888888888888888"/>
          <c:h val="0.93199420841789005"/>
        </c:manualLayout>
      </c:layout>
      <c:lineChart>
        <c:grouping val="stacked"/>
        <c:varyColors val="0"/>
        <c:ser>
          <c:idx val="0"/>
          <c:order val="0"/>
          <c:tx>
            <c:strRef>
              <c:f>'Pivot Table'!$B$20</c:f>
              <c:strCache>
                <c:ptCount val="1"/>
                <c:pt idx="0">
                  <c:v>Total</c:v>
                </c:pt>
              </c:strCache>
            </c:strRef>
          </c:tx>
          <c:spPr>
            <a:ln w="28575" cap="rnd">
              <a:solidFill>
                <a:schemeClr val="bg1">
                  <a:lumMod val="50000"/>
                </a:schemeClr>
              </a:solidFill>
              <a:round/>
            </a:ln>
            <a:effectLst/>
          </c:spPr>
          <c:marker>
            <c:symbol val="circle"/>
            <c:size val="5"/>
            <c:spPr>
              <a:solidFill>
                <a:schemeClr val="accent1"/>
              </a:solidFill>
              <a:ln w="9525">
                <a:solidFill>
                  <a:schemeClr val="bg1">
                    <a:lumMod val="50000"/>
                  </a:schemeClr>
                </a:solidFill>
              </a:ln>
              <a:effectLst/>
            </c:spPr>
          </c:marker>
          <c:dPt>
            <c:idx val="0"/>
            <c:marker>
              <c:symbol val="circle"/>
              <c:size val="5"/>
              <c:spPr>
                <a:solidFill>
                  <a:schemeClr val="accent1"/>
                </a:solidFill>
                <a:ln w="9525">
                  <a:solidFill>
                    <a:schemeClr val="bg1">
                      <a:lumMod val="50000"/>
                    </a:schemeClr>
                  </a:solidFill>
                </a:ln>
                <a:effectLst/>
              </c:spPr>
            </c:marker>
            <c:bubble3D val="0"/>
            <c:spPr>
              <a:ln w="28575" cap="rnd">
                <a:solidFill>
                  <a:schemeClr val="bg1">
                    <a:lumMod val="50000"/>
                  </a:schemeClr>
                </a:solidFill>
                <a:round/>
              </a:ln>
              <a:effectLst/>
            </c:spPr>
            <c:extLst>
              <c:ext xmlns:c16="http://schemas.microsoft.com/office/drawing/2014/chart" uri="{C3380CC4-5D6E-409C-BE32-E72D297353CC}">
                <c16:uniqueId val="{00000006-4EA0-4353-AD06-0B42A4FEEDD6}"/>
              </c:ext>
            </c:extLst>
          </c:dPt>
          <c:dPt>
            <c:idx val="1"/>
            <c:marker>
              <c:symbol val="circle"/>
              <c:size val="5"/>
              <c:spPr>
                <a:solidFill>
                  <a:schemeClr val="accent1"/>
                </a:solidFill>
                <a:ln w="9525">
                  <a:solidFill>
                    <a:schemeClr val="bg1">
                      <a:lumMod val="50000"/>
                    </a:schemeClr>
                  </a:solidFill>
                </a:ln>
                <a:effectLst/>
              </c:spPr>
            </c:marker>
            <c:bubble3D val="0"/>
            <c:spPr>
              <a:ln w="28575" cap="rnd">
                <a:solidFill>
                  <a:schemeClr val="bg1">
                    <a:lumMod val="50000"/>
                  </a:schemeClr>
                </a:solidFill>
                <a:round/>
              </a:ln>
              <a:effectLst/>
            </c:spPr>
            <c:extLst>
              <c:ext xmlns:c16="http://schemas.microsoft.com/office/drawing/2014/chart" uri="{C3380CC4-5D6E-409C-BE32-E72D297353CC}">
                <c16:uniqueId val="{00000000-A813-419F-AA48-4B5A6636CA8A}"/>
              </c:ext>
            </c:extLst>
          </c:dPt>
          <c:dPt>
            <c:idx val="2"/>
            <c:marker>
              <c:symbol val="circle"/>
              <c:size val="5"/>
              <c:spPr>
                <a:solidFill>
                  <a:schemeClr val="accent1"/>
                </a:solidFill>
                <a:ln w="9525">
                  <a:solidFill>
                    <a:schemeClr val="bg1">
                      <a:lumMod val="50000"/>
                    </a:schemeClr>
                  </a:solidFill>
                </a:ln>
                <a:effectLst/>
              </c:spPr>
            </c:marker>
            <c:bubble3D val="0"/>
            <c:spPr>
              <a:ln w="28575" cap="rnd">
                <a:solidFill>
                  <a:schemeClr val="bg1">
                    <a:lumMod val="50000"/>
                  </a:schemeClr>
                </a:solidFill>
                <a:round/>
              </a:ln>
              <a:effectLst/>
            </c:spPr>
            <c:extLst>
              <c:ext xmlns:c16="http://schemas.microsoft.com/office/drawing/2014/chart" uri="{C3380CC4-5D6E-409C-BE32-E72D297353CC}">
                <c16:uniqueId val="{00000001-A813-419F-AA48-4B5A6636CA8A}"/>
              </c:ext>
            </c:extLst>
          </c:dPt>
          <c:dPt>
            <c:idx val="3"/>
            <c:marker>
              <c:symbol val="circle"/>
              <c:size val="5"/>
              <c:spPr>
                <a:solidFill>
                  <a:schemeClr val="accent1"/>
                </a:solidFill>
                <a:ln w="9525">
                  <a:solidFill>
                    <a:schemeClr val="bg1">
                      <a:lumMod val="50000"/>
                    </a:schemeClr>
                  </a:solidFill>
                </a:ln>
                <a:effectLst/>
              </c:spPr>
            </c:marker>
            <c:bubble3D val="0"/>
            <c:spPr>
              <a:ln w="28575" cap="rnd">
                <a:solidFill>
                  <a:schemeClr val="bg1">
                    <a:lumMod val="50000"/>
                  </a:schemeClr>
                </a:solidFill>
                <a:round/>
              </a:ln>
              <a:effectLst/>
            </c:spPr>
            <c:extLst>
              <c:ext xmlns:c16="http://schemas.microsoft.com/office/drawing/2014/chart" uri="{C3380CC4-5D6E-409C-BE32-E72D297353CC}">
                <c16:uniqueId val="{00000002-A813-419F-AA48-4B5A6636CA8A}"/>
              </c:ext>
            </c:extLst>
          </c:dPt>
          <c:dLbls>
            <c:dLbl>
              <c:idx val="0"/>
              <c:layout>
                <c:manualLayout>
                  <c:x val="-2.2380179689934065E-2"/>
                  <c:y val="-9.0252587322265251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A0-4353-AD06-0B42A4FEEDD6}"/>
                </c:ext>
              </c:extLst>
            </c:dLbl>
            <c:dLbl>
              <c:idx val="1"/>
              <c:layout>
                <c:manualLayout>
                  <c:x val="-0.10192366579177603"/>
                  <c:y val="-0.1180209244677748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13-419F-AA48-4B5A6636CA8A}"/>
                </c:ext>
              </c:extLst>
            </c:dLbl>
            <c:dLbl>
              <c:idx val="2"/>
              <c:layout>
                <c:manualLayout>
                  <c:x val="-0.18325699912510937"/>
                  <c:y val="-5.320610965296004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13-419F-AA48-4B5A6636CA8A}"/>
                </c:ext>
              </c:extLst>
            </c:dLbl>
            <c:dLbl>
              <c:idx val="3"/>
              <c:layout>
                <c:manualLayout>
                  <c:x val="-1.2083333333333435E-2"/>
                  <c:y val="-0.155057961504811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13-419F-AA48-4B5A6636CA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2019</c:v>
                </c:pt>
                <c:pt idx="1">
                  <c:v>2020</c:v>
                </c:pt>
                <c:pt idx="2">
                  <c:v>2021</c:v>
                </c:pt>
                <c:pt idx="3">
                  <c:v>2022</c:v>
                </c:pt>
              </c:strCache>
            </c:strRef>
          </c:cat>
          <c:val>
            <c:numRef>
              <c:f>'Pivot Table'!$B$21:$B$25</c:f>
              <c:numCache>
                <c:formatCode>0.00%</c:formatCode>
                <c:ptCount val="4"/>
                <c:pt idx="1">
                  <c:v>1.5444015444015444E-2</c:v>
                </c:pt>
                <c:pt idx="2">
                  <c:v>0.20463320463320464</c:v>
                </c:pt>
                <c:pt idx="3">
                  <c:v>-0.35907335907335908</c:v>
                </c:pt>
              </c:numCache>
            </c:numRef>
          </c:val>
          <c:smooth val="0"/>
          <c:extLst>
            <c:ext xmlns:c16="http://schemas.microsoft.com/office/drawing/2014/chart" uri="{C3380CC4-5D6E-409C-BE32-E72D297353CC}">
              <c16:uniqueId val="{00000003-A813-419F-AA48-4B5A6636CA8A}"/>
            </c:ext>
          </c:extLst>
        </c:ser>
        <c:dLbls>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251179472"/>
        <c:axId val="251182352"/>
      </c:lineChart>
      <c:catAx>
        <c:axId val="25117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schemeClr>
                </a:solidFill>
                <a:latin typeface="+mn-lt"/>
                <a:ea typeface="+mn-ea"/>
                <a:cs typeface="+mn-cs"/>
              </a:defRPr>
            </a:pPr>
            <a:endParaRPr lang="en-US"/>
          </a:p>
        </c:txPr>
        <c:crossAx val="251182352"/>
        <c:crosses val="autoZero"/>
        <c:auto val="1"/>
        <c:lblAlgn val="ctr"/>
        <c:lblOffset val="100"/>
        <c:noMultiLvlLbl val="0"/>
      </c:catAx>
      <c:valAx>
        <c:axId val="251182352"/>
        <c:scaling>
          <c:orientation val="minMax"/>
        </c:scaling>
        <c:delete val="1"/>
        <c:axPos val="l"/>
        <c:numFmt formatCode="0.00%" sourceLinked="1"/>
        <c:majorTickMark val="out"/>
        <c:minorTickMark val="none"/>
        <c:tickLblPos val="nextTo"/>
        <c:crossAx val="2511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Table!MOM SALES(3)</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5.888888888888878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0.107840332458442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620297462817148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2.555555555555555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1.81111111111111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4.9506999125109363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1.082633420822397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188888888888888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7.2506999125109356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0.153062554680664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6.048556430446194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006255468066492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006255468066492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6.048556430446194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0.153062554680664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7.2506999125109356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188888888888888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1.082633420822397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4.9506999125109363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1.81111111111111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2.555555555555555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0.107840332458442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5.888888888888878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620297462817148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spPr>
            <a:solidFill>
              <a:srgbClr val="FFFF00"/>
            </a:solidFill>
            <a:ln w="9525" cap="flat" cmpd="sng" algn="ctr">
              <a:solidFill>
                <a:schemeClr val="bg1">
                  <a:lumMod val="50000"/>
                </a:schemeClr>
              </a:solid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8.0062554680664921E-2"/>
              <c:y val="-9.259259259259262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6.0485564304461944E-3"/>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0.15306255468066493"/>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7.2506999125109356E-2"/>
              <c:y val="-0.1111111111111111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8.1888888888888886E-2"/>
              <c:y val="8.7962962962962882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1.0826334208223973E-2"/>
              <c:y val="-5.5555555555555552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4.9506999125109363E-2"/>
              <c:y val="-0.1250000000000000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1.8111111111111113E-2"/>
              <c:y val="-3.7037037037037035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9.5668385567124897E-2"/>
              <c:y val="-6.4597329523789285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5.4087213066244262E-2"/>
              <c:y val="-0.13883470054517824"/>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5.8888888888888789E-2"/>
              <c:y val="-9.2592592592592587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1">
                <a:lumMod val="50000"/>
              </a:schemeClr>
            </a:solidFill>
            <a:round/>
          </a:ln>
          <a:effectLst/>
        </c:spPr>
        <c:marker>
          <c:symbol val="circle"/>
          <c:size val="4"/>
        </c:marker>
        <c:dLbl>
          <c:idx val="0"/>
          <c:layout>
            <c:manualLayout>
              <c:x val="-8.6202974628171482E-3"/>
              <c:y val="9.7222222222222224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1.2727454362270211E-2"/>
              <c:y val="-5.1204433094352436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7.4125786389298579E-2"/>
              <c:y val="-1.536132992830572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3.0376805098741699E-2"/>
              <c:y val="-6.1445319713222916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7.3510254721327328E-3"/>
              <c:y val="-6.6565763022658167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4.9442150629573849E-2"/>
              <c:y val="-5.3764654749070065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6.3257618405539118E-2"/>
              <c:y val="-4.8644211439634821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7.9957473016778243E-3"/>
              <c:y val="-5.8885098058505343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Lbl>
          <c:idx val="0"/>
          <c:layout>
            <c:manualLayout>
              <c:x val="-7.0165352293521763E-2"/>
              <c:y val="-7.6806649641528654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pivotFmt>
      <c:pivotFmt>
        <c:idx val="49"/>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pivotFmt>
      <c:pivotFmt>
        <c:idx val="50"/>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pivotFmt>
      <c:pivotFmt>
        <c:idx val="51"/>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pivotFmt>
    </c:pivotFmts>
    <c:plotArea>
      <c:layout/>
      <c:lineChart>
        <c:grouping val="stacked"/>
        <c:varyColors val="0"/>
        <c:ser>
          <c:idx val="0"/>
          <c:order val="0"/>
          <c:tx>
            <c:strRef>
              <c:f>'Pivot Table'!$B$32</c:f>
              <c:strCache>
                <c:ptCount val="1"/>
                <c:pt idx="0">
                  <c:v>Total</c:v>
                </c:pt>
              </c:strCache>
            </c:strRef>
          </c:tx>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tx2">
                    <a:lumMod val="75000"/>
                  </a:schemeClr>
                </a:solidFill>
                <a:round/>
              </a:ln>
              <a:effectLst/>
            </c:spPr>
          </c:marker>
          <c:dPt>
            <c:idx val="0"/>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0-2AA9-433E-837A-DAA0FC606F94}"/>
              </c:ext>
            </c:extLst>
          </c:dPt>
          <c:dPt>
            <c:idx val="1"/>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1-2AA9-433E-837A-DAA0FC606F94}"/>
              </c:ext>
            </c:extLst>
          </c:dPt>
          <c:dPt>
            <c:idx val="2"/>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2-2AA9-433E-837A-DAA0FC606F94}"/>
              </c:ext>
            </c:extLst>
          </c:dPt>
          <c:dPt>
            <c:idx val="3"/>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3-2AA9-433E-837A-DAA0FC606F94}"/>
              </c:ext>
            </c:extLst>
          </c:dPt>
          <c:dPt>
            <c:idx val="4"/>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4-2AA9-433E-837A-DAA0FC606F94}"/>
              </c:ext>
            </c:extLst>
          </c:dPt>
          <c:dPt>
            <c:idx val="5"/>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5-2AA9-433E-837A-DAA0FC606F94}"/>
              </c:ext>
            </c:extLst>
          </c:dPt>
          <c:dPt>
            <c:idx val="6"/>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6-2AA9-433E-837A-DAA0FC606F94}"/>
              </c:ext>
            </c:extLst>
          </c:dPt>
          <c:dPt>
            <c:idx val="7"/>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7-2AA9-433E-837A-DAA0FC606F94}"/>
              </c:ext>
            </c:extLst>
          </c:dPt>
          <c:dPt>
            <c:idx val="8"/>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8-2AA9-433E-837A-DAA0FC606F94}"/>
              </c:ext>
            </c:extLst>
          </c:dPt>
          <c:dPt>
            <c:idx val="9"/>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9-2AA9-433E-837A-DAA0FC606F94}"/>
              </c:ext>
            </c:extLst>
          </c:dPt>
          <c:dPt>
            <c:idx val="10"/>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A-2AA9-433E-837A-DAA0FC606F94}"/>
              </c:ext>
            </c:extLst>
          </c:dPt>
          <c:dPt>
            <c:idx val="11"/>
            <c:marker>
              <c:symbol val="circle"/>
              <c:size val="4"/>
              <c:spPr>
                <a:solidFill>
                  <a:schemeClr val="accent1"/>
                </a:solidFill>
                <a:ln w="9525" cap="flat" cmpd="sng" algn="ctr">
                  <a:solidFill>
                    <a:schemeClr val="tx2">
                      <a:lumMod val="75000"/>
                    </a:schemeClr>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B-2AA9-433E-837A-DAA0FC606F94}"/>
              </c:ext>
            </c:extLst>
          </c:dPt>
          <c:dLbls>
            <c:dLbl>
              <c:idx val="1"/>
              <c:layout>
                <c:manualLayout>
                  <c:x val="-7.0165352293521763E-2"/>
                  <c:y val="-7.6806649641528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A9-433E-837A-DAA0FC606F94}"/>
                </c:ext>
              </c:extLst>
            </c:dLbl>
            <c:dLbl>
              <c:idx val="2"/>
              <c:layout>
                <c:manualLayout>
                  <c:x val="-6.3257618405539118E-2"/>
                  <c:y val="-4.86442114396348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A9-433E-837A-DAA0FC606F94}"/>
                </c:ext>
              </c:extLst>
            </c:dLbl>
            <c:dLbl>
              <c:idx val="3"/>
              <c:layout>
                <c:manualLayout>
                  <c:x val="-7.9957473016778243E-3"/>
                  <c:y val="-5.88850980585053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A9-433E-837A-DAA0FC606F94}"/>
                </c:ext>
              </c:extLst>
            </c:dLbl>
            <c:dLbl>
              <c:idx val="5"/>
              <c:layout>
                <c:manualLayout>
                  <c:x val="-4.9442150629573849E-2"/>
                  <c:y val="-5.37646547490700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A9-433E-837A-DAA0FC606F94}"/>
                </c:ext>
              </c:extLst>
            </c:dLbl>
            <c:dLbl>
              <c:idx val="6"/>
              <c:layout>
                <c:manualLayout>
                  <c:x val="1.2727454362270211E-2"/>
                  <c:y val="-5.1204433094352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A9-433E-837A-DAA0FC606F94}"/>
                </c:ext>
              </c:extLst>
            </c:dLbl>
            <c:dLbl>
              <c:idx val="8"/>
              <c:layout>
                <c:manualLayout>
                  <c:x val="-7.4125786389298579E-2"/>
                  <c:y val="-1.5361329928305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A9-433E-837A-DAA0FC606F94}"/>
                </c:ext>
              </c:extLst>
            </c:dLbl>
            <c:dLbl>
              <c:idx val="9"/>
              <c:layout>
                <c:manualLayout>
                  <c:x val="-3.0376805098741699E-2"/>
                  <c:y val="-6.144531971322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A9-433E-837A-DAA0FC606F94}"/>
                </c:ext>
              </c:extLst>
            </c:dLbl>
            <c:dLbl>
              <c:idx val="10"/>
              <c:layout>
                <c:manualLayout>
                  <c:x val="-7.3510254721327328E-3"/>
                  <c:y val="-6.65657630226581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AA9-433E-837A-DAA0FC606F94}"/>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Table'!$A$33:$A$45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Table'!$B$33:$B$45</c:f>
              <c:numCache>
                <c:formatCode>0.00%</c:formatCode>
                <c:ptCount val="12"/>
                <c:pt idx="1">
                  <c:v>0.18131991259008259</c:v>
                </c:pt>
                <c:pt idx="2">
                  <c:v>0.36903428027410529</c:v>
                </c:pt>
                <c:pt idx="3">
                  <c:v>0.2059813847135408</c:v>
                </c:pt>
                <c:pt idx="4">
                  <c:v>-7.2809720713609971E-2</c:v>
                </c:pt>
                <c:pt idx="5">
                  <c:v>0.38252686598906344</c:v>
                </c:pt>
                <c:pt idx="6">
                  <c:v>0.13698978171785298</c:v>
                </c:pt>
                <c:pt idx="7">
                  <c:v>-0.3357474304424593</c:v>
                </c:pt>
                <c:pt idx="8">
                  <c:v>3.7284811599084304E-2</c:v>
                </c:pt>
                <c:pt idx="9">
                  <c:v>8.4795042013568203E-2</c:v>
                </c:pt>
                <c:pt idx="10">
                  <c:v>1.2958762901312322E-2</c:v>
                </c:pt>
                <c:pt idx="11">
                  <c:v>-0.11800481582399273</c:v>
                </c:pt>
              </c:numCache>
            </c:numRef>
          </c:val>
          <c:smooth val="0"/>
          <c:extLst>
            <c:ext xmlns:c16="http://schemas.microsoft.com/office/drawing/2014/chart" uri="{C3380CC4-5D6E-409C-BE32-E72D297353CC}">
              <c16:uniqueId val="{0000000C-2AA9-433E-837A-DAA0FC606F94}"/>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1168912"/>
        <c:axId val="251193872"/>
      </c:lineChart>
      <c:catAx>
        <c:axId val="251168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lumMod val="10000"/>
                  </a:schemeClr>
                </a:solidFill>
                <a:latin typeface="+mn-lt"/>
                <a:ea typeface="+mn-ea"/>
                <a:cs typeface="+mn-cs"/>
              </a:defRPr>
            </a:pPr>
            <a:endParaRPr lang="en-US"/>
          </a:p>
        </c:txPr>
        <c:crossAx val="251193872"/>
        <c:crosses val="autoZero"/>
        <c:auto val="1"/>
        <c:lblAlgn val="ctr"/>
        <c:lblOffset val="100"/>
        <c:noMultiLvlLbl val="0"/>
      </c:catAx>
      <c:valAx>
        <c:axId val="251193872"/>
        <c:scaling>
          <c:orientation val="minMax"/>
        </c:scaling>
        <c:delete val="1"/>
        <c:axPos val="l"/>
        <c:numFmt formatCode="0.00%" sourceLinked="1"/>
        <c:majorTickMark val="none"/>
        <c:minorTickMark val="none"/>
        <c:tickLblPos val="nextTo"/>
        <c:crossAx val="25116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Table!Percentage of sales by coffeetype(9)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25000"/>
            </a:schemeClr>
          </a:solidFill>
          <a:ln>
            <a:noFill/>
          </a:ln>
          <a:effectLst/>
        </c:spPr>
        <c:marker>
          <c:symbol val="none"/>
        </c:marker>
        <c:dLbl>
          <c:idx val="0"/>
          <c:spPr>
            <a:solidFill>
              <a:schemeClr val="bg1">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dLbl>
          <c:idx val="0"/>
          <c:layout>
            <c:manualLayout>
              <c:x val="-1.3468013468013478E-2"/>
              <c:y val="-9.4899169632265717E-2"/>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50000"/>
            </a:schemeClr>
          </a:solidFill>
          <a:ln>
            <a:noFill/>
          </a:ln>
          <a:effectLst/>
        </c:spPr>
        <c:dLbl>
          <c:idx val="0"/>
          <c:layout>
            <c:manualLayout>
              <c:x val="4.0404040404040407E-2"/>
              <c:y val="-4.2704626334519574E-2"/>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dLbl>
          <c:idx val="0"/>
          <c:layout>
            <c:manualLayout>
              <c:x val="2.0202020202020204E-2"/>
              <c:y val="-9.964412811387903E-2"/>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75000"/>
            </a:schemeClr>
          </a:solidFill>
          <a:ln>
            <a:noFill/>
          </a:ln>
          <a:effectLst/>
        </c:spPr>
        <c:dLbl>
          <c:idx val="0"/>
          <c:layout>
            <c:manualLayout>
              <c:x val="0"/>
              <c:y val="-4.2704626334519595E-2"/>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50000"/>
            </a:schemeClr>
          </a:solidFill>
          <a:ln>
            <a:noFill/>
          </a:ln>
          <a:effectLst/>
        </c:spPr>
        <c:dLbl>
          <c:idx val="0"/>
          <c:layout>
            <c:manualLayout>
              <c:x val="3.5914702581369168E-2"/>
              <c:y val="-4.3494950290744462E-17"/>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75000"/>
            </a:schemeClr>
          </a:solidFill>
          <a:ln>
            <a:noFill/>
          </a:ln>
          <a:effectLst/>
        </c:spPr>
        <c:dLbl>
          <c:idx val="0"/>
          <c:layout>
            <c:manualLayout>
              <c:x val="-8.2303575971038333E-17"/>
              <c:y val="-5.2194543297746185E-2"/>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dLbl>
          <c:idx val="0"/>
          <c:layout>
            <c:manualLayout>
              <c:x val="1.3468013468013467E-2"/>
              <c:y val="-5.2194543297746143E-2"/>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53449631927323E-2"/>
          <c:y val="0.13147495353116451"/>
          <c:w val="0.86387461668301568"/>
          <c:h val="0.76575522365754112"/>
        </c:manualLayout>
      </c:layout>
      <c:barChart>
        <c:barDir val="col"/>
        <c:grouping val="clustered"/>
        <c:varyColors val="0"/>
        <c:ser>
          <c:idx val="0"/>
          <c:order val="0"/>
          <c:tx>
            <c:strRef>
              <c:f>'Pivot Table'!$B$114:$B$115</c:f>
              <c:strCache>
                <c:ptCount val="1"/>
                <c:pt idx="0">
                  <c:v>Dark</c:v>
                </c:pt>
              </c:strCache>
            </c:strRef>
          </c:tx>
          <c:spPr>
            <a:solidFill>
              <a:schemeClr val="bg1">
                <a:lumMod val="25000"/>
              </a:schemeClr>
            </a:solidFill>
            <a:ln>
              <a:noFill/>
            </a:ln>
            <a:effectLst/>
          </c:spPr>
          <c:invertIfNegative val="0"/>
          <c:dLbls>
            <c:spPr>
              <a:solidFill>
                <a:schemeClr val="bg1">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Table'!$A$116:$A$120</c:f>
              <c:strCache>
                <c:ptCount val="4"/>
                <c:pt idx="0">
                  <c:v>Arabica</c:v>
                </c:pt>
                <c:pt idx="1">
                  <c:v>Excelsa</c:v>
                </c:pt>
                <c:pt idx="2">
                  <c:v>Liberica</c:v>
                </c:pt>
                <c:pt idx="3">
                  <c:v>Robusta</c:v>
                </c:pt>
              </c:strCache>
            </c:strRef>
          </c:cat>
          <c:val>
            <c:numRef>
              <c:f>'Pivot Table'!$B$116:$B$120</c:f>
              <c:numCache>
                <c:formatCode>0.00%</c:formatCode>
                <c:ptCount val="4"/>
                <c:pt idx="0">
                  <c:v>0.25896981729609436</c:v>
                </c:pt>
                <c:pt idx="1">
                  <c:v>0.27851393254263623</c:v>
                </c:pt>
                <c:pt idx="2">
                  <c:v>0.33980915167692249</c:v>
                </c:pt>
                <c:pt idx="3">
                  <c:v>0.28961233148015403</c:v>
                </c:pt>
              </c:numCache>
            </c:numRef>
          </c:val>
          <c:extLst>
            <c:ext xmlns:c16="http://schemas.microsoft.com/office/drawing/2014/chart" uri="{C3380CC4-5D6E-409C-BE32-E72D297353CC}">
              <c16:uniqueId val="{00000000-F9C1-4AA7-8F82-1A7359BF343C}"/>
            </c:ext>
          </c:extLst>
        </c:ser>
        <c:ser>
          <c:idx val="1"/>
          <c:order val="1"/>
          <c:tx>
            <c:strRef>
              <c:f>'Pivot Table'!$C$114:$C$115</c:f>
              <c:strCache>
                <c:ptCount val="1"/>
                <c:pt idx="0">
                  <c:v>Light</c:v>
                </c:pt>
              </c:strCache>
            </c:strRef>
          </c:tx>
          <c:spPr>
            <a:solidFill>
              <a:schemeClr val="bg1">
                <a:lumMod val="75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FA72-49D5-A899-43C8C828F836}"/>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3-FA72-49D5-A899-43C8C828F836}"/>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5-FA72-49D5-A899-43C8C828F836}"/>
              </c:ext>
            </c:extLst>
          </c:dPt>
          <c:dLbls>
            <c:dLbl>
              <c:idx val="0"/>
              <c:layout>
                <c:manualLayout>
                  <c:x val="-1.3468013468013478E-2"/>
                  <c:y val="-9.48991696322657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72-49D5-A899-43C8C828F836}"/>
                </c:ext>
              </c:extLst>
            </c:dLbl>
            <c:dLbl>
              <c:idx val="1"/>
              <c:layout>
                <c:manualLayout>
                  <c:x val="0"/>
                  <c:y val="-4.27046263345195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72-49D5-A899-43C8C828F836}"/>
                </c:ext>
              </c:extLst>
            </c:dLbl>
            <c:dLbl>
              <c:idx val="3"/>
              <c:layout>
                <c:manualLayout>
                  <c:x val="-8.2303575971038333E-17"/>
                  <c:y val="-5.21945432977461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72-49D5-A899-43C8C828F836}"/>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Table'!$A$116:$A$120</c:f>
              <c:strCache>
                <c:ptCount val="4"/>
                <c:pt idx="0">
                  <c:v>Arabica</c:v>
                </c:pt>
                <c:pt idx="1">
                  <c:v>Excelsa</c:v>
                </c:pt>
                <c:pt idx="2">
                  <c:v>Liberica</c:v>
                </c:pt>
                <c:pt idx="3">
                  <c:v>Robusta</c:v>
                </c:pt>
              </c:strCache>
            </c:strRef>
          </c:cat>
          <c:val>
            <c:numRef>
              <c:f>'Pivot Table'!$C$116:$C$120</c:f>
              <c:numCache>
                <c:formatCode>0.00%</c:formatCode>
                <c:ptCount val="4"/>
                <c:pt idx="0">
                  <c:v>0.35960927884151711</c:v>
                </c:pt>
                <c:pt idx="1">
                  <c:v>0.38975934551340591</c:v>
                </c:pt>
                <c:pt idx="2">
                  <c:v>0.37882500316283091</c:v>
                </c:pt>
                <c:pt idx="3">
                  <c:v>0.41747559339029655</c:v>
                </c:pt>
              </c:numCache>
            </c:numRef>
          </c:val>
          <c:extLst>
            <c:ext xmlns:c16="http://schemas.microsoft.com/office/drawing/2014/chart" uri="{C3380CC4-5D6E-409C-BE32-E72D297353CC}">
              <c16:uniqueId val="{00000011-FC2A-434F-93F2-A5A15CF1C0B7}"/>
            </c:ext>
          </c:extLst>
        </c:ser>
        <c:ser>
          <c:idx val="2"/>
          <c:order val="2"/>
          <c:tx>
            <c:strRef>
              <c:f>'Pivot Table'!$D$114:$D$115</c:f>
              <c:strCache>
                <c:ptCount val="1"/>
                <c:pt idx="0">
                  <c:v>Medium</c:v>
                </c:pt>
              </c:strCache>
            </c:strRef>
          </c:tx>
          <c:spPr>
            <a:solidFill>
              <a:schemeClr val="bg1">
                <a:lumMod val="50000"/>
              </a:schemeClr>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7-FA72-49D5-A899-43C8C828F836}"/>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9-FA72-49D5-A899-43C8C828F836}"/>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B-FA72-49D5-A899-43C8C828F836}"/>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D-FA72-49D5-A899-43C8C828F836}"/>
              </c:ext>
            </c:extLst>
          </c:dPt>
          <c:dLbls>
            <c:dLbl>
              <c:idx val="0"/>
              <c:layout>
                <c:manualLayout>
                  <c:x val="4.0404040404040407E-2"/>
                  <c:y val="-4.27046263345195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72-49D5-A899-43C8C828F836}"/>
                </c:ext>
              </c:extLst>
            </c:dLbl>
            <c:dLbl>
              <c:idx val="1"/>
              <c:layout>
                <c:manualLayout>
                  <c:x val="2.0202020202020204E-2"/>
                  <c:y val="-9.9644128113879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72-49D5-A899-43C8C828F836}"/>
                </c:ext>
              </c:extLst>
            </c:dLbl>
            <c:dLbl>
              <c:idx val="2"/>
              <c:layout>
                <c:manualLayout>
                  <c:x val="3.5914702581369168E-2"/>
                  <c:y val="-4.349495029074446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A72-49D5-A899-43C8C828F836}"/>
                </c:ext>
              </c:extLst>
            </c:dLbl>
            <c:dLbl>
              <c:idx val="3"/>
              <c:layout>
                <c:manualLayout>
                  <c:x val="1.3468013468013467E-2"/>
                  <c:y val="-5.21945432977461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A72-49D5-A899-43C8C828F836}"/>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Table'!$A$116:$A$120</c:f>
              <c:strCache>
                <c:ptCount val="4"/>
                <c:pt idx="0">
                  <c:v>Arabica</c:v>
                </c:pt>
                <c:pt idx="1">
                  <c:v>Excelsa</c:v>
                </c:pt>
                <c:pt idx="2">
                  <c:v>Liberica</c:v>
                </c:pt>
                <c:pt idx="3">
                  <c:v>Robusta</c:v>
                </c:pt>
              </c:strCache>
            </c:strRef>
          </c:cat>
          <c:val>
            <c:numRef>
              <c:f>'Pivot Table'!$D$116:$D$120</c:f>
              <c:numCache>
                <c:formatCode>0.00%</c:formatCode>
                <c:ptCount val="4"/>
                <c:pt idx="0">
                  <c:v>0.38142090386238853</c:v>
                </c:pt>
                <c:pt idx="1">
                  <c:v>0.33172672194395786</c:v>
                </c:pt>
                <c:pt idx="2">
                  <c:v>0.28136584516024676</c:v>
                </c:pt>
                <c:pt idx="3">
                  <c:v>0.29291207512954942</c:v>
                </c:pt>
              </c:numCache>
            </c:numRef>
          </c:val>
          <c:extLst>
            <c:ext xmlns:c16="http://schemas.microsoft.com/office/drawing/2014/chart" uri="{C3380CC4-5D6E-409C-BE32-E72D297353CC}">
              <c16:uniqueId val="{00000012-FC2A-434F-93F2-A5A15CF1C0B7}"/>
            </c:ext>
          </c:extLst>
        </c:ser>
        <c:dLbls>
          <c:dLblPos val="outEnd"/>
          <c:showLegendKey val="0"/>
          <c:showVal val="1"/>
          <c:showCatName val="0"/>
          <c:showSerName val="0"/>
          <c:showPercent val="0"/>
          <c:showBubbleSize val="0"/>
        </c:dLbls>
        <c:gapWidth val="219"/>
        <c:overlap val="-27"/>
        <c:axId val="890502480"/>
        <c:axId val="890477040"/>
      </c:barChart>
      <c:catAx>
        <c:axId val="8905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10000"/>
                  </a:schemeClr>
                </a:solidFill>
                <a:latin typeface="+mn-lt"/>
                <a:ea typeface="+mn-ea"/>
                <a:cs typeface="+mn-cs"/>
              </a:defRPr>
            </a:pPr>
            <a:endParaRPr lang="en-US"/>
          </a:p>
        </c:txPr>
        <c:crossAx val="890477040"/>
        <c:crosses val="autoZero"/>
        <c:auto val="1"/>
        <c:lblAlgn val="ctr"/>
        <c:lblOffset val="100"/>
        <c:noMultiLvlLbl val="0"/>
      </c:catAx>
      <c:valAx>
        <c:axId val="890477040"/>
        <c:scaling>
          <c:orientation val="minMax"/>
        </c:scaling>
        <c:delete val="1"/>
        <c:axPos val="l"/>
        <c:numFmt formatCode="0.00%" sourceLinked="1"/>
        <c:majorTickMark val="none"/>
        <c:minorTickMark val="none"/>
        <c:tickLblPos val="nextTo"/>
        <c:crossAx val="8905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Table!Coffe type wise Loyalty Crad holder (5)</c:name>
    <c:fmtId val="15"/>
  </c:pivotSource>
  <c:chart>
    <c:autoTitleDeleted val="1"/>
    <c:pivotFmts>
      <c:pivotFmt>
        <c:idx val="0"/>
        <c:spPr>
          <a:solidFill>
            <a:srgbClr val="FF0000"/>
          </a:solidFill>
          <a:ln>
            <a:solidFill>
              <a:srgbClr val="FF0000"/>
            </a:solidFill>
          </a:ln>
          <a:effectLst/>
          <a:sp3d>
            <a:contourClr>
              <a:srgbClr val="FF0000"/>
            </a:contourClr>
          </a:sp3d>
        </c:spPr>
        <c:marker>
          <c:symbol val="none"/>
        </c:marker>
        <c:dLbl>
          <c:idx val="0"/>
          <c:spPr>
            <a:solidFill>
              <a:srgbClr val="FF0000"/>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rgbClr val="00B050"/>
          </a:solidFill>
          <a:ln>
            <a:solidFill>
              <a:srgbClr val="00B050"/>
            </a:solidFill>
          </a:ln>
          <a:effectLst/>
          <a:sp3d>
            <a:contourClr>
              <a:srgbClr val="00B050"/>
            </a:contourClr>
          </a:sp3d>
        </c:spPr>
        <c:marker>
          <c:symbol val="none"/>
        </c:marker>
        <c:dLbl>
          <c:idx val="0"/>
          <c:spPr>
            <a:solidFill>
              <a:srgbClr val="00B050"/>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rgbClr val="FF0000"/>
          </a:solidFill>
          <a:ln>
            <a:solidFill>
              <a:srgbClr val="FF0000"/>
            </a:solidFill>
          </a:ln>
          <a:effectLst/>
          <a:sp3d>
            <a:contourClr>
              <a:srgbClr val="FF0000"/>
            </a:contourClr>
          </a:sp3d>
        </c:spPr>
        <c:marker>
          <c:symbol val="none"/>
        </c:marker>
        <c:dLbl>
          <c:idx val="0"/>
          <c:spPr>
            <a:solidFill>
              <a:srgbClr val="FF0000"/>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3"/>
        <c:spPr>
          <a:solidFill>
            <a:srgbClr val="00B050"/>
          </a:solidFill>
          <a:ln>
            <a:solidFill>
              <a:srgbClr val="00B050"/>
            </a:solidFill>
          </a:ln>
          <a:effectLst/>
          <a:sp3d>
            <a:contourClr>
              <a:srgbClr val="00B050"/>
            </a:contourClr>
          </a:sp3d>
        </c:spPr>
        <c:marker>
          <c:symbol val="none"/>
        </c:marker>
        <c:dLbl>
          <c:idx val="0"/>
          <c:spPr>
            <a:solidFill>
              <a:srgbClr val="00B050"/>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4"/>
        <c:spPr>
          <a:solidFill>
            <a:schemeClr val="bg1">
              <a:lumMod val="50000"/>
            </a:schemeClr>
          </a:solidFill>
          <a:ln>
            <a:solidFill>
              <a:schemeClr val="bg1">
                <a:lumMod val="50000"/>
              </a:schemeClr>
            </a:solidFill>
          </a:ln>
          <a:effectLst/>
          <a:sp3d>
            <a:contourClr>
              <a:schemeClr val="bg1">
                <a:lumMod val="50000"/>
              </a:schemeClr>
            </a:contourClr>
          </a:sp3d>
        </c:spPr>
        <c:marker>
          <c:symbol val="none"/>
        </c:marker>
        <c:dLbl>
          <c:idx val="0"/>
          <c:spPr>
            <a:solidFill>
              <a:schemeClr val="bg1">
                <a:lumMod val="50000"/>
              </a:scheme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5"/>
        <c:spPr>
          <a:solidFill>
            <a:schemeClr val="bg1">
              <a:lumMod val="25000"/>
            </a:schemeClr>
          </a:solidFill>
          <a:ln>
            <a:solidFill>
              <a:schemeClr val="bg1">
                <a:lumMod val="25000"/>
              </a:schemeClr>
            </a:solidFill>
          </a:ln>
          <a:effectLst/>
          <a:sp3d>
            <a:contourClr>
              <a:schemeClr val="bg1">
                <a:lumMod val="25000"/>
              </a:schemeClr>
            </a:contourClr>
          </a:sp3d>
        </c:spPr>
        <c:marker>
          <c:symbol val="none"/>
        </c:marker>
        <c:dLbl>
          <c:idx val="0"/>
          <c:spPr>
            <a:solidFill>
              <a:schemeClr val="bg1">
                <a:lumMod val="10000"/>
              </a:scheme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6"/>
        <c:spPr>
          <a:solidFill>
            <a:schemeClr val="bg2">
              <a:lumMod val="50000"/>
            </a:schemeClr>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pivotFmt>
      <c:pivotFmt>
        <c:idx val="8"/>
        <c:spPr>
          <a:solidFill>
            <a:schemeClr val="bg1">
              <a:lumMod val="50000"/>
            </a:schemeClr>
          </a:solidFill>
          <a:ln>
            <a:noFill/>
          </a:ln>
          <a:effectLst/>
        </c:spPr>
      </c:pivotFmt>
      <c:pivotFmt>
        <c:idx val="9"/>
        <c:spPr>
          <a:solidFill>
            <a:schemeClr val="bg1">
              <a:lumMod val="25000"/>
            </a:schemeClr>
          </a:solidFill>
          <a:ln>
            <a:noFill/>
          </a:ln>
          <a:effectLst/>
        </c:spPr>
      </c:pivotFmt>
      <c:pivotFmt>
        <c:idx val="10"/>
        <c:spPr>
          <a:solidFill>
            <a:schemeClr val="tx1">
              <a:lumMod val="50000"/>
            </a:schemeClr>
          </a:solidFill>
          <a:ln>
            <a:noFill/>
          </a:ln>
          <a:effectLst/>
        </c:spPr>
      </c:pivotFmt>
    </c:pivotFmts>
    <c:plotArea>
      <c:layout>
        <c:manualLayout>
          <c:layoutTarget val="inner"/>
          <c:xMode val="edge"/>
          <c:yMode val="edge"/>
          <c:x val="5.3299716074590824E-2"/>
          <c:y val="0.13149445255511821"/>
          <c:w val="0.85717814475819176"/>
          <c:h val="0.73973852818433061"/>
        </c:manualLayout>
      </c:layout>
      <c:barChart>
        <c:barDir val="col"/>
        <c:grouping val="clustered"/>
        <c:varyColors val="0"/>
        <c:ser>
          <c:idx val="0"/>
          <c:order val="0"/>
          <c:tx>
            <c:strRef>
              <c:f>'Pivot Table'!$B$64</c:f>
              <c:strCache>
                <c:ptCount val="1"/>
                <c:pt idx="0">
                  <c:v>Total</c:v>
                </c:pt>
              </c:strCache>
            </c:strRef>
          </c:tx>
          <c:spPr>
            <a:solidFill>
              <a:schemeClr val="bg2">
                <a:lumMod val="50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9F78-4FAC-8816-CEE6FB7D2705}"/>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9F78-4FAC-8816-CEE6FB7D2705}"/>
              </c:ext>
            </c:extLst>
          </c:dPt>
          <c:dPt>
            <c:idx val="2"/>
            <c:invertIfNegative val="0"/>
            <c:bubble3D val="0"/>
            <c:spPr>
              <a:solidFill>
                <a:schemeClr val="bg1">
                  <a:lumMod val="25000"/>
                </a:schemeClr>
              </a:solidFill>
              <a:ln>
                <a:noFill/>
              </a:ln>
              <a:effectLst/>
            </c:spPr>
            <c:extLst>
              <c:ext xmlns:c16="http://schemas.microsoft.com/office/drawing/2014/chart" uri="{C3380CC4-5D6E-409C-BE32-E72D297353CC}">
                <c16:uniqueId val="{00000004-9F78-4FAC-8816-CEE6FB7D2705}"/>
              </c:ext>
            </c:extLst>
          </c:dPt>
          <c:dPt>
            <c:idx val="3"/>
            <c:invertIfNegative val="0"/>
            <c:bubble3D val="0"/>
            <c:spPr>
              <a:solidFill>
                <a:schemeClr val="tx1">
                  <a:lumMod val="50000"/>
                </a:schemeClr>
              </a:solidFill>
              <a:ln>
                <a:noFill/>
              </a:ln>
              <a:effectLst/>
            </c:spPr>
            <c:extLst>
              <c:ext xmlns:c16="http://schemas.microsoft.com/office/drawing/2014/chart" uri="{C3380CC4-5D6E-409C-BE32-E72D297353CC}">
                <c16:uniqueId val="{00000005-9F78-4FAC-8816-CEE6FB7D2705}"/>
              </c:ext>
            </c:extLst>
          </c:dPt>
          <c:dLbls>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Table'!$A$65:$A$69</c:f>
              <c:strCache>
                <c:ptCount val="4"/>
                <c:pt idx="0">
                  <c:v>0.2</c:v>
                </c:pt>
                <c:pt idx="1">
                  <c:v>0.5</c:v>
                </c:pt>
                <c:pt idx="2">
                  <c:v>1</c:v>
                </c:pt>
                <c:pt idx="3">
                  <c:v>2.5</c:v>
                </c:pt>
              </c:strCache>
            </c:strRef>
          </c:cat>
          <c:val>
            <c:numRef>
              <c:f>'Pivot Table'!$B$65:$B$69</c:f>
              <c:numCache>
                <c:formatCode>_("$"* #,##0_);_("$"* \(#,##0\);_("$"* "-"??_);_(@_)</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9F78-4FAC-8816-CEE6FB7D2705}"/>
            </c:ext>
          </c:extLst>
        </c:ser>
        <c:dLbls>
          <c:showLegendKey val="0"/>
          <c:showVal val="1"/>
          <c:showCatName val="0"/>
          <c:showSerName val="0"/>
          <c:showPercent val="0"/>
          <c:showBubbleSize val="0"/>
        </c:dLbls>
        <c:gapWidth val="150"/>
        <c:axId val="712099696"/>
        <c:axId val="536273360"/>
      </c:barChart>
      <c:catAx>
        <c:axId val="712099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10000"/>
                  </a:schemeClr>
                </a:solidFill>
                <a:latin typeface="+mn-lt"/>
                <a:ea typeface="+mn-ea"/>
                <a:cs typeface="+mn-cs"/>
              </a:defRPr>
            </a:pPr>
            <a:endParaRPr lang="en-US"/>
          </a:p>
        </c:txPr>
        <c:crossAx val="536273360"/>
        <c:crosses val="autoZero"/>
        <c:auto val="1"/>
        <c:lblAlgn val="ctr"/>
        <c:lblOffset val="100"/>
        <c:noMultiLvlLbl val="0"/>
      </c:catAx>
      <c:valAx>
        <c:axId val="536273360"/>
        <c:scaling>
          <c:orientation val="minMax"/>
        </c:scaling>
        <c:delete val="1"/>
        <c:axPos val="l"/>
        <c:numFmt formatCode="_(&quot;$&quot;* #,##0_);_(&quot;$&quot;* \(#,##0\);_(&quot;$&quot;* &quot;-&quot;??_);_(@_)" sourceLinked="1"/>
        <c:majorTickMark val="none"/>
        <c:minorTickMark val="none"/>
        <c:tickLblPos val="nextTo"/>
        <c:crossAx val="71209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Table!Sale Quantity %(1)</c:name>
    <c:fmtId val="0"/>
  </c:pivotSource>
  <c:chart>
    <c:autoTitleDeleted val="1"/>
    <c:pivotFmts>
      <c:pivotFmt>
        <c:idx val="0"/>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layout>
            <c:manualLayout>
              <c:x val="1.8055555555555555E-3"/>
              <c:y val="-0.1087616652085156"/>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layout>
            <c:manualLayout>
              <c:x val="4.1312660659685481E-2"/>
              <c:y val="1.5128086364770015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0240549828178694E-2"/>
          <c:y val="0.17496229260935142"/>
          <c:w val="0.9395189003436426"/>
          <c:h val="0.75867269984917041"/>
        </c:manualLayout>
      </c:layout>
      <c:lineChart>
        <c:grouping val="stacke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765C-4D2D-92BF-0289B563B7D6}"/>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765C-4D2D-92BF-0289B563B7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0.00%</c:formatCode>
                <c:ptCount val="12"/>
                <c:pt idx="1">
                  <c:v>0.132013201320132</c:v>
                </c:pt>
                <c:pt idx="2">
                  <c:v>0.31353135313531355</c:v>
                </c:pt>
                <c:pt idx="3">
                  <c:v>-3.3003300330033004E-3</c:v>
                </c:pt>
                <c:pt idx="4">
                  <c:v>-0.10561056105610561</c:v>
                </c:pt>
                <c:pt idx="5">
                  <c:v>0.10891089108910891</c:v>
                </c:pt>
                <c:pt idx="6">
                  <c:v>5.6105610561056105E-2</c:v>
                </c:pt>
                <c:pt idx="7">
                  <c:v>-0.28712871287128711</c:v>
                </c:pt>
                <c:pt idx="8">
                  <c:v>-9.9009900990099015E-2</c:v>
                </c:pt>
                <c:pt idx="9">
                  <c:v>-3.9603960396039604E-2</c:v>
                </c:pt>
                <c:pt idx="10">
                  <c:v>-0.19141914191419143</c:v>
                </c:pt>
                <c:pt idx="11">
                  <c:v>-0.16501650165016502</c:v>
                </c:pt>
              </c:numCache>
            </c:numRef>
          </c:val>
          <c:smooth val="0"/>
          <c:extLst>
            <c:ext xmlns:c16="http://schemas.microsoft.com/office/drawing/2014/chart" uri="{C3380CC4-5D6E-409C-BE32-E72D297353CC}">
              <c16:uniqueId val="{00000000-765C-4D2D-92BF-0289B563B7D6}"/>
            </c:ext>
          </c:extLst>
        </c:ser>
        <c:dLbls>
          <c:dLblPos val="t"/>
          <c:showLegendKey val="0"/>
          <c:showVal val="1"/>
          <c:showCatName val="0"/>
          <c:showSerName val="0"/>
          <c:showPercent val="0"/>
          <c:showBubbleSize val="0"/>
        </c:dLbls>
        <c:marker val="1"/>
        <c:smooth val="0"/>
        <c:axId val="251149712"/>
        <c:axId val="251145872"/>
      </c:lineChart>
      <c:catAx>
        <c:axId val="2511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51145872"/>
        <c:crosses val="autoZero"/>
        <c:auto val="1"/>
        <c:lblAlgn val="ctr"/>
        <c:lblOffset val="100"/>
        <c:noMultiLvlLbl val="0"/>
      </c:catAx>
      <c:valAx>
        <c:axId val="251145872"/>
        <c:scaling>
          <c:orientation val="minMax"/>
        </c:scaling>
        <c:delete val="1"/>
        <c:axPos val="l"/>
        <c:numFmt formatCode="0.00%" sourceLinked="1"/>
        <c:majorTickMark val="out"/>
        <c:minorTickMark val="none"/>
        <c:tickLblPos val="nextTo"/>
        <c:crossAx val="2511497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Table!YOY change in customer frequency(2)</c:name>
    <c:fmtId val="3"/>
  </c:pivotSource>
  <c:chart>
    <c:autoTitleDeleted val="1"/>
    <c:pivotFmts>
      <c:pivotFmt>
        <c:idx val="0"/>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1.2083333333333435E-2"/>
              <c:y val="-0.155057961504811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0.10192366579177603"/>
              <c:y val="-0.11802092446777486"/>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layout>
            <c:manualLayout>
              <c:x val="-0.18325699912510937"/>
              <c:y val="-5.3206109652960049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0925925925925923E-2"/>
          <c:w val="0.93888888888888888"/>
          <c:h val="0.89814814814814814"/>
        </c:manualLayout>
      </c:layout>
      <c:lineChart>
        <c:grouping val="stacked"/>
        <c:varyColors val="0"/>
        <c:ser>
          <c:idx val="0"/>
          <c:order val="0"/>
          <c:tx>
            <c:strRef>
              <c:f>'Pivot Table'!$B$20</c:f>
              <c:strCache>
                <c:ptCount val="1"/>
                <c:pt idx="0">
                  <c:v>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dPt>
            <c:idx val="1"/>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3-1B7D-4425-8906-A8ACE59C907E}"/>
              </c:ext>
            </c:extLst>
          </c:dPt>
          <c:dPt>
            <c:idx val="2"/>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4-1B7D-4425-8906-A8ACE59C907E}"/>
              </c:ext>
            </c:extLst>
          </c:dPt>
          <c:dPt>
            <c:idx val="3"/>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2-1B7D-4425-8906-A8ACE59C907E}"/>
              </c:ext>
            </c:extLst>
          </c:dPt>
          <c:dLbls>
            <c:dLbl>
              <c:idx val="1"/>
              <c:layout>
                <c:manualLayout>
                  <c:x val="-0.10192366579177603"/>
                  <c:y val="-0.118020924467774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7D-4425-8906-A8ACE59C907E}"/>
                </c:ext>
              </c:extLst>
            </c:dLbl>
            <c:dLbl>
              <c:idx val="2"/>
              <c:layout>
                <c:manualLayout>
                  <c:x val="-0.18325699912510937"/>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7D-4425-8906-A8ACE59C907E}"/>
                </c:ext>
              </c:extLst>
            </c:dLbl>
            <c:dLbl>
              <c:idx val="3"/>
              <c:layout>
                <c:manualLayout>
                  <c:x val="-1.2083333333333435E-2"/>
                  <c:y val="-0.1550579615048119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7D-4425-8906-A8ACE59C907E}"/>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2019</c:v>
                </c:pt>
                <c:pt idx="1">
                  <c:v>2020</c:v>
                </c:pt>
                <c:pt idx="2">
                  <c:v>2021</c:v>
                </c:pt>
                <c:pt idx="3">
                  <c:v>2022</c:v>
                </c:pt>
              </c:strCache>
            </c:strRef>
          </c:cat>
          <c:val>
            <c:numRef>
              <c:f>'Pivot Table'!$B$21:$B$25</c:f>
              <c:numCache>
                <c:formatCode>0.00%</c:formatCode>
                <c:ptCount val="4"/>
                <c:pt idx="1">
                  <c:v>1.5444015444015444E-2</c:v>
                </c:pt>
                <c:pt idx="2">
                  <c:v>0.20463320463320464</c:v>
                </c:pt>
                <c:pt idx="3">
                  <c:v>-0.35907335907335908</c:v>
                </c:pt>
              </c:numCache>
            </c:numRef>
          </c:val>
          <c:smooth val="0"/>
          <c:extLst>
            <c:ext xmlns:c16="http://schemas.microsoft.com/office/drawing/2014/chart" uri="{C3380CC4-5D6E-409C-BE32-E72D297353CC}">
              <c16:uniqueId val="{00000000-1B7D-4425-8906-A8ACE59C907E}"/>
            </c:ext>
          </c:extLst>
        </c:ser>
        <c:dLbls>
          <c:dLblPos val="t"/>
          <c:showLegendKey val="0"/>
          <c:showVal val="1"/>
          <c:showCatName val="0"/>
          <c:showSerName val="0"/>
          <c:showPercent val="0"/>
          <c:showBubbleSize val="0"/>
        </c:dLbls>
        <c:marker val="1"/>
        <c:smooth val="0"/>
        <c:axId val="251179472"/>
        <c:axId val="251182352"/>
      </c:lineChart>
      <c:catAx>
        <c:axId val="25117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1182352"/>
        <c:crosses val="autoZero"/>
        <c:auto val="1"/>
        <c:lblAlgn val="ctr"/>
        <c:lblOffset val="100"/>
        <c:noMultiLvlLbl val="0"/>
      </c:catAx>
      <c:valAx>
        <c:axId val="251182352"/>
        <c:scaling>
          <c:orientation val="minMax"/>
        </c:scaling>
        <c:delete val="1"/>
        <c:axPos val="l"/>
        <c:numFmt formatCode="0.00%" sourceLinked="1"/>
        <c:majorTickMark val="none"/>
        <c:minorTickMark val="none"/>
        <c:tickLblPos val="nextTo"/>
        <c:crossAx val="2511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Table!MOM SALES(3)</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5.888888888888878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0.107840332458442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620297462817148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2.555555555555555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1.81111111111111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4.9506999125109363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1.082633420822397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188888888888888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7.2506999125109356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0.153062554680664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6.048556430446194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rgbClr val="FFFF00"/>
            </a:solidFill>
            <a:ln w="9525" cap="flat" cmpd="sng" algn="ctr">
              <a:solidFill>
                <a:srgbClr val="00B050"/>
              </a:solidFill>
              <a:round/>
            </a:ln>
            <a:effectLst/>
          </c:spPr>
        </c:marker>
        <c:dLbl>
          <c:idx val="0"/>
          <c:layout>
            <c:manualLayout>
              <c:x val="-8.0062554680664921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cked"/>
        <c:varyColors val="0"/>
        <c:ser>
          <c:idx val="0"/>
          <c:order val="0"/>
          <c:tx>
            <c:strRef>
              <c:f>'Pivot Table'!$B$32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0"/>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D-B0C9-4DE9-BA47-9FAD1E5F7246}"/>
              </c:ext>
            </c:extLst>
          </c:dPt>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C-B0C9-4DE9-BA47-9FAD1E5F7246}"/>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B-B0C9-4DE9-BA47-9FAD1E5F7246}"/>
              </c:ext>
            </c:extLst>
          </c:dPt>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A-B0C9-4DE9-BA47-9FAD1E5F7246}"/>
              </c:ext>
            </c:extLst>
          </c:dPt>
          <c:dPt>
            <c:idx val="4"/>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9-B0C9-4DE9-BA47-9FAD1E5F7246}"/>
              </c:ext>
            </c:extLst>
          </c:dPt>
          <c:dPt>
            <c:idx val="5"/>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8-B0C9-4DE9-BA47-9FAD1E5F7246}"/>
              </c:ext>
            </c:extLst>
          </c:dPt>
          <c:dPt>
            <c:idx val="6"/>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7-B0C9-4DE9-BA47-9FAD1E5F7246}"/>
              </c:ext>
            </c:extLst>
          </c:dPt>
          <c:dPt>
            <c:idx val="7"/>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6-B0C9-4DE9-BA47-9FAD1E5F7246}"/>
              </c:ext>
            </c:extLst>
          </c:dPt>
          <c:dPt>
            <c:idx val="8"/>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5-B0C9-4DE9-BA47-9FAD1E5F7246}"/>
              </c:ext>
            </c:extLst>
          </c:dPt>
          <c:dPt>
            <c:idx val="9"/>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3-B0C9-4DE9-BA47-9FAD1E5F7246}"/>
              </c:ext>
            </c:extLst>
          </c:dPt>
          <c:dPt>
            <c:idx val="10"/>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B0C9-4DE9-BA47-9FAD1E5F7246}"/>
              </c:ext>
            </c:extLst>
          </c:dPt>
          <c:dPt>
            <c:idx val="1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4-B0C9-4DE9-BA47-9FAD1E5F72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Table'!$A$33:$A$45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Table'!$B$33:$B$45</c:f>
              <c:numCache>
                <c:formatCode>0.00%</c:formatCode>
                <c:ptCount val="12"/>
                <c:pt idx="1">
                  <c:v>0.18131991259008259</c:v>
                </c:pt>
                <c:pt idx="2">
                  <c:v>0.36903428027410529</c:v>
                </c:pt>
                <c:pt idx="3">
                  <c:v>0.2059813847135408</c:v>
                </c:pt>
                <c:pt idx="4">
                  <c:v>-7.2809720713609971E-2</c:v>
                </c:pt>
                <c:pt idx="5">
                  <c:v>0.38252686598906344</c:v>
                </c:pt>
                <c:pt idx="6">
                  <c:v>0.13698978171785298</c:v>
                </c:pt>
                <c:pt idx="7">
                  <c:v>-0.3357474304424593</c:v>
                </c:pt>
                <c:pt idx="8">
                  <c:v>3.7284811599084304E-2</c:v>
                </c:pt>
                <c:pt idx="9">
                  <c:v>8.4795042013568203E-2</c:v>
                </c:pt>
                <c:pt idx="10">
                  <c:v>1.2958762901312322E-2</c:v>
                </c:pt>
                <c:pt idx="11">
                  <c:v>-0.11800481582399273</c:v>
                </c:pt>
              </c:numCache>
            </c:numRef>
          </c:val>
          <c:smooth val="0"/>
          <c:extLst>
            <c:ext xmlns:c16="http://schemas.microsoft.com/office/drawing/2014/chart" uri="{C3380CC4-5D6E-409C-BE32-E72D297353CC}">
              <c16:uniqueId val="{00000000-B0C9-4DE9-BA47-9FAD1E5F7246}"/>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1168912"/>
        <c:axId val="251193872"/>
      </c:lineChart>
      <c:catAx>
        <c:axId val="251168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lumMod val="95000"/>
                    <a:lumOff val="5000"/>
                  </a:schemeClr>
                </a:solidFill>
                <a:latin typeface="+mn-lt"/>
                <a:ea typeface="+mn-ea"/>
                <a:cs typeface="+mn-cs"/>
              </a:defRPr>
            </a:pPr>
            <a:endParaRPr lang="en-US"/>
          </a:p>
        </c:txPr>
        <c:crossAx val="251193872"/>
        <c:crosses val="autoZero"/>
        <c:auto val="1"/>
        <c:lblAlgn val="ctr"/>
        <c:lblOffset val="100"/>
        <c:noMultiLvlLbl val="0"/>
      </c:catAx>
      <c:valAx>
        <c:axId val="251193872"/>
        <c:scaling>
          <c:orientation val="minMax"/>
        </c:scaling>
        <c:delete val="1"/>
        <c:axPos val="l"/>
        <c:numFmt formatCode="0.00%" sourceLinked="1"/>
        <c:majorTickMark val="none"/>
        <c:minorTickMark val="none"/>
        <c:tickLblPos val="nextTo"/>
        <c:crossAx val="25116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[Research data coffeeOrdersData (1).xlsx]Pivot Table!GROSS PROFIT(4)</c:name>
    <c:fmtId val="6"/>
  </c:pivotSource>
  <c:chart>
    <c:autoTitleDeleted val="1"/>
    <c:pivotFmts>
      <c:pivotFmt>
        <c:idx val="0"/>
        <c:spPr>
          <a:solidFill>
            <a:schemeClr val="accent1"/>
          </a:solidFill>
          <a:ln w="28575" cap="rnd">
            <a:solidFill>
              <a:srgbClr val="00B0F0"/>
            </a:solidFill>
            <a:round/>
          </a:ln>
          <a:effectLst/>
        </c:spPr>
        <c:marker>
          <c:symbol val="circle"/>
          <c:size val="5"/>
          <c:spPr>
            <a:solidFill>
              <a:srgbClr val="FFFF00"/>
            </a:solidFill>
            <a:ln w="9525">
              <a:solidFill>
                <a:srgbClr val="00B0F0"/>
              </a:solidFill>
            </a:ln>
            <a:effectLst/>
          </c:spPr>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rgbClr val="FFFF00"/>
            </a:solidFill>
            <a:ln w="9525">
              <a:solidFill>
                <a:srgbClr val="00B0F0"/>
              </a:solidFill>
            </a:ln>
            <a:effectLst/>
          </c:spPr>
        </c:marker>
        <c:dLbl>
          <c:idx val="0"/>
          <c:layout>
            <c:manualLayout>
              <c:x val="1.2003284922021278E-2"/>
              <c:y val="-8.5613643960441591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p3d/>
        </c:spPr>
        <c:dLbl>
          <c:idx val="0"/>
          <c:layout>
            <c:manualLayout>
              <c:x val="2.3410472684171985E-2"/>
              <c:y val="-0.3110383770993364"/>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dLbl>
          <c:idx val="0"/>
          <c:layout>
            <c:manualLayout>
              <c:x val="1.7557854513128988E-2"/>
              <c:y val="-0.31901372010188345"/>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sp3d/>
        </c:spPr>
        <c:dLbl>
          <c:idx val="0"/>
          <c:layout>
            <c:manualLayout>
              <c:x val="8.7789272565644942E-3"/>
              <c:y val="-0.29508769109424221"/>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a:sp3d/>
        </c:spPr>
        <c:dLbl>
          <c:idx val="0"/>
          <c:layout>
            <c:manualLayout>
              <c:x val="1.1705236342085966E-2"/>
              <c:y val="-0.33496440610697759"/>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484744509107695E-2"/>
          <c:y val="0.11764696800450208"/>
          <c:w val="0.93525951342218117"/>
          <c:h val="0.78431389199174617"/>
        </c:manualLayout>
      </c:layout>
      <c:bar3DChart>
        <c:barDir val="col"/>
        <c:grouping val="stacked"/>
        <c:varyColors val="0"/>
        <c:ser>
          <c:idx val="0"/>
          <c:order val="0"/>
          <c:tx>
            <c:strRef>
              <c:f>'Pivot Table'!$B$52</c:f>
              <c:strCache>
                <c:ptCount val="1"/>
                <c:pt idx="0">
                  <c:v>Total</c:v>
                </c:pt>
              </c:strCache>
            </c:strRef>
          </c:tx>
          <c:spPr>
            <a:solidFill>
              <a:schemeClr val="accent6">
                <a:lumMod val="60000"/>
                <a:lumOff val="40000"/>
              </a:schemeClr>
            </a:solidFill>
            <a:ln>
              <a:noFill/>
            </a:ln>
            <a:effectLst/>
            <a:sp3d/>
          </c:spPr>
          <c:invertIfNegative val="0"/>
          <c:dPt>
            <c:idx val="0"/>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7-FE5C-4B79-AF18-FF0445CA9E14}"/>
              </c:ext>
            </c:extLst>
          </c:dPt>
          <c:dPt>
            <c:idx val="1"/>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6-FE5C-4B79-AF18-FF0445CA9E14}"/>
              </c:ext>
            </c:extLst>
          </c:dPt>
          <c:dPt>
            <c:idx val="2"/>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5-FE5C-4B79-AF18-FF0445CA9E14}"/>
              </c:ext>
            </c:extLst>
          </c:dPt>
          <c:dPt>
            <c:idx val="3"/>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4-FE5C-4B79-AF18-FF0445CA9E14}"/>
              </c:ext>
            </c:extLst>
          </c:dPt>
          <c:dLbls>
            <c:dLbl>
              <c:idx val="0"/>
              <c:layout>
                <c:manualLayout>
                  <c:x val="1.1705236342085966E-2"/>
                  <c:y val="-0.33496440610697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5C-4B79-AF18-FF0445CA9E14}"/>
                </c:ext>
              </c:extLst>
            </c:dLbl>
            <c:dLbl>
              <c:idx val="1"/>
              <c:layout>
                <c:manualLayout>
                  <c:x val="8.7789272565644942E-3"/>
                  <c:y val="-0.29508769109424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5C-4B79-AF18-FF0445CA9E14}"/>
                </c:ext>
              </c:extLst>
            </c:dLbl>
            <c:dLbl>
              <c:idx val="2"/>
              <c:layout>
                <c:manualLayout>
                  <c:x val="1.7557854513128988E-2"/>
                  <c:y val="-0.319013720101883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5C-4B79-AF18-FF0445CA9E14}"/>
                </c:ext>
              </c:extLst>
            </c:dLbl>
            <c:dLbl>
              <c:idx val="3"/>
              <c:layout>
                <c:manualLayout>
                  <c:x val="2.3410472684171985E-2"/>
                  <c:y val="-0.31103837709933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5C-4B79-AF18-FF0445CA9E14}"/>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Liberica</c:v>
                </c:pt>
                <c:pt idx="1">
                  <c:v>Excelsa</c:v>
                </c:pt>
                <c:pt idx="2">
                  <c:v>Arabica</c:v>
                </c:pt>
                <c:pt idx="3">
                  <c:v>Robusta</c:v>
                </c:pt>
              </c:strCache>
            </c:strRef>
          </c:cat>
          <c:val>
            <c:numRef>
              <c:f>'Pivot Table'!$B$53:$B$57</c:f>
              <c:numCache>
                <c:formatCode>0.0</c:formatCode>
                <c:ptCount val="4"/>
                <c:pt idx="0">
                  <c:v>32.239999999999924</c:v>
                </c:pt>
                <c:pt idx="1">
                  <c:v>27.169999999999906</c:v>
                </c:pt>
                <c:pt idx="2">
                  <c:v>23.759999999999966</c:v>
                </c:pt>
                <c:pt idx="3">
                  <c:v>14.460000000000042</c:v>
                </c:pt>
              </c:numCache>
            </c:numRef>
          </c:val>
          <c:extLst>
            <c:ext xmlns:c16="http://schemas.microsoft.com/office/drawing/2014/chart" uri="{C3380CC4-5D6E-409C-BE32-E72D297353CC}">
              <c16:uniqueId val="{00000002-FE5C-4B79-AF18-FF0445CA9E14}"/>
            </c:ext>
          </c:extLst>
        </c:ser>
        <c:dLbls>
          <c:showLegendKey val="0"/>
          <c:showVal val="1"/>
          <c:showCatName val="0"/>
          <c:showSerName val="0"/>
          <c:showPercent val="0"/>
          <c:showBubbleSize val="0"/>
        </c:dLbls>
        <c:gapWidth val="150"/>
        <c:shape val="box"/>
        <c:axId val="251202032"/>
        <c:axId val="251202992"/>
        <c:axId val="0"/>
      </c:bar3DChart>
      <c:catAx>
        <c:axId val="2512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51202992"/>
        <c:crosses val="autoZero"/>
        <c:auto val="1"/>
        <c:lblAlgn val="ctr"/>
        <c:lblOffset val="100"/>
        <c:noMultiLvlLbl val="0"/>
      </c:catAx>
      <c:valAx>
        <c:axId val="251202992"/>
        <c:scaling>
          <c:orientation val="minMax"/>
        </c:scaling>
        <c:delete val="1"/>
        <c:axPos val="l"/>
        <c:numFmt formatCode="0.0" sourceLinked="1"/>
        <c:majorTickMark val="none"/>
        <c:minorTickMark val="none"/>
        <c:tickLblPos val="nextTo"/>
        <c:crossAx val="2512020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image" Target="../media/image13.svg"/><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svg"/><Relationship Id="rId4" Type="http://schemas.openxmlformats.org/officeDocument/2006/relationships/chart" Target="../charts/chart4.xml"/><Relationship Id="rId9" Type="http://schemas.openxmlformats.org/officeDocument/2006/relationships/image" Target="../media/image6.png"/><Relationship Id="rId14" Type="http://schemas.openxmlformats.org/officeDocument/2006/relationships/image" Target="../media/image11.sv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8.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7.svg"/><Relationship Id="rId2" Type="http://schemas.openxmlformats.org/officeDocument/2006/relationships/image" Target="../media/image3.svg"/><Relationship Id="rId16" Type="http://schemas.openxmlformats.org/officeDocument/2006/relationships/image" Target="../media/image21.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6.png"/><Relationship Id="rId5" Type="http://schemas.openxmlformats.org/officeDocument/2006/relationships/image" Target="../media/image6.png"/><Relationship Id="rId15" Type="http://schemas.openxmlformats.org/officeDocument/2006/relationships/image" Target="../media/image20.png"/><Relationship Id="rId10" Type="http://schemas.openxmlformats.org/officeDocument/2006/relationships/image" Target="../media/image15.svg"/><Relationship Id="rId4" Type="http://schemas.openxmlformats.org/officeDocument/2006/relationships/image" Target="../media/image5.svg"/><Relationship Id="rId9" Type="http://schemas.openxmlformats.org/officeDocument/2006/relationships/image" Target="../media/image14.png"/><Relationship Id="rId14" Type="http://schemas.openxmlformats.org/officeDocument/2006/relationships/image" Target="../media/image19.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54428</xdr:colOff>
      <xdr:row>37</xdr:row>
      <xdr:rowOff>45983</xdr:rowOff>
    </xdr:to>
    <xdr:grpSp>
      <xdr:nvGrpSpPr>
        <xdr:cNvPr id="22" name="Group 21">
          <a:extLst>
            <a:ext uri="{FF2B5EF4-FFF2-40B4-BE49-F238E27FC236}">
              <a16:creationId xmlns:a16="http://schemas.microsoft.com/office/drawing/2014/main" id="{94C70E9E-B1A4-D324-2972-A19165A08FE6}"/>
            </a:ext>
          </a:extLst>
        </xdr:cNvPr>
        <xdr:cNvGrpSpPr/>
      </xdr:nvGrpSpPr>
      <xdr:grpSpPr>
        <a:xfrm>
          <a:off x="0" y="0"/>
          <a:ext cx="17811749" cy="7094483"/>
          <a:chOff x="0" y="0"/>
          <a:chExt cx="17811749" cy="7094483"/>
        </a:xfrm>
      </xdr:grpSpPr>
      <xdr:sp macro="" textlink="">
        <xdr:nvSpPr>
          <xdr:cNvPr id="136" name="Rectangle 135">
            <a:extLst>
              <a:ext uri="{FF2B5EF4-FFF2-40B4-BE49-F238E27FC236}">
                <a16:creationId xmlns:a16="http://schemas.microsoft.com/office/drawing/2014/main" id="{E3D48F02-7E69-4FD0-A52F-E42EDE051311}"/>
              </a:ext>
            </a:extLst>
          </xdr:cNvPr>
          <xdr:cNvSpPr/>
        </xdr:nvSpPr>
        <xdr:spPr>
          <a:xfrm>
            <a:off x="0" y="0"/>
            <a:ext cx="17763166" cy="578307"/>
          </a:xfrm>
          <a:prstGeom prst="rect">
            <a:avLst/>
          </a:prstGeom>
          <a:gradFill>
            <a:gsLst>
              <a:gs pos="100000">
                <a:schemeClr val="accent2">
                  <a:lumMod val="60000"/>
                  <a:lumOff val="40000"/>
                </a:schemeClr>
              </a:gs>
              <a:gs pos="54000">
                <a:schemeClr val="accent6">
                  <a:lumMod val="40000"/>
                  <a:lumOff val="60000"/>
                </a:schemeClr>
              </a:gs>
              <a:gs pos="1000">
                <a:schemeClr val="accent2">
                  <a:lumMod val="75000"/>
                  <a:alpha val="89000"/>
                </a:schemeClr>
              </a:gs>
            </a:gsLst>
            <a:lin ang="138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7" name="TextBox 136">
            <a:extLst>
              <a:ext uri="{FF2B5EF4-FFF2-40B4-BE49-F238E27FC236}">
                <a16:creationId xmlns:a16="http://schemas.microsoft.com/office/drawing/2014/main" id="{128B02FC-91A3-4AC5-8B19-67B69F5FAFB6}"/>
              </a:ext>
            </a:extLst>
          </xdr:cNvPr>
          <xdr:cNvSpPr txBox="1"/>
        </xdr:nvSpPr>
        <xdr:spPr>
          <a:xfrm>
            <a:off x="5936833" y="0"/>
            <a:ext cx="6399877" cy="5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chemeClr val="accent2">
                    <a:lumMod val="75000"/>
                  </a:schemeClr>
                </a:solidFill>
              </a:rPr>
              <a:t>Coffee Sales Analysis</a:t>
            </a:r>
          </a:p>
        </xdr:txBody>
      </xdr:sp>
      <xdr:grpSp>
        <xdr:nvGrpSpPr>
          <xdr:cNvPr id="3" name="Group 2">
            <a:extLst>
              <a:ext uri="{FF2B5EF4-FFF2-40B4-BE49-F238E27FC236}">
                <a16:creationId xmlns:a16="http://schemas.microsoft.com/office/drawing/2014/main" id="{2F3FF7E5-E5CB-B06E-EBFC-FB3285812652}"/>
              </a:ext>
            </a:extLst>
          </xdr:cNvPr>
          <xdr:cNvGrpSpPr/>
        </xdr:nvGrpSpPr>
        <xdr:grpSpPr>
          <a:xfrm>
            <a:off x="12627827" y="1564821"/>
            <a:ext cx="5070111" cy="2699448"/>
            <a:chOff x="12580685" y="1567962"/>
            <a:chExt cx="5043840" cy="2695032"/>
          </a:xfrm>
        </xdr:grpSpPr>
        <xdr:grpSp>
          <xdr:nvGrpSpPr>
            <xdr:cNvPr id="237" name="Group 236">
              <a:extLst>
                <a:ext uri="{FF2B5EF4-FFF2-40B4-BE49-F238E27FC236}">
                  <a16:creationId xmlns:a16="http://schemas.microsoft.com/office/drawing/2014/main" id="{FE7549E6-405D-67F6-13B1-D6A50FF3A1A3}"/>
                </a:ext>
              </a:extLst>
            </xdr:cNvPr>
            <xdr:cNvGrpSpPr/>
          </xdr:nvGrpSpPr>
          <xdr:grpSpPr>
            <a:xfrm>
              <a:off x="12580685" y="1567962"/>
              <a:ext cx="5043840" cy="2695032"/>
              <a:chOff x="12490985" y="1567962"/>
              <a:chExt cx="5007975" cy="2695032"/>
            </a:xfrm>
          </xdr:grpSpPr>
          <xdr:sp macro="" textlink="">
            <xdr:nvSpPr>
              <xdr:cNvPr id="215" name="Rectangle 214">
                <a:extLst>
                  <a:ext uri="{FF2B5EF4-FFF2-40B4-BE49-F238E27FC236}">
                    <a16:creationId xmlns:a16="http://schemas.microsoft.com/office/drawing/2014/main" id="{0A8BEE8F-A918-46BD-ABA8-10CB2D583DDD}"/>
                  </a:ext>
                </a:extLst>
              </xdr:cNvPr>
              <xdr:cNvSpPr/>
            </xdr:nvSpPr>
            <xdr:spPr>
              <a:xfrm>
                <a:off x="12490985" y="1567962"/>
                <a:ext cx="5007975" cy="2695032"/>
              </a:xfrm>
              <a:prstGeom prst="rect">
                <a:avLst/>
              </a:prstGeom>
              <a:gradFill>
                <a:gsLst>
                  <a:gs pos="11000">
                    <a:srgbClr val="FDEFE6"/>
                  </a:gs>
                  <a:gs pos="100000">
                    <a:schemeClr val="accent1">
                      <a:lumMod val="30000"/>
                      <a:lumOff val="70000"/>
                      <a:alpha val="65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36" name="Chart 235">
                <a:extLst>
                  <a:ext uri="{FF2B5EF4-FFF2-40B4-BE49-F238E27FC236}">
                    <a16:creationId xmlns:a16="http://schemas.microsoft.com/office/drawing/2014/main" id="{5987B133-1BE3-4D0C-8365-AFDF6380384A}"/>
                  </a:ext>
                </a:extLst>
              </xdr:cNvPr>
              <xdr:cNvGraphicFramePr>
                <a:graphicFrameLocks/>
              </xdr:cNvGraphicFramePr>
            </xdr:nvGraphicFramePr>
            <xdr:xfrm>
              <a:off x="12505765" y="2041071"/>
              <a:ext cx="4964205" cy="2194752"/>
            </xdr:xfrm>
            <a:graphic>
              <a:graphicData uri="http://schemas.openxmlformats.org/drawingml/2006/chart">
                <c:chart xmlns:c="http://schemas.openxmlformats.org/drawingml/2006/chart" xmlns:r="http://schemas.openxmlformats.org/officeDocument/2006/relationships" r:id="rId1"/>
              </a:graphicData>
            </a:graphic>
          </xdr:graphicFrame>
        </xdr:grpSp>
        <xdr:sp macro="" textlink="">
          <xdr:nvSpPr>
            <xdr:cNvPr id="2" name="TextBox 1">
              <a:extLst>
                <a:ext uri="{FF2B5EF4-FFF2-40B4-BE49-F238E27FC236}">
                  <a16:creationId xmlns:a16="http://schemas.microsoft.com/office/drawing/2014/main" id="{0FA94CB5-D736-01EB-B09F-535106FF8159}"/>
                </a:ext>
              </a:extLst>
            </xdr:cNvPr>
            <xdr:cNvSpPr txBox="1"/>
          </xdr:nvSpPr>
          <xdr:spPr>
            <a:xfrm>
              <a:off x="13922154" y="1632687"/>
              <a:ext cx="3636663" cy="274898"/>
            </a:xfrm>
            <a:prstGeom prst="rect">
              <a:avLst/>
            </a:prstGeom>
            <a:noFill/>
            <a:ln w="9525" cmpd="sng">
              <a:solidFill>
                <a:schemeClr val="bg1">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Monthly Quantity Distribution Difference</a:t>
              </a:r>
            </a:p>
          </xdr:txBody>
        </xdr:sp>
      </xdr:grpSp>
      <xdr:grpSp>
        <xdr:nvGrpSpPr>
          <xdr:cNvPr id="5" name="Group 4">
            <a:extLst>
              <a:ext uri="{FF2B5EF4-FFF2-40B4-BE49-F238E27FC236}">
                <a16:creationId xmlns:a16="http://schemas.microsoft.com/office/drawing/2014/main" id="{034783B2-3664-EAC5-83FF-462F62850E75}"/>
              </a:ext>
            </a:extLst>
          </xdr:cNvPr>
          <xdr:cNvGrpSpPr/>
        </xdr:nvGrpSpPr>
        <xdr:grpSpPr>
          <a:xfrm>
            <a:off x="1277087" y="1563414"/>
            <a:ext cx="5702486" cy="2719434"/>
            <a:chOff x="1266392" y="1563414"/>
            <a:chExt cx="5654802" cy="2719434"/>
          </a:xfrm>
        </xdr:grpSpPr>
        <xdr:grpSp>
          <xdr:nvGrpSpPr>
            <xdr:cNvPr id="233" name="Group 232">
              <a:extLst>
                <a:ext uri="{FF2B5EF4-FFF2-40B4-BE49-F238E27FC236}">
                  <a16:creationId xmlns:a16="http://schemas.microsoft.com/office/drawing/2014/main" id="{781725CF-9DE3-AE10-BC27-3A1D5FD861EA}"/>
                </a:ext>
              </a:extLst>
            </xdr:cNvPr>
            <xdr:cNvGrpSpPr/>
          </xdr:nvGrpSpPr>
          <xdr:grpSpPr>
            <a:xfrm>
              <a:off x="1266392" y="1563414"/>
              <a:ext cx="5654802" cy="2719434"/>
              <a:chOff x="1271154" y="1563414"/>
              <a:chExt cx="5676234" cy="2719434"/>
            </a:xfrm>
          </xdr:grpSpPr>
          <xdr:sp macro="" textlink="">
            <xdr:nvSpPr>
              <xdr:cNvPr id="214" name="Rectangle 213">
                <a:extLst>
                  <a:ext uri="{FF2B5EF4-FFF2-40B4-BE49-F238E27FC236}">
                    <a16:creationId xmlns:a16="http://schemas.microsoft.com/office/drawing/2014/main" id="{20BAC31A-663C-4A07-ADCD-32F668BEDB27}"/>
                  </a:ext>
                </a:extLst>
              </xdr:cNvPr>
              <xdr:cNvSpPr/>
            </xdr:nvSpPr>
            <xdr:spPr>
              <a:xfrm>
                <a:off x="1271154" y="1563414"/>
                <a:ext cx="5669207" cy="2719434"/>
              </a:xfrm>
              <a:prstGeom prst="rect">
                <a:avLst/>
              </a:prstGeom>
              <a:gradFill>
                <a:gsLst>
                  <a:gs pos="11000">
                    <a:srgbClr val="FDEFE6"/>
                  </a:gs>
                  <a:gs pos="100000">
                    <a:schemeClr val="accent1">
                      <a:lumMod val="30000"/>
                      <a:lumOff val="70000"/>
                      <a:alpha val="65000"/>
                    </a:schemeClr>
                  </a:gs>
                </a:gsLst>
                <a:lin ang="5400000" scaled="1"/>
              </a:gradFill>
              <a:ln>
                <a:solidFill>
                  <a:schemeClr val="bg1">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32" name="Chart 231">
                <a:extLst>
                  <a:ext uri="{FF2B5EF4-FFF2-40B4-BE49-F238E27FC236}">
                    <a16:creationId xmlns:a16="http://schemas.microsoft.com/office/drawing/2014/main" id="{DE6EE080-80B2-4FDD-80C3-3A1E30F836C1}"/>
                  </a:ext>
                </a:extLst>
              </xdr:cNvPr>
              <xdr:cNvGraphicFramePr>
                <a:graphicFrameLocks/>
              </xdr:cNvGraphicFramePr>
            </xdr:nvGraphicFramePr>
            <xdr:xfrm>
              <a:off x="1272724" y="2027463"/>
              <a:ext cx="5674664" cy="2251459"/>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TextBox 3">
              <a:extLst>
                <a:ext uri="{FF2B5EF4-FFF2-40B4-BE49-F238E27FC236}">
                  <a16:creationId xmlns:a16="http://schemas.microsoft.com/office/drawing/2014/main" id="{22EBC777-10CD-CB74-8B9D-3C2A662EDCBD}"/>
                </a:ext>
              </a:extLst>
            </xdr:cNvPr>
            <xdr:cNvSpPr txBox="1"/>
          </xdr:nvSpPr>
          <xdr:spPr>
            <a:xfrm>
              <a:off x="4087416" y="1594246"/>
              <a:ext cx="2788444" cy="333375"/>
            </a:xfrm>
            <a:prstGeom prst="rect">
              <a:avLst/>
            </a:prstGeom>
            <a:noFill/>
            <a:ln w="9525" cmpd="sng">
              <a:solidFill>
                <a:schemeClr val="bg1">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YOY change in Customer</a:t>
              </a:r>
              <a:r>
                <a:rPr lang="en-US" sz="1400" baseline="0"/>
                <a:t> Frequency</a:t>
              </a:r>
              <a:endParaRPr lang="en-US" sz="1400"/>
            </a:p>
          </xdr:txBody>
        </xdr:sp>
      </xdr:grpSp>
      <xdr:grpSp>
        <xdr:nvGrpSpPr>
          <xdr:cNvPr id="11" name="Group 10">
            <a:extLst>
              <a:ext uri="{FF2B5EF4-FFF2-40B4-BE49-F238E27FC236}">
                <a16:creationId xmlns:a16="http://schemas.microsoft.com/office/drawing/2014/main" id="{57343DCC-377A-5284-D969-6D016D040A42}"/>
              </a:ext>
            </a:extLst>
          </xdr:cNvPr>
          <xdr:cNvGrpSpPr/>
        </xdr:nvGrpSpPr>
        <xdr:grpSpPr>
          <a:xfrm>
            <a:off x="7028024" y="1563879"/>
            <a:ext cx="5547915" cy="5525442"/>
            <a:chOff x="7018484" y="1567961"/>
            <a:chExt cx="5543003" cy="5507751"/>
          </a:xfrm>
        </xdr:grpSpPr>
        <xdr:grpSp>
          <xdr:nvGrpSpPr>
            <xdr:cNvPr id="231" name="Group 230">
              <a:extLst>
                <a:ext uri="{FF2B5EF4-FFF2-40B4-BE49-F238E27FC236}">
                  <a16:creationId xmlns:a16="http://schemas.microsoft.com/office/drawing/2014/main" id="{4BFFB67B-0898-DACF-1BED-7D1F3ABBA47A}"/>
                </a:ext>
              </a:extLst>
            </xdr:cNvPr>
            <xdr:cNvGrpSpPr/>
          </xdr:nvGrpSpPr>
          <xdr:grpSpPr>
            <a:xfrm>
              <a:off x="7018484" y="1567961"/>
              <a:ext cx="5543003" cy="5507751"/>
              <a:chOff x="6972429" y="1567961"/>
              <a:chExt cx="5505321" cy="5507751"/>
            </a:xfrm>
          </xdr:grpSpPr>
          <xdr:sp macro="" textlink="">
            <xdr:nvSpPr>
              <xdr:cNvPr id="216" name="Rectangle 215">
                <a:extLst>
                  <a:ext uri="{FF2B5EF4-FFF2-40B4-BE49-F238E27FC236}">
                    <a16:creationId xmlns:a16="http://schemas.microsoft.com/office/drawing/2014/main" id="{6BEE6EA5-007C-416C-AEBD-4F6C99368577}"/>
                  </a:ext>
                </a:extLst>
              </xdr:cNvPr>
              <xdr:cNvSpPr/>
            </xdr:nvSpPr>
            <xdr:spPr>
              <a:xfrm>
                <a:off x="6972429" y="1567961"/>
                <a:ext cx="5505321" cy="5507751"/>
              </a:xfrm>
              <a:prstGeom prst="rect">
                <a:avLst/>
              </a:prstGeom>
              <a:gradFill>
                <a:gsLst>
                  <a:gs pos="11000">
                    <a:srgbClr val="FDEFE6"/>
                  </a:gs>
                  <a:gs pos="100000">
                    <a:schemeClr val="accent1">
                      <a:lumMod val="30000"/>
                      <a:lumOff val="70000"/>
                      <a:alpha val="65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30" name="Chart 229">
                <a:extLst>
                  <a:ext uri="{FF2B5EF4-FFF2-40B4-BE49-F238E27FC236}">
                    <a16:creationId xmlns:a16="http://schemas.microsoft.com/office/drawing/2014/main" id="{C064E2FF-6091-475B-81BB-2757DDA1B14E}"/>
                  </a:ext>
                </a:extLst>
              </xdr:cNvPr>
              <xdr:cNvGraphicFramePr>
                <a:graphicFrameLocks/>
              </xdr:cNvGraphicFramePr>
            </xdr:nvGraphicFramePr>
            <xdr:xfrm>
              <a:off x="6989885" y="2081893"/>
              <a:ext cx="5473211" cy="4944626"/>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10" name="TextBox 9">
              <a:extLst>
                <a:ext uri="{FF2B5EF4-FFF2-40B4-BE49-F238E27FC236}">
                  <a16:creationId xmlns:a16="http://schemas.microsoft.com/office/drawing/2014/main" id="{1580DD61-E3CB-AA9A-2971-31E86F1CA3AB}"/>
                </a:ext>
              </a:extLst>
            </xdr:cNvPr>
            <xdr:cNvSpPr txBox="1"/>
          </xdr:nvSpPr>
          <xdr:spPr>
            <a:xfrm>
              <a:off x="10537584" y="1620832"/>
              <a:ext cx="1950606" cy="273594"/>
            </a:xfrm>
            <a:prstGeom prst="rect">
              <a:avLst/>
            </a:prstGeom>
            <a:noFill/>
            <a:ln w="9525" cmpd="sng">
              <a:solidFill>
                <a:schemeClr val="bg1">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Month On Month Sales</a:t>
              </a:r>
            </a:p>
          </xdr:txBody>
        </xdr:sp>
      </xdr:grpSp>
      <xdr:grpSp>
        <xdr:nvGrpSpPr>
          <xdr:cNvPr id="16" name="Group 15">
            <a:extLst>
              <a:ext uri="{FF2B5EF4-FFF2-40B4-BE49-F238E27FC236}">
                <a16:creationId xmlns:a16="http://schemas.microsoft.com/office/drawing/2014/main" id="{62EEB309-2C00-CD58-18AC-FD325C6A5CEB}"/>
              </a:ext>
            </a:extLst>
          </xdr:cNvPr>
          <xdr:cNvGrpSpPr/>
        </xdr:nvGrpSpPr>
        <xdr:grpSpPr>
          <a:xfrm>
            <a:off x="1277087" y="4315810"/>
            <a:ext cx="5695428" cy="2773267"/>
            <a:chOff x="7367153" y="7582885"/>
            <a:chExt cx="5669229" cy="2773267"/>
          </a:xfrm>
        </xdr:grpSpPr>
        <xdr:sp macro="" textlink="">
          <xdr:nvSpPr>
            <xdr:cNvPr id="218" name="Rectangle 217">
              <a:extLst>
                <a:ext uri="{FF2B5EF4-FFF2-40B4-BE49-F238E27FC236}">
                  <a16:creationId xmlns:a16="http://schemas.microsoft.com/office/drawing/2014/main" id="{29AE6DF0-1CF7-4EA9-830B-2DE60074F202}"/>
                </a:ext>
              </a:extLst>
            </xdr:cNvPr>
            <xdr:cNvSpPr/>
          </xdr:nvSpPr>
          <xdr:spPr>
            <a:xfrm>
              <a:off x="7367153" y="7582885"/>
              <a:ext cx="5669229" cy="2773267"/>
            </a:xfrm>
            <a:prstGeom prst="rect">
              <a:avLst/>
            </a:prstGeom>
            <a:gradFill>
              <a:gsLst>
                <a:gs pos="11000">
                  <a:srgbClr val="FDEFE6"/>
                </a:gs>
                <a:gs pos="100000">
                  <a:schemeClr val="accent1">
                    <a:lumMod val="30000"/>
                    <a:lumOff val="70000"/>
                    <a:alpha val="65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TextBox 5">
              <a:extLst>
                <a:ext uri="{FF2B5EF4-FFF2-40B4-BE49-F238E27FC236}">
                  <a16:creationId xmlns:a16="http://schemas.microsoft.com/office/drawing/2014/main" id="{494BF184-615F-DDC8-F084-F719B825BF29}"/>
                </a:ext>
              </a:extLst>
            </xdr:cNvPr>
            <xdr:cNvSpPr txBox="1"/>
          </xdr:nvSpPr>
          <xdr:spPr>
            <a:xfrm>
              <a:off x="10450277" y="7639222"/>
              <a:ext cx="2553998" cy="274693"/>
            </a:xfrm>
            <a:prstGeom prst="rect">
              <a:avLst/>
            </a:prstGeom>
            <a:noFill/>
            <a:ln w="9525" cmpd="sng">
              <a:solidFill>
                <a:schemeClr val="bg1">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Sales</a:t>
              </a:r>
              <a:r>
                <a:rPr lang="en-US" sz="1400" baseline="0"/>
                <a:t> distribution </a:t>
              </a:r>
              <a:r>
                <a:rPr lang="en-US" sz="1400"/>
                <a:t> of CoffeeType</a:t>
              </a:r>
            </a:p>
          </xdr:txBody>
        </xdr:sp>
        <xdr:graphicFrame macro="">
          <xdr:nvGraphicFramePr>
            <xdr:cNvPr id="9" name="Chart 8">
              <a:extLst>
                <a:ext uri="{FF2B5EF4-FFF2-40B4-BE49-F238E27FC236}">
                  <a16:creationId xmlns:a16="http://schemas.microsoft.com/office/drawing/2014/main" id="{C3FA2FA2-B368-49F2-B345-2C7F87125F9B}"/>
                </a:ext>
              </a:extLst>
            </xdr:cNvPr>
            <xdr:cNvGraphicFramePr>
              <a:graphicFrameLocks/>
            </xdr:cNvGraphicFramePr>
          </xdr:nvGraphicFramePr>
          <xdr:xfrm>
            <a:off x="7391400" y="7962901"/>
            <a:ext cx="5638800" cy="238125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4" name="Group 33">
            <a:extLst>
              <a:ext uri="{FF2B5EF4-FFF2-40B4-BE49-F238E27FC236}">
                <a16:creationId xmlns:a16="http://schemas.microsoft.com/office/drawing/2014/main" id="{B9372888-42B4-8F69-2CB5-70005D6CD12A}"/>
              </a:ext>
            </a:extLst>
          </xdr:cNvPr>
          <xdr:cNvGrpSpPr/>
        </xdr:nvGrpSpPr>
        <xdr:grpSpPr>
          <a:xfrm>
            <a:off x="0" y="595630"/>
            <a:ext cx="17811749" cy="941615"/>
            <a:chOff x="0" y="595630"/>
            <a:chExt cx="17602840" cy="941615"/>
          </a:xfrm>
        </xdr:grpSpPr>
        <xdr:grpSp>
          <xdr:nvGrpSpPr>
            <xdr:cNvPr id="27" name="Group 26">
              <a:extLst>
                <a:ext uri="{FF2B5EF4-FFF2-40B4-BE49-F238E27FC236}">
                  <a16:creationId xmlns:a16="http://schemas.microsoft.com/office/drawing/2014/main" id="{52B7C656-5195-16CD-DFA6-E62F413A5A07}"/>
                </a:ext>
              </a:extLst>
            </xdr:cNvPr>
            <xdr:cNvGrpSpPr/>
          </xdr:nvGrpSpPr>
          <xdr:grpSpPr>
            <a:xfrm>
              <a:off x="0" y="595630"/>
              <a:ext cx="17602840" cy="941615"/>
              <a:chOff x="0" y="584425"/>
              <a:chExt cx="17602840" cy="941615"/>
            </a:xfrm>
          </xdr:grpSpPr>
          <xdr:sp macro="" textlink="">
            <xdr:nvSpPr>
              <xdr:cNvPr id="138" name="Rectangle: Rounded Corners 137">
                <a:extLst>
                  <a:ext uri="{FF2B5EF4-FFF2-40B4-BE49-F238E27FC236}">
                    <a16:creationId xmlns:a16="http://schemas.microsoft.com/office/drawing/2014/main" id="{A4C4B383-7401-4A60-9D16-72EE83C17CA1}"/>
                  </a:ext>
                </a:extLst>
              </xdr:cNvPr>
              <xdr:cNvSpPr/>
            </xdr:nvSpPr>
            <xdr:spPr>
              <a:xfrm>
                <a:off x="0" y="625247"/>
                <a:ext cx="17576872" cy="892617"/>
              </a:xfrm>
              <a:prstGeom prst="roundRect">
                <a:avLst>
                  <a:gd name="adj" fmla="val 50000"/>
                </a:avLst>
              </a:prstGeom>
              <a:gradFill>
                <a:gsLst>
                  <a:gs pos="0">
                    <a:schemeClr val="bg1">
                      <a:lumMod val="2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9" name="Oval 138">
                <a:extLst>
                  <a:ext uri="{FF2B5EF4-FFF2-40B4-BE49-F238E27FC236}">
                    <a16:creationId xmlns:a16="http://schemas.microsoft.com/office/drawing/2014/main" id="{958FCEFD-83C0-4375-B02E-F9757BFBF6F8}"/>
                  </a:ext>
                </a:extLst>
              </xdr:cNvPr>
              <xdr:cNvSpPr/>
            </xdr:nvSpPr>
            <xdr:spPr>
              <a:xfrm>
                <a:off x="1" y="626608"/>
                <a:ext cx="998740" cy="893989"/>
              </a:xfrm>
              <a:prstGeom prst="ellipse">
                <a:avLst/>
              </a:prstGeom>
              <a:gradFill>
                <a:gsLst>
                  <a:gs pos="0">
                    <a:schemeClr val="bg2">
                      <a:lumMod val="7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0" name="Oval 139">
                <a:extLst>
                  <a:ext uri="{FF2B5EF4-FFF2-40B4-BE49-F238E27FC236}">
                    <a16:creationId xmlns:a16="http://schemas.microsoft.com/office/drawing/2014/main" id="{CECB5EAF-8A82-4538-80D7-C4739802CB91}"/>
                  </a:ext>
                </a:extLst>
              </xdr:cNvPr>
              <xdr:cNvSpPr/>
            </xdr:nvSpPr>
            <xdr:spPr>
              <a:xfrm>
                <a:off x="16622238" y="611640"/>
                <a:ext cx="962686" cy="904875"/>
              </a:xfrm>
              <a:prstGeom prst="ellipse">
                <a:avLst/>
              </a:prstGeom>
              <a:gradFill>
                <a:gsLst>
                  <a:gs pos="0">
                    <a:schemeClr val="bg2">
                      <a:lumMod val="7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1" name="Group 140">
                <a:extLst>
                  <a:ext uri="{FF2B5EF4-FFF2-40B4-BE49-F238E27FC236}">
                    <a16:creationId xmlns:a16="http://schemas.microsoft.com/office/drawing/2014/main" id="{3232C150-1E23-4653-833E-B7CC4C5B9E48}"/>
                  </a:ext>
                </a:extLst>
              </xdr:cNvPr>
              <xdr:cNvGrpSpPr/>
            </xdr:nvGrpSpPr>
            <xdr:grpSpPr>
              <a:xfrm>
                <a:off x="0" y="600754"/>
                <a:ext cx="998740" cy="925286"/>
                <a:chOff x="4248150" y="600076"/>
                <a:chExt cx="2571749" cy="2200274"/>
              </a:xfrm>
            </xdr:grpSpPr>
            <xdr:grpSp>
              <xdr:nvGrpSpPr>
                <xdr:cNvPr id="142" name="Group 141">
                  <a:extLst>
                    <a:ext uri="{FF2B5EF4-FFF2-40B4-BE49-F238E27FC236}">
                      <a16:creationId xmlns:a16="http://schemas.microsoft.com/office/drawing/2014/main" id="{4577F6BD-3403-7BFA-5D05-D6871FDE767C}"/>
                    </a:ext>
                  </a:extLst>
                </xdr:cNvPr>
                <xdr:cNvGrpSpPr/>
              </xdr:nvGrpSpPr>
              <xdr:grpSpPr>
                <a:xfrm>
                  <a:off x="4248150" y="600076"/>
                  <a:ext cx="2571749" cy="2200274"/>
                  <a:chOff x="3009900" y="1485900"/>
                  <a:chExt cx="914400" cy="914400"/>
                </a:xfrm>
              </xdr:grpSpPr>
              <xdr:pic>
                <xdr:nvPicPr>
                  <xdr:cNvPr id="167" name="Graphic 166" descr="Badge Tick outline">
                    <a:extLst>
                      <a:ext uri="{FF2B5EF4-FFF2-40B4-BE49-F238E27FC236}">
                        <a16:creationId xmlns:a16="http://schemas.microsoft.com/office/drawing/2014/main" id="{48DCAF19-8A9A-B9B3-5BA6-18158D13002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09900" y="1485900"/>
                    <a:ext cx="914400" cy="914400"/>
                  </a:xfrm>
                  <a:prstGeom prst="rect">
                    <a:avLst/>
                  </a:prstGeom>
                </xdr:spPr>
              </xdr:pic>
              <xdr:sp macro="" textlink="">
                <xdr:nvSpPr>
                  <xdr:cNvPr id="168" name="Oval 167">
                    <a:extLst>
                      <a:ext uri="{FF2B5EF4-FFF2-40B4-BE49-F238E27FC236}">
                        <a16:creationId xmlns:a16="http://schemas.microsoft.com/office/drawing/2014/main" id="{417DD349-E0AB-220F-CFBF-B4AD4E2FA88B}"/>
                      </a:ext>
                    </a:extLst>
                  </xdr:cNvPr>
                  <xdr:cNvSpPr/>
                </xdr:nvSpPr>
                <xdr:spPr>
                  <a:xfrm>
                    <a:off x="3343275" y="1800225"/>
                    <a:ext cx="276225" cy="257175"/>
                  </a:xfrm>
                  <a:prstGeom prst="ellipse">
                    <a:avLst/>
                  </a:prstGeom>
                  <a:solidFill>
                    <a:srgbClr val="FFFFFF"/>
                  </a:solidFill>
                  <a:ln>
                    <a:solidFill>
                      <a:schemeClr val="bg1">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43" name="Group 142">
                  <a:extLst>
                    <a:ext uri="{FF2B5EF4-FFF2-40B4-BE49-F238E27FC236}">
                      <a16:creationId xmlns:a16="http://schemas.microsoft.com/office/drawing/2014/main" id="{17F691FC-EC92-AACA-2288-839AB1C43659}"/>
                    </a:ext>
                  </a:extLst>
                </xdr:cNvPr>
                <xdr:cNvGrpSpPr/>
              </xdr:nvGrpSpPr>
              <xdr:grpSpPr>
                <a:xfrm>
                  <a:off x="4867276" y="1153878"/>
                  <a:ext cx="1333500" cy="1135625"/>
                  <a:chOff x="2021241" y="1695450"/>
                  <a:chExt cx="824795" cy="762000"/>
                </a:xfrm>
              </xdr:grpSpPr>
              <xdr:sp macro="" textlink="">
                <xdr:nvSpPr>
                  <xdr:cNvPr id="156" name="Oval 155">
                    <a:extLst>
                      <a:ext uri="{FF2B5EF4-FFF2-40B4-BE49-F238E27FC236}">
                        <a16:creationId xmlns:a16="http://schemas.microsoft.com/office/drawing/2014/main" id="{EFED9815-CF62-4F96-E97B-B71512A1E769}"/>
                      </a:ext>
                    </a:extLst>
                  </xdr:cNvPr>
                  <xdr:cNvSpPr/>
                </xdr:nvSpPr>
                <xdr:spPr>
                  <a:xfrm>
                    <a:off x="2021241" y="1695450"/>
                    <a:ext cx="824795" cy="762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7" name="Graphic 156" descr="Coffee with solid fill">
                    <a:extLst>
                      <a:ext uri="{FF2B5EF4-FFF2-40B4-BE49-F238E27FC236}">
                        <a16:creationId xmlns:a16="http://schemas.microsoft.com/office/drawing/2014/main" id="{440E361C-F7ED-894A-A6C8-F334D467C4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2683212" flipH="1">
                    <a:off x="2122651" y="1706457"/>
                    <a:ext cx="434215" cy="428854"/>
                  </a:xfrm>
                  <a:prstGeom prst="rect">
                    <a:avLst/>
                  </a:prstGeom>
                </xdr:spPr>
              </xdr:pic>
              <xdr:sp macro="" textlink="">
                <xdr:nvSpPr>
                  <xdr:cNvPr id="158" name="Oval 157">
                    <a:extLst>
                      <a:ext uri="{FF2B5EF4-FFF2-40B4-BE49-F238E27FC236}">
                        <a16:creationId xmlns:a16="http://schemas.microsoft.com/office/drawing/2014/main" id="{C49DFCB6-2B78-E26C-CC7A-9E76FE886E1B}"/>
                      </a:ext>
                    </a:extLst>
                  </xdr:cNvPr>
                  <xdr:cNvSpPr/>
                </xdr:nvSpPr>
                <xdr:spPr>
                  <a:xfrm>
                    <a:off x="2338089" y="1770415"/>
                    <a:ext cx="187523" cy="119062"/>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9" name="Oval 158">
                    <a:extLst>
                      <a:ext uri="{FF2B5EF4-FFF2-40B4-BE49-F238E27FC236}">
                        <a16:creationId xmlns:a16="http://schemas.microsoft.com/office/drawing/2014/main" id="{92E62D89-2F4F-65EB-BE07-BB309C76260F}"/>
                      </a:ext>
                    </a:extLst>
                  </xdr:cNvPr>
                  <xdr:cNvSpPr/>
                </xdr:nvSpPr>
                <xdr:spPr>
                  <a:xfrm>
                    <a:off x="2431851" y="1854200"/>
                    <a:ext cx="116086" cy="101424"/>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0" name="Graphic 159" descr="Coffee Beans with solid fill">
                    <a:extLst>
                      <a:ext uri="{FF2B5EF4-FFF2-40B4-BE49-F238E27FC236}">
                        <a16:creationId xmlns:a16="http://schemas.microsoft.com/office/drawing/2014/main" id="{756DD813-6E4E-3B6D-5765-AF595370D34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flipH="1">
                    <a:off x="2440780" y="1995311"/>
                    <a:ext cx="80367" cy="79375"/>
                  </a:xfrm>
                  <a:prstGeom prst="rect">
                    <a:avLst/>
                  </a:prstGeom>
                </xdr:spPr>
              </xdr:pic>
              <xdr:pic>
                <xdr:nvPicPr>
                  <xdr:cNvPr id="161" name="Graphic 160" descr="Coffee Beans with solid fill">
                    <a:extLst>
                      <a:ext uri="{FF2B5EF4-FFF2-40B4-BE49-F238E27FC236}">
                        <a16:creationId xmlns:a16="http://schemas.microsoft.com/office/drawing/2014/main" id="{C3D4DDE3-8058-AE62-8E8E-47DB9B7749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507753" y="2092325"/>
                    <a:ext cx="75902" cy="74965"/>
                  </a:xfrm>
                  <a:prstGeom prst="rect">
                    <a:avLst/>
                  </a:prstGeom>
                </xdr:spPr>
              </xdr:pic>
              <xdr:pic>
                <xdr:nvPicPr>
                  <xdr:cNvPr id="162" name="Graphic 161" descr="Coffee Beans with solid fill">
                    <a:extLst>
                      <a:ext uri="{FF2B5EF4-FFF2-40B4-BE49-F238E27FC236}">
                        <a16:creationId xmlns:a16="http://schemas.microsoft.com/office/drawing/2014/main" id="{4ED8A3B0-767C-F67B-F7AC-F8C248460B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31851" y="2070276"/>
                    <a:ext cx="80367" cy="79375"/>
                  </a:xfrm>
                  <a:prstGeom prst="rect">
                    <a:avLst/>
                  </a:prstGeom>
                </xdr:spPr>
              </xdr:pic>
              <xdr:pic>
                <xdr:nvPicPr>
                  <xdr:cNvPr id="163" name="Graphic 162" descr="Coffee Beans with solid fill">
                    <a:extLst>
                      <a:ext uri="{FF2B5EF4-FFF2-40B4-BE49-F238E27FC236}">
                        <a16:creationId xmlns:a16="http://schemas.microsoft.com/office/drawing/2014/main" id="{3307C7E5-06E2-5E2E-080F-066CACFD21B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54176" y="2140832"/>
                    <a:ext cx="84832" cy="83784"/>
                  </a:xfrm>
                  <a:prstGeom prst="rect">
                    <a:avLst/>
                  </a:prstGeom>
                </xdr:spPr>
              </xdr:pic>
              <xdr:pic>
                <xdr:nvPicPr>
                  <xdr:cNvPr id="164" name="Graphic 163" descr="Coffee Beans with solid fill">
                    <a:extLst>
                      <a:ext uri="{FF2B5EF4-FFF2-40B4-BE49-F238E27FC236}">
                        <a16:creationId xmlns:a16="http://schemas.microsoft.com/office/drawing/2014/main" id="{F0EDE40F-99E7-ABE0-7BCB-981AE68574D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72035" y="2224617"/>
                    <a:ext cx="84832" cy="83784"/>
                  </a:xfrm>
                  <a:prstGeom prst="rect">
                    <a:avLst/>
                  </a:prstGeom>
                </xdr:spPr>
              </xdr:pic>
              <xdr:pic>
                <xdr:nvPicPr>
                  <xdr:cNvPr id="165" name="Graphic 164" descr="Coffee Beans with solid fill">
                    <a:extLst>
                      <a:ext uri="{FF2B5EF4-FFF2-40B4-BE49-F238E27FC236}">
                        <a16:creationId xmlns:a16="http://schemas.microsoft.com/office/drawing/2014/main" id="{FB70BCE1-5BAC-A80D-4921-FC8F0C1DBD3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98824" y="2290763"/>
                    <a:ext cx="84832" cy="83784"/>
                  </a:xfrm>
                  <a:prstGeom prst="rect">
                    <a:avLst/>
                  </a:prstGeom>
                </xdr:spPr>
              </xdr:pic>
              <xdr:pic>
                <xdr:nvPicPr>
                  <xdr:cNvPr id="166" name="Graphic 165" descr="Coffee Beans with solid fill">
                    <a:extLst>
                      <a:ext uri="{FF2B5EF4-FFF2-40B4-BE49-F238E27FC236}">
                        <a16:creationId xmlns:a16="http://schemas.microsoft.com/office/drawing/2014/main" id="{C6623F14-F55B-2703-8862-21B92372878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31851" y="1915936"/>
                    <a:ext cx="84832" cy="83784"/>
                  </a:xfrm>
                  <a:prstGeom prst="rect">
                    <a:avLst/>
                  </a:prstGeom>
                </xdr:spPr>
              </xdr:pic>
            </xdr:grpSp>
            <xdr:pic>
              <xdr:nvPicPr>
                <xdr:cNvPr id="144" name="Graphic 143" descr="Coffee Beans with solid fill">
                  <a:extLst>
                    <a:ext uri="{FF2B5EF4-FFF2-40B4-BE49-F238E27FC236}">
                      <a16:creationId xmlns:a16="http://schemas.microsoft.com/office/drawing/2014/main" id="{5D7D559A-A9BD-EDEB-9727-2418C9999EC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029325" y="1762125"/>
                  <a:ext cx="133350" cy="133350"/>
                </a:xfrm>
                <a:prstGeom prst="rect">
                  <a:avLst/>
                </a:prstGeom>
              </xdr:spPr>
            </xdr:pic>
            <xdr:pic>
              <xdr:nvPicPr>
                <xdr:cNvPr id="145" name="Graphic 144" descr="Coffee Beans with solid fill">
                  <a:extLst>
                    <a:ext uri="{FF2B5EF4-FFF2-40B4-BE49-F238E27FC236}">
                      <a16:creationId xmlns:a16="http://schemas.microsoft.com/office/drawing/2014/main" id="{31C9D5C2-CD79-C111-7ADF-C95E637163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600700" y="2105025"/>
                  <a:ext cx="133350" cy="133350"/>
                </a:xfrm>
                <a:prstGeom prst="rect">
                  <a:avLst/>
                </a:prstGeom>
              </xdr:spPr>
            </xdr:pic>
            <xdr:pic>
              <xdr:nvPicPr>
                <xdr:cNvPr id="146" name="Graphic 145" descr="Coffee Beans with solid fill">
                  <a:extLst>
                    <a:ext uri="{FF2B5EF4-FFF2-40B4-BE49-F238E27FC236}">
                      <a16:creationId xmlns:a16="http://schemas.microsoft.com/office/drawing/2014/main" id="{1176113A-D08E-14B9-21EE-AB7F48889CC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9370319">
                  <a:off x="5791199" y="1943099"/>
                  <a:ext cx="200025" cy="200025"/>
                </a:xfrm>
                <a:prstGeom prst="rect">
                  <a:avLst/>
                </a:prstGeom>
              </xdr:spPr>
            </xdr:pic>
            <xdr:pic>
              <xdr:nvPicPr>
                <xdr:cNvPr id="147" name="Graphic 146" descr="Coffee Beans with solid fill">
                  <a:extLst>
                    <a:ext uri="{FF2B5EF4-FFF2-40B4-BE49-F238E27FC236}">
                      <a16:creationId xmlns:a16="http://schemas.microsoft.com/office/drawing/2014/main" id="{9170AA12-4760-E17A-9173-DF0D744375C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29250" y="2076450"/>
                  <a:ext cx="190500" cy="190500"/>
                </a:xfrm>
                <a:prstGeom prst="rect">
                  <a:avLst/>
                </a:prstGeom>
              </xdr:spPr>
            </xdr:pic>
            <xdr:pic>
              <xdr:nvPicPr>
                <xdr:cNvPr id="148" name="Graphic 147" descr="Coffee Beans with solid fill">
                  <a:extLst>
                    <a:ext uri="{FF2B5EF4-FFF2-40B4-BE49-F238E27FC236}">
                      <a16:creationId xmlns:a16="http://schemas.microsoft.com/office/drawing/2014/main" id="{3733D811-5F30-4570-E8C8-424A1346EB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81574" y="1914524"/>
                  <a:ext cx="200025" cy="200025"/>
                </a:xfrm>
                <a:prstGeom prst="rect">
                  <a:avLst/>
                </a:prstGeom>
              </xdr:spPr>
            </xdr:pic>
            <xdr:pic>
              <xdr:nvPicPr>
                <xdr:cNvPr id="149" name="Graphic 148" descr="Coffee Beans with solid fill">
                  <a:extLst>
                    <a:ext uri="{FF2B5EF4-FFF2-40B4-BE49-F238E27FC236}">
                      <a16:creationId xmlns:a16="http://schemas.microsoft.com/office/drawing/2014/main" id="{094B52CC-B249-5E90-5FED-3FAA8F5E5A4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5133974" y="2000249"/>
                  <a:ext cx="180975" cy="180975"/>
                </a:xfrm>
                <a:prstGeom prst="rect">
                  <a:avLst/>
                </a:prstGeom>
              </xdr:spPr>
            </xdr:pic>
            <xdr:pic>
              <xdr:nvPicPr>
                <xdr:cNvPr id="150" name="Graphic 149" descr="Coffee Beans with solid fill">
                  <a:extLst>
                    <a:ext uri="{FF2B5EF4-FFF2-40B4-BE49-F238E27FC236}">
                      <a16:creationId xmlns:a16="http://schemas.microsoft.com/office/drawing/2014/main" id="{484F941E-7753-3127-CF84-ED26D6748D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5257800" y="2047874"/>
                  <a:ext cx="200024" cy="200024"/>
                </a:xfrm>
                <a:prstGeom prst="rect">
                  <a:avLst/>
                </a:prstGeom>
              </xdr:spPr>
            </xdr:pic>
            <xdr:pic>
              <xdr:nvPicPr>
                <xdr:cNvPr id="151" name="Graphic 150" descr="Coffee Beans with solid fill">
                  <a:extLst>
                    <a:ext uri="{FF2B5EF4-FFF2-40B4-BE49-F238E27FC236}">
                      <a16:creationId xmlns:a16="http://schemas.microsoft.com/office/drawing/2014/main" id="{0E48EFE6-6E76-FD73-9645-DE83E581511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743574" y="2047874"/>
                  <a:ext cx="142875" cy="142875"/>
                </a:xfrm>
                <a:prstGeom prst="rect">
                  <a:avLst/>
                </a:prstGeom>
              </xdr:spPr>
            </xdr:pic>
            <xdr:pic>
              <xdr:nvPicPr>
                <xdr:cNvPr id="152" name="Graphic 151" descr="Coffee Beans with solid fill">
                  <a:extLst>
                    <a:ext uri="{FF2B5EF4-FFF2-40B4-BE49-F238E27FC236}">
                      <a16:creationId xmlns:a16="http://schemas.microsoft.com/office/drawing/2014/main" id="{01A5FF50-5F80-B33C-2BBB-CEC55DB47A8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724525" y="1866900"/>
                  <a:ext cx="142875" cy="142875"/>
                </a:xfrm>
                <a:prstGeom prst="rect">
                  <a:avLst/>
                </a:prstGeom>
              </xdr:spPr>
            </xdr:pic>
            <xdr:pic>
              <xdr:nvPicPr>
                <xdr:cNvPr id="153" name="Graphic 152" descr="Coffee Beans with solid fill">
                  <a:extLst>
                    <a:ext uri="{FF2B5EF4-FFF2-40B4-BE49-F238E27FC236}">
                      <a16:creationId xmlns:a16="http://schemas.microsoft.com/office/drawing/2014/main" id="{299CC5E3-8E32-7920-E82F-7EAD062530E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334000" y="1943100"/>
                  <a:ext cx="142875" cy="142875"/>
                </a:xfrm>
                <a:prstGeom prst="rect">
                  <a:avLst/>
                </a:prstGeom>
              </xdr:spPr>
            </xdr:pic>
            <xdr:pic>
              <xdr:nvPicPr>
                <xdr:cNvPr id="154" name="Graphic 153" descr="Coffee Beans with solid fill">
                  <a:extLst>
                    <a:ext uri="{FF2B5EF4-FFF2-40B4-BE49-F238E27FC236}">
                      <a16:creationId xmlns:a16="http://schemas.microsoft.com/office/drawing/2014/main" id="{9EE0DD32-6157-E3AE-6DAB-942D36EFA89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953125" y="1914525"/>
                  <a:ext cx="142875" cy="142875"/>
                </a:xfrm>
                <a:prstGeom prst="rect">
                  <a:avLst/>
                </a:prstGeom>
              </xdr:spPr>
            </xdr:pic>
            <xdr:pic>
              <xdr:nvPicPr>
                <xdr:cNvPr id="155" name="Graphic 154" descr="Coffee Beans with solid fill">
                  <a:extLst>
                    <a:ext uri="{FF2B5EF4-FFF2-40B4-BE49-F238E27FC236}">
                      <a16:creationId xmlns:a16="http://schemas.microsoft.com/office/drawing/2014/main" id="{7893F2F1-E397-E2DF-0DA2-850C7CF5C1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95925" y="2000250"/>
                  <a:ext cx="142875" cy="142875"/>
                </a:xfrm>
                <a:prstGeom prst="rect">
                  <a:avLst/>
                </a:prstGeom>
              </xdr:spPr>
            </xdr:pic>
          </xdr:grpSp>
          <xdr:grpSp>
            <xdr:nvGrpSpPr>
              <xdr:cNvPr id="169" name="Group 168">
                <a:extLst>
                  <a:ext uri="{FF2B5EF4-FFF2-40B4-BE49-F238E27FC236}">
                    <a16:creationId xmlns:a16="http://schemas.microsoft.com/office/drawing/2014/main" id="{680A62B6-3D62-4B4F-9E7F-2CA566D286B6}"/>
                  </a:ext>
                </a:extLst>
              </xdr:cNvPr>
              <xdr:cNvGrpSpPr/>
            </xdr:nvGrpSpPr>
            <xdr:grpSpPr>
              <a:xfrm>
                <a:off x="16611303" y="584425"/>
                <a:ext cx="991537" cy="925286"/>
                <a:chOff x="4248150" y="600076"/>
                <a:chExt cx="2571749" cy="2200274"/>
              </a:xfrm>
            </xdr:grpSpPr>
            <xdr:grpSp>
              <xdr:nvGrpSpPr>
                <xdr:cNvPr id="170" name="Group 169">
                  <a:extLst>
                    <a:ext uri="{FF2B5EF4-FFF2-40B4-BE49-F238E27FC236}">
                      <a16:creationId xmlns:a16="http://schemas.microsoft.com/office/drawing/2014/main" id="{E51FE7B2-6790-4B2B-ED66-5CF26EACBB37}"/>
                    </a:ext>
                  </a:extLst>
                </xdr:cNvPr>
                <xdr:cNvGrpSpPr/>
              </xdr:nvGrpSpPr>
              <xdr:grpSpPr>
                <a:xfrm>
                  <a:off x="4248150" y="600076"/>
                  <a:ext cx="2571749" cy="2200274"/>
                  <a:chOff x="3009900" y="1485900"/>
                  <a:chExt cx="914400" cy="914400"/>
                </a:xfrm>
              </xdr:grpSpPr>
              <xdr:pic>
                <xdr:nvPicPr>
                  <xdr:cNvPr id="195" name="Graphic 194" descr="Badge Tick outline">
                    <a:extLst>
                      <a:ext uri="{FF2B5EF4-FFF2-40B4-BE49-F238E27FC236}">
                        <a16:creationId xmlns:a16="http://schemas.microsoft.com/office/drawing/2014/main" id="{DF2BC6B9-9661-8BA7-F89C-37A7677299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09900" y="1485900"/>
                    <a:ext cx="914400" cy="914400"/>
                  </a:xfrm>
                  <a:prstGeom prst="rect">
                    <a:avLst/>
                  </a:prstGeom>
                </xdr:spPr>
              </xdr:pic>
              <xdr:sp macro="" textlink="">
                <xdr:nvSpPr>
                  <xdr:cNvPr id="196" name="Oval 195">
                    <a:extLst>
                      <a:ext uri="{FF2B5EF4-FFF2-40B4-BE49-F238E27FC236}">
                        <a16:creationId xmlns:a16="http://schemas.microsoft.com/office/drawing/2014/main" id="{FC053AF9-6B26-1C53-A387-2870A93935A4}"/>
                      </a:ext>
                    </a:extLst>
                  </xdr:cNvPr>
                  <xdr:cNvSpPr/>
                </xdr:nvSpPr>
                <xdr:spPr>
                  <a:xfrm>
                    <a:off x="3343275" y="1800225"/>
                    <a:ext cx="276225" cy="257175"/>
                  </a:xfrm>
                  <a:prstGeom prst="ellipse">
                    <a:avLst/>
                  </a:prstGeom>
                  <a:solidFill>
                    <a:srgbClr val="FFFFFF"/>
                  </a:solidFill>
                  <a:ln>
                    <a:solidFill>
                      <a:schemeClr val="bg1">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71" name="Group 170">
                  <a:extLst>
                    <a:ext uri="{FF2B5EF4-FFF2-40B4-BE49-F238E27FC236}">
                      <a16:creationId xmlns:a16="http://schemas.microsoft.com/office/drawing/2014/main" id="{ADA6903B-5C4B-F810-AD22-70924C36D307}"/>
                    </a:ext>
                  </a:extLst>
                </xdr:cNvPr>
                <xdr:cNvGrpSpPr/>
              </xdr:nvGrpSpPr>
              <xdr:grpSpPr>
                <a:xfrm>
                  <a:off x="4867276" y="1153878"/>
                  <a:ext cx="1333500" cy="1135625"/>
                  <a:chOff x="2021241" y="1695450"/>
                  <a:chExt cx="824795" cy="762000"/>
                </a:xfrm>
              </xdr:grpSpPr>
              <xdr:sp macro="" textlink="">
                <xdr:nvSpPr>
                  <xdr:cNvPr id="184" name="Oval 183">
                    <a:extLst>
                      <a:ext uri="{FF2B5EF4-FFF2-40B4-BE49-F238E27FC236}">
                        <a16:creationId xmlns:a16="http://schemas.microsoft.com/office/drawing/2014/main" id="{79679C5A-2B8F-6728-90B2-52712D549790}"/>
                      </a:ext>
                    </a:extLst>
                  </xdr:cNvPr>
                  <xdr:cNvSpPr/>
                </xdr:nvSpPr>
                <xdr:spPr>
                  <a:xfrm>
                    <a:off x="2021241" y="1695450"/>
                    <a:ext cx="824795" cy="762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5" name="Graphic 184" descr="Coffee with solid fill">
                    <a:extLst>
                      <a:ext uri="{FF2B5EF4-FFF2-40B4-BE49-F238E27FC236}">
                        <a16:creationId xmlns:a16="http://schemas.microsoft.com/office/drawing/2014/main" id="{4261944D-A273-B2B6-BA81-A14C9DF21F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2683212" flipH="1">
                    <a:off x="2122651" y="1706457"/>
                    <a:ext cx="434215" cy="428854"/>
                  </a:xfrm>
                  <a:prstGeom prst="rect">
                    <a:avLst/>
                  </a:prstGeom>
                </xdr:spPr>
              </xdr:pic>
              <xdr:sp macro="" textlink="">
                <xdr:nvSpPr>
                  <xdr:cNvPr id="186" name="Oval 185">
                    <a:extLst>
                      <a:ext uri="{FF2B5EF4-FFF2-40B4-BE49-F238E27FC236}">
                        <a16:creationId xmlns:a16="http://schemas.microsoft.com/office/drawing/2014/main" id="{837C32D0-BCDE-C8DE-FE1B-378AC96F4059}"/>
                      </a:ext>
                    </a:extLst>
                  </xdr:cNvPr>
                  <xdr:cNvSpPr/>
                </xdr:nvSpPr>
                <xdr:spPr>
                  <a:xfrm>
                    <a:off x="2338089" y="1770415"/>
                    <a:ext cx="187523" cy="119062"/>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7" name="Oval 186">
                    <a:extLst>
                      <a:ext uri="{FF2B5EF4-FFF2-40B4-BE49-F238E27FC236}">
                        <a16:creationId xmlns:a16="http://schemas.microsoft.com/office/drawing/2014/main" id="{ABD5D7EA-4B23-C8EB-8B7B-304F1E22BEA8}"/>
                      </a:ext>
                    </a:extLst>
                  </xdr:cNvPr>
                  <xdr:cNvSpPr/>
                </xdr:nvSpPr>
                <xdr:spPr>
                  <a:xfrm>
                    <a:off x="2431851" y="1854200"/>
                    <a:ext cx="116086" cy="101424"/>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8" name="Graphic 187" descr="Coffee Beans with solid fill">
                    <a:extLst>
                      <a:ext uri="{FF2B5EF4-FFF2-40B4-BE49-F238E27FC236}">
                        <a16:creationId xmlns:a16="http://schemas.microsoft.com/office/drawing/2014/main" id="{43D6BDE1-FB28-AB69-3707-7BF93A11ADF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flipH="1">
                    <a:off x="2440780" y="1995311"/>
                    <a:ext cx="80367" cy="79375"/>
                  </a:xfrm>
                  <a:prstGeom prst="rect">
                    <a:avLst/>
                  </a:prstGeom>
                </xdr:spPr>
              </xdr:pic>
              <xdr:pic>
                <xdr:nvPicPr>
                  <xdr:cNvPr id="189" name="Graphic 188" descr="Coffee Beans with solid fill">
                    <a:extLst>
                      <a:ext uri="{FF2B5EF4-FFF2-40B4-BE49-F238E27FC236}">
                        <a16:creationId xmlns:a16="http://schemas.microsoft.com/office/drawing/2014/main" id="{E006E853-C171-D4AE-4B0E-891BF461B5F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507753" y="2092325"/>
                    <a:ext cx="75902" cy="74965"/>
                  </a:xfrm>
                  <a:prstGeom prst="rect">
                    <a:avLst/>
                  </a:prstGeom>
                </xdr:spPr>
              </xdr:pic>
              <xdr:pic>
                <xdr:nvPicPr>
                  <xdr:cNvPr id="190" name="Graphic 189" descr="Coffee Beans with solid fill">
                    <a:extLst>
                      <a:ext uri="{FF2B5EF4-FFF2-40B4-BE49-F238E27FC236}">
                        <a16:creationId xmlns:a16="http://schemas.microsoft.com/office/drawing/2014/main" id="{D089BF7A-67F0-6365-F32E-2D666AB22E6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31851" y="2070276"/>
                    <a:ext cx="80367" cy="79375"/>
                  </a:xfrm>
                  <a:prstGeom prst="rect">
                    <a:avLst/>
                  </a:prstGeom>
                </xdr:spPr>
              </xdr:pic>
              <xdr:pic>
                <xdr:nvPicPr>
                  <xdr:cNvPr id="191" name="Graphic 190" descr="Coffee Beans with solid fill">
                    <a:extLst>
                      <a:ext uri="{FF2B5EF4-FFF2-40B4-BE49-F238E27FC236}">
                        <a16:creationId xmlns:a16="http://schemas.microsoft.com/office/drawing/2014/main" id="{D37AC25B-8395-97E7-EED4-6AE5C84AD0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54176" y="2140832"/>
                    <a:ext cx="84832" cy="83784"/>
                  </a:xfrm>
                  <a:prstGeom prst="rect">
                    <a:avLst/>
                  </a:prstGeom>
                </xdr:spPr>
              </xdr:pic>
              <xdr:pic>
                <xdr:nvPicPr>
                  <xdr:cNvPr id="192" name="Graphic 191" descr="Coffee Beans with solid fill">
                    <a:extLst>
                      <a:ext uri="{FF2B5EF4-FFF2-40B4-BE49-F238E27FC236}">
                        <a16:creationId xmlns:a16="http://schemas.microsoft.com/office/drawing/2014/main" id="{873F49D3-7F16-F1A4-835A-896C3123E94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72035" y="2224617"/>
                    <a:ext cx="84832" cy="83784"/>
                  </a:xfrm>
                  <a:prstGeom prst="rect">
                    <a:avLst/>
                  </a:prstGeom>
                </xdr:spPr>
              </xdr:pic>
              <xdr:pic>
                <xdr:nvPicPr>
                  <xdr:cNvPr id="193" name="Graphic 192" descr="Coffee Beans with solid fill">
                    <a:extLst>
                      <a:ext uri="{FF2B5EF4-FFF2-40B4-BE49-F238E27FC236}">
                        <a16:creationId xmlns:a16="http://schemas.microsoft.com/office/drawing/2014/main" id="{6B45FC71-86F4-F826-B069-7D8573D54B7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98824" y="2290763"/>
                    <a:ext cx="84832" cy="83784"/>
                  </a:xfrm>
                  <a:prstGeom prst="rect">
                    <a:avLst/>
                  </a:prstGeom>
                </xdr:spPr>
              </xdr:pic>
              <xdr:pic>
                <xdr:nvPicPr>
                  <xdr:cNvPr id="194" name="Graphic 193" descr="Coffee Beans with solid fill">
                    <a:extLst>
                      <a:ext uri="{FF2B5EF4-FFF2-40B4-BE49-F238E27FC236}">
                        <a16:creationId xmlns:a16="http://schemas.microsoft.com/office/drawing/2014/main" id="{8A8343F8-D726-949A-3D4C-0E2AC6FF851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31851" y="1915936"/>
                    <a:ext cx="84832" cy="83784"/>
                  </a:xfrm>
                  <a:prstGeom prst="rect">
                    <a:avLst/>
                  </a:prstGeom>
                </xdr:spPr>
              </xdr:pic>
            </xdr:grpSp>
            <xdr:pic>
              <xdr:nvPicPr>
                <xdr:cNvPr id="172" name="Graphic 171" descr="Coffee Beans with solid fill">
                  <a:extLst>
                    <a:ext uri="{FF2B5EF4-FFF2-40B4-BE49-F238E27FC236}">
                      <a16:creationId xmlns:a16="http://schemas.microsoft.com/office/drawing/2014/main" id="{4213DBC2-4CC2-1EEA-1C78-910DFD0AF79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029325" y="1762125"/>
                  <a:ext cx="133350" cy="133350"/>
                </a:xfrm>
                <a:prstGeom prst="rect">
                  <a:avLst/>
                </a:prstGeom>
              </xdr:spPr>
            </xdr:pic>
            <xdr:pic>
              <xdr:nvPicPr>
                <xdr:cNvPr id="173" name="Graphic 172" descr="Coffee Beans with solid fill">
                  <a:extLst>
                    <a:ext uri="{FF2B5EF4-FFF2-40B4-BE49-F238E27FC236}">
                      <a16:creationId xmlns:a16="http://schemas.microsoft.com/office/drawing/2014/main" id="{EC9122C0-33BB-8ADD-BB71-8FF69749F41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600700" y="2105025"/>
                  <a:ext cx="133350" cy="133350"/>
                </a:xfrm>
                <a:prstGeom prst="rect">
                  <a:avLst/>
                </a:prstGeom>
              </xdr:spPr>
            </xdr:pic>
            <xdr:pic>
              <xdr:nvPicPr>
                <xdr:cNvPr id="174" name="Graphic 173" descr="Coffee Beans with solid fill">
                  <a:extLst>
                    <a:ext uri="{FF2B5EF4-FFF2-40B4-BE49-F238E27FC236}">
                      <a16:creationId xmlns:a16="http://schemas.microsoft.com/office/drawing/2014/main" id="{AB6A2422-8D7F-1190-4FB6-9352F3D7C1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9370319">
                  <a:off x="5791199" y="1943099"/>
                  <a:ext cx="200025" cy="200025"/>
                </a:xfrm>
                <a:prstGeom prst="rect">
                  <a:avLst/>
                </a:prstGeom>
              </xdr:spPr>
            </xdr:pic>
            <xdr:pic>
              <xdr:nvPicPr>
                <xdr:cNvPr id="175" name="Graphic 174" descr="Coffee Beans with solid fill">
                  <a:extLst>
                    <a:ext uri="{FF2B5EF4-FFF2-40B4-BE49-F238E27FC236}">
                      <a16:creationId xmlns:a16="http://schemas.microsoft.com/office/drawing/2014/main" id="{C5431360-85BB-A6D5-84BE-705C0996710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29250" y="2076450"/>
                  <a:ext cx="190500" cy="190500"/>
                </a:xfrm>
                <a:prstGeom prst="rect">
                  <a:avLst/>
                </a:prstGeom>
              </xdr:spPr>
            </xdr:pic>
            <xdr:pic>
              <xdr:nvPicPr>
                <xdr:cNvPr id="176" name="Graphic 175" descr="Coffee Beans with solid fill">
                  <a:extLst>
                    <a:ext uri="{FF2B5EF4-FFF2-40B4-BE49-F238E27FC236}">
                      <a16:creationId xmlns:a16="http://schemas.microsoft.com/office/drawing/2014/main" id="{DE792483-F44E-CA83-F84E-B9B943249CA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81574" y="1914524"/>
                  <a:ext cx="200025" cy="200025"/>
                </a:xfrm>
                <a:prstGeom prst="rect">
                  <a:avLst/>
                </a:prstGeom>
              </xdr:spPr>
            </xdr:pic>
            <xdr:pic>
              <xdr:nvPicPr>
                <xdr:cNvPr id="177" name="Graphic 176" descr="Coffee Beans with solid fill">
                  <a:extLst>
                    <a:ext uri="{FF2B5EF4-FFF2-40B4-BE49-F238E27FC236}">
                      <a16:creationId xmlns:a16="http://schemas.microsoft.com/office/drawing/2014/main" id="{3D878930-96C8-8BD0-2022-BA69D9AC486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5133974" y="2000249"/>
                  <a:ext cx="180975" cy="180975"/>
                </a:xfrm>
                <a:prstGeom prst="rect">
                  <a:avLst/>
                </a:prstGeom>
              </xdr:spPr>
            </xdr:pic>
            <xdr:pic>
              <xdr:nvPicPr>
                <xdr:cNvPr id="178" name="Graphic 177" descr="Coffee Beans with solid fill">
                  <a:extLst>
                    <a:ext uri="{FF2B5EF4-FFF2-40B4-BE49-F238E27FC236}">
                      <a16:creationId xmlns:a16="http://schemas.microsoft.com/office/drawing/2014/main" id="{865C2D19-1DDB-669B-FE86-21B78469C8E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5257800" y="2047874"/>
                  <a:ext cx="200024" cy="200024"/>
                </a:xfrm>
                <a:prstGeom prst="rect">
                  <a:avLst/>
                </a:prstGeom>
              </xdr:spPr>
            </xdr:pic>
            <xdr:pic>
              <xdr:nvPicPr>
                <xdr:cNvPr id="179" name="Graphic 178" descr="Coffee Beans with solid fill">
                  <a:extLst>
                    <a:ext uri="{FF2B5EF4-FFF2-40B4-BE49-F238E27FC236}">
                      <a16:creationId xmlns:a16="http://schemas.microsoft.com/office/drawing/2014/main" id="{41943112-C46F-590C-B58D-4415D62E07E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743574" y="2047874"/>
                  <a:ext cx="142875" cy="142875"/>
                </a:xfrm>
                <a:prstGeom prst="rect">
                  <a:avLst/>
                </a:prstGeom>
              </xdr:spPr>
            </xdr:pic>
            <xdr:pic>
              <xdr:nvPicPr>
                <xdr:cNvPr id="180" name="Graphic 179" descr="Coffee Beans with solid fill">
                  <a:extLst>
                    <a:ext uri="{FF2B5EF4-FFF2-40B4-BE49-F238E27FC236}">
                      <a16:creationId xmlns:a16="http://schemas.microsoft.com/office/drawing/2014/main" id="{B312F95F-CC99-C7DA-EC78-EC25EE06907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724525" y="1866900"/>
                  <a:ext cx="142875" cy="142875"/>
                </a:xfrm>
                <a:prstGeom prst="rect">
                  <a:avLst/>
                </a:prstGeom>
              </xdr:spPr>
            </xdr:pic>
            <xdr:pic>
              <xdr:nvPicPr>
                <xdr:cNvPr id="181" name="Graphic 180" descr="Coffee Beans with solid fill">
                  <a:extLst>
                    <a:ext uri="{FF2B5EF4-FFF2-40B4-BE49-F238E27FC236}">
                      <a16:creationId xmlns:a16="http://schemas.microsoft.com/office/drawing/2014/main" id="{3DB91B11-1950-233E-856E-2A3D7EC68E1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334000" y="1943100"/>
                  <a:ext cx="142875" cy="142875"/>
                </a:xfrm>
                <a:prstGeom prst="rect">
                  <a:avLst/>
                </a:prstGeom>
              </xdr:spPr>
            </xdr:pic>
            <xdr:pic>
              <xdr:nvPicPr>
                <xdr:cNvPr id="182" name="Graphic 181" descr="Coffee Beans with solid fill">
                  <a:extLst>
                    <a:ext uri="{FF2B5EF4-FFF2-40B4-BE49-F238E27FC236}">
                      <a16:creationId xmlns:a16="http://schemas.microsoft.com/office/drawing/2014/main" id="{6235DB5B-AC65-53D0-CCD4-625B27A6638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953125" y="1914525"/>
                  <a:ext cx="142875" cy="142875"/>
                </a:xfrm>
                <a:prstGeom prst="rect">
                  <a:avLst/>
                </a:prstGeom>
              </xdr:spPr>
            </xdr:pic>
            <xdr:pic>
              <xdr:nvPicPr>
                <xdr:cNvPr id="183" name="Graphic 182" descr="Coffee Beans with solid fill">
                  <a:extLst>
                    <a:ext uri="{FF2B5EF4-FFF2-40B4-BE49-F238E27FC236}">
                      <a16:creationId xmlns:a16="http://schemas.microsoft.com/office/drawing/2014/main" id="{8A9C8D7C-B39C-EC3B-3D2D-ABDD3AB37BB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95925" y="2000250"/>
                  <a:ext cx="142875" cy="142875"/>
                </a:xfrm>
                <a:prstGeom prst="rect">
                  <a:avLst/>
                </a:prstGeom>
              </xdr:spPr>
            </xdr:pic>
          </xdr:grpSp>
        </xdr:grpSp>
        <xdr:grpSp>
          <xdr:nvGrpSpPr>
            <xdr:cNvPr id="33" name="Group 32">
              <a:extLst>
                <a:ext uri="{FF2B5EF4-FFF2-40B4-BE49-F238E27FC236}">
                  <a16:creationId xmlns:a16="http://schemas.microsoft.com/office/drawing/2014/main" id="{FF80E30B-2367-9DFB-97D9-A67AA3674890}"/>
                </a:ext>
              </a:extLst>
            </xdr:cNvPr>
            <xdr:cNvGrpSpPr/>
          </xdr:nvGrpSpPr>
          <xdr:grpSpPr>
            <a:xfrm>
              <a:off x="1204086" y="778916"/>
              <a:ext cx="15191235" cy="538755"/>
              <a:chOff x="1204086" y="778916"/>
              <a:chExt cx="15191235" cy="538755"/>
            </a:xfrm>
          </xdr:grpSpPr>
          <xdr:grpSp>
            <xdr:nvGrpSpPr>
              <xdr:cNvPr id="28" name="Group 27">
                <a:extLst>
                  <a:ext uri="{FF2B5EF4-FFF2-40B4-BE49-F238E27FC236}">
                    <a16:creationId xmlns:a16="http://schemas.microsoft.com/office/drawing/2014/main" id="{23F68BB9-46FE-6B36-D919-E30A46531C3C}"/>
                  </a:ext>
                </a:extLst>
              </xdr:cNvPr>
              <xdr:cNvGrpSpPr/>
            </xdr:nvGrpSpPr>
            <xdr:grpSpPr>
              <a:xfrm>
                <a:off x="1204086" y="778916"/>
                <a:ext cx="3496641" cy="513763"/>
                <a:chOff x="1204086" y="778916"/>
                <a:chExt cx="3496641" cy="513763"/>
              </a:xfrm>
            </xdr:grpSpPr>
            <xdr:sp macro="" textlink="">
              <xdr:nvSpPr>
                <xdr:cNvPr id="198" name="Rectangle: Rounded Corners 197">
                  <a:extLst>
                    <a:ext uri="{FF2B5EF4-FFF2-40B4-BE49-F238E27FC236}">
                      <a16:creationId xmlns:a16="http://schemas.microsoft.com/office/drawing/2014/main" id="{D56434B9-4EA1-4762-B25A-E38C5D0665DD}"/>
                    </a:ext>
                  </a:extLst>
                </xdr:cNvPr>
                <xdr:cNvSpPr/>
              </xdr:nvSpPr>
              <xdr:spPr>
                <a:xfrm>
                  <a:off x="1204086" y="778916"/>
                  <a:ext cx="3496641" cy="505138"/>
                </a:xfrm>
                <a:prstGeom prst="roundRect">
                  <a:avLst/>
                </a:prstGeom>
                <a:gradFill>
                  <a:gsLst>
                    <a:gs pos="97000">
                      <a:srgbClr val="FFFFFF"/>
                    </a:gs>
                    <a:gs pos="6000">
                      <a:schemeClr val="accent1">
                        <a:lumMod val="60000"/>
                        <a:lumOff val="40000"/>
                      </a:schemeClr>
                    </a:gs>
                  </a:gsLst>
                  <a:lin ang="138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9" name="TextBox 198">
                  <a:extLst>
                    <a:ext uri="{FF2B5EF4-FFF2-40B4-BE49-F238E27FC236}">
                      <a16:creationId xmlns:a16="http://schemas.microsoft.com/office/drawing/2014/main" id="{4BE94E2E-FB05-4E58-8534-721C5583A1E4}"/>
                    </a:ext>
                  </a:extLst>
                </xdr:cNvPr>
                <xdr:cNvSpPr txBox="1"/>
              </xdr:nvSpPr>
              <xdr:spPr>
                <a:xfrm>
                  <a:off x="1230300" y="806646"/>
                  <a:ext cx="1522900" cy="40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25000"/>
                        </a:schemeClr>
                      </a:solidFill>
                    </a:rPr>
                    <a:t>Total</a:t>
                  </a:r>
                  <a:r>
                    <a:rPr lang="en-US" sz="2000" b="1">
                      <a:solidFill>
                        <a:srgbClr val="FFFFFF"/>
                      </a:solidFill>
                    </a:rPr>
                    <a:t> </a:t>
                  </a:r>
                  <a:r>
                    <a:rPr lang="en-US" sz="2000" b="1">
                      <a:solidFill>
                        <a:schemeClr val="bg1">
                          <a:lumMod val="25000"/>
                        </a:schemeClr>
                      </a:solidFill>
                    </a:rPr>
                    <a:t>Sales</a:t>
                  </a:r>
                </a:p>
              </xdr:txBody>
            </xdr:sp>
            <xdr:sp macro="" textlink="'Pivot Table'!C86">
              <xdr:nvSpPr>
                <xdr:cNvPr id="222" name="TextBox 221">
                  <a:extLst>
                    <a:ext uri="{FF2B5EF4-FFF2-40B4-BE49-F238E27FC236}">
                      <a16:creationId xmlns:a16="http://schemas.microsoft.com/office/drawing/2014/main" id="{626EC16C-5082-B091-C8FF-3C18F3EB1D8B}"/>
                    </a:ext>
                  </a:extLst>
                </xdr:cNvPr>
                <xdr:cNvSpPr txBox="1"/>
              </xdr:nvSpPr>
              <xdr:spPr>
                <a:xfrm>
                  <a:off x="3039146" y="787738"/>
                  <a:ext cx="1489387" cy="504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D33209-6766-4FC1-85B5-4CE91536A5AC}" type="TxLink">
                    <a:rPr lang="en-US" sz="2800" b="0" i="0" u="none" strike="noStrike">
                      <a:solidFill>
                        <a:srgbClr val="833C0B"/>
                      </a:solidFill>
                      <a:latin typeface="Calibri"/>
                      <a:ea typeface="Calibri"/>
                      <a:cs typeface="Calibri"/>
                    </a:rPr>
                    <a:pPr algn="ctr"/>
                    <a:t> $45,134 </a:t>
                  </a:fld>
                  <a:endParaRPr lang="en-US" sz="2800"/>
                </a:p>
              </xdr:txBody>
            </xdr:sp>
          </xdr:grpSp>
          <xdr:grpSp>
            <xdr:nvGrpSpPr>
              <xdr:cNvPr id="31" name="Group 30">
                <a:extLst>
                  <a:ext uri="{FF2B5EF4-FFF2-40B4-BE49-F238E27FC236}">
                    <a16:creationId xmlns:a16="http://schemas.microsoft.com/office/drawing/2014/main" id="{2C10679F-310B-730C-D902-13E40D4B8222}"/>
                  </a:ext>
                </a:extLst>
              </xdr:cNvPr>
              <xdr:cNvGrpSpPr/>
            </xdr:nvGrpSpPr>
            <xdr:grpSpPr>
              <a:xfrm>
                <a:off x="9013639" y="801328"/>
                <a:ext cx="3489376" cy="505138"/>
                <a:chOff x="9013639" y="801328"/>
                <a:chExt cx="3489376" cy="505138"/>
              </a:xfrm>
            </xdr:grpSpPr>
            <xdr:sp macro="" textlink="">
              <xdr:nvSpPr>
                <xdr:cNvPr id="205" name="Rectangle: Rounded Corners 204">
                  <a:extLst>
                    <a:ext uri="{FF2B5EF4-FFF2-40B4-BE49-F238E27FC236}">
                      <a16:creationId xmlns:a16="http://schemas.microsoft.com/office/drawing/2014/main" id="{E7FDC742-F0C5-45BC-A2F8-0FB8390C00EB}"/>
                    </a:ext>
                  </a:extLst>
                </xdr:cNvPr>
                <xdr:cNvSpPr/>
              </xdr:nvSpPr>
              <xdr:spPr>
                <a:xfrm>
                  <a:off x="9013639" y="801328"/>
                  <a:ext cx="3489376" cy="505138"/>
                </a:xfrm>
                <a:prstGeom prst="roundRect">
                  <a:avLst/>
                </a:prstGeom>
                <a:gradFill>
                  <a:gsLst>
                    <a:gs pos="97000">
                      <a:srgbClr val="FFFFFF"/>
                    </a:gs>
                    <a:gs pos="6000">
                      <a:schemeClr val="accent1">
                        <a:lumMod val="60000"/>
                        <a:lumOff val="40000"/>
                      </a:schemeClr>
                    </a:gs>
                  </a:gsLst>
                  <a:lin ang="138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6" name="TextBox 205">
                  <a:extLst>
                    <a:ext uri="{FF2B5EF4-FFF2-40B4-BE49-F238E27FC236}">
                      <a16:creationId xmlns:a16="http://schemas.microsoft.com/office/drawing/2014/main" id="{B98CCA93-C0A5-48B3-B44F-F26BF2BBC8CC}"/>
                    </a:ext>
                  </a:extLst>
                </xdr:cNvPr>
                <xdr:cNvSpPr txBox="1"/>
              </xdr:nvSpPr>
              <xdr:spPr>
                <a:xfrm>
                  <a:off x="9044661" y="874487"/>
                  <a:ext cx="1748764" cy="41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25000"/>
                        </a:schemeClr>
                      </a:solidFill>
                    </a:rPr>
                    <a:t>Total</a:t>
                  </a:r>
                  <a:r>
                    <a:rPr lang="en-US" sz="2000" b="1">
                      <a:solidFill>
                        <a:srgbClr val="FFFFFF"/>
                      </a:solidFill>
                    </a:rPr>
                    <a:t> </a:t>
                  </a:r>
                  <a:r>
                    <a:rPr lang="en-US" sz="2000" b="1">
                      <a:solidFill>
                        <a:schemeClr val="bg1">
                          <a:lumMod val="25000"/>
                        </a:schemeClr>
                      </a:solidFill>
                    </a:rPr>
                    <a:t>Orders</a:t>
                  </a:r>
                </a:p>
              </xdr:txBody>
            </xdr:sp>
            <xdr:pic>
              <xdr:nvPicPr>
                <xdr:cNvPr id="207" name="Graphic 206" descr="Box trolley with solid fill">
                  <a:extLst>
                    <a:ext uri="{FF2B5EF4-FFF2-40B4-BE49-F238E27FC236}">
                      <a16:creationId xmlns:a16="http://schemas.microsoft.com/office/drawing/2014/main" id="{BC7FAD02-CB5C-4860-AA45-72520691276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573737" y="883860"/>
                  <a:ext cx="545641" cy="416750"/>
                </a:xfrm>
                <a:prstGeom prst="rect">
                  <a:avLst/>
                </a:prstGeom>
              </xdr:spPr>
            </xdr:pic>
            <xdr:sp macro="" textlink="'Pivot Table'!C96">
              <xdr:nvSpPr>
                <xdr:cNvPr id="223" name="TextBox 222">
                  <a:extLst>
                    <a:ext uri="{FF2B5EF4-FFF2-40B4-BE49-F238E27FC236}">
                      <a16:creationId xmlns:a16="http://schemas.microsoft.com/office/drawing/2014/main" id="{BD1C6EEF-A265-42F5-940C-3352AF2CE15E}"/>
                    </a:ext>
                  </a:extLst>
                </xdr:cNvPr>
                <xdr:cNvSpPr txBox="1"/>
              </xdr:nvSpPr>
              <xdr:spPr>
                <a:xfrm>
                  <a:off x="11358863" y="844308"/>
                  <a:ext cx="952438" cy="461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48BBE3-1A13-4002-A455-82040DB2C5AE}" type="TxLink">
                    <a:rPr lang="en-US" sz="2400" b="0" i="0" u="none" strike="noStrike">
                      <a:solidFill>
                        <a:srgbClr val="833C0B"/>
                      </a:solidFill>
                      <a:latin typeface="Calibri"/>
                      <a:ea typeface="Calibri"/>
                      <a:cs typeface="Calibri"/>
                    </a:rPr>
                    <a:pPr algn="ctr"/>
                    <a:t>1000</a:t>
                  </a:fld>
                  <a:endParaRPr lang="en-US" sz="2400"/>
                </a:p>
              </xdr:txBody>
            </xdr:sp>
          </xdr:grpSp>
          <xdr:grpSp>
            <xdr:nvGrpSpPr>
              <xdr:cNvPr id="32" name="Group 31">
                <a:extLst>
                  <a:ext uri="{FF2B5EF4-FFF2-40B4-BE49-F238E27FC236}">
                    <a16:creationId xmlns:a16="http://schemas.microsoft.com/office/drawing/2014/main" id="{D923B6FE-294A-D878-0B12-6991E860A284}"/>
                  </a:ext>
                </a:extLst>
              </xdr:cNvPr>
              <xdr:cNvGrpSpPr/>
            </xdr:nvGrpSpPr>
            <xdr:grpSpPr>
              <a:xfrm>
                <a:off x="12914754" y="812533"/>
                <a:ext cx="3480567" cy="505138"/>
                <a:chOff x="12914754" y="812533"/>
                <a:chExt cx="3480567" cy="505138"/>
              </a:xfrm>
            </xdr:grpSpPr>
            <xdr:sp macro="" textlink="">
              <xdr:nvSpPr>
                <xdr:cNvPr id="210" name="Rectangle: Rounded Corners 209">
                  <a:extLst>
                    <a:ext uri="{FF2B5EF4-FFF2-40B4-BE49-F238E27FC236}">
                      <a16:creationId xmlns:a16="http://schemas.microsoft.com/office/drawing/2014/main" id="{F175A92C-966E-4846-B792-E805E0C8728B}"/>
                    </a:ext>
                  </a:extLst>
                </xdr:cNvPr>
                <xdr:cNvSpPr/>
              </xdr:nvSpPr>
              <xdr:spPr>
                <a:xfrm>
                  <a:off x="12914754" y="812533"/>
                  <a:ext cx="3480567" cy="505138"/>
                </a:xfrm>
                <a:prstGeom prst="roundRect">
                  <a:avLst/>
                </a:prstGeom>
                <a:gradFill>
                  <a:gsLst>
                    <a:gs pos="97000">
                      <a:srgbClr val="FFFFFF"/>
                    </a:gs>
                    <a:gs pos="6000">
                      <a:schemeClr val="accent1">
                        <a:lumMod val="60000"/>
                        <a:lumOff val="40000"/>
                      </a:schemeClr>
                    </a:gs>
                  </a:gsLst>
                  <a:lin ang="138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1" name="TextBox 210">
                  <a:extLst>
                    <a:ext uri="{FF2B5EF4-FFF2-40B4-BE49-F238E27FC236}">
                      <a16:creationId xmlns:a16="http://schemas.microsoft.com/office/drawing/2014/main" id="{D70707B7-CD8D-4D81-8B13-671D48A6F7E3}"/>
                    </a:ext>
                  </a:extLst>
                </xdr:cNvPr>
                <xdr:cNvSpPr txBox="1"/>
              </xdr:nvSpPr>
              <xdr:spPr>
                <a:xfrm>
                  <a:off x="13088772" y="881420"/>
                  <a:ext cx="1559805" cy="373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25000"/>
                        </a:schemeClr>
                      </a:solidFill>
                    </a:rPr>
                    <a:t>Quantity</a:t>
                  </a:r>
                  <a:endParaRPr lang="en-US" sz="1600" b="1">
                    <a:solidFill>
                      <a:schemeClr val="bg1">
                        <a:lumMod val="25000"/>
                      </a:schemeClr>
                    </a:solidFill>
                  </a:endParaRPr>
                </a:p>
              </xdr:txBody>
            </xdr:sp>
            <xdr:pic>
              <xdr:nvPicPr>
                <xdr:cNvPr id="212" name="Graphic 211" descr="Good Inventory with solid fill">
                  <a:extLst>
                    <a:ext uri="{FF2B5EF4-FFF2-40B4-BE49-F238E27FC236}">
                      <a16:creationId xmlns:a16="http://schemas.microsoft.com/office/drawing/2014/main" id="{242867BA-5940-40A5-87E3-883029FD812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407322" y="884185"/>
                  <a:ext cx="422613" cy="367884"/>
                </a:xfrm>
                <a:prstGeom prst="rect">
                  <a:avLst/>
                </a:prstGeom>
              </xdr:spPr>
            </xdr:pic>
            <xdr:sp macro="" textlink="'Pivot Table'!C107">
              <xdr:nvSpPr>
                <xdr:cNvPr id="224" name="TextBox 223">
                  <a:extLst>
                    <a:ext uri="{FF2B5EF4-FFF2-40B4-BE49-F238E27FC236}">
                      <a16:creationId xmlns:a16="http://schemas.microsoft.com/office/drawing/2014/main" id="{7CFE6147-4C5B-4864-B7B0-1CB9387554BF}"/>
                    </a:ext>
                  </a:extLst>
                </xdr:cNvPr>
                <xdr:cNvSpPr txBox="1"/>
              </xdr:nvSpPr>
              <xdr:spPr>
                <a:xfrm>
                  <a:off x="15146470" y="845790"/>
                  <a:ext cx="922084" cy="460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950B1F-4FC7-4865-A76D-A4F66C1C13F9}" type="TxLink">
                    <a:rPr lang="en-US" sz="2400" b="0" i="0" u="none" strike="noStrike">
                      <a:solidFill>
                        <a:srgbClr val="833C0B"/>
                      </a:solidFill>
                      <a:latin typeface="Calibri"/>
                      <a:ea typeface="Calibri"/>
                      <a:cs typeface="Calibri"/>
                    </a:rPr>
                    <a:pPr algn="ctr"/>
                    <a:t>3551</a:t>
                  </a:fld>
                  <a:endParaRPr lang="en-US" sz="2400"/>
                </a:p>
              </xdr:txBody>
            </xdr:sp>
          </xdr:grpSp>
          <xdr:grpSp>
            <xdr:nvGrpSpPr>
              <xdr:cNvPr id="30" name="Group 29">
                <a:extLst>
                  <a:ext uri="{FF2B5EF4-FFF2-40B4-BE49-F238E27FC236}">
                    <a16:creationId xmlns:a16="http://schemas.microsoft.com/office/drawing/2014/main" id="{C7448B61-5E92-67A0-BBDF-7EA5AE3CDC60}"/>
                  </a:ext>
                </a:extLst>
              </xdr:cNvPr>
              <xdr:cNvGrpSpPr/>
            </xdr:nvGrpSpPr>
            <xdr:grpSpPr>
              <a:xfrm>
                <a:off x="5112465" y="790122"/>
                <a:ext cx="3489436" cy="505138"/>
                <a:chOff x="5112465" y="790122"/>
                <a:chExt cx="3489436" cy="505138"/>
              </a:xfrm>
            </xdr:grpSpPr>
            <xdr:sp macro="" textlink="">
              <xdr:nvSpPr>
                <xdr:cNvPr id="15" name="Rectangle: Rounded Corners 14">
                  <a:extLst>
                    <a:ext uri="{FF2B5EF4-FFF2-40B4-BE49-F238E27FC236}">
                      <a16:creationId xmlns:a16="http://schemas.microsoft.com/office/drawing/2014/main" id="{B01FC5D7-31E9-F335-DF84-846473F46403}"/>
                    </a:ext>
                  </a:extLst>
                </xdr:cNvPr>
                <xdr:cNvSpPr/>
              </xdr:nvSpPr>
              <xdr:spPr>
                <a:xfrm>
                  <a:off x="5112465" y="790122"/>
                  <a:ext cx="3489436" cy="505138"/>
                </a:xfrm>
                <a:prstGeom prst="roundRect">
                  <a:avLst/>
                </a:prstGeom>
                <a:gradFill>
                  <a:gsLst>
                    <a:gs pos="97000">
                      <a:srgbClr val="FFFFFF"/>
                    </a:gs>
                    <a:gs pos="6000">
                      <a:schemeClr val="accent1">
                        <a:lumMod val="60000"/>
                        <a:lumOff val="40000"/>
                      </a:schemeClr>
                    </a:gs>
                  </a:gsLst>
                  <a:lin ang="138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084E59A9-0861-2A24-5CC9-FE00A1396169}"/>
                    </a:ext>
                  </a:extLst>
                </xdr:cNvPr>
                <xdr:cNvSpPr txBox="1"/>
              </xdr:nvSpPr>
              <xdr:spPr>
                <a:xfrm>
                  <a:off x="5138625" y="817852"/>
                  <a:ext cx="1655727" cy="40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FFFF"/>
                      </a:solidFill>
                    </a:rPr>
                    <a:t> </a:t>
                  </a:r>
                  <a:r>
                    <a:rPr lang="en-US" sz="2000" b="1">
                      <a:solidFill>
                        <a:schemeClr val="bg1">
                          <a:lumMod val="25000"/>
                        </a:schemeClr>
                      </a:solidFill>
                    </a:rPr>
                    <a:t>Profit Margin</a:t>
                  </a:r>
                </a:p>
              </xdr:txBody>
            </xdr:sp>
            <xdr:sp macro="" textlink="'Pivot Table'!D137">
              <xdr:nvSpPr>
                <xdr:cNvPr id="18" name="TextBox 17">
                  <a:extLst>
                    <a:ext uri="{FF2B5EF4-FFF2-40B4-BE49-F238E27FC236}">
                      <a16:creationId xmlns:a16="http://schemas.microsoft.com/office/drawing/2014/main" id="{5F028345-2F09-4E20-BDD0-EA945D7EED17}"/>
                    </a:ext>
                  </a:extLst>
                </xdr:cNvPr>
                <xdr:cNvSpPr txBox="1"/>
              </xdr:nvSpPr>
              <xdr:spPr>
                <a:xfrm>
                  <a:off x="6977493" y="818030"/>
                  <a:ext cx="1359987" cy="46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4041D5-8EB6-46B7-BAD3-C930C1F2B181}" type="TxLink">
                    <a:rPr lang="en-US" sz="2800" b="0" i="0" u="none" strike="noStrike">
                      <a:solidFill>
                        <a:srgbClr val="833C0B"/>
                      </a:solidFill>
                      <a:latin typeface="Calibri"/>
                      <a:ea typeface="Calibri"/>
                      <a:cs typeface="Calibri"/>
                    </a:rPr>
                    <a:pPr algn="ctr"/>
                    <a:t>10.02%</a:t>
                  </a:fld>
                  <a:endParaRPr lang="en-US" sz="2800" b="0" i="0" u="none" strike="noStrike">
                    <a:solidFill>
                      <a:srgbClr val="833C0B"/>
                    </a:solidFill>
                    <a:latin typeface="Calibri"/>
                    <a:ea typeface="Calibri"/>
                    <a:cs typeface="Calibri"/>
                  </a:endParaRPr>
                </a:p>
              </xdr:txBody>
            </xdr:sp>
          </xdr:grpSp>
        </xdr:grpSp>
      </xdr:grpSp>
      <xdr:grpSp>
        <xdr:nvGrpSpPr>
          <xdr:cNvPr id="41" name="Group 40">
            <a:extLst>
              <a:ext uri="{FF2B5EF4-FFF2-40B4-BE49-F238E27FC236}">
                <a16:creationId xmlns:a16="http://schemas.microsoft.com/office/drawing/2014/main" id="{462104FC-5DBA-A2FD-8579-882038657C5D}"/>
              </a:ext>
            </a:extLst>
          </xdr:cNvPr>
          <xdr:cNvGrpSpPr/>
        </xdr:nvGrpSpPr>
        <xdr:grpSpPr>
          <a:xfrm>
            <a:off x="12628218" y="4319436"/>
            <a:ext cx="5069677" cy="2775047"/>
            <a:chOff x="12484288" y="4319436"/>
            <a:chExt cx="5011901" cy="2775047"/>
          </a:xfrm>
        </xdr:grpSpPr>
        <xdr:sp macro="" textlink="">
          <xdr:nvSpPr>
            <xdr:cNvPr id="217" name="Rectangle 216">
              <a:extLst>
                <a:ext uri="{FF2B5EF4-FFF2-40B4-BE49-F238E27FC236}">
                  <a16:creationId xmlns:a16="http://schemas.microsoft.com/office/drawing/2014/main" id="{5B747805-D238-4426-925C-5C8A40A2643A}"/>
                </a:ext>
              </a:extLst>
            </xdr:cNvPr>
            <xdr:cNvSpPr/>
          </xdr:nvSpPr>
          <xdr:spPr>
            <a:xfrm>
              <a:off x="12484288" y="4319436"/>
              <a:ext cx="5011901" cy="2775047"/>
            </a:xfrm>
            <a:prstGeom prst="rect">
              <a:avLst/>
            </a:prstGeom>
            <a:gradFill>
              <a:gsLst>
                <a:gs pos="11000">
                  <a:srgbClr val="FDEFE6"/>
                </a:gs>
                <a:gs pos="100000">
                  <a:schemeClr val="accent1">
                    <a:lumMod val="30000"/>
                    <a:lumOff val="70000"/>
                    <a:alpha val="65000"/>
                  </a:schemeClr>
                </a:gs>
              </a:gsLst>
              <a:lin ang="5400000" scaled="1"/>
            </a:gradFill>
            <a:ln>
              <a:solidFill>
                <a:schemeClr val="bg1">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TextBox 7">
              <a:extLst>
                <a:ext uri="{FF2B5EF4-FFF2-40B4-BE49-F238E27FC236}">
                  <a16:creationId xmlns:a16="http://schemas.microsoft.com/office/drawing/2014/main" id="{2CA0C1C6-E99C-D150-6453-AC8525B0807B}"/>
                </a:ext>
              </a:extLst>
            </xdr:cNvPr>
            <xdr:cNvSpPr txBox="1"/>
          </xdr:nvSpPr>
          <xdr:spPr>
            <a:xfrm>
              <a:off x="15464118" y="4372248"/>
              <a:ext cx="1980482" cy="306207"/>
            </a:xfrm>
            <a:prstGeom prst="rect">
              <a:avLst/>
            </a:prstGeom>
            <a:noFill/>
            <a:ln w="9525" cmpd="sng">
              <a:solidFill>
                <a:schemeClr val="bg1">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solidFill>
                    <a:schemeClr val="dk1"/>
                  </a:solidFill>
                  <a:effectLst/>
                  <a:latin typeface="+mn-lt"/>
                  <a:ea typeface="+mn-ea"/>
                  <a:cs typeface="+mn-cs"/>
                </a:rPr>
                <a:t>Coffee Size wise Sales</a:t>
              </a:r>
              <a:endParaRPr lang="en-US" sz="1400"/>
            </a:p>
          </xdr:txBody>
        </xdr:sp>
        <xdr:graphicFrame macro="">
          <xdr:nvGraphicFramePr>
            <xdr:cNvPr id="12" name="Chart 11">
              <a:extLst>
                <a:ext uri="{FF2B5EF4-FFF2-40B4-BE49-F238E27FC236}">
                  <a16:creationId xmlns:a16="http://schemas.microsoft.com/office/drawing/2014/main" id="{5E36BF7B-5B91-4FA7-A1A9-20DFCBD38D59}"/>
                </a:ext>
              </a:extLst>
            </xdr:cNvPr>
            <xdr:cNvGraphicFramePr>
              <a:graphicFrameLocks/>
            </xdr:cNvGraphicFramePr>
          </xdr:nvGraphicFramePr>
          <xdr:xfrm>
            <a:off x="12550767" y="4681490"/>
            <a:ext cx="4873183" cy="2343962"/>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39" name="TextBox 38">
              <a:extLst>
                <a:ext uri="{FF2B5EF4-FFF2-40B4-BE49-F238E27FC236}">
                  <a16:creationId xmlns:a16="http://schemas.microsoft.com/office/drawing/2014/main" id="{8A35FCB3-C63B-4E36-B159-BD01B5EDB714}"/>
                </a:ext>
              </a:extLst>
            </xdr:cNvPr>
            <xdr:cNvSpPr txBox="1"/>
          </xdr:nvSpPr>
          <xdr:spPr>
            <a:xfrm>
              <a:off x="12545217" y="4737560"/>
              <a:ext cx="901842" cy="473175"/>
            </a:xfrm>
            <a:prstGeom prst="rect">
              <a:avLst/>
            </a:prstGeom>
            <a:noFill/>
            <a:ln w="9525" cmpd="sng">
              <a:solidFill>
                <a:schemeClr val="bg1">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effectLst/>
                  <a:latin typeface="+mn-lt"/>
                  <a:ea typeface="+mn-ea"/>
                  <a:cs typeface="+mn-cs"/>
                </a:rPr>
                <a:t>Coffee Size Unit is Kg</a:t>
              </a:r>
              <a:endParaRPr lang="en-US" sz="1100"/>
            </a:p>
          </xdr:txBody>
        </xdr:sp>
      </xdr:grpSp>
      <xdr:grpSp>
        <xdr:nvGrpSpPr>
          <xdr:cNvPr id="20" name="Group 19">
            <a:extLst>
              <a:ext uri="{FF2B5EF4-FFF2-40B4-BE49-F238E27FC236}">
                <a16:creationId xmlns:a16="http://schemas.microsoft.com/office/drawing/2014/main" id="{87544BDD-3C86-B5A5-CC1D-A48E591661C3}"/>
              </a:ext>
            </a:extLst>
          </xdr:cNvPr>
          <xdr:cNvGrpSpPr/>
        </xdr:nvGrpSpPr>
        <xdr:grpSpPr>
          <a:xfrm>
            <a:off x="0" y="3554802"/>
            <a:ext cx="1241653" cy="1437736"/>
            <a:chOff x="0" y="3554802"/>
            <a:chExt cx="1234849" cy="1437736"/>
          </a:xfrm>
        </xdr:grpSpPr>
        <xdr:sp macro="" textlink="">
          <xdr:nvSpPr>
            <xdr:cNvPr id="220" name="Rectangle 219">
              <a:extLst>
                <a:ext uri="{FF2B5EF4-FFF2-40B4-BE49-F238E27FC236}">
                  <a16:creationId xmlns:a16="http://schemas.microsoft.com/office/drawing/2014/main" id="{9683784D-1E80-40C7-8B0E-2C3C98F939A5}"/>
                </a:ext>
              </a:extLst>
            </xdr:cNvPr>
            <xdr:cNvSpPr/>
          </xdr:nvSpPr>
          <xdr:spPr>
            <a:xfrm>
              <a:off x="0" y="3554802"/>
              <a:ext cx="1233763" cy="1437736"/>
            </a:xfrm>
            <a:prstGeom prst="rect">
              <a:avLst/>
            </a:prstGeom>
            <a:gradFill>
              <a:gsLst>
                <a:gs pos="11000">
                  <a:srgbClr val="FDEFE6"/>
                </a:gs>
                <a:gs pos="100000">
                  <a:schemeClr val="accent1">
                    <a:lumMod val="30000"/>
                    <a:lumOff val="70000"/>
                    <a:alpha val="65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7" name="Country 2">
                  <a:extLst>
                    <a:ext uri="{FF2B5EF4-FFF2-40B4-BE49-F238E27FC236}">
                      <a16:creationId xmlns:a16="http://schemas.microsoft.com/office/drawing/2014/main" id="{8535F85B-FA01-48F5-ACC7-DC782EADF9A5}"/>
                    </a:ext>
                  </a:extLst>
                </xdr:cNvPr>
                <xdr:cNvGraphicFramePr/>
              </xdr:nvGraphicFramePr>
              <xdr:xfrm>
                <a:off x="1" y="3568473"/>
                <a:ext cx="1234848" cy="1411741"/>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 y="3568473"/>
                  <a:ext cx="1241652" cy="1411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9" name="Group 18">
            <a:extLst>
              <a:ext uri="{FF2B5EF4-FFF2-40B4-BE49-F238E27FC236}">
                <a16:creationId xmlns:a16="http://schemas.microsoft.com/office/drawing/2014/main" id="{86B7EEB2-4441-8B8C-ABAB-DA52052BE745}"/>
              </a:ext>
            </a:extLst>
          </xdr:cNvPr>
          <xdr:cNvGrpSpPr/>
        </xdr:nvGrpSpPr>
        <xdr:grpSpPr>
          <a:xfrm>
            <a:off x="0" y="5021291"/>
            <a:ext cx="1250022" cy="2068030"/>
            <a:chOff x="0" y="5021291"/>
            <a:chExt cx="1244579" cy="2055964"/>
          </a:xfrm>
        </xdr:grpSpPr>
        <xdr:sp macro="" textlink="">
          <xdr:nvSpPr>
            <xdr:cNvPr id="221" name="Rectangle 220">
              <a:extLst>
                <a:ext uri="{FF2B5EF4-FFF2-40B4-BE49-F238E27FC236}">
                  <a16:creationId xmlns:a16="http://schemas.microsoft.com/office/drawing/2014/main" id="{BDC41201-CA0A-4C2D-9D89-EF8A7943B488}"/>
                </a:ext>
              </a:extLst>
            </xdr:cNvPr>
            <xdr:cNvSpPr/>
          </xdr:nvSpPr>
          <xdr:spPr>
            <a:xfrm>
              <a:off x="0" y="5021291"/>
              <a:ext cx="1244579" cy="2055964"/>
            </a:xfrm>
            <a:prstGeom prst="rect">
              <a:avLst/>
            </a:prstGeom>
            <a:gradFill>
              <a:gsLst>
                <a:gs pos="11000">
                  <a:srgbClr val="FDEFE6"/>
                </a:gs>
                <a:gs pos="100000">
                  <a:schemeClr val="accent1">
                    <a:lumMod val="30000"/>
                    <a:lumOff val="70000"/>
                    <a:alpha val="65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3" name="Coffee fullname 2">
                  <a:extLst>
                    <a:ext uri="{FF2B5EF4-FFF2-40B4-BE49-F238E27FC236}">
                      <a16:creationId xmlns:a16="http://schemas.microsoft.com/office/drawing/2014/main" id="{8D0D9557-9CCE-4329-9999-37483F47F81F}"/>
                    </a:ext>
                  </a:extLst>
                </xdr:cNvPr>
                <xdr:cNvGraphicFramePr/>
              </xdr:nvGraphicFramePr>
              <xdr:xfrm>
                <a:off x="0" y="5031183"/>
                <a:ext cx="1232794" cy="2033646"/>
              </xdr:xfrm>
              <a:graphic>
                <a:graphicData uri="http://schemas.microsoft.com/office/drawing/2010/slicer">
                  <sle:slicer xmlns:sle="http://schemas.microsoft.com/office/drawing/2010/slicer" name="Coffee fullname 2"/>
                </a:graphicData>
              </a:graphic>
            </xdr:graphicFrame>
          </mc:Choice>
          <mc:Fallback xmlns="">
            <xdr:sp macro="" textlink="">
              <xdr:nvSpPr>
                <xdr:cNvPr id="0" name=""/>
                <xdr:cNvSpPr>
                  <a:spLocks noTextEdit="1"/>
                </xdr:cNvSpPr>
              </xdr:nvSpPr>
              <xdr:spPr>
                <a:xfrm>
                  <a:off x="0" y="5031241"/>
                  <a:ext cx="1238185" cy="2045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21" name="Group 20">
            <a:extLst>
              <a:ext uri="{FF2B5EF4-FFF2-40B4-BE49-F238E27FC236}">
                <a16:creationId xmlns:a16="http://schemas.microsoft.com/office/drawing/2014/main" id="{8E7E5F89-4764-CE71-FD07-3E36FD34C5CD}"/>
              </a:ext>
            </a:extLst>
          </xdr:cNvPr>
          <xdr:cNvGrpSpPr/>
        </xdr:nvGrpSpPr>
        <xdr:grpSpPr>
          <a:xfrm>
            <a:off x="0" y="1563414"/>
            <a:ext cx="1248659" cy="1953692"/>
            <a:chOff x="0" y="1563414"/>
            <a:chExt cx="1241855" cy="1953692"/>
          </a:xfrm>
        </xdr:grpSpPr>
        <xdr:sp macro="" textlink="">
          <xdr:nvSpPr>
            <xdr:cNvPr id="219" name="Rectangle 218">
              <a:extLst>
                <a:ext uri="{FF2B5EF4-FFF2-40B4-BE49-F238E27FC236}">
                  <a16:creationId xmlns:a16="http://schemas.microsoft.com/office/drawing/2014/main" id="{148B9513-76C6-42E1-A14A-E92548AF51E0}"/>
                </a:ext>
              </a:extLst>
            </xdr:cNvPr>
            <xdr:cNvSpPr/>
          </xdr:nvSpPr>
          <xdr:spPr>
            <a:xfrm>
              <a:off x="0" y="1563414"/>
              <a:ext cx="1241855" cy="1953692"/>
            </a:xfrm>
            <a:prstGeom prst="rect">
              <a:avLst/>
            </a:prstGeom>
            <a:gradFill>
              <a:gsLst>
                <a:gs pos="11000">
                  <a:srgbClr val="FDEFE6"/>
                </a:gs>
                <a:gs pos="100000">
                  <a:schemeClr val="accent1">
                    <a:lumMod val="30000"/>
                    <a:lumOff val="70000"/>
                    <a:alpha val="65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4" name="Years (Order Date) 2">
                  <a:extLst>
                    <a:ext uri="{FF2B5EF4-FFF2-40B4-BE49-F238E27FC236}">
                      <a16:creationId xmlns:a16="http://schemas.microsoft.com/office/drawing/2014/main" id="{0D506090-6D2E-4D1B-A399-E72FD7A6FCBD}"/>
                    </a:ext>
                  </a:extLst>
                </xdr:cNvPr>
                <xdr:cNvGraphicFramePr/>
              </xdr:nvGraphicFramePr>
              <xdr:xfrm>
                <a:off x="0" y="1576552"/>
                <a:ext cx="1231446" cy="1934091"/>
              </xdr:xfrm>
              <a:graphic>
                <a:graphicData uri="http://schemas.microsoft.com/office/drawing/2010/slicer">
                  <sle:slicer xmlns:sle="http://schemas.microsoft.com/office/drawing/2010/slicer" name="Years (Order Date) 2"/>
                </a:graphicData>
              </a:graphic>
            </xdr:graphicFrame>
          </mc:Choice>
          <mc:Fallback xmlns="">
            <xdr:sp macro="" textlink="">
              <xdr:nvSpPr>
                <xdr:cNvPr id="0" name=""/>
                <xdr:cNvSpPr>
                  <a:spLocks noTextEdit="1"/>
                </xdr:cNvSpPr>
              </xdr:nvSpPr>
              <xdr:spPr>
                <a:xfrm>
                  <a:off x="0" y="1576552"/>
                  <a:ext cx="1238193" cy="1934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224270</xdr:colOff>
      <xdr:row>0</xdr:row>
      <xdr:rowOff>109970</xdr:rowOff>
    </xdr:from>
    <xdr:to>
      <xdr:col>11</xdr:col>
      <xdr:colOff>92652</xdr:colOff>
      <xdr:row>14</xdr:row>
      <xdr:rowOff>43295</xdr:rowOff>
    </xdr:to>
    <xdr:graphicFrame macro="">
      <xdr:nvGraphicFramePr>
        <xdr:cNvPr id="2" name="Chart 1">
          <a:extLst>
            <a:ext uri="{FF2B5EF4-FFF2-40B4-BE49-F238E27FC236}">
              <a16:creationId xmlns:a16="http://schemas.microsoft.com/office/drawing/2014/main" id="{1DCEDB01-6DE5-744F-C113-3DAB7A364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657225</xdr:colOff>
      <xdr:row>16</xdr:row>
      <xdr:rowOff>180975</xdr:rowOff>
    </xdr:from>
    <xdr:to>
      <xdr:col>9</xdr:col>
      <xdr:colOff>295275</xdr:colOff>
      <xdr:row>25</xdr:row>
      <xdr:rowOff>0</xdr:rowOff>
    </xdr:to>
    <xdr:graphicFrame macro="">
      <xdr:nvGraphicFramePr>
        <xdr:cNvPr id="3" name="Chart 2">
          <a:extLst>
            <a:ext uri="{FF2B5EF4-FFF2-40B4-BE49-F238E27FC236}">
              <a16:creationId xmlns:a16="http://schemas.microsoft.com/office/drawing/2014/main" id="{053B27AF-A6C1-27A1-E64D-591D73782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1019175</xdr:colOff>
      <xdr:row>31</xdr:row>
      <xdr:rowOff>38101</xdr:rowOff>
    </xdr:from>
    <xdr:to>
      <xdr:col>9</xdr:col>
      <xdr:colOff>485775</xdr:colOff>
      <xdr:row>45</xdr:row>
      <xdr:rowOff>19051</xdr:rowOff>
    </xdr:to>
    <xdr:graphicFrame macro="">
      <xdr:nvGraphicFramePr>
        <xdr:cNvPr id="4" name="Chart 3">
          <a:extLst>
            <a:ext uri="{FF2B5EF4-FFF2-40B4-BE49-F238E27FC236}">
              <a16:creationId xmlns:a16="http://schemas.microsoft.com/office/drawing/2014/main" id="{94C7BF97-FF0C-EA26-B46F-B7F2C6B9E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30305</xdr:colOff>
      <xdr:row>45</xdr:row>
      <xdr:rowOff>141142</xdr:rowOff>
    </xdr:from>
    <xdr:to>
      <xdr:col>14</xdr:col>
      <xdr:colOff>103043</xdr:colOff>
      <xdr:row>54</xdr:row>
      <xdr:rowOff>19050</xdr:rowOff>
    </xdr:to>
    <xdr:graphicFrame macro="">
      <xdr:nvGraphicFramePr>
        <xdr:cNvPr id="5" name="Chart 4">
          <a:extLst>
            <a:ext uri="{FF2B5EF4-FFF2-40B4-BE49-F238E27FC236}">
              <a16:creationId xmlns:a16="http://schemas.microsoft.com/office/drawing/2014/main" id="{7409BDBE-42F8-E977-1678-5F1FAF1E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212148</xdr:colOff>
      <xdr:row>22</xdr:row>
      <xdr:rowOff>170585</xdr:rowOff>
    </xdr:from>
    <xdr:to>
      <xdr:col>21</xdr:col>
      <xdr:colOff>212148</xdr:colOff>
      <xdr:row>33</xdr:row>
      <xdr:rowOff>132485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CDFD6CB3-6710-A0BB-A37C-DB3972E7287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861223" y="3218585"/>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516081</xdr:colOff>
      <xdr:row>32</xdr:row>
      <xdr:rowOff>867</xdr:rowOff>
    </xdr:from>
    <xdr:to>
      <xdr:col>25</xdr:col>
      <xdr:colOff>516081</xdr:colOff>
      <xdr:row>42</xdr:row>
      <xdr:rowOff>153267</xdr:rowOff>
    </xdr:to>
    <mc:AlternateContent xmlns:mc="http://schemas.openxmlformats.org/markup-compatibility/2006" xmlns:a14="http://schemas.microsoft.com/office/drawing/2010/main">
      <mc:Choice Requires="a14">
        <xdr:graphicFrame macro="">
          <xdr:nvGraphicFramePr>
            <xdr:cNvPr id="8" name="Coffee fullname">
              <a:extLst>
                <a:ext uri="{FF2B5EF4-FFF2-40B4-BE49-F238E27FC236}">
                  <a16:creationId xmlns:a16="http://schemas.microsoft.com/office/drawing/2014/main" id="{E155E5CE-F508-926E-D1FF-B5AEF1D995E4}"/>
                </a:ext>
              </a:extLst>
            </xdr:cNvPr>
            <xdr:cNvGraphicFramePr/>
          </xdr:nvGraphicFramePr>
          <xdr:xfrm>
            <a:off x="0" y="0"/>
            <a:ext cx="0" cy="0"/>
          </xdr:xfrm>
          <a:graphic>
            <a:graphicData uri="http://schemas.microsoft.com/office/drawing/2010/slicer">
              <sle:slicer xmlns:sle="http://schemas.microsoft.com/office/drawing/2010/slicer" name="Coffee fullname"/>
            </a:graphicData>
          </a:graphic>
        </xdr:graphicFrame>
      </mc:Choice>
      <mc:Fallback xmlns="">
        <xdr:sp macro="" textlink="">
          <xdr:nvSpPr>
            <xdr:cNvPr id="0" name=""/>
            <xdr:cNvSpPr>
              <a:spLocks noTextEdit="1"/>
            </xdr:cNvSpPr>
          </xdr:nvSpPr>
          <xdr:spPr>
            <a:xfrm>
              <a:off x="14603556" y="4953867"/>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502227</xdr:colOff>
      <xdr:row>32</xdr:row>
      <xdr:rowOff>167986</xdr:rowOff>
    </xdr:from>
    <xdr:to>
      <xdr:col>20</xdr:col>
      <xdr:colOff>502227</xdr:colOff>
      <xdr:row>40</xdr:row>
      <xdr:rowOff>66675</xdr:rowOff>
    </xdr:to>
    <mc:AlternateContent xmlns:mc="http://schemas.openxmlformats.org/markup-compatibility/2006" xmlns:a14="http://schemas.microsoft.com/office/drawing/2010/main">
      <mc:Choice Requires="a14">
        <xdr:graphicFrame macro="">
          <xdr:nvGraphicFramePr>
            <xdr:cNvPr id="10" name="Years (Order Date)">
              <a:extLst>
                <a:ext uri="{FF2B5EF4-FFF2-40B4-BE49-F238E27FC236}">
                  <a16:creationId xmlns:a16="http://schemas.microsoft.com/office/drawing/2014/main" id="{A034D5FF-28F9-18B1-4A23-95865E66864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1541702" y="5120986"/>
              <a:ext cx="1828800" cy="1422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561975</xdr:colOff>
      <xdr:row>54</xdr:row>
      <xdr:rowOff>171450</xdr:rowOff>
    </xdr:from>
    <xdr:to>
      <xdr:col>12</xdr:col>
      <xdr:colOff>114300</xdr:colOff>
      <xdr:row>69</xdr:row>
      <xdr:rowOff>57150</xdr:rowOff>
    </xdr:to>
    <xdr:graphicFrame macro="">
      <xdr:nvGraphicFramePr>
        <xdr:cNvPr id="9" name="Chart 8">
          <a:extLst>
            <a:ext uri="{FF2B5EF4-FFF2-40B4-BE49-F238E27FC236}">
              <a16:creationId xmlns:a16="http://schemas.microsoft.com/office/drawing/2014/main" id="{2D493D4A-5608-5EB7-588E-FA32B0D49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638174</xdr:colOff>
      <xdr:row>110</xdr:row>
      <xdr:rowOff>142875</xdr:rowOff>
    </xdr:from>
    <xdr:to>
      <xdr:col>12</xdr:col>
      <xdr:colOff>523875</xdr:colOff>
      <xdr:row>124</xdr:row>
      <xdr:rowOff>152400</xdr:rowOff>
    </xdr:to>
    <xdr:graphicFrame macro="">
      <xdr:nvGraphicFramePr>
        <xdr:cNvPr id="6" name="Chart 5">
          <a:extLst>
            <a:ext uri="{FF2B5EF4-FFF2-40B4-BE49-F238E27FC236}">
              <a16:creationId xmlns:a16="http://schemas.microsoft.com/office/drawing/2014/main" id="{E4BF0FA2-1BAE-082C-A501-35369A66D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161925</xdr:colOff>
      <xdr:row>6</xdr:row>
      <xdr:rowOff>9525</xdr:rowOff>
    </xdr:from>
    <xdr:to>
      <xdr:col>16</xdr:col>
      <xdr:colOff>161925</xdr:colOff>
      <xdr:row>19</xdr:row>
      <xdr:rowOff>57150</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870865A5-FF7D-77AE-0B12-8CFD22A089D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610975"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17</xdr:row>
      <xdr:rowOff>95250</xdr:rowOff>
    </xdr:from>
    <xdr:to>
      <xdr:col>16</xdr:col>
      <xdr:colOff>161925</xdr:colOff>
      <xdr:row>30</xdr:row>
      <xdr:rowOff>142875</xdr:rowOff>
    </xdr:to>
    <mc:AlternateContent xmlns:mc="http://schemas.openxmlformats.org/markup-compatibility/2006" xmlns:a14="http://schemas.microsoft.com/office/drawing/2010/main">
      <mc:Choice Requires="a14">
        <xdr:graphicFrame macro="">
          <xdr:nvGraphicFramePr>
            <xdr:cNvPr id="12" name="Coffee fullname 1">
              <a:extLst>
                <a:ext uri="{FF2B5EF4-FFF2-40B4-BE49-F238E27FC236}">
                  <a16:creationId xmlns:a16="http://schemas.microsoft.com/office/drawing/2014/main" id="{0F5302EB-BD2D-F93E-1B20-9C7442B919EF}"/>
                </a:ext>
              </a:extLst>
            </xdr:cNvPr>
            <xdr:cNvGraphicFramePr/>
          </xdr:nvGraphicFramePr>
          <xdr:xfrm>
            <a:off x="0" y="0"/>
            <a:ext cx="0" cy="0"/>
          </xdr:xfrm>
          <a:graphic>
            <a:graphicData uri="http://schemas.microsoft.com/office/drawing/2010/slicer">
              <sle:slicer xmlns:sle="http://schemas.microsoft.com/office/drawing/2010/slicer" name="Coffee fullname 1"/>
            </a:graphicData>
          </a:graphic>
        </xdr:graphicFrame>
      </mc:Choice>
      <mc:Fallback xmlns="">
        <xdr:sp macro="" textlink="">
          <xdr:nvSpPr>
            <xdr:cNvPr id="0" name=""/>
            <xdr:cNvSpPr>
              <a:spLocks noTextEdit="1"/>
            </xdr:cNvSpPr>
          </xdr:nvSpPr>
          <xdr:spPr>
            <a:xfrm>
              <a:off x="11610975" y="3333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27</xdr:row>
      <xdr:rowOff>171450</xdr:rowOff>
    </xdr:from>
    <xdr:to>
      <xdr:col>16</xdr:col>
      <xdr:colOff>209550</xdr:colOff>
      <xdr:row>41</xdr:row>
      <xdr:rowOff>28575</xdr:rowOff>
    </xdr:to>
    <mc:AlternateContent xmlns:mc="http://schemas.openxmlformats.org/markup-compatibility/2006" xmlns:a14="http://schemas.microsoft.com/office/drawing/2010/main">
      <mc:Choice Requires="a14">
        <xdr:graphicFrame macro="">
          <xdr:nvGraphicFramePr>
            <xdr:cNvPr id="13" name="Years (Order Date) 1">
              <a:extLst>
                <a:ext uri="{FF2B5EF4-FFF2-40B4-BE49-F238E27FC236}">
                  <a16:creationId xmlns:a16="http://schemas.microsoft.com/office/drawing/2014/main" id="{C36D26AE-559F-8A94-56DE-17E5BF4C163E}"/>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mlns="">
        <xdr:sp macro="" textlink="">
          <xdr:nvSpPr>
            <xdr:cNvPr id="0" name=""/>
            <xdr:cNvSpPr>
              <a:spLocks noTextEdit="1"/>
            </xdr:cNvSpPr>
          </xdr:nvSpPr>
          <xdr:spPr>
            <a:xfrm>
              <a:off x="11658600" y="531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342899</xdr:colOff>
      <xdr:row>79</xdr:row>
      <xdr:rowOff>142875</xdr:rowOff>
    </xdr:from>
    <xdr:to>
      <xdr:col>9</xdr:col>
      <xdr:colOff>171449</xdr:colOff>
      <xdr:row>87</xdr:row>
      <xdr:rowOff>185737</xdr:rowOff>
    </xdr:to>
    <xdr:graphicFrame macro="">
      <xdr:nvGraphicFramePr>
        <xdr:cNvPr id="14" name="Chart 13">
          <a:extLst>
            <a:ext uri="{FF2B5EF4-FFF2-40B4-BE49-F238E27FC236}">
              <a16:creationId xmlns:a16="http://schemas.microsoft.com/office/drawing/2014/main" id="{A52609B6-E5FD-21C0-FFBD-E9E8DC4C7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104775</xdr:colOff>
      <xdr:row>92</xdr:row>
      <xdr:rowOff>142874</xdr:rowOff>
    </xdr:from>
    <xdr:to>
      <xdr:col>7</xdr:col>
      <xdr:colOff>1143000</xdr:colOff>
      <xdr:row>98</xdr:row>
      <xdr:rowOff>100011</xdr:rowOff>
    </xdr:to>
    <xdr:graphicFrame macro="">
      <xdr:nvGraphicFramePr>
        <xdr:cNvPr id="15" name="Chart 14">
          <a:extLst>
            <a:ext uri="{FF2B5EF4-FFF2-40B4-BE49-F238E27FC236}">
              <a16:creationId xmlns:a16="http://schemas.microsoft.com/office/drawing/2014/main" id="{A484878F-0FBA-21E5-3F76-F0B242CC4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847724</xdr:colOff>
      <xdr:row>102</xdr:row>
      <xdr:rowOff>66675</xdr:rowOff>
    </xdr:from>
    <xdr:to>
      <xdr:col>5</xdr:col>
      <xdr:colOff>561975</xdr:colOff>
      <xdr:row>110</xdr:row>
      <xdr:rowOff>90487</xdr:rowOff>
    </xdr:to>
    <xdr:graphicFrame macro="">
      <xdr:nvGraphicFramePr>
        <xdr:cNvPr id="16" name="Chart 15">
          <a:extLst>
            <a:ext uri="{FF2B5EF4-FFF2-40B4-BE49-F238E27FC236}">
              <a16:creationId xmlns:a16="http://schemas.microsoft.com/office/drawing/2014/main" id="{A3A08546-6FAD-4E47-25EF-B49D95BF2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714375</xdr:colOff>
      <xdr:row>128</xdr:row>
      <xdr:rowOff>85724</xdr:rowOff>
    </xdr:from>
    <xdr:to>
      <xdr:col>7</xdr:col>
      <xdr:colOff>1171575</xdr:colOff>
      <xdr:row>137</xdr:row>
      <xdr:rowOff>80961</xdr:rowOff>
    </xdr:to>
    <xdr:graphicFrame macro="">
      <xdr:nvGraphicFramePr>
        <xdr:cNvPr id="17" name="Chart 16">
          <a:extLst>
            <a:ext uri="{FF2B5EF4-FFF2-40B4-BE49-F238E27FC236}">
              <a16:creationId xmlns:a16="http://schemas.microsoft.com/office/drawing/2014/main" id="{266C48A6-12DC-6989-7C52-A5505AE19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600075</xdr:colOff>
      <xdr:row>145</xdr:row>
      <xdr:rowOff>47625</xdr:rowOff>
    </xdr:from>
    <xdr:to>
      <xdr:col>7</xdr:col>
      <xdr:colOff>742950</xdr:colOff>
      <xdr:row>152</xdr:row>
      <xdr:rowOff>90487</xdr:rowOff>
    </xdr:to>
    <xdr:graphicFrame macro="">
      <xdr:nvGraphicFramePr>
        <xdr:cNvPr id="18" name="Chart 17">
          <a:extLst>
            <a:ext uri="{FF2B5EF4-FFF2-40B4-BE49-F238E27FC236}">
              <a16:creationId xmlns:a16="http://schemas.microsoft.com/office/drawing/2014/main" id="{BCF1EB71-6130-4EA6-DC03-305A4F559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533400</xdr:colOff>
      <xdr:row>156</xdr:row>
      <xdr:rowOff>28574</xdr:rowOff>
    </xdr:from>
    <xdr:to>
      <xdr:col>7</xdr:col>
      <xdr:colOff>819150</xdr:colOff>
      <xdr:row>165</xdr:row>
      <xdr:rowOff>61911</xdr:rowOff>
    </xdr:to>
    <xdr:graphicFrame macro="">
      <xdr:nvGraphicFramePr>
        <xdr:cNvPr id="19" name="Chart 18">
          <a:extLst>
            <a:ext uri="{FF2B5EF4-FFF2-40B4-BE49-F238E27FC236}">
              <a16:creationId xmlns:a16="http://schemas.microsoft.com/office/drawing/2014/main" id="{2377123B-88BD-0C74-9806-04EA20BB9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571500</xdr:colOff>
      <xdr:row>8</xdr:row>
      <xdr:rowOff>47624</xdr:rowOff>
    </xdr:from>
    <xdr:to>
      <xdr:col>11</xdr:col>
      <xdr:colOff>114299</xdr:colOff>
      <xdr:row>14</xdr:row>
      <xdr:rowOff>133349</xdr:rowOff>
    </xdr:to>
    <xdr:grpSp>
      <xdr:nvGrpSpPr>
        <xdr:cNvPr id="2" name="Group 1">
          <a:extLst>
            <a:ext uri="{FF2B5EF4-FFF2-40B4-BE49-F238E27FC236}">
              <a16:creationId xmlns:a16="http://schemas.microsoft.com/office/drawing/2014/main" id="{039E05DC-7492-44E7-BB9B-392A8036E7BC}"/>
            </a:ext>
          </a:extLst>
        </xdr:cNvPr>
        <xdr:cNvGrpSpPr/>
      </xdr:nvGrpSpPr>
      <xdr:grpSpPr>
        <a:xfrm>
          <a:off x="5448300" y="1571624"/>
          <a:ext cx="1371599" cy="1228725"/>
          <a:chOff x="4248150" y="600076"/>
          <a:chExt cx="2571749" cy="2200274"/>
        </a:xfrm>
      </xdr:grpSpPr>
      <xdr:grpSp>
        <xdr:nvGrpSpPr>
          <xdr:cNvPr id="3" name="Group 2">
            <a:extLst>
              <a:ext uri="{FF2B5EF4-FFF2-40B4-BE49-F238E27FC236}">
                <a16:creationId xmlns:a16="http://schemas.microsoft.com/office/drawing/2014/main" id="{ACF23965-8A57-DD3D-39F8-20A64F518BA2}"/>
              </a:ext>
            </a:extLst>
          </xdr:cNvPr>
          <xdr:cNvGrpSpPr/>
        </xdr:nvGrpSpPr>
        <xdr:grpSpPr>
          <a:xfrm>
            <a:off x="4248150" y="600076"/>
            <a:ext cx="2571749" cy="2200274"/>
            <a:chOff x="3009900" y="1485900"/>
            <a:chExt cx="914400" cy="914400"/>
          </a:xfrm>
        </xdr:grpSpPr>
        <xdr:pic>
          <xdr:nvPicPr>
            <xdr:cNvPr id="28" name="Graphic 27" descr="Badge Tick outline">
              <a:extLst>
                <a:ext uri="{FF2B5EF4-FFF2-40B4-BE49-F238E27FC236}">
                  <a16:creationId xmlns:a16="http://schemas.microsoft.com/office/drawing/2014/main" id="{D45D5DD7-11BD-1F7C-C090-0BAD528D38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09900" y="1485900"/>
              <a:ext cx="914400" cy="914400"/>
            </a:xfrm>
            <a:prstGeom prst="rect">
              <a:avLst/>
            </a:prstGeom>
          </xdr:spPr>
        </xdr:pic>
        <xdr:sp macro="" textlink="">
          <xdr:nvSpPr>
            <xdr:cNvPr id="29" name="Oval 28">
              <a:extLst>
                <a:ext uri="{FF2B5EF4-FFF2-40B4-BE49-F238E27FC236}">
                  <a16:creationId xmlns:a16="http://schemas.microsoft.com/office/drawing/2014/main" id="{A878B362-5CE9-947A-50D0-525794C0055A}"/>
                </a:ext>
              </a:extLst>
            </xdr:cNvPr>
            <xdr:cNvSpPr/>
          </xdr:nvSpPr>
          <xdr:spPr>
            <a:xfrm>
              <a:off x="3343275" y="1800225"/>
              <a:ext cx="276225" cy="257175"/>
            </a:xfrm>
            <a:prstGeom prst="ellipse">
              <a:avLst/>
            </a:prstGeom>
            <a:solidFill>
              <a:srgbClr val="FFFFFF"/>
            </a:solidFill>
            <a:ln>
              <a:solidFill>
                <a:schemeClr val="bg1">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818C91DB-E0D8-BD0E-9A12-BD2369EEF1EF}"/>
              </a:ext>
            </a:extLst>
          </xdr:cNvPr>
          <xdr:cNvGrpSpPr/>
        </xdr:nvGrpSpPr>
        <xdr:grpSpPr>
          <a:xfrm>
            <a:off x="4867276" y="1153878"/>
            <a:ext cx="1333500" cy="1135625"/>
            <a:chOff x="2021241" y="1695450"/>
            <a:chExt cx="824795" cy="762000"/>
          </a:xfrm>
        </xdr:grpSpPr>
        <xdr:sp macro="" textlink="">
          <xdr:nvSpPr>
            <xdr:cNvPr id="17" name="Oval 16">
              <a:extLst>
                <a:ext uri="{FF2B5EF4-FFF2-40B4-BE49-F238E27FC236}">
                  <a16:creationId xmlns:a16="http://schemas.microsoft.com/office/drawing/2014/main" id="{808C43DA-1682-ED80-7093-1C5471729691}"/>
                </a:ext>
              </a:extLst>
            </xdr:cNvPr>
            <xdr:cNvSpPr/>
          </xdr:nvSpPr>
          <xdr:spPr>
            <a:xfrm>
              <a:off x="2021241" y="1695450"/>
              <a:ext cx="824795" cy="762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Graphic 17" descr="Coffee with solid fill">
              <a:extLst>
                <a:ext uri="{FF2B5EF4-FFF2-40B4-BE49-F238E27FC236}">
                  <a16:creationId xmlns:a16="http://schemas.microsoft.com/office/drawing/2014/main" id="{1EEA5C5E-B5FC-383B-8E9E-44CBB43E2D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2683212" flipH="1">
              <a:off x="2122651" y="1706457"/>
              <a:ext cx="434215" cy="428854"/>
            </a:xfrm>
            <a:prstGeom prst="rect">
              <a:avLst/>
            </a:prstGeom>
          </xdr:spPr>
        </xdr:pic>
        <xdr:sp macro="" textlink="">
          <xdr:nvSpPr>
            <xdr:cNvPr id="19" name="Oval 18">
              <a:extLst>
                <a:ext uri="{FF2B5EF4-FFF2-40B4-BE49-F238E27FC236}">
                  <a16:creationId xmlns:a16="http://schemas.microsoft.com/office/drawing/2014/main" id="{FAC63584-3205-FA3E-8F8B-5F6CB3A496CD}"/>
                </a:ext>
              </a:extLst>
            </xdr:cNvPr>
            <xdr:cNvSpPr/>
          </xdr:nvSpPr>
          <xdr:spPr>
            <a:xfrm>
              <a:off x="2338089" y="1770415"/>
              <a:ext cx="187523" cy="119062"/>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Oval 19">
              <a:extLst>
                <a:ext uri="{FF2B5EF4-FFF2-40B4-BE49-F238E27FC236}">
                  <a16:creationId xmlns:a16="http://schemas.microsoft.com/office/drawing/2014/main" id="{5644C928-B6F2-7BF1-0ED3-05517B33D07F}"/>
                </a:ext>
              </a:extLst>
            </xdr:cNvPr>
            <xdr:cNvSpPr/>
          </xdr:nvSpPr>
          <xdr:spPr>
            <a:xfrm>
              <a:off x="2431851" y="1854200"/>
              <a:ext cx="116086" cy="101424"/>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Graphic 20" descr="Coffee Beans with solid fill">
              <a:extLst>
                <a:ext uri="{FF2B5EF4-FFF2-40B4-BE49-F238E27FC236}">
                  <a16:creationId xmlns:a16="http://schemas.microsoft.com/office/drawing/2014/main" id="{AA5F6D56-8015-B492-FB72-EED85BAC046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440780" y="1995311"/>
              <a:ext cx="80367" cy="79375"/>
            </a:xfrm>
            <a:prstGeom prst="rect">
              <a:avLst/>
            </a:prstGeom>
          </xdr:spPr>
        </xdr:pic>
        <xdr:pic>
          <xdr:nvPicPr>
            <xdr:cNvPr id="22" name="Graphic 21" descr="Coffee Beans with solid fill">
              <a:extLst>
                <a:ext uri="{FF2B5EF4-FFF2-40B4-BE49-F238E27FC236}">
                  <a16:creationId xmlns:a16="http://schemas.microsoft.com/office/drawing/2014/main" id="{B4E24E2E-C0E9-020A-B3B2-72F776A9BF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7753" y="2092325"/>
              <a:ext cx="75902" cy="74965"/>
            </a:xfrm>
            <a:prstGeom prst="rect">
              <a:avLst/>
            </a:prstGeom>
          </xdr:spPr>
        </xdr:pic>
        <xdr:pic>
          <xdr:nvPicPr>
            <xdr:cNvPr id="23" name="Graphic 22" descr="Coffee Beans with solid fill">
              <a:extLst>
                <a:ext uri="{FF2B5EF4-FFF2-40B4-BE49-F238E27FC236}">
                  <a16:creationId xmlns:a16="http://schemas.microsoft.com/office/drawing/2014/main" id="{8BCAA466-456F-0AEC-2889-9D42B7E7E38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31851" y="2070276"/>
              <a:ext cx="80367" cy="79375"/>
            </a:xfrm>
            <a:prstGeom prst="rect">
              <a:avLst/>
            </a:prstGeom>
          </xdr:spPr>
        </xdr:pic>
        <xdr:pic>
          <xdr:nvPicPr>
            <xdr:cNvPr id="24" name="Graphic 23" descr="Coffee Beans with solid fill">
              <a:extLst>
                <a:ext uri="{FF2B5EF4-FFF2-40B4-BE49-F238E27FC236}">
                  <a16:creationId xmlns:a16="http://schemas.microsoft.com/office/drawing/2014/main" id="{BAD1A366-9CEF-151C-4B8A-E77D4708312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54176" y="2140832"/>
              <a:ext cx="84832" cy="83784"/>
            </a:xfrm>
            <a:prstGeom prst="rect">
              <a:avLst/>
            </a:prstGeom>
          </xdr:spPr>
        </xdr:pic>
        <xdr:pic>
          <xdr:nvPicPr>
            <xdr:cNvPr id="25" name="Graphic 24" descr="Coffee Beans with solid fill">
              <a:extLst>
                <a:ext uri="{FF2B5EF4-FFF2-40B4-BE49-F238E27FC236}">
                  <a16:creationId xmlns:a16="http://schemas.microsoft.com/office/drawing/2014/main" id="{82A07D23-900B-34E1-0369-DAAB0E2B00A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72035" y="2224617"/>
              <a:ext cx="84832" cy="83784"/>
            </a:xfrm>
            <a:prstGeom prst="rect">
              <a:avLst/>
            </a:prstGeom>
          </xdr:spPr>
        </xdr:pic>
        <xdr:pic>
          <xdr:nvPicPr>
            <xdr:cNvPr id="26" name="Graphic 25" descr="Coffee Beans with solid fill">
              <a:extLst>
                <a:ext uri="{FF2B5EF4-FFF2-40B4-BE49-F238E27FC236}">
                  <a16:creationId xmlns:a16="http://schemas.microsoft.com/office/drawing/2014/main" id="{4E2068D1-86EC-EF9A-0D40-647FD73700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98824" y="2290763"/>
              <a:ext cx="84832" cy="83784"/>
            </a:xfrm>
            <a:prstGeom prst="rect">
              <a:avLst/>
            </a:prstGeom>
          </xdr:spPr>
        </xdr:pic>
        <xdr:pic>
          <xdr:nvPicPr>
            <xdr:cNvPr id="27" name="Graphic 26" descr="Coffee Beans with solid fill">
              <a:extLst>
                <a:ext uri="{FF2B5EF4-FFF2-40B4-BE49-F238E27FC236}">
                  <a16:creationId xmlns:a16="http://schemas.microsoft.com/office/drawing/2014/main" id="{0CE14309-0BE9-253A-1010-BC1E8EEB53F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31851" y="1915936"/>
              <a:ext cx="84832" cy="83784"/>
            </a:xfrm>
            <a:prstGeom prst="rect">
              <a:avLst/>
            </a:prstGeom>
          </xdr:spPr>
        </xdr:pic>
      </xdr:grpSp>
      <xdr:pic>
        <xdr:nvPicPr>
          <xdr:cNvPr id="5" name="Graphic 4" descr="Coffee Beans with solid fill">
            <a:extLst>
              <a:ext uri="{FF2B5EF4-FFF2-40B4-BE49-F238E27FC236}">
                <a16:creationId xmlns:a16="http://schemas.microsoft.com/office/drawing/2014/main" id="{D90DA1B6-DC40-CE4C-B2FA-59E5322D43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29325" y="1762125"/>
            <a:ext cx="133350" cy="133350"/>
          </a:xfrm>
          <a:prstGeom prst="rect">
            <a:avLst/>
          </a:prstGeom>
        </xdr:spPr>
      </xdr:pic>
      <xdr:pic>
        <xdr:nvPicPr>
          <xdr:cNvPr id="6" name="Graphic 5" descr="Coffee Beans with solid fill">
            <a:extLst>
              <a:ext uri="{FF2B5EF4-FFF2-40B4-BE49-F238E27FC236}">
                <a16:creationId xmlns:a16="http://schemas.microsoft.com/office/drawing/2014/main" id="{60985D7E-ED6F-AE44-3C63-25E34455EF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00700" y="2105025"/>
            <a:ext cx="133350" cy="133350"/>
          </a:xfrm>
          <a:prstGeom prst="rect">
            <a:avLst/>
          </a:prstGeom>
        </xdr:spPr>
      </xdr:pic>
      <xdr:pic>
        <xdr:nvPicPr>
          <xdr:cNvPr id="7" name="Graphic 6" descr="Coffee Beans with solid fill">
            <a:extLst>
              <a:ext uri="{FF2B5EF4-FFF2-40B4-BE49-F238E27FC236}">
                <a16:creationId xmlns:a16="http://schemas.microsoft.com/office/drawing/2014/main" id="{19E4E0CB-10EE-1791-7579-8C0703A828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9370319">
            <a:off x="5791199" y="1943099"/>
            <a:ext cx="200025" cy="200025"/>
          </a:xfrm>
          <a:prstGeom prst="rect">
            <a:avLst/>
          </a:prstGeom>
        </xdr:spPr>
      </xdr:pic>
      <xdr:pic>
        <xdr:nvPicPr>
          <xdr:cNvPr id="8" name="Graphic 7" descr="Coffee Beans with solid fill">
            <a:extLst>
              <a:ext uri="{FF2B5EF4-FFF2-40B4-BE49-F238E27FC236}">
                <a16:creationId xmlns:a16="http://schemas.microsoft.com/office/drawing/2014/main" id="{10DA65B7-0ADA-0220-59F1-F2D694DABDC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29250" y="2076450"/>
            <a:ext cx="190500" cy="190500"/>
          </a:xfrm>
          <a:prstGeom prst="rect">
            <a:avLst/>
          </a:prstGeom>
        </xdr:spPr>
      </xdr:pic>
      <xdr:pic>
        <xdr:nvPicPr>
          <xdr:cNvPr id="9" name="Graphic 8" descr="Coffee Beans with solid fill">
            <a:extLst>
              <a:ext uri="{FF2B5EF4-FFF2-40B4-BE49-F238E27FC236}">
                <a16:creationId xmlns:a16="http://schemas.microsoft.com/office/drawing/2014/main" id="{1B3399DB-2489-169B-3559-87D088C906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81574" y="1914524"/>
            <a:ext cx="200025" cy="200025"/>
          </a:xfrm>
          <a:prstGeom prst="rect">
            <a:avLst/>
          </a:prstGeom>
        </xdr:spPr>
      </xdr:pic>
      <xdr:pic>
        <xdr:nvPicPr>
          <xdr:cNvPr id="10" name="Graphic 9" descr="Coffee Beans with solid fill">
            <a:extLst>
              <a:ext uri="{FF2B5EF4-FFF2-40B4-BE49-F238E27FC236}">
                <a16:creationId xmlns:a16="http://schemas.microsoft.com/office/drawing/2014/main" id="{0A921234-8472-4F56-CCA5-18E9F17942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5133974" y="2000249"/>
            <a:ext cx="180975" cy="180975"/>
          </a:xfrm>
          <a:prstGeom prst="rect">
            <a:avLst/>
          </a:prstGeom>
        </xdr:spPr>
      </xdr:pic>
      <xdr:pic>
        <xdr:nvPicPr>
          <xdr:cNvPr id="11" name="Graphic 10" descr="Coffee Beans with solid fill">
            <a:extLst>
              <a:ext uri="{FF2B5EF4-FFF2-40B4-BE49-F238E27FC236}">
                <a16:creationId xmlns:a16="http://schemas.microsoft.com/office/drawing/2014/main" id="{4B4FCF53-2CEA-32B8-CA89-FAEDBCEB67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V="1">
            <a:off x="5257800" y="2047874"/>
            <a:ext cx="200024" cy="200024"/>
          </a:xfrm>
          <a:prstGeom prst="rect">
            <a:avLst/>
          </a:prstGeom>
        </xdr:spPr>
      </xdr:pic>
      <xdr:pic>
        <xdr:nvPicPr>
          <xdr:cNvPr id="12" name="Graphic 11" descr="Coffee Beans with solid fill">
            <a:extLst>
              <a:ext uri="{FF2B5EF4-FFF2-40B4-BE49-F238E27FC236}">
                <a16:creationId xmlns:a16="http://schemas.microsoft.com/office/drawing/2014/main" id="{A3837448-4DB1-5F0E-6D9B-438FA404ADA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743574" y="2047874"/>
            <a:ext cx="142875" cy="142875"/>
          </a:xfrm>
          <a:prstGeom prst="rect">
            <a:avLst/>
          </a:prstGeom>
        </xdr:spPr>
      </xdr:pic>
      <xdr:pic>
        <xdr:nvPicPr>
          <xdr:cNvPr id="13" name="Graphic 12" descr="Coffee Beans with solid fill">
            <a:extLst>
              <a:ext uri="{FF2B5EF4-FFF2-40B4-BE49-F238E27FC236}">
                <a16:creationId xmlns:a16="http://schemas.microsoft.com/office/drawing/2014/main" id="{1C2B9349-951A-CC97-DCB3-82F38E4D597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724525" y="1866900"/>
            <a:ext cx="142875" cy="142875"/>
          </a:xfrm>
          <a:prstGeom prst="rect">
            <a:avLst/>
          </a:prstGeom>
        </xdr:spPr>
      </xdr:pic>
      <xdr:pic>
        <xdr:nvPicPr>
          <xdr:cNvPr id="14" name="Graphic 13" descr="Coffee Beans with solid fill">
            <a:extLst>
              <a:ext uri="{FF2B5EF4-FFF2-40B4-BE49-F238E27FC236}">
                <a16:creationId xmlns:a16="http://schemas.microsoft.com/office/drawing/2014/main" id="{51EDC24F-CCF6-91DF-445F-4AD86B87EEF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34000" y="1943100"/>
            <a:ext cx="142875" cy="142875"/>
          </a:xfrm>
          <a:prstGeom prst="rect">
            <a:avLst/>
          </a:prstGeom>
        </xdr:spPr>
      </xdr:pic>
      <xdr:pic>
        <xdr:nvPicPr>
          <xdr:cNvPr id="15" name="Graphic 14" descr="Coffee Beans with solid fill">
            <a:extLst>
              <a:ext uri="{FF2B5EF4-FFF2-40B4-BE49-F238E27FC236}">
                <a16:creationId xmlns:a16="http://schemas.microsoft.com/office/drawing/2014/main" id="{73B988AB-EC3F-1DC5-2D49-63DB307D14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953125" y="1914525"/>
            <a:ext cx="142875" cy="142875"/>
          </a:xfrm>
          <a:prstGeom prst="rect">
            <a:avLst/>
          </a:prstGeom>
        </xdr:spPr>
      </xdr:pic>
      <xdr:pic>
        <xdr:nvPicPr>
          <xdr:cNvPr id="16" name="Graphic 15" descr="Coffee Beans with solid fill">
            <a:extLst>
              <a:ext uri="{FF2B5EF4-FFF2-40B4-BE49-F238E27FC236}">
                <a16:creationId xmlns:a16="http://schemas.microsoft.com/office/drawing/2014/main" id="{4E89062C-7EC7-988F-284F-063CBE6F72D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95925" y="2000250"/>
            <a:ext cx="142875" cy="142875"/>
          </a:xfrm>
          <a:prstGeom prst="rect">
            <a:avLst/>
          </a:prstGeom>
        </xdr:spPr>
      </xdr:pic>
    </xdr:grpSp>
    <xdr:clientData/>
  </xdr:twoCellAnchor>
  <xdr:oneCellAnchor>
    <xdr:from>
      <xdr:col>2</xdr:col>
      <xdr:colOff>571500</xdr:colOff>
      <xdr:row>7</xdr:row>
      <xdr:rowOff>133350</xdr:rowOff>
    </xdr:from>
    <xdr:ext cx="914400" cy="914400"/>
    <xdr:pic>
      <xdr:nvPicPr>
        <xdr:cNvPr id="30" name="Graphic 29" descr="Delivery outline">
          <a:extLst>
            <a:ext uri="{FF2B5EF4-FFF2-40B4-BE49-F238E27FC236}">
              <a16:creationId xmlns:a16="http://schemas.microsoft.com/office/drawing/2014/main" id="{F33CF84E-523D-4C06-A871-1186CA25B18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90700" y="1466850"/>
          <a:ext cx="914400" cy="914400"/>
        </a:xfrm>
        <a:prstGeom prst="rect">
          <a:avLst/>
        </a:prstGeom>
      </xdr:spPr>
    </xdr:pic>
    <xdr:clientData/>
  </xdr:oneCellAnchor>
  <xdr:oneCellAnchor>
    <xdr:from>
      <xdr:col>5</xdr:col>
      <xdr:colOff>207150</xdr:colOff>
      <xdr:row>8</xdr:row>
      <xdr:rowOff>92850</xdr:rowOff>
    </xdr:from>
    <xdr:ext cx="914400" cy="914400"/>
    <xdr:pic>
      <xdr:nvPicPr>
        <xdr:cNvPr id="31" name="Graphic 30" descr="Box outline">
          <a:extLst>
            <a:ext uri="{FF2B5EF4-FFF2-40B4-BE49-F238E27FC236}">
              <a16:creationId xmlns:a16="http://schemas.microsoft.com/office/drawing/2014/main" id="{9138E2B1-2606-4C3F-85E4-6E667711755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255150" y="1616850"/>
          <a:ext cx="914400" cy="914400"/>
        </a:xfrm>
        <a:prstGeom prst="rect">
          <a:avLst/>
        </a:prstGeom>
      </xdr:spPr>
    </xdr:pic>
    <xdr:clientData/>
  </xdr:oneCellAnchor>
  <xdr:oneCellAnchor>
    <xdr:from>
      <xdr:col>4</xdr:col>
      <xdr:colOff>0</xdr:colOff>
      <xdr:row>12</xdr:row>
      <xdr:rowOff>0</xdr:rowOff>
    </xdr:from>
    <xdr:ext cx="914400" cy="914400"/>
    <xdr:pic>
      <xdr:nvPicPr>
        <xdr:cNvPr id="32" name="Graphic 31" descr="Bar chart outline">
          <a:extLst>
            <a:ext uri="{FF2B5EF4-FFF2-40B4-BE49-F238E27FC236}">
              <a16:creationId xmlns:a16="http://schemas.microsoft.com/office/drawing/2014/main" id="{2E05B393-1843-44D9-928E-63C88369E7F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438400" y="2286000"/>
          <a:ext cx="914400" cy="914400"/>
        </a:xfrm>
        <a:prstGeom prst="rect">
          <a:avLst/>
        </a:prstGeom>
      </xdr:spPr>
    </xdr:pic>
    <xdr:clientData/>
  </xdr:oneCellAnchor>
  <xdr:oneCellAnchor>
    <xdr:from>
      <xdr:col>7</xdr:col>
      <xdr:colOff>76199</xdr:colOff>
      <xdr:row>16</xdr:row>
      <xdr:rowOff>142874</xdr:rowOff>
    </xdr:from>
    <xdr:ext cx="350025" cy="350025"/>
    <xdr:pic>
      <xdr:nvPicPr>
        <xdr:cNvPr id="33" name="Graphic 32" descr="Register with solid fill">
          <a:extLst>
            <a:ext uri="{FF2B5EF4-FFF2-40B4-BE49-F238E27FC236}">
              <a16:creationId xmlns:a16="http://schemas.microsoft.com/office/drawing/2014/main" id="{323564C4-C002-4FD9-9EF2-2DE16275273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343399" y="3190874"/>
          <a:ext cx="350025" cy="3500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116417</xdr:colOff>
      <xdr:row>5</xdr:row>
      <xdr:rowOff>95250</xdr:rowOff>
    </xdr:from>
    <xdr:to>
      <xdr:col>23</xdr:col>
      <xdr:colOff>31750</xdr:colOff>
      <xdr:row>5</xdr:row>
      <xdr:rowOff>105833</xdr:rowOff>
    </xdr:to>
    <xdr:cxnSp macro="">
      <xdr:nvCxnSpPr>
        <xdr:cNvPr id="2" name="Straight Connector 1">
          <a:extLst>
            <a:ext uri="{FF2B5EF4-FFF2-40B4-BE49-F238E27FC236}">
              <a16:creationId xmlns:a16="http://schemas.microsoft.com/office/drawing/2014/main" id="{221EF133-5ACD-4B95-A0CE-8FA4420DF4C0}"/>
            </a:ext>
          </a:extLst>
        </xdr:cNvPr>
        <xdr:cNvCxnSpPr/>
      </xdr:nvCxnSpPr>
      <xdr:spPr>
        <a:xfrm>
          <a:off x="116417" y="1047750"/>
          <a:ext cx="13936133"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refreshedDate="45456.880213773147" createdVersion="8" refreshedVersion="8" minRefreshableVersion="3" recordCount="1000" xr:uid="{E0DE6A44-730A-4B90-A21E-4B8FE5357446}">
  <cacheSource type="worksheet">
    <worksheetSource name="Table1"/>
  </cacheSource>
  <cacheFields count="24">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2"/>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Coffee fullname" numFmtId="0">
      <sharedItems count="4">
        <s v="Robusta"/>
        <s v="Excelsa"/>
        <s v="Arabica"/>
        <s v="Liberica"/>
      </sharedItems>
    </cacheField>
    <cacheField name="Roast Type" numFmtId="0">
      <sharedItems count="3">
        <s v="M"/>
        <s v="L"/>
        <s v="D"/>
      </sharedItems>
    </cacheField>
    <cacheField name="Roast Type Fullname"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Cost Price" numFmtId="0">
      <sharedItems containsSemiMixedTypes="0" containsString="0" containsNumber="1" minValue="2.5238999999999998" maxValue="31.71585"/>
    </cacheField>
    <cacheField name="Sales" numFmtId="0">
      <sharedItems containsSemiMixedTypes="0" containsString="0" containsNumber="1" minValue="2.6849999999999996" maxValue="218.73"/>
    </cacheField>
    <cacheField name="COGs" numFmtId="0">
      <sharedItems containsSemiMixedTypes="0" containsString="0" containsNumber="1" minValue="2.5238999999999998" maxValue="190.29509999999999"/>
    </cacheField>
    <cacheField name="Profit" numFmtId="0">
      <sharedItems containsSemiMixedTypes="0" containsString="0" containsNumber="1" minValue="0.1610999999999998" maxValue="28.434899999999999"/>
    </cacheField>
    <cacheField name="Gross Profit" numFmtId="9">
      <sharedItems containsSemiMixedTypes="0" containsString="0" containsNumber="1" minValue="5.9999999999999894E-2" maxValue="0.1300000000000002"/>
    </cacheField>
    <cacheField name="Loyalty Card" numFmtId="0">
      <sharedItems count="2">
        <s v="Yes"/>
        <s v="No"/>
      </sharedItems>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Quarters (Order Date)" numFmtId="0" databaseField="0">
      <fieldGroup base="1">
        <rangePr groupBy="quarters" startDate="2019-01-02T00:00:00" endDate="2022-08-20T00:00:00"/>
        <groupItems count="6">
          <s v="&lt;01/02/2019"/>
          <s v="Qtr1"/>
          <s v="Qtr2"/>
          <s v="Qtr3"/>
          <s v="Qtr4"/>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 name="profit margin" numFmtId="0" formula=" (Profit/Sales)*100" databaseField="0"/>
  </cacheFields>
  <extLst>
    <ext xmlns:x14="http://schemas.microsoft.com/office/spreadsheetml/2009/9/main" uri="{725AE2AE-9491-48be-B2B4-4EB974FC3084}">
      <x14:pivotCacheDefinition pivotCacheId="8575500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EEP" refreshedDate="45469.481165046294" createdVersion="5" refreshedVersion="8" minRefreshableVersion="3" recordCount="0" supportSubquery="1" supportAdvancedDrill="1" xr:uid="{51CC7E3E-150B-433F-BFEE-91954BFC11F1}">
  <cacheSource type="external" connectionId="1"/>
  <cacheFields count="3">
    <cacheField name="[Table1].[Coffee fullname].[Coffee fullname]" caption="Coffee fullname" numFmtId="0" hierarchy="9" level="1">
      <sharedItems count="4">
        <s v="Arabica"/>
        <s v="Excelsa"/>
        <s v="Liberica"/>
        <s v="Robusta"/>
      </sharedItems>
    </cacheField>
    <cacheField name="[Measures].[measure 1KPI]" caption="measure 1KPI" numFmtId="0" hierarchy="22" level="32767"/>
    <cacheField name="[Measures].[_measure 1KPI Status]" caption="_measure 1KPI Status" numFmtId="0" hierarchy="26" level="32767"/>
  </cacheFields>
  <cacheHierarchies count="27">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Email]" caption="Email" attribute="1" defaultMemberUniqueName="[Table1].[Email].[All]" allUniqueName="[Table1].[Email].[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2" memberValueDatatype="130" unbalanced="0"/>
    <cacheHierarchy uniqueName="[Table1].[Coffee fullname]" caption="Coffee fullname" attribute="1" defaultMemberUniqueName="[Table1].[Coffee fullname].[All]" allUniqueName="[Table1].[Coffee fullname].[All]" dimensionUniqueName="[Table1]" displayFolder="" count="2" memberValueDatatype="130" unbalanced="0">
      <fieldsUsage count="2">
        <fieldUsage x="-1"/>
        <fieldUsage x="0"/>
      </fieldsUsage>
    </cacheHierarchy>
    <cacheHierarchy uniqueName="[Table1].[Roast Type]" caption="Roast Type" attribute="1" defaultMemberUniqueName="[Table1].[Roast Type].[All]" allUniqueName="[Table1].[Roast Type].[All]" dimensionUniqueName="[Table1]" displayFolder="" count="2" memberValueDatatype="130" unbalanced="0"/>
    <cacheHierarchy uniqueName="[Table1].[Roast Type Fullname]" caption="Roast Type Fullname" attribute="1" defaultMemberUniqueName="[Table1].[Roast Type Fullname].[All]" allUniqueName="[Table1].[Roast Type Fullname].[All]" dimensionUniqueName="[Table1]" displayFolder="" count="2"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Cost Price]" caption="Cost Price" attribute="1" defaultMemberUniqueName="[Table1].[Cost Price].[All]" allUniqueName="[Table1].[Cost Price].[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COGs]" caption="COGs" attribute="1" defaultMemberUniqueName="[Table1].[COGs].[All]" allUniqueName="[Table1].[COGs].[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Table1].[Gross Profit]" caption="Gross Profit" attribute="1" defaultMemberUniqueName="[Table1].[Gross Profit].[All]" allUniqueName="[Table1].[Gross Profit].[All]" dimensionUniqueName="[Table1]" displayFolder="" count="2" memberValueDatatype="5" unbalanced="0"/>
    <cacheHierarchy uniqueName="[Table1].[Loyalty Card]" caption="Loyalty Card" attribute="1" defaultMemberUniqueName="[Table1].[Loyalty Card].[All]" allUniqueName="[Table1].[Loyalty Card].[All]" dimensionUniqueName="[Table1]" displayFolder="" count="2" memberValueDatatype="130" unbalanced="0"/>
    <cacheHierarchy uniqueName="[Measures].[Sum of Sales]" caption="Sum of Sales" measure="1" displayFolder="" measureGroup="Table1"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7"/>
        </ext>
      </extLst>
    </cacheHierarchy>
    <cacheHierarchy uniqueName="[Measures].[measure 1KPI]" caption="measure 1KPI"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measure 1KPI Goal]" caption="_measure 1KPI Goal" measure="1" displayFolder="" measureGroup="Table1" count="0" hidden="1"/>
    <cacheHierarchy uniqueName="[Measures].[_measure 1KPI Status]" caption="_measure 1KPI Status" measure="1" iconSet="6" displayFolder="" measureGroup="Table1" count="0" oneField="1" hidden="1">
      <fieldsUsage count="1">
        <fieldUsage x="2"/>
      </fieldsUsage>
    </cacheHierarchy>
  </cacheHierarchies>
  <kpis count="1">
    <kpi uniqueName="measure 1KPI" caption="measure 1KPI" displayFolder="" measureGroup="Table1" parent="" value="[Measures].[measure 1KPI]" goal="[Measures].[_measure 1KPI Goal]" status="[Measures].[_measure 1KPI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x v="0"/>
    <x v="0"/>
    <x v="0"/>
    <x v="0"/>
    <n v="9.9499999999999993"/>
    <n v="9.3529999999999998"/>
    <n v="19.899999999999999"/>
    <n v="18.706"/>
    <n v="1.1939999999999991"/>
    <n v="5.9999999999999956E-2"/>
    <x v="0"/>
  </r>
  <r>
    <s v="QEV-37451-860"/>
    <x v="0"/>
    <s v="17670-51384-MA"/>
    <s v="E-M-0.5"/>
    <n v="5"/>
    <s v="Aloisia Allner"/>
    <s v="aallner0@lulu.com"/>
    <x v="0"/>
    <x v="1"/>
    <x v="1"/>
    <x v="0"/>
    <x v="0"/>
    <x v="1"/>
    <n v="8.25"/>
    <n v="7.3425000000000002"/>
    <n v="41.25"/>
    <n v="36.712499999999999"/>
    <n v="4.5375000000000014"/>
    <n v="0.11000000000000003"/>
    <x v="0"/>
  </r>
  <r>
    <s v="FAA-43335-268"/>
    <x v="1"/>
    <s v="21125-22134-PX"/>
    <s v="A-L-1"/>
    <n v="1"/>
    <s v="Jami Redholes"/>
    <s v="jredholes2@tmall.com"/>
    <x v="0"/>
    <x v="2"/>
    <x v="2"/>
    <x v="1"/>
    <x v="1"/>
    <x v="0"/>
    <n v="12.95"/>
    <n v="11.7845"/>
    <n v="12.95"/>
    <n v="11.7845"/>
    <n v="1.1654999999999998"/>
    <n v="8.9999999999999983E-2"/>
    <x v="0"/>
  </r>
  <r>
    <s v="KAC-83089-793"/>
    <x v="2"/>
    <s v="23806-46781-OU"/>
    <s v="E-M-1"/>
    <n v="2"/>
    <s v="Christoffer O' Shea"/>
    <s v="-"/>
    <x v="1"/>
    <x v="1"/>
    <x v="1"/>
    <x v="0"/>
    <x v="0"/>
    <x v="0"/>
    <n v="13.75"/>
    <n v="12.237500000000001"/>
    <n v="27.5"/>
    <n v="24.475000000000001"/>
    <n v="3.0249999999999986"/>
    <n v="0.10999999999999995"/>
    <x v="1"/>
  </r>
  <r>
    <s v="KAC-83089-793"/>
    <x v="2"/>
    <s v="23806-46781-OU"/>
    <s v="R-L-2.5"/>
    <n v="2"/>
    <s v="Christoffer O' Shea"/>
    <s v="-"/>
    <x v="1"/>
    <x v="0"/>
    <x v="0"/>
    <x v="1"/>
    <x v="1"/>
    <x v="2"/>
    <n v="27.484999999999996"/>
    <n v="25.835899999999995"/>
    <n v="54.969999999999992"/>
    <n v="51.67179999999999"/>
    <n v="3.2982000000000014"/>
    <n v="6.0000000000000032E-2"/>
    <x v="1"/>
  </r>
  <r>
    <s v="CVP-18956-553"/>
    <x v="3"/>
    <s v="86561-91660-RB"/>
    <s v="L-D-1"/>
    <n v="3"/>
    <s v="Beryle Cottier"/>
    <s v="-"/>
    <x v="0"/>
    <x v="3"/>
    <x v="3"/>
    <x v="2"/>
    <x v="2"/>
    <x v="0"/>
    <n v="12.95"/>
    <n v="11.266499999999999"/>
    <n v="38.849999999999994"/>
    <n v="33.799499999999995"/>
    <n v="5.0504999999999995"/>
    <n v="0.13"/>
    <x v="1"/>
  </r>
  <r>
    <s v="IPP-31994-879"/>
    <x v="4"/>
    <s v="65223-29612-CB"/>
    <s v="E-D-0.5"/>
    <n v="3"/>
    <s v="Shaylynn Lobe"/>
    <s v="slobe6@nifty.com"/>
    <x v="0"/>
    <x v="1"/>
    <x v="1"/>
    <x v="2"/>
    <x v="2"/>
    <x v="1"/>
    <n v="7.29"/>
    <n v="6.4881000000000002"/>
    <n v="21.87"/>
    <n v="19.464300000000001"/>
    <n v="2.4056999999999995"/>
    <n v="0.10999999999999997"/>
    <x v="0"/>
  </r>
  <r>
    <s v="SNZ-65340-705"/>
    <x v="5"/>
    <s v="21134-81676-FR"/>
    <s v="L-L-0.2"/>
    <n v="1"/>
    <s v="Melvin Wharfe"/>
    <s v="-"/>
    <x v="1"/>
    <x v="3"/>
    <x v="3"/>
    <x v="1"/>
    <x v="1"/>
    <x v="3"/>
    <n v="4.7549999999999999"/>
    <n v="4.1368499999999999"/>
    <n v="4.7549999999999999"/>
    <n v="4.1368499999999999"/>
    <n v="0.61814999999999998"/>
    <n v="0.13"/>
    <x v="0"/>
  </r>
  <r>
    <s v="EZT-46571-659"/>
    <x v="6"/>
    <s v="03396-68805-ZC"/>
    <s v="R-M-0.5"/>
    <n v="3"/>
    <s v="Guthrey Petracci"/>
    <s v="gpetracci8@livejournal.com"/>
    <x v="0"/>
    <x v="0"/>
    <x v="0"/>
    <x v="0"/>
    <x v="0"/>
    <x v="1"/>
    <n v="5.97"/>
    <n v="5.6117999999999997"/>
    <n v="17.91"/>
    <n v="16.8354"/>
    <n v="1.0746000000000002"/>
    <n v="6.0000000000000012E-2"/>
    <x v="1"/>
  </r>
  <r>
    <s v="NWQ-70061-912"/>
    <x v="0"/>
    <s v="61021-27840-ZN"/>
    <s v="R-M-0.5"/>
    <n v="1"/>
    <s v="Rodger Raven"/>
    <s v="rraven9@ed.gov"/>
    <x v="0"/>
    <x v="0"/>
    <x v="0"/>
    <x v="0"/>
    <x v="0"/>
    <x v="1"/>
    <n v="5.97"/>
    <n v="5.6117999999999997"/>
    <n v="5.97"/>
    <n v="5.6117999999999997"/>
    <n v="0.35820000000000007"/>
    <n v="6.0000000000000012E-2"/>
    <x v="1"/>
  </r>
  <r>
    <s v="BKK-47233-845"/>
    <x v="7"/>
    <s v="76239-90137-UQ"/>
    <s v="A-D-1"/>
    <n v="4"/>
    <s v="Ferrell Ferber"/>
    <s v="fferbera@businesswire.com"/>
    <x v="0"/>
    <x v="2"/>
    <x v="2"/>
    <x v="2"/>
    <x v="2"/>
    <x v="0"/>
    <n v="9.9499999999999993"/>
    <n v="9.0544999999999991"/>
    <n v="39.799999999999997"/>
    <n v="36.217999999999996"/>
    <n v="3.5820000000000007"/>
    <n v="9.0000000000000024E-2"/>
    <x v="1"/>
  </r>
  <r>
    <s v="VQR-01002-970"/>
    <x v="8"/>
    <s v="49315-21985-BB"/>
    <s v="E-L-2.5"/>
    <n v="5"/>
    <s v="Duky Phizackerly"/>
    <s v="dphizackerlyb@utexas.edu"/>
    <x v="0"/>
    <x v="1"/>
    <x v="1"/>
    <x v="1"/>
    <x v="1"/>
    <x v="2"/>
    <n v="34.154999999999994"/>
    <n v="30.397949999999994"/>
    <n v="170.77499999999998"/>
    <n v="151.98974999999996"/>
    <n v="18.785250000000019"/>
    <n v="0.11000000000000013"/>
    <x v="0"/>
  </r>
  <r>
    <s v="SZW-48378-399"/>
    <x v="9"/>
    <s v="34136-36674-OM"/>
    <s v="R-M-1"/>
    <n v="5"/>
    <s v="Rosaleen Scholar"/>
    <s v="rscholarc@nyu.edu"/>
    <x v="0"/>
    <x v="0"/>
    <x v="0"/>
    <x v="0"/>
    <x v="0"/>
    <x v="0"/>
    <n v="9.9499999999999993"/>
    <n v="9.3529999999999998"/>
    <n v="49.75"/>
    <n v="46.765000000000001"/>
    <n v="2.9849999999999994"/>
    <n v="5.9999999999999991E-2"/>
    <x v="1"/>
  </r>
  <r>
    <s v="ITA-87418-783"/>
    <x v="10"/>
    <s v="39396-12890-PE"/>
    <s v="R-D-2.5"/>
    <n v="2"/>
    <s v="Terence Vanyutin"/>
    <s v="tvanyutind@wix.com"/>
    <x v="0"/>
    <x v="0"/>
    <x v="0"/>
    <x v="2"/>
    <x v="2"/>
    <x v="2"/>
    <n v="20.584999999999997"/>
    <n v="19.349899999999998"/>
    <n v="41.169999999999995"/>
    <n v="38.699799999999996"/>
    <n v="2.4701999999999984"/>
    <n v="5.999999999999997E-2"/>
    <x v="1"/>
  </r>
  <r>
    <s v="GNZ-46006-527"/>
    <x v="11"/>
    <s v="95875-73336-RG"/>
    <s v="L-D-0.2"/>
    <n v="3"/>
    <s v="Patrice Trobe"/>
    <s v="ptrobee@wunderground.com"/>
    <x v="0"/>
    <x v="3"/>
    <x v="3"/>
    <x v="2"/>
    <x v="2"/>
    <x v="3"/>
    <n v="3.8849999999999998"/>
    <n v="3.37995"/>
    <n v="11.654999999999999"/>
    <n v="10.139849999999999"/>
    <n v="1.5151500000000002"/>
    <n v="0.13000000000000003"/>
    <x v="0"/>
  </r>
  <r>
    <s v="FYQ-78248-319"/>
    <x v="12"/>
    <s v="25473-43727-BY"/>
    <s v="R-M-2.5"/>
    <n v="5"/>
    <s v="Llywellyn Oscroft"/>
    <s v="loscroftf@ebay.co.uk"/>
    <x v="0"/>
    <x v="0"/>
    <x v="0"/>
    <x v="0"/>
    <x v="0"/>
    <x v="2"/>
    <n v="22.884999999999998"/>
    <n v="21.511899999999997"/>
    <n v="114.42499999999998"/>
    <n v="107.55949999999999"/>
    <n v="6.8654999999999973"/>
    <n v="5.9999999999999984E-2"/>
    <x v="1"/>
  </r>
  <r>
    <s v="VAU-44387-624"/>
    <x v="13"/>
    <s v="99643-51048-IQ"/>
    <s v="A-M-0.2"/>
    <n v="6"/>
    <s v="Minni Alabaster"/>
    <s v="malabasterg@hexun.com"/>
    <x v="0"/>
    <x v="2"/>
    <x v="2"/>
    <x v="0"/>
    <x v="0"/>
    <x v="3"/>
    <n v="3.375"/>
    <n v="3.07125"/>
    <n v="20.25"/>
    <n v="18.427500000000002"/>
    <n v="1.822499999999998"/>
    <n v="8.99999999999999E-2"/>
    <x v="1"/>
  </r>
  <r>
    <s v="RDW-33155-159"/>
    <x v="14"/>
    <s v="62173-15287-CU"/>
    <s v="A-L-1"/>
    <n v="6"/>
    <s v="Rhianon Broxup"/>
    <s v="rbroxuph@jimdo.com"/>
    <x v="0"/>
    <x v="2"/>
    <x v="2"/>
    <x v="1"/>
    <x v="1"/>
    <x v="0"/>
    <n v="12.95"/>
    <n v="11.7845"/>
    <n v="77.699999999999989"/>
    <n v="70.706999999999994"/>
    <n v="6.992999999999995"/>
    <n v="8.9999999999999955E-2"/>
    <x v="1"/>
  </r>
  <r>
    <s v="TDZ-59011-211"/>
    <x v="15"/>
    <s v="57611-05522-ST"/>
    <s v="R-D-2.5"/>
    <n v="4"/>
    <s v="Pall Redford"/>
    <s v="predfordi@ow.ly"/>
    <x v="1"/>
    <x v="0"/>
    <x v="0"/>
    <x v="2"/>
    <x v="2"/>
    <x v="2"/>
    <n v="20.584999999999997"/>
    <n v="19.349899999999998"/>
    <n v="82.339999999999989"/>
    <n v="77.399599999999992"/>
    <n v="4.9403999999999968"/>
    <n v="5.999999999999997E-2"/>
    <x v="0"/>
  </r>
  <r>
    <s v="IDU-25793-399"/>
    <x v="16"/>
    <s v="76664-37050-DT"/>
    <s v="A-M-0.2"/>
    <n v="5"/>
    <s v="Aurea Corradino"/>
    <s v="acorradinoj@harvard.edu"/>
    <x v="0"/>
    <x v="2"/>
    <x v="2"/>
    <x v="0"/>
    <x v="0"/>
    <x v="3"/>
    <n v="3.375"/>
    <n v="3.07125"/>
    <n v="16.875"/>
    <n v="15.356249999999999"/>
    <n v="1.5187500000000007"/>
    <n v="9.0000000000000038E-2"/>
    <x v="0"/>
  </r>
  <r>
    <s v="IDU-25793-399"/>
    <x v="16"/>
    <s v="76664-37050-DT"/>
    <s v="E-D-0.2"/>
    <n v="4"/>
    <s v="Aurea Corradino"/>
    <s v="acorradinoj@harvard.edu"/>
    <x v="0"/>
    <x v="1"/>
    <x v="1"/>
    <x v="2"/>
    <x v="2"/>
    <x v="3"/>
    <n v="3.645"/>
    <n v="3.2440500000000001"/>
    <n v="14.58"/>
    <n v="12.9762"/>
    <n v="1.6037999999999997"/>
    <n v="0.10999999999999997"/>
    <x v="0"/>
  </r>
  <r>
    <s v="NUO-20013-488"/>
    <x v="16"/>
    <s v="03090-88267-BQ"/>
    <s v="A-D-0.2"/>
    <n v="6"/>
    <s v="Avrit Davidowsky"/>
    <s v="adavidowskyl@netvibes.com"/>
    <x v="0"/>
    <x v="2"/>
    <x v="2"/>
    <x v="2"/>
    <x v="2"/>
    <x v="3"/>
    <n v="2.9849999999999999"/>
    <n v="2.7163499999999998"/>
    <n v="17.91"/>
    <n v="16.298099999999998"/>
    <n v="1.6119000000000021"/>
    <n v="9.0000000000000122E-2"/>
    <x v="1"/>
  </r>
  <r>
    <s v="UQU-65630-479"/>
    <x v="17"/>
    <s v="37651-47492-NC"/>
    <s v="R-M-2.5"/>
    <n v="4"/>
    <s v="Annabel Antuk"/>
    <s v="aantukm@kickstarter.com"/>
    <x v="0"/>
    <x v="0"/>
    <x v="0"/>
    <x v="0"/>
    <x v="0"/>
    <x v="2"/>
    <n v="22.884999999999998"/>
    <n v="21.511899999999997"/>
    <n v="91.539999999999992"/>
    <n v="86.047599999999989"/>
    <n v="5.4924000000000035"/>
    <n v="6.0000000000000046E-2"/>
    <x v="0"/>
  </r>
  <r>
    <s v="FEO-11834-332"/>
    <x v="18"/>
    <s v="95399-57205-HI"/>
    <s v="A-D-0.2"/>
    <n v="4"/>
    <s v="Iorgo Kleinert"/>
    <s v="ikleinertn@timesonline.co.uk"/>
    <x v="0"/>
    <x v="2"/>
    <x v="2"/>
    <x v="2"/>
    <x v="2"/>
    <x v="3"/>
    <n v="2.9849999999999999"/>
    <n v="2.7163499999999998"/>
    <n v="11.94"/>
    <n v="10.865399999999999"/>
    <n v="1.0746000000000002"/>
    <n v="9.0000000000000024E-2"/>
    <x v="0"/>
  </r>
  <r>
    <s v="TKY-71558-096"/>
    <x v="19"/>
    <s v="24010-66714-HW"/>
    <s v="A-M-1"/>
    <n v="1"/>
    <s v="Chrisy Blofeld"/>
    <s v="cblofeldo@amazon.co.uk"/>
    <x v="0"/>
    <x v="2"/>
    <x v="2"/>
    <x v="0"/>
    <x v="0"/>
    <x v="0"/>
    <n v="11.25"/>
    <n v="10.237500000000001"/>
    <n v="11.25"/>
    <n v="10.237500000000001"/>
    <n v="1.0124999999999993"/>
    <n v="8.9999999999999941E-2"/>
    <x v="1"/>
  </r>
  <r>
    <s v="OXY-65322-253"/>
    <x v="20"/>
    <s v="07591-92789-UA"/>
    <s v="E-M-0.2"/>
    <n v="3"/>
    <s v="Culley Farris"/>
    <s v="-"/>
    <x v="0"/>
    <x v="1"/>
    <x v="1"/>
    <x v="0"/>
    <x v="0"/>
    <x v="3"/>
    <n v="4.125"/>
    <n v="3.6712500000000001"/>
    <n v="12.375"/>
    <n v="11.01375"/>
    <n v="1.3612500000000001"/>
    <n v="0.11"/>
    <x v="0"/>
  </r>
  <r>
    <s v="EVP-43500-491"/>
    <x v="21"/>
    <s v="49231-44455-IC"/>
    <s v="A-M-0.5"/>
    <n v="4"/>
    <s v="Selene Shales"/>
    <s v="sshalesq@umich.edu"/>
    <x v="0"/>
    <x v="2"/>
    <x v="2"/>
    <x v="0"/>
    <x v="0"/>
    <x v="1"/>
    <n v="6.75"/>
    <n v="6.1425000000000001"/>
    <n v="27"/>
    <n v="24.57"/>
    <n v="2.4299999999999997"/>
    <n v="8.9999999999999983E-2"/>
    <x v="0"/>
  </r>
  <r>
    <s v="WAG-26945-689"/>
    <x v="22"/>
    <s v="50124-88608-EO"/>
    <s v="A-M-0.2"/>
    <n v="5"/>
    <s v="Vivie Danneil"/>
    <s v="vdanneilr@mtv.com"/>
    <x v="1"/>
    <x v="2"/>
    <x v="2"/>
    <x v="0"/>
    <x v="0"/>
    <x v="3"/>
    <n v="3.375"/>
    <n v="3.07125"/>
    <n v="16.875"/>
    <n v="15.356249999999999"/>
    <n v="1.5187500000000007"/>
    <n v="9.0000000000000038E-2"/>
    <x v="1"/>
  </r>
  <r>
    <s v="CHE-78995-767"/>
    <x v="23"/>
    <s v="00888-74814-UZ"/>
    <s v="A-D-0.5"/>
    <n v="3"/>
    <s v="Theresita Newbury"/>
    <s v="tnewburys@usda.gov"/>
    <x v="1"/>
    <x v="2"/>
    <x v="2"/>
    <x v="2"/>
    <x v="2"/>
    <x v="1"/>
    <n v="5.97"/>
    <n v="5.4326999999999996"/>
    <n v="17.91"/>
    <n v="16.298099999999998"/>
    <n v="1.6119000000000021"/>
    <n v="9.0000000000000122E-2"/>
    <x v="1"/>
  </r>
  <r>
    <s v="RYZ-14633-602"/>
    <x v="21"/>
    <s v="14158-30713-OB"/>
    <s v="A-D-1"/>
    <n v="4"/>
    <s v="Mozelle Calcutt"/>
    <s v="mcalcuttt@baidu.com"/>
    <x v="1"/>
    <x v="2"/>
    <x v="2"/>
    <x v="2"/>
    <x v="2"/>
    <x v="0"/>
    <n v="9.9499999999999993"/>
    <n v="9.0544999999999991"/>
    <n v="39.799999999999997"/>
    <n v="36.217999999999996"/>
    <n v="3.5820000000000007"/>
    <n v="9.0000000000000024E-2"/>
    <x v="0"/>
  </r>
  <r>
    <s v="WOQ-36015-429"/>
    <x v="24"/>
    <s v="51427-89175-QJ"/>
    <s v="L-M-0.2"/>
    <n v="5"/>
    <s v="Adrian Swaine"/>
    <s v="-"/>
    <x v="0"/>
    <x v="3"/>
    <x v="3"/>
    <x v="0"/>
    <x v="0"/>
    <x v="3"/>
    <n v="4.3650000000000002"/>
    <n v="3.7975500000000002"/>
    <n v="21.825000000000003"/>
    <n v="18.987750000000002"/>
    <n v="2.8372500000000009"/>
    <n v="0.13000000000000003"/>
    <x v="1"/>
  </r>
  <r>
    <s v="WOQ-36015-429"/>
    <x v="24"/>
    <s v="51427-89175-QJ"/>
    <s v="A-D-0.5"/>
    <n v="6"/>
    <s v="Adrian Swaine"/>
    <s v="-"/>
    <x v="0"/>
    <x v="2"/>
    <x v="2"/>
    <x v="2"/>
    <x v="2"/>
    <x v="1"/>
    <n v="5.97"/>
    <n v="5.4326999999999996"/>
    <n v="35.82"/>
    <n v="32.596199999999996"/>
    <n v="3.2238000000000042"/>
    <n v="9.0000000000000122E-2"/>
    <x v="1"/>
  </r>
  <r>
    <s v="WOQ-36015-429"/>
    <x v="24"/>
    <s v="51427-89175-QJ"/>
    <s v="L-M-0.5"/>
    <n v="6"/>
    <s v="Adrian Swaine"/>
    <s v="-"/>
    <x v="0"/>
    <x v="3"/>
    <x v="3"/>
    <x v="0"/>
    <x v="0"/>
    <x v="1"/>
    <n v="8.73"/>
    <n v="7.5951000000000004"/>
    <n v="52.38"/>
    <n v="45.570599999999999"/>
    <n v="6.8094000000000037"/>
    <n v="0.13000000000000006"/>
    <x v="1"/>
  </r>
  <r>
    <s v="SCT-60553-454"/>
    <x v="25"/>
    <s v="39123-12846-YJ"/>
    <s v="L-L-0.2"/>
    <n v="5"/>
    <s v="Gallard Gatheral"/>
    <s v="ggatheralx@123-reg.co.uk"/>
    <x v="0"/>
    <x v="3"/>
    <x v="3"/>
    <x v="1"/>
    <x v="1"/>
    <x v="3"/>
    <n v="4.7549999999999999"/>
    <n v="4.1368499999999999"/>
    <n v="23.774999999999999"/>
    <n v="20.684249999999999"/>
    <n v="3.0907499999999999"/>
    <n v="0.13"/>
    <x v="1"/>
  </r>
  <r>
    <s v="GFK-52063-244"/>
    <x v="26"/>
    <s v="44981-99666-XB"/>
    <s v="L-L-0.5"/>
    <n v="6"/>
    <s v="Una Welberry"/>
    <s v="uwelberryy@ebay.co.uk"/>
    <x v="2"/>
    <x v="3"/>
    <x v="3"/>
    <x v="1"/>
    <x v="1"/>
    <x v="1"/>
    <n v="9.51"/>
    <n v="8.2736999999999998"/>
    <n v="57.06"/>
    <n v="49.642200000000003"/>
    <n v="7.4177999999999997"/>
    <n v="0.12999999999999998"/>
    <x v="0"/>
  </r>
  <r>
    <s v="AMM-79521-378"/>
    <x v="27"/>
    <s v="24825-51803-CQ"/>
    <s v="A-D-0.5"/>
    <n v="6"/>
    <s v="Faber Eilhart"/>
    <s v="feilhartz@who.int"/>
    <x v="0"/>
    <x v="2"/>
    <x v="2"/>
    <x v="2"/>
    <x v="2"/>
    <x v="1"/>
    <n v="5.97"/>
    <n v="5.4326999999999996"/>
    <n v="35.82"/>
    <n v="32.596199999999996"/>
    <n v="3.2238000000000042"/>
    <n v="9.0000000000000122E-2"/>
    <x v="1"/>
  </r>
  <r>
    <s v="QUQ-90580-772"/>
    <x v="28"/>
    <s v="77634-13918-GJ"/>
    <s v="L-M-0.2"/>
    <n v="2"/>
    <s v="Zorina Ponting"/>
    <s v="zponting10@altervista.org"/>
    <x v="0"/>
    <x v="3"/>
    <x v="3"/>
    <x v="0"/>
    <x v="0"/>
    <x v="3"/>
    <n v="4.3650000000000002"/>
    <n v="3.7975500000000002"/>
    <n v="8.73"/>
    <n v="7.5951000000000004"/>
    <n v="1.1349"/>
    <n v="0.13"/>
    <x v="1"/>
  </r>
  <r>
    <s v="LGD-24408-274"/>
    <x v="29"/>
    <s v="13694-25001-LX"/>
    <s v="L-L-0.5"/>
    <n v="3"/>
    <s v="Silvio Strase"/>
    <s v="sstrase11@booking.com"/>
    <x v="0"/>
    <x v="3"/>
    <x v="3"/>
    <x v="1"/>
    <x v="1"/>
    <x v="1"/>
    <n v="9.51"/>
    <n v="8.2736999999999998"/>
    <n v="28.53"/>
    <n v="24.821100000000001"/>
    <n v="3.7088999999999999"/>
    <n v="0.12999999999999998"/>
    <x v="1"/>
  </r>
  <r>
    <s v="HCT-95608-959"/>
    <x v="30"/>
    <s v="08523-01791-TI"/>
    <s v="R-M-2.5"/>
    <n v="5"/>
    <s v="Dorie de la Tremoille"/>
    <s v="dde12@unesco.org"/>
    <x v="0"/>
    <x v="0"/>
    <x v="0"/>
    <x v="0"/>
    <x v="0"/>
    <x v="2"/>
    <n v="22.884999999999998"/>
    <n v="21.511899999999997"/>
    <n v="114.42499999999998"/>
    <n v="107.55949999999999"/>
    <n v="6.8654999999999973"/>
    <n v="5.9999999999999984E-2"/>
    <x v="1"/>
  </r>
  <r>
    <s v="OFX-99147-470"/>
    <x v="31"/>
    <s v="49860-68865-AB"/>
    <s v="R-M-1"/>
    <n v="6"/>
    <s v="Hy Zanetto"/>
    <s v="-"/>
    <x v="0"/>
    <x v="0"/>
    <x v="0"/>
    <x v="0"/>
    <x v="0"/>
    <x v="0"/>
    <n v="9.9499999999999993"/>
    <n v="9.3529999999999998"/>
    <n v="59.699999999999996"/>
    <n v="56.117999999999995"/>
    <n v="3.5820000000000007"/>
    <n v="6.0000000000000019E-2"/>
    <x v="0"/>
  </r>
  <r>
    <s v="LUO-37559-016"/>
    <x v="32"/>
    <s v="21240-83132-SP"/>
    <s v="L-M-1"/>
    <n v="3"/>
    <s v="Jessica McNess"/>
    <s v="-"/>
    <x v="0"/>
    <x v="3"/>
    <x v="3"/>
    <x v="0"/>
    <x v="0"/>
    <x v="0"/>
    <n v="14.55"/>
    <n v="12.6585"/>
    <n v="43.650000000000006"/>
    <n v="37.975499999999997"/>
    <n v="5.674500000000009"/>
    <n v="0.1300000000000002"/>
    <x v="1"/>
  </r>
  <r>
    <s v="XWC-20610-167"/>
    <x v="33"/>
    <s v="08350-81623-TF"/>
    <s v="E-D-0.2"/>
    <n v="2"/>
    <s v="Lorenzo Yeoland"/>
    <s v="lyeoland15@pbs.org"/>
    <x v="0"/>
    <x v="1"/>
    <x v="1"/>
    <x v="2"/>
    <x v="2"/>
    <x v="3"/>
    <n v="3.645"/>
    <n v="3.2440500000000001"/>
    <n v="7.29"/>
    <n v="6.4881000000000002"/>
    <n v="0.80189999999999984"/>
    <n v="0.10999999999999997"/>
    <x v="0"/>
  </r>
  <r>
    <s v="GPU-79113-136"/>
    <x v="34"/>
    <s v="73284-01385-SJ"/>
    <s v="R-D-0.2"/>
    <n v="3"/>
    <s v="Abigail Tolworthy"/>
    <s v="atolworthy16@toplist.cz"/>
    <x v="0"/>
    <x v="0"/>
    <x v="0"/>
    <x v="2"/>
    <x v="2"/>
    <x v="3"/>
    <n v="2.6849999999999996"/>
    <n v="2.5238999999999998"/>
    <n v="8.0549999999999997"/>
    <n v="7.5716999999999999"/>
    <n v="0.48329999999999984"/>
    <n v="5.9999999999999984E-2"/>
    <x v="0"/>
  </r>
  <r>
    <s v="ULR-52653-960"/>
    <x v="35"/>
    <s v="04152-34436-IE"/>
    <s v="L-L-2.5"/>
    <n v="2"/>
    <s v="Maurie Bartol"/>
    <s v="-"/>
    <x v="0"/>
    <x v="3"/>
    <x v="3"/>
    <x v="1"/>
    <x v="1"/>
    <x v="2"/>
    <n v="36.454999999999998"/>
    <n v="31.71585"/>
    <n v="72.91"/>
    <n v="63.431699999999999"/>
    <n v="9.4782999999999973"/>
    <n v="0.12999999999999998"/>
    <x v="1"/>
  </r>
  <r>
    <s v="HPI-42308-142"/>
    <x v="36"/>
    <s v="06631-86965-XP"/>
    <s v="E-M-0.5"/>
    <n v="2"/>
    <s v="Olag Baudassi"/>
    <s v="obaudassi18@seesaa.net"/>
    <x v="0"/>
    <x v="1"/>
    <x v="1"/>
    <x v="0"/>
    <x v="0"/>
    <x v="1"/>
    <n v="8.25"/>
    <n v="7.3425000000000002"/>
    <n v="16.5"/>
    <n v="14.685"/>
    <n v="1.8149999999999995"/>
    <n v="0.10999999999999997"/>
    <x v="0"/>
  </r>
  <r>
    <s v="XHI-30227-581"/>
    <x v="37"/>
    <s v="54619-08558-ZU"/>
    <s v="L-D-2.5"/>
    <n v="6"/>
    <s v="Petey Kingsbury"/>
    <s v="pkingsbury19@comcast.net"/>
    <x v="0"/>
    <x v="3"/>
    <x v="3"/>
    <x v="2"/>
    <x v="2"/>
    <x v="2"/>
    <n v="29.784999999999997"/>
    <n v="25.912949999999995"/>
    <n v="178.70999999999998"/>
    <n v="155.47769999999997"/>
    <n v="23.232300000000009"/>
    <n v="0.13000000000000006"/>
    <x v="1"/>
  </r>
  <r>
    <s v="DJH-05202-380"/>
    <x v="38"/>
    <s v="85589-17020-CX"/>
    <s v="E-M-2.5"/>
    <n v="2"/>
    <s v="Donna Baskeyfied"/>
    <s v="-"/>
    <x v="0"/>
    <x v="1"/>
    <x v="1"/>
    <x v="0"/>
    <x v="0"/>
    <x v="2"/>
    <n v="31.624999999999996"/>
    <n v="28.146249999999995"/>
    <n v="63.249999999999993"/>
    <n v="56.29249999999999"/>
    <n v="6.9575000000000031"/>
    <n v="0.11000000000000006"/>
    <x v="0"/>
  </r>
  <r>
    <s v="VMW-26889-781"/>
    <x v="39"/>
    <s v="36078-91009-WU"/>
    <s v="A-L-0.2"/>
    <n v="2"/>
    <s v="Arda Curley"/>
    <s v="acurley1b@hao123.com"/>
    <x v="0"/>
    <x v="2"/>
    <x v="2"/>
    <x v="1"/>
    <x v="1"/>
    <x v="3"/>
    <n v="3.8849999999999998"/>
    <n v="3.5353499999999998"/>
    <n v="7.77"/>
    <n v="7.0706999999999995"/>
    <n v="0.69930000000000003"/>
    <n v="9.0000000000000011E-2"/>
    <x v="0"/>
  </r>
  <r>
    <s v="DBU-81099-586"/>
    <x v="40"/>
    <s v="15770-27099-GX"/>
    <s v="A-D-2.5"/>
    <n v="4"/>
    <s v="Raynor McGilvary"/>
    <s v="rmcgilvary1c@tamu.edu"/>
    <x v="0"/>
    <x v="2"/>
    <x v="2"/>
    <x v="2"/>
    <x v="2"/>
    <x v="2"/>
    <n v="22.884999999999998"/>
    <n v="20.82535"/>
    <n v="91.539999999999992"/>
    <n v="83.301400000000001"/>
    <n v="8.238599999999991"/>
    <n v="8.9999999999999913E-2"/>
    <x v="1"/>
  </r>
  <r>
    <s v="PQA-54820-810"/>
    <x v="41"/>
    <s v="91460-04823-BX"/>
    <s v="A-L-1"/>
    <n v="3"/>
    <s v="Isis Pikett"/>
    <s v="ipikett1d@xinhuanet.com"/>
    <x v="0"/>
    <x v="2"/>
    <x v="2"/>
    <x v="1"/>
    <x v="1"/>
    <x v="0"/>
    <n v="12.95"/>
    <n v="11.7845"/>
    <n v="38.849999999999994"/>
    <n v="35.353499999999997"/>
    <n v="3.4964999999999975"/>
    <n v="8.9999999999999955E-2"/>
    <x v="1"/>
  </r>
  <r>
    <s v="XKB-41924-202"/>
    <x v="42"/>
    <s v="45089-52817-WN"/>
    <s v="L-D-0.5"/>
    <n v="2"/>
    <s v="Inger Bouldon"/>
    <s v="ibouldon1e@gizmodo.com"/>
    <x v="0"/>
    <x v="3"/>
    <x v="3"/>
    <x v="2"/>
    <x v="2"/>
    <x v="1"/>
    <n v="7.77"/>
    <n v="6.7599"/>
    <n v="15.54"/>
    <n v="13.5198"/>
    <n v="2.0201999999999991"/>
    <n v="0.12999999999999995"/>
    <x v="1"/>
  </r>
  <r>
    <s v="DWZ-69106-473"/>
    <x v="43"/>
    <s v="76447-50326-IC"/>
    <s v="L-L-2.5"/>
    <n v="4"/>
    <s v="Karry Flanders"/>
    <s v="kflanders1f@over-blog.com"/>
    <x v="1"/>
    <x v="3"/>
    <x v="3"/>
    <x v="1"/>
    <x v="1"/>
    <x v="2"/>
    <n v="36.454999999999998"/>
    <n v="31.71585"/>
    <n v="145.82"/>
    <n v="126.8634"/>
    <n v="18.956599999999995"/>
    <n v="0.12999999999999998"/>
    <x v="0"/>
  </r>
  <r>
    <s v="YHV-68700-050"/>
    <x v="44"/>
    <s v="26333-67911-OL"/>
    <s v="R-M-0.5"/>
    <n v="5"/>
    <s v="Hartley Mattioli"/>
    <s v="hmattioli1g@webmd.com"/>
    <x v="2"/>
    <x v="0"/>
    <x v="0"/>
    <x v="0"/>
    <x v="0"/>
    <x v="1"/>
    <n v="5.97"/>
    <n v="5.6117999999999997"/>
    <n v="29.849999999999998"/>
    <n v="28.058999999999997"/>
    <n v="1.7910000000000004"/>
    <n v="6.0000000000000019E-2"/>
    <x v="1"/>
  </r>
  <r>
    <s v="YHV-68700-050"/>
    <x v="44"/>
    <s v="26333-67911-OL"/>
    <s v="L-L-2.5"/>
    <n v="2"/>
    <s v="Hartley Mattioli"/>
    <s v="hmattioli1g@webmd.com"/>
    <x v="2"/>
    <x v="3"/>
    <x v="3"/>
    <x v="1"/>
    <x v="1"/>
    <x v="2"/>
    <n v="36.454999999999998"/>
    <n v="31.71585"/>
    <n v="72.91"/>
    <n v="63.431699999999999"/>
    <n v="9.4782999999999973"/>
    <n v="0.12999999999999998"/>
    <x v="1"/>
  </r>
  <r>
    <s v="KRB-88066-642"/>
    <x v="45"/>
    <s v="22107-86640-SB"/>
    <s v="L-M-1"/>
    <n v="5"/>
    <s v="Archambault Gillard"/>
    <s v="agillard1i@issuu.com"/>
    <x v="0"/>
    <x v="3"/>
    <x v="3"/>
    <x v="0"/>
    <x v="0"/>
    <x v="0"/>
    <n v="14.55"/>
    <n v="12.6585"/>
    <n v="72.75"/>
    <n v="63.292500000000004"/>
    <n v="9.457499999999996"/>
    <n v="0.12999999999999995"/>
    <x v="1"/>
  </r>
  <r>
    <s v="LQU-08404-173"/>
    <x v="46"/>
    <s v="09960-34242-LZ"/>
    <s v="L-L-1"/>
    <n v="3"/>
    <s v="Salomo Cushworth"/>
    <s v="-"/>
    <x v="0"/>
    <x v="3"/>
    <x v="3"/>
    <x v="1"/>
    <x v="1"/>
    <x v="0"/>
    <n v="15.85"/>
    <n v="13.7895"/>
    <n v="47.55"/>
    <n v="41.368499999999997"/>
    <n v="6.1814999999999998"/>
    <n v="0.13"/>
    <x v="1"/>
  </r>
  <r>
    <s v="CWK-60159-881"/>
    <x v="47"/>
    <s v="04671-85591-RT"/>
    <s v="E-D-0.2"/>
    <n v="3"/>
    <s v="Theda Grizard"/>
    <s v="tgrizard1k@odnoklassniki.ru"/>
    <x v="0"/>
    <x v="1"/>
    <x v="1"/>
    <x v="2"/>
    <x v="2"/>
    <x v="3"/>
    <n v="3.645"/>
    <n v="3.2440500000000001"/>
    <n v="10.935"/>
    <n v="9.7321500000000007"/>
    <n v="1.2028499999999998"/>
    <n v="0.10999999999999997"/>
    <x v="0"/>
  </r>
  <r>
    <s v="EEG-74197-843"/>
    <x v="48"/>
    <s v="25729-68859-UA"/>
    <s v="E-L-1"/>
    <n v="4"/>
    <s v="Rozele Relton"/>
    <s v="rrelton1l@stanford.edu"/>
    <x v="0"/>
    <x v="1"/>
    <x v="1"/>
    <x v="1"/>
    <x v="1"/>
    <x v="0"/>
    <n v="14.85"/>
    <n v="13.2165"/>
    <n v="59.4"/>
    <n v="52.866"/>
    <n v="6.5339999999999989"/>
    <n v="0.10999999999999999"/>
    <x v="1"/>
  </r>
  <r>
    <s v="UCZ-59708-525"/>
    <x v="49"/>
    <s v="05501-86351-NX"/>
    <s v="L-D-2.5"/>
    <n v="3"/>
    <s v="Willa Rolling"/>
    <s v="-"/>
    <x v="0"/>
    <x v="3"/>
    <x v="3"/>
    <x v="2"/>
    <x v="2"/>
    <x v="2"/>
    <n v="29.784999999999997"/>
    <n v="25.912949999999995"/>
    <n v="89.35499999999999"/>
    <n v="77.738849999999985"/>
    <n v="11.616150000000005"/>
    <n v="0.13000000000000006"/>
    <x v="0"/>
  </r>
  <r>
    <s v="HUB-47311-849"/>
    <x v="50"/>
    <s v="04521-04300-OK"/>
    <s v="L-M-0.5"/>
    <n v="3"/>
    <s v="Stanislaus Gilroy"/>
    <s v="sgilroy1n@eepurl.com"/>
    <x v="0"/>
    <x v="3"/>
    <x v="3"/>
    <x v="0"/>
    <x v="0"/>
    <x v="1"/>
    <n v="8.73"/>
    <n v="7.5951000000000004"/>
    <n v="26.19"/>
    <n v="22.785299999999999"/>
    <n v="3.4047000000000018"/>
    <n v="0.13000000000000006"/>
    <x v="0"/>
  </r>
  <r>
    <s v="WYM-17686-694"/>
    <x v="51"/>
    <s v="58689-55264-VK"/>
    <s v="A-D-2.5"/>
    <n v="5"/>
    <s v="Correy Cottingham"/>
    <s v="ccottingham1o@wikipedia.org"/>
    <x v="0"/>
    <x v="2"/>
    <x v="2"/>
    <x v="2"/>
    <x v="2"/>
    <x v="2"/>
    <n v="22.884999999999998"/>
    <n v="20.82535"/>
    <n v="114.42499999999998"/>
    <n v="104.12675"/>
    <n v="10.298249999999982"/>
    <n v="8.9999999999999858E-2"/>
    <x v="1"/>
  </r>
  <r>
    <s v="ZYQ-15797-695"/>
    <x v="52"/>
    <s v="79436-73011-MM"/>
    <s v="R-D-0.5"/>
    <n v="5"/>
    <s v="Pammi Endacott"/>
    <s v="-"/>
    <x v="2"/>
    <x v="0"/>
    <x v="0"/>
    <x v="2"/>
    <x v="2"/>
    <x v="1"/>
    <n v="5.3699999999999992"/>
    <n v="5.0477999999999996"/>
    <n v="26.849999999999994"/>
    <n v="25.238999999999997"/>
    <n v="1.6109999999999971"/>
    <n v="5.9999999999999908E-2"/>
    <x v="0"/>
  </r>
  <r>
    <s v="EEJ-16185-108"/>
    <x v="53"/>
    <s v="65552-60476-KY"/>
    <s v="L-L-0.2"/>
    <n v="5"/>
    <s v="Nona Linklater"/>
    <s v="-"/>
    <x v="0"/>
    <x v="3"/>
    <x v="3"/>
    <x v="1"/>
    <x v="1"/>
    <x v="3"/>
    <n v="4.7549999999999999"/>
    <n v="4.1368499999999999"/>
    <n v="23.774999999999999"/>
    <n v="20.684249999999999"/>
    <n v="3.0907499999999999"/>
    <n v="0.13"/>
    <x v="0"/>
  </r>
  <r>
    <s v="RWR-77888-800"/>
    <x v="54"/>
    <s v="69904-02729-YS"/>
    <s v="A-M-0.5"/>
    <n v="1"/>
    <s v="Annadiane Dykes"/>
    <s v="adykes1r@eventbrite.com"/>
    <x v="0"/>
    <x v="2"/>
    <x v="2"/>
    <x v="0"/>
    <x v="0"/>
    <x v="1"/>
    <n v="6.75"/>
    <n v="6.1425000000000001"/>
    <n v="6.75"/>
    <n v="6.1425000000000001"/>
    <n v="0.60749999999999993"/>
    <n v="8.9999999999999983E-2"/>
    <x v="1"/>
  </r>
  <r>
    <s v="LHN-75209-742"/>
    <x v="55"/>
    <s v="01433-04270-AX"/>
    <s v="R-M-0.5"/>
    <n v="6"/>
    <s v="Felecia Dodgson"/>
    <s v="-"/>
    <x v="0"/>
    <x v="0"/>
    <x v="0"/>
    <x v="0"/>
    <x v="0"/>
    <x v="1"/>
    <n v="5.97"/>
    <n v="5.6117999999999997"/>
    <n v="35.82"/>
    <n v="33.6708"/>
    <n v="2.1492000000000004"/>
    <n v="6.0000000000000012E-2"/>
    <x v="0"/>
  </r>
  <r>
    <s v="TIR-71396-998"/>
    <x v="56"/>
    <s v="14204-14186-LA"/>
    <s v="R-D-2.5"/>
    <n v="4"/>
    <s v="Angelia Cockrem"/>
    <s v="acockrem1t@engadget.com"/>
    <x v="0"/>
    <x v="0"/>
    <x v="0"/>
    <x v="2"/>
    <x v="2"/>
    <x v="2"/>
    <n v="20.584999999999997"/>
    <n v="19.349899999999998"/>
    <n v="82.339999999999989"/>
    <n v="77.399599999999992"/>
    <n v="4.9403999999999968"/>
    <n v="5.999999999999997E-2"/>
    <x v="0"/>
  </r>
  <r>
    <s v="RXF-37618-213"/>
    <x v="57"/>
    <s v="32948-34398-HC"/>
    <s v="R-L-0.5"/>
    <n v="1"/>
    <s v="Belvia Umpleby"/>
    <s v="bumpleby1u@soundcloud.com"/>
    <x v="0"/>
    <x v="0"/>
    <x v="0"/>
    <x v="1"/>
    <x v="1"/>
    <x v="1"/>
    <n v="7.169999999999999"/>
    <n v="6.7397999999999989"/>
    <n v="7.169999999999999"/>
    <n v="6.7397999999999989"/>
    <n v="0.43020000000000014"/>
    <n v="6.0000000000000026E-2"/>
    <x v="0"/>
  </r>
  <r>
    <s v="ANM-16388-634"/>
    <x v="58"/>
    <s v="77343-52608-FF"/>
    <s v="L-L-0.2"/>
    <n v="2"/>
    <s v="Nat Saleway"/>
    <s v="nsaleway1v@dedecms.com"/>
    <x v="0"/>
    <x v="3"/>
    <x v="3"/>
    <x v="1"/>
    <x v="1"/>
    <x v="3"/>
    <n v="4.7549999999999999"/>
    <n v="4.1368499999999999"/>
    <n v="9.51"/>
    <n v="8.2736999999999998"/>
    <n v="1.2363"/>
    <n v="0.13"/>
    <x v="1"/>
  </r>
  <r>
    <s v="WYL-29300-070"/>
    <x v="59"/>
    <s v="42770-36274-QA"/>
    <s v="R-M-0.2"/>
    <n v="1"/>
    <s v="Hayward Goulter"/>
    <s v="hgoulter1w@abc.net.au"/>
    <x v="0"/>
    <x v="0"/>
    <x v="0"/>
    <x v="0"/>
    <x v="0"/>
    <x v="3"/>
    <n v="2.9849999999999999"/>
    <n v="2.8058999999999998"/>
    <n v="2.9849999999999999"/>
    <n v="2.8058999999999998"/>
    <n v="0.17910000000000004"/>
    <n v="6.0000000000000012E-2"/>
    <x v="1"/>
  </r>
  <r>
    <s v="JHW-74554-805"/>
    <x v="60"/>
    <s v="14103-58987-ZU"/>
    <s v="R-M-1"/>
    <n v="6"/>
    <s v="Gay Rizzello"/>
    <s v="grizzello1x@symantec.com"/>
    <x v="2"/>
    <x v="0"/>
    <x v="0"/>
    <x v="0"/>
    <x v="0"/>
    <x v="0"/>
    <n v="9.9499999999999993"/>
    <n v="9.3529999999999998"/>
    <n v="59.699999999999996"/>
    <n v="56.117999999999995"/>
    <n v="3.5820000000000007"/>
    <n v="6.0000000000000019E-2"/>
    <x v="0"/>
  </r>
  <r>
    <s v="KYS-27063-603"/>
    <x v="61"/>
    <s v="69958-32065-SW"/>
    <s v="E-L-2.5"/>
    <n v="4"/>
    <s v="Shannon List"/>
    <s v="slist1y@mapquest.com"/>
    <x v="0"/>
    <x v="1"/>
    <x v="1"/>
    <x v="1"/>
    <x v="1"/>
    <x v="2"/>
    <n v="34.154999999999994"/>
    <n v="30.397949999999994"/>
    <n v="136.61999999999998"/>
    <n v="121.59179999999998"/>
    <n v="15.028199999999998"/>
    <n v="0.11"/>
    <x v="1"/>
  </r>
  <r>
    <s v="GAZ-58626-277"/>
    <x v="62"/>
    <s v="69533-84907-FA"/>
    <s v="L-L-0.2"/>
    <n v="2"/>
    <s v="Shirlene Edmondson"/>
    <s v="sedmondson1z@theguardian.com"/>
    <x v="1"/>
    <x v="3"/>
    <x v="3"/>
    <x v="1"/>
    <x v="1"/>
    <x v="3"/>
    <n v="4.7549999999999999"/>
    <n v="4.1368499999999999"/>
    <n v="9.51"/>
    <n v="8.2736999999999998"/>
    <n v="1.2363"/>
    <n v="0.13"/>
    <x v="1"/>
  </r>
  <r>
    <s v="RPJ-37787-335"/>
    <x v="63"/>
    <s v="76005-95461-CI"/>
    <s v="A-M-2.5"/>
    <n v="3"/>
    <s v="Aurlie McCarl"/>
    <s v="-"/>
    <x v="0"/>
    <x v="2"/>
    <x v="2"/>
    <x v="0"/>
    <x v="0"/>
    <x v="2"/>
    <n v="25.874999999999996"/>
    <n v="23.546249999999997"/>
    <n v="77.624999999999986"/>
    <n v="70.638749999999987"/>
    <n v="6.9862499999999983"/>
    <n v="0.09"/>
    <x v="1"/>
  </r>
  <r>
    <s v="LEF-83057-763"/>
    <x v="64"/>
    <s v="15395-90855-VB"/>
    <s v="L-M-0.2"/>
    <n v="5"/>
    <s v="Alikee Carryer"/>
    <s v="-"/>
    <x v="0"/>
    <x v="3"/>
    <x v="3"/>
    <x v="0"/>
    <x v="0"/>
    <x v="3"/>
    <n v="4.3650000000000002"/>
    <n v="3.7975500000000002"/>
    <n v="21.825000000000003"/>
    <n v="18.987750000000002"/>
    <n v="2.8372500000000009"/>
    <n v="0.13000000000000003"/>
    <x v="0"/>
  </r>
  <r>
    <s v="RPW-36123-215"/>
    <x v="65"/>
    <s v="80640-45811-LB"/>
    <s v="E-L-0.5"/>
    <n v="2"/>
    <s v="Jennifer Rangall"/>
    <s v="jrangall22@newsvine.com"/>
    <x v="0"/>
    <x v="1"/>
    <x v="1"/>
    <x v="1"/>
    <x v="1"/>
    <x v="1"/>
    <n v="8.91"/>
    <n v="7.9298999999999999"/>
    <n v="17.82"/>
    <n v="15.8598"/>
    <n v="1.9602000000000004"/>
    <n v="0.11000000000000001"/>
    <x v="0"/>
  </r>
  <r>
    <s v="WLL-59044-117"/>
    <x v="66"/>
    <s v="28476-04082-GR"/>
    <s v="R-D-1"/>
    <n v="6"/>
    <s v="Kipper Boorn"/>
    <s v="kboorn23@ezinearticles.com"/>
    <x v="1"/>
    <x v="0"/>
    <x v="0"/>
    <x v="2"/>
    <x v="2"/>
    <x v="0"/>
    <n v="8.9499999999999993"/>
    <n v="8.4130000000000003"/>
    <n v="53.699999999999996"/>
    <n v="50.478000000000002"/>
    <n v="3.2219999999999942"/>
    <n v="5.9999999999999894E-2"/>
    <x v="0"/>
  </r>
  <r>
    <s v="AWT-22827-563"/>
    <x v="67"/>
    <s v="12018-75670-EU"/>
    <s v="R-L-0.2"/>
    <n v="1"/>
    <s v="Melania Beadle"/>
    <s v="-"/>
    <x v="1"/>
    <x v="0"/>
    <x v="0"/>
    <x v="1"/>
    <x v="1"/>
    <x v="3"/>
    <n v="3.5849999999999995"/>
    <n v="3.3698999999999995"/>
    <n v="3.5849999999999995"/>
    <n v="3.3698999999999995"/>
    <n v="0.21510000000000007"/>
    <n v="6.0000000000000026E-2"/>
    <x v="0"/>
  </r>
  <r>
    <s v="QLM-07145-668"/>
    <x v="68"/>
    <s v="86437-17399-FK"/>
    <s v="E-D-0.2"/>
    <n v="2"/>
    <s v="Colene Elgey"/>
    <s v="celgey25@webs.com"/>
    <x v="0"/>
    <x v="1"/>
    <x v="1"/>
    <x v="2"/>
    <x v="2"/>
    <x v="3"/>
    <n v="3.645"/>
    <n v="3.2440500000000001"/>
    <n v="7.29"/>
    <n v="6.4881000000000002"/>
    <n v="0.80189999999999984"/>
    <n v="0.10999999999999997"/>
    <x v="1"/>
  </r>
  <r>
    <s v="HVQ-64398-930"/>
    <x v="69"/>
    <s v="62979-53167-ML"/>
    <s v="A-M-0.5"/>
    <n v="6"/>
    <s v="Lothaire Mizzi"/>
    <s v="lmizzi26@rakuten.co.jp"/>
    <x v="0"/>
    <x v="2"/>
    <x v="2"/>
    <x v="0"/>
    <x v="0"/>
    <x v="1"/>
    <n v="6.75"/>
    <n v="6.1425000000000001"/>
    <n v="40.5"/>
    <n v="36.855000000000004"/>
    <n v="3.644999999999996"/>
    <n v="8.99999999999999E-2"/>
    <x v="0"/>
  </r>
  <r>
    <s v="WRT-40778-247"/>
    <x v="70"/>
    <s v="54810-81899-HL"/>
    <s v="R-L-1"/>
    <n v="4"/>
    <s v="Cletis Giacomazzo"/>
    <s v="cgiacomazzo27@jigsy.com"/>
    <x v="0"/>
    <x v="0"/>
    <x v="0"/>
    <x v="1"/>
    <x v="1"/>
    <x v="0"/>
    <n v="11.95"/>
    <n v="11.232999999999999"/>
    <n v="47.8"/>
    <n v="44.931999999999995"/>
    <n v="2.8680000000000021"/>
    <n v="6.0000000000000046E-2"/>
    <x v="1"/>
  </r>
  <r>
    <s v="SUB-13006-125"/>
    <x v="71"/>
    <s v="26103-41504-IB"/>
    <s v="A-L-0.5"/>
    <n v="5"/>
    <s v="Ami Arnow"/>
    <s v="aarnow28@arizona.edu"/>
    <x v="0"/>
    <x v="2"/>
    <x v="2"/>
    <x v="1"/>
    <x v="1"/>
    <x v="1"/>
    <n v="7.77"/>
    <n v="7.0706999999999995"/>
    <n v="38.849999999999994"/>
    <n v="35.353499999999997"/>
    <n v="3.4964999999999975"/>
    <n v="8.9999999999999955E-2"/>
    <x v="0"/>
  </r>
  <r>
    <s v="CQM-49696-263"/>
    <x v="72"/>
    <s v="76534-45229-SG"/>
    <s v="L-L-2.5"/>
    <n v="3"/>
    <s v="Sheppard Yann"/>
    <s v="syann29@senate.gov"/>
    <x v="0"/>
    <x v="3"/>
    <x v="3"/>
    <x v="1"/>
    <x v="1"/>
    <x v="2"/>
    <n v="36.454999999999998"/>
    <n v="31.71585"/>
    <n v="109.36499999999999"/>
    <n v="95.147549999999995"/>
    <n v="14.217449999999999"/>
    <n v="0.13"/>
    <x v="0"/>
  </r>
  <r>
    <s v="KXN-85094-246"/>
    <x v="73"/>
    <s v="81744-27332-RR"/>
    <s v="L-M-2.5"/>
    <n v="3"/>
    <s v="Bunny Naulls"/>
    <s v="bnaulls2a@tiny.cc"/>
    <x v="1"/>
    <x v="3"/>
    <x v="3"/>
    <x v="0"/>
    <x v="0"/>
    <x v="2"/>
    <n v="33.464999999999996"/>
    <n v="29.114549999999998"/>
    <n v="100.39499999999998"/>
    <n v="87.343649999999997"/>
    <n v="13.051349999999985"/>
    <n v="0.12999999999999987"/>
    <x v="0"/>
  </r>
  <r>
    <s v="XOQ-12405-419"/>
    <x v="74"/>
    <s v="91513-75657-PH"/>
    <s v="R-D-2.5"/>
    <n v="4"/>
    <s v="Hally Lorait"/>
    <s v="-"/>
    <x v="0"/>
    <x v="0"/>
    <x v="0"/>
    <x v="2"/>
    <x v="2"/>
    <x v="2"/>
    <n v="20.584999999999997"/>
    <n v="19.349899999999998"/>
    <n v="82.339999999999989"/>
    <n v="77.399599999999992"/>
    <n v="4.9403999999999968"/>
    <n v="5.999999999999997E-2"/>
    <x v="0"/>
  </r>
  <r>
    <s v="HYF-10254-369"/>
    <x v="75"/>
    <s v="30373-66619-CB"/>
    <s v="L-L-0.5"/>
    <n v="1"/>
    <s v="Zaccaria Sherewood"/>
    <s v="zsherewood2c@apache.org"/>
    <x v="0"/>
    <x v="3"/>
    <x v="3"/>
    <x v="1"/>
    <x v="1"/>
    <x v="1"/>
    <n v="9.51"/>
    <n v="8.2736999999999998"/>
    <n v="9.51"/>
    <n v="8.2736999999999998"/>
    <n v="1.2363"/>
    <n v="0.13"/>
    <x v="1"/>
  </r>
  <r>
    <s v="XXJ-47000-307"/>
    <x v="76"/>
    <s v="31582-23562-FM"/>
    <s v="A-L-2.5"/>
    <n v="3"/>
    <s v="Jeffrey Dufaire"/>
    <s v="jdufaire2d@fc2.com"/>
    <x v="0"/>
    <x v="2"/>
    <x v="2"/>
    <x v="1"/>
    <x v="1"/>
    <x v="2"/>
    <n v="29.784999999999997"/>
    <n v="27.104349999999997"/>
    <n v="89.35499999999999"/>
    <n v="81.31304999999999"/>
    <n v="8.0419499999999999"/>
    <n v="9.0000000000000011E-2"/>
    <x v="1"/>
  </r>
  <r>
    <s v="XXJ-47000-307"/>
    <x v="76"/>
    <s v="31582-23562-FM"/>
    <s v="A-D-0.2"/>
    <n v="4"/>
    <s v="Jeffrey Dufaire"/>
    <s v="jdufaire2d@fc2.com"/>
    <x v="0"/>
    <x v="2"/>
    <x v="2"/>
    <x v="2"/>
    <x v="2"/>
    <x v="3"/>
    <n v="2.9849999999999999"/>
    <n v="2.7163499999999998"/>
    <n v="11.94"/>
    <n v="10.865399999999999"/>
    <n v="1.0746000000000002"/>
    <n v="9.0000000000000024E-2"/>
    <x v="1"/>
  </r>
  <r>
    <s v="ZDK-82166-357"/>
    <x v="77"/>
    <s v="81431-12577-VD"/>
    <s v="A-M-1"/>
    <n v="3"/>
    <s v="Beitris Keaveney"/>
    <s v="bkeaveney2f@netlog.com"/>
    <x v="0"/>
    <x v="2"/>
    <x v="2"/>
    <x v="0"/>
    <x v="0"/>
    <x v="0"/>
    <n v="11.25"/>
    <n v="10.237500000000001"/>
    <n v="33.75"/>
    <n v="30.712500000000002"/>
    <n v="3.0374999999999979"/>
    <n v="8.9999999999999941E-2"/>
    <x v="1"/>
  </r>
  <r>
    <s v="IHN-19982-362"/>
    <x v="78"/>
    <s v="68894-91205-MP"/>
    <s v="R-L-1"/>
    <n v="3"/>
    <s v="Elna Grise"/>
    <s v="egrise2g@cargocollective.com"/>
    <x v="0"/>
    <x v="0"/>
    <x v="0"/>
    <x v="1"/>
    <x v="1"/>
    <x v="0"/>
    <n v="11.95"/>
    <n v="11.232999999999999"/>
    <n v="35.849999999999994"/>
    <n v="33.698999999999998"/>
    <n v="2.1509999999999962"/>
    <n v="5.9999999999999908E-2"/>
    <x v="1"/>
  </r>
  <r>
    <s v="VMT-10030-889"/>
    <x v="79"/>
    <s v="87602-55754-VN"/>
    <s v="A-L-1"/>
    <n v="6"/>
    <s v="Torie Gottelier"/>
    <s v="tgottelier2h@vistaprint.com"/>
    <x v="0"/>
    <x v="2"/>
    <x v="2"/>
    <x v="1"/>
    <x v="1"/>
    <x v="0"/>
    <n v="12.95"/>
    <n v="11.7845"/>
    <n v="77.699999999999989"/>
    <n v="70.706999999999994"/>
    <n v="6.992999999999995"/>
    <n v="8.9999999999999955E-2"/>
    <x v="1"/>
  </r>
  <r>
    <s v="NHL-11063-100"/>
    <x v="80"/>
    <s v="39181-35745-WH"/>
    <s v="A-L-1"/>
    <n v="4"/>
    <s v="Loydie Langlais"/>
    <s v="-"/>
    <x v="1"/>
    <x v="2"/>
    <x v="2"/>
    <x v="1"/>
    <x v="1"/>
    <x v="0"/>
    <n v="12.95"/>
    <n v="11.7845"/>
    <n v="51.8"/>
    <n v="47.137999999999998"/>
    <n v="4.661999999999999"/>
    <n v="8.9999999999999983E-2"/>
    <x v="0"/>
  </r>
  <r>
    <s v="ROV-87448-086"/>
    <x v="81"/>
    <s v="30381-64762-NG"/>
    <s v="A-M-2.5"/>
    <n v="4"/>
    <s v="Adham Greenhead"/>
    <s v="agreenhead2j@dailymail.co.uk"/>
    <x v="0"/>
    <x v="2"/>
    <x v="2"/>
    <x v="0"/>
    <x v="0"/>
    <x v="2"/>
    <n v="25.874999999999996"/>
    <n v="23.546249999999997"/>
    <n v="103.49999999999999"/>
    <n v="94.184999999999988"/>
    <n v="9.3149999999999977"/>
    <n v="0.09"/>
    <x v="1"/>
  </r>
  <r>
    <s v="DGY-35773-612"/>
    <x v="82"/>
    <s v="17503-27693-ZH"/>
    <s v="E-L-1"/>
    <n v="3"/>
    <s v="Hamish MacSherry"/>
    <s v="-"/>
    <x v="0"/>
    <x v="1"/>
    <x v="1"/>
    <x v="1"/>
    <x v="1"/>
    <x v="0"/>
    <n v="14.85"/>
    <n v="13.2165"/>
    <n v="44.55"/>
    <n v="39.649500000000003"/>
    <n v="4.9004999999999939"/>
    <n v="0.10999999999999988"/>
    <x v="0"/>
  </r>
  <r>
    <s v="YWH-50638-556"/>
    <x v="83"/>
    <s v="89442-35633-HJ"/>
    <s v="E-L-0.5"/>
    <n v="4"/>
    <s v="Else Langcaster"/>
    <s v="elangcaster2l@spotify.com"/>
    <x v="2"/>
    <x v="1"/>
    <x v="1"/>
    <x v="1"/>
    <x v="1"/>
    <x v="1"/>
    <n v="8.91"/>
    <n v="7.9298999999999999"/>
    <n v="35.64"/>
    <n v="31.7196"/>
    <n v="3.9204000000000008"/>
    <n v="0.11000000000000001"/>
    <x v="0"/>
  </r>
  <r>
    <s v="ISL-11200-600"/>
    <x v="84"/>
    <s v="13654-85265-IL"/>
    <s v="A-D-0.2"/>
    <n v="6"/>
    <s v="Rudy Farquharson"/>
    <s v="-"/>
    <x v="1"/>
    <x v="2"/>
    <x v="2"/>
    <x v="2"/>
    <x v="2"/>
    <x v="3"/>
    <n v="2.9849999999999999"/>
    <n v="2.7163499999999998"/>
    <n v="17.91"/>
    <n v="16.298099999999998"/>
    <n v="1.6119000000000021"/>
    <n v="9.0000000000000122E-2"/>
    <x v="0"/>
  </r>
  <r>
    <s v="LBZ-75997-047"/>
    <x v="85"/>
    <s v="40946-22090-FP"/>
    <s v="A-M-2.5"/>
    <n v="6"/>
    <s v="Norene Magauran"/>
    <s v="nmagauran2n@51.la"/>
    <x v="0"/>
    <x v="2"/>
    <x v="2"/>
    <x v="0"/>
    <x v="0"/>
    <x v="2"/>
    <n v="25.874999999999996"/>
    <n v="23.546249999999997"/>
    <n v="155.24999999999997"/>
    <n v="141.27749999999997"/>
    <n v="13.972499999999997"/>
    <n v="0.09"/>
    <x v="1"/>
  </r>
  <r>
    <s v="EUH-08089-954"/>
    <x v="86"/>
    <s v="29050-93691-TS"/>
    <s v="A-D-0.2"/>
    <n v="2"/>
    <s v="Vicki Kirdsch"/>
    <s v="vkirdsch2o@google.fr"/>
    <x v="0"/>
    <x v="2"/>
    <x v="2"/>
    <x v="2"/>
    <x v="2"/>
    <x v="3"/>
    <n v="2.9849999999999999"/>
    <n v="2.7163499999999998"/>
    <n v="5.97"/>
    <n v="5.4326999999999996"/>
    <n v="0.53730000000000011"/>
    <n v="9.0000000000000024E-2"/>
    <x v="1"/>
  </r>
  <r>
    <s v="BLD-12227-251"/>
    <x v="87"/>
    <s v="64395-74865-WF"/>
    <s v="A-M-0.5"/>
    <n v="2"/>
    <s v="Ilysa Whapple"/>
    <s v="iwhapple2p@com.com"/>
    <x v="0"/>
    <x v="2"/>
    <x v="2"/>
    <x v="0"/>
    <x v="0"/>
    <x v="1"/>
    <n v="6.75"/>
    <n v="6.1425000000000001"/>
    <n v="13.5"/>
    <n v="12.285"/>
    <n v="1.2149999999999999"/>
    <n v="8.9999999999999983E-2"/>
    <x v="1"/>
  </r>
  <r>
    <s v="OPY-30711-853"/>
    <x v="25"/>
    <s v="81861-66046-SU"/>
    <s v="A-D-0.2"/>
    <n v="1"/>
    <s v="Ruy Cancellieri"/>
    <s v="-"/>
    <x v="1"/>
    <x v="2"/>
    <x v="2"/>
    <x v="2"/>
    <x v="2"/>
    <x v="3"/>
    <n v="2.9849999999999999"/>
    <n v="2.7163499999999998"/>
    <n v="2.9849999999999999"/>
    <n v="2.7163499999999998"/>
    <n v="0.26865000000000006"/>
    <n v="9.0000000000000024E-2"/>
    <x v="1"/>
  </r>
  <r>
    <s v="DBC-44122-300"/>
    <x v="88"/>
    <s v="13366-78506-KP"/>
    <s v="L-M-0.2"/>
    <n v="3"/>
    <s v="Aube Follett"/>
    <s v="-"/>
    <x v="0"/>
    <x v="3"/>
    <x v="3"/>
    <x v="0"/>
    <x v="0"/>
    <x v="3"/>
    <n v="4.3650000000000002"/>
    <n v="3.7975500000000002"/>
    <n v="13.095000000000001"/>
    <n v="11.39265"/>
    <n v="1.7023500000000009"/>
    <n v="0.13000000000000006"/>
    <x v="0"/>
  </r>
  <r>
    <s v="FJQ-60035-234"/>
    <x v="89"/>
    <s v="08847-29858-HN"/>
    <s v="A-L-0.2"/>
    <n v="2"/>
    <s v="Rudiger Di Bartolomeo"/>
    <s v="-"/>
    <x v="0"/>
    <x v="2"/>
    <x v="2"/>
    <x v="1"/>
    <x v="1"/>
    <x v="3"/>
    <n v="3.8849999999999998"/>
    <n v="3.5353499999999998"/>
    <n v="7.77"/>
    <n v="7.0706999999999995"/>
    <n v="0.69930000000000003"/>
    <n v="9.0000000000000011E-2"/>
    <x v="0"/>
  </r>
  <r>
    <s v="HSF-66926-425"/>
    <x v="90"/>
    <s v="00539-42510-RY"/>
    <s v="L-D-2.5"/>
    <n v="5"/>
    <s v="Nickey Youles"/>
    <s v="nyoules2t@reference.com"/>
    <x v="1"/>
    <x v="3"/>
    <x v="3"/>
    <x v="2"/>
    <x v="2"/>
    <x v="2"/>
    <n v="29.784999999999997"/>
    <n v="25.912949999999995"/>
    <n v="148.92499999999998"/>
    <n v="129.56474999999998"/>
    <n v="19.360250000000008"/>
    <n v="0.13000000000000006"/>
    <x v="0"/>
  </r>
  <r>
    <s v="LQG-41416-375"/>
    <x v="91"/>
    <s v="45190-08727-NV"/>
    <s v="L-D-1"/>
    <n v="3"/>
    <s v="Dyanna Aizikovitz"/>
    <s v="daizikovitz2u@answers.com"/>
    <x v="1"/>
    <x v="3"/>
    <x v="3"/>
    <x v="2"/>
    <x v="2"/>
    <x v="0"/>
    <n v="12.95"/>
    <n v="11.266499999999999"/>
    <n v="38.849999999999994"/>
    <n v="33.799499999999995"/>
    <n v="5.0504999999999995"/>
    <n v="0.13"/>
    <x v="0"/>
  </r>
  <r>
    <s v="VZO-97265-841"/>
    <x v="92"/>
    <s v="87049-37901-FU"/>
    <s v="R-M-0.2"/>
    <n v="4"/>
    <s v="Bram Revel"/>
    <s v="brevel2v@fastcompany.com"/>
    <x v="0"/>
    <x v="0"/>
    <x v="0"/>
    <x v="0"/>
    <x v="0"/>
    <x v="3"/>
    <n v="2.9849999999999999"/>
    <n v="2.8058999999999998"/>
    <n v="11.94"/>
    <n v="11.223599999999999"/>
    <n v="0.71640000000000015"/>
    <n v="6.0000000000000012E-2"/>
    <x v="1"/>
  </r>
  <r>
    <s v="MOR-12987-399"/>
    <x v="93"/>
    <s v="34015-31593-JC"/>
    <s v="L-M-1"/>
    <n v="6"/>
    <s v="Emiline Priddis"/>
    <s v="epriddis2w@nationalgeographic.com"/>
    <x v="0"/>
    <x v="3"/>
    <x v="3"/>
    <x v="0"/>
    <x v="0"/>
    <x v="0"/>
    <n v="14.55"/>
    <n v="12.6585"/>
    <n v="87.300000000000011"/>
    <n v="75.950999999999993"/>
    <n v="11.349000000000018"/>
    <n v="0.1300000000000002"/>
    <x v="1"/>
  </r>
  <r>
    <s v="UOA-23786-489"/>
    <x v="94"/>
    <s v="90305-50099-SV"/>
    <s v="A-M-0.5"/>
    <n v="6"/>
    <s v="Queenie Veel"/>
    <s v="qveel2x@jugem.jp"/>
    <x v="0"/>
    <x v="2"/>
    <x v="2"/>
    <x v="0"/>
    <x v="0"/>
    <x v="1"/>
    <n v="6.75"/>
    <n v="6.1425000000000001"/>
    <n v="40.5"/>
    <n v="36.855000000000004"/>
    <n v="3.644999999999996"/>
    <n v="8.99999999999999E-2"/>
    <x v="0"/>
  </r>
  <r>
    <s v="AJL-52941-018"/>
    <x v="95"/>
    <s v="55871-61935-MF"/>
    <s v="E-D-1"/>
    <n v="2"/>
    <s v="Lind Conyers"/>
    <s v="lconyers2y@twitter.com"/>
    <x v="0"/>
    <x v="1"/>
    <x v="1"/>
    <x v="2"/>
    <x v="2"/>
    <x v="0"/>
    <n v="12.15"/>
    <n v="10.813500000000001"/>
    <n v="24.3"/>
    <n v="21.627000000000002"/>
    <n v="2.6729999999999983"/>
    <n v="0.10999999999999993"/>
    <x v="1"/>
  </r>
  <r>
    <s v="XSZ-84273-421"/>
    <x v="96"/>
    <s v="15405-60469-TM"/>
    <s v="R-M-0.5"/>
    <n v="3"/>
    <s v="Pen Wye"/>
    <s v="pwye2z@dagondesign.com"/>
    <x v="0"/>
    <x v="0"/>
    <x v="0"/>
    <x v="0"/>
    <x v="0"/>
    <x v="1"/>
    <n v="5.97"/>
    <n v="5.6117999999999997"/>
    <n v="17.91"/>
    <n v="16.8354"/>
    <n v="1.0746000000000002"/>
    <n v="6.0000000000000012E-2"/>
    <x v="0"/>
  </r>
  <r>
    <s v="NUN-48214-216"/>
    <x v="97"/>
    <s v="06953-94794-FB"/>
    <s v="A-M-0.5"/>
    <n v="4"/>
    <s v="Isahella Hagland"/>
    <s v="-"/>
    <x v="0"/>
    <x v="2"/>
    <x v="2"/>
    <x v="0"/>
    <x v="0"/>
    <x v="1"/>
    <n v="6.75"/>
    <n v="6.1425000000000001"/>
    <n v="27"/>
    <n v="24.57"/>
    <n v="2.4299999999999997"/>
    <n v="8.9999999999999983E-2"/>
    <x v="1"/>
  </r>
  <r>
    <s v="AKV-93064-769"/>
    <x v="98"/>
    <s v="22305-40299-CY"/>
    <s v="L-D-0.5"/>
    <n v="1"/>
    <s v="Terry Sheryn"/>
    <s v="tsheryn31@mtv.com"/>
    <x v="0"/>
    <x v="3"/>
    <x v="3"/>
    <x v="2"/>
    <x v="2"/>
    <x v="1"/>
    <n v="7.77"/>
    <n v="6.7599"/>
    <n v="7.77"/>
    <n v="6.7599"/>
    <n v="1.0100999999999996"/>
    <n v="0.12999999999999995"/>
    <x v="0"/>
  </r>
  <r>
    <s v="BRB-40903-533"/>
    <x v="99"/>
    <s v="09020-56774-GU"/>
    <s v="E-L-0.2"/>
    <n v="3"/>
    <s v="Marie-jeanne Redgrave"/>
    <s v="mredgrave32@cargocollective.com"/>
    <x v="0"/>
    <x v="1"/>
    <x v="1"/>
    <x v="1"/>
    <x v="1"/>
    <x v="3"/>
    <n v="4.4550000000000001"/>
    <n v="3.96495"/>
    <n v="13.365"/>
    <n v="11.89485"/>
    <n v="1.4701500000000003"/>
    <n v="0.11000000000000001"/>
    <x v="0"/>
  </r>
  <r>
    <s v="GPR-19973-483"/>
    <x v="100"/>
    <s v="92926-08470-YS"/>
    <s v="R-D-0.5"/>
    <n v="5"/>
    <s v="Betty Fominov"/>
    <s v="bfominov33@yale.edu"/>
    <x v="0"/>
    <x v="0"/>
    <x v="0"/>
    <x v="2"/>
    <x v="2"/>
    <x v="1"/>
    <n v="5.3699999999999992"/>
    <n v="5.0477999999999996"/>
    <n v="26.849999999999994"/>
    <n v="25.238999999999997"/>
    <n v="1.6109999999999971"/>
    <n v="5.9999999999999908E-2"/>
    <x v="1"/>
  </r>
  <r>
    <s v="XIY-43041-882"/>
    <x v="101"/>
    <s v="07250-63194-JO"/>
    <s v="A-M-1"/>
    <n v="1"/>
    <s v="Shawnee Critchlow"/>
    <s v="scritchlow34@un.org"/>
    <x v="0"/>
    <x v="2"/>
    <x v="2"/>
    <x v="0"/>
    <x v="0"/>
    <x v="0"/>
    <n v="11.25"/>
    <n v="10.237500000000001"/>
    <n v="11.25"/>
    <n v="10.237500000000001"/>
    <n v="1.0124999999999993"/>
    <n v="8.9999999999999941E-2"/>
    <x v="1"/>
  </r>
  <r>
    <s v="YGY-98425-969"/>
    <x v="102"/>
    <s v="63787-96257-TQ"/>
    <s v="L-M-1"/>
    <n v="1"/>
    <s v="Merrel Steptow"/>
    <s v="msteptow35@earthlink.net"/>
    <x v="1"/>
    <x v="3"/>
    <x v="3"/>
    <x v="0"/>
    <x v="0"/>
    <x v="0"/>
    <n v="14.55"/>
    <n v="12.6585"/>
    <n v="14.55"/>
    <n v="12.6585"/>
    <n v="1.8915000000000006"/>
    <n v="0.13000000000000003"/>
    <x v="1"/>
  </r>
  <r>
    <s v="MSB-08397-648"/>
    <x v="103"/>
    <s v="49530-25460-RW"/>
    <s v="R-L-0.2"/>
    <n v="4"/>
    <s v="Carmina Hubbuck"/>
    <s v="-"/>
    <x v="0"/>
    <x v="0"/>
    <x v="0"/>
    <x v="1"/>
    <x v="1"/>
    <x v="3"/>
    <n v="3.5849999999999995"/>
    <n v="3.3698999999999995"/>
    <n v="14.339999999999998"/>
    <n v="13.479599999999998"/>
    <n v="0.86040000000000028"/>
    <n v="6.0000000000000026E-2"/>
    <x v="1"/>
  </r>
  <r>
    <s v="WDR-06028-345"/>
    <x v="104"/>
    <s v="66508-21373-OQ"/>
    <s v="L-L-1"/>
    <n v="1"/>
    <s v="Ingeberg Mulliner"/>
    <s v="imulliner37@pinterest.com"/>
    <x v="2"/>
    <x v="3"/>
    <x v="3"/>
    <x v="1"/>
    <x v="1"/>
    <x v="0"/>
    <n v="15.85"/>
    <n v="13.7895"/>
    <n v="15.85"/>
    <n v="13.7895"/>
    <n v="2.0604999999999993"/>
    <n v="0.12999999999999995"/>
    <x v="1"/>
  </r>
  <r>
    <s v="MXM-42948-061"/>
    <x v="105"/>
    <s v="20203-03950-FY"/>
    <s v="L-L-0.2"/>
    <n v="4"/>
    <s v="Geneva Standley"/>
    <s v="gstandley38@dion.ne.jp"/>
    <x v="1"/>
    <x v="3"/>
    <x v="3"/>
    <x v="1"/>
    <x v="1"/>
    <x v="3"/>
    <n v="4.7549999999999999"/>
    <n v="4.1368499999999999"/>
    <n v="19.02"/>
    <n v="16.5474"/>
    <n v="2.4725999999999999"/>
    <n v="0.13"/>
    <x v="0"/>
  </r>
  <r>
    <s v="MGQ-98961-173"/>
    <x v="11"/>
    <s v="83895-90735-XH"/>
    <s v="L-L-0.5"/>
    <n v="4"/>
    <s v="Brook Drage"/>
    <s v="bdrage39@youku.com"/>
    <x v="0"/>
    <x v="3"/>
    <x v="3"/>
    <x v="1"/>
    <x v="1"/>
    <x v="1"/>
    <n v="9.51"/>
    <n v="8.2736999999999998"/>
    <n v="38.04"/>
    <n v="33.094799999999999"/>
    <n v="4.9451999999999998"/>
    <n v="0.13"/>
    <x v="1"/>
  </r>
  <r>
    <s v="RFH-64349-897"/>
    <x v="106"/>
    <s v="61954-61462-RJ"/>
    <s v="E-D-0.5"/>
    <n v="3"/>
    <s v="Muffin Yallop"/>
    <s v="myallop3a@fema.gov"/>
    <x v="0"/>
    <x v="1"/>
    <x v="1"/>
    <x v="2"/>
    <x v="2"/>
    <x v="1"/>
    <n v="7.29"/>
    <n v="6.4881000000000002"/>
    <n v="21.87"/>
    <n v="19.464300000000001"/>
    <n v="2.4056999999999995"/>
    <n v="0.10999999999999997"/>
    <x v="0"/>
  </r>
  <r>
    <s v="TKL-20738-660"/>
    <x v="107"/>
    <s v="47939-53158-LS"/>
    <s v="E-M-0.2"/>
    <n v="1"/>
    <s v="Cordi Switsur"/>
    <s v="cswitsur3b@chronoengine.com"/>
    <x v="0"/>
    <x v="1"/>
    <x v="1"/>
    <x v="0"/>
    <x v="0"/>
    <x v="3"/>
    <n v="4.125"/>
    <n v="3.6712500000000001"/>
    <n v="4.125"/>
    <n v="3.6712500000000001"/>
    <n v="0.45374999999999988"/>
    <n v="0.10999999999999997"/>
    <x v="1"/>
  </r>
  <r>
    <s v="TKL-20738-660"/>
    <x v="107"/>
    <s v="47939-53158-LS"/>
    <s v="A-L-0.2"/>
    <n v="1"/>
    <s v="Cordi Switsur"/>
    <s v="cswitsur3b@chronoengine.com"/>
    <x v="0"/>
    <x v="2"/>
    <x v="2"/>
    <x v="1"/>
    <x v="1"/>
    <x v="3"/>
    <n v="3.8849999999999998"/>
    <n v="3.5353499999999998"/>
    <n v="3.8849999999999998"/>
    <n v="3.5353499999999998"/>
    <n v="0.34965000000000002"/>
    <n v="9.0000000000000011E-2"/>
    <x v="1"/>
  </r>
  <r>
    <s v="TKL-20738-660"/>
    <x v="107"/>
    <s v="47939-53158-LS"/>
    <s v="E-M-1"/>
    <n v="5"/>
    <s v="Cordi Switsur"/>
    <s v="cswitsur3b@chronoengine.com"/>
    <x v="0"/>
    <x v="1"/>
    <x v="1"/>
    <x v="0"/>
    <x v="0"/>
    <x v="0"/>
    <n v="13.75"/>
    <n v="12.237500000000001"/>
    <n v="68.75"/>
    <n v="61.1875"/>
    <n v="7.5625"/>
    <n v="0.11"/>
    <x v="1"/>
  </r>
  <r>
    <s v="GOW-03198-575"/>
    <x v="108"/>
    <s v="61513-27752-FA"/>
    <s v="A-D-0.5"/>
    <n v="4"/>
    <s v="Mahala Ludwell"/>
    <s v="mludwell3e@blogger.com"/>
    <x v="0"/>
    <x v="2"/>
    <x v="2"/>
    <x v="2"/>
    <x v="2"/>
    <x v="1"/>
    <n v="5.97"/>
    <n v="5.4326999999999996"/>
    <n v="23.88"/>
    <n v="21.730799999999999"/>
    <n v="2.1492000000000004"/>
    <n v="9.0000000000000024E-2"/>
    <x v="0"/>
  </r>
  <r>
    <s v="QJB-90477-635"/>
    <x v="109"/>
    <s v="89714-19856-WX"/>
    <s v="L-L-2.5"/>
    <n v="4"/>
    <s v="Doll Beauchamp"/>
    <s v="dbeauchamp3f@usda.gov"/>
    <x v="0"/>
    <x v="3"/>
    <x v="3"/>
    <x v="1"/>
    <x v="1"/>
    <x v="2"/>
    <n v="36.454999999999998"/>
    <n v="31.71585"/>
    <n v="145.82"/>
    <n v="126.8634"/>
    <n v="18.956599999999995"/>
    <n v="0.12999999999999998"/>
    <x v="1"/>
  </r>
  <r>
    <s v="MWP-46239-785"/>
    <x v="110"/>
    <s v="87979-56781-YV"/>
    <s v="L-M-0.2"/>
    <n v="5"/>
    <s v="Stanford Rodliff"/>
    <s v="srodliff3g@ted.com"/>
    <x v="0"/>
    <x v="3"/>
    <x v="3"/>
    <x v="0"/>
    <x v="0"/>
    <x v="3"/>
    <n v="4.3650000000000002"/>
    <n v="3.7975500000000002"/>
    <n v="21.825000000000003"/>
    <n v="18.987750000000002"/>
    <n v="2.8372500000000009"/>
    <n v="0.13000000000000003"/>
    <x v="0"/>
  </r>
  <r>
    <s v="QDV-03406-248"/>
    <x v="111"/>
    <s v="74126-88836-KA"/>
    <s v="L-M-0.5"/>
    <n v="3"/>
    <s v="Stevana Woodham"/>
    <s v="swoodham3h@businesswire.com"/>
    <x v="1"/>
    <x v="3"/>
    <x v="3"/>
    <x v="0"/>
    <x v="0"/>
    <x v="1"/>
    <n v="8.73"/>
    <n v="7.5951000000000004"/>
    <n v="26.19"/>
    <n v="22.785299999999999"/>
    <n v="3.4047000000000018"/>
    <n v="0.13000000000000006"/>
    <x v="0"/>
  </r>
  <r>
    <s v="GPH-40635-105"/>
    <x v="112"/>
    <s v="37397-05992-VO"/>
    <s v="A-M-1"/>
    <n v="1"/>
    <s v="Hewet Synnot"/>
    <s v="hsynnot3i@about.com"/>
    <x v="0"/>
    <x v="2"/>
    <x v="2"/>
    <x v="0"/>
    <x v="0"/>
    <x v="0"/>
    <n v="11.25"/>
    <n v="10.237500000000001"/>
    <n v="11.25"/>
    <n v="10.237500000000001"/>
    <n v="1.0124999999999993"/>
    <n v="8.9999999999999941E-2"/>
    <x v="1"/>
  </r>
  <r>
    <s v="JOM-80930-071"/>
    <x v="113"/>
    <s v="54904-18397-UD"/>
    <s v="L-D-1"/>
    <n v="6"/>
    <s v="Raleigh Lepere"/>
    <s v="rlepere3j@shop-pro.jp"/>
    <x v="1"/>
    <x v="3"/>
    <x v="3"/>
    <x v="2"/>
    <x v="2"/>
    <x v="0"/>
    <n v="12.95"/>
    <n v="11.266499999999999"/>
    <n v="77.699999999999989"/>
    <n v="67.59899999999999"/>
    <n v="10.100999999999999"/>
    <n v="0.13"/>
    <x v="1"/>
  </r>
  <r>
    <s v="OIL-26493-755"/>
    <x v="114"/>
    <s v="19017-95853-EK"/>
    <s v="A-M-0.5"/>
    <n v="1"/>
    <s v="Timofei Woofinden"/>
    <s v="twoofinden3k@businesswire.com"/>
    <x v="0"/>
    <x v="2"/>
    <x v="2"/>
    <x v="0"/>
    <x v="0"/>
    <x v="1"/>
    <n v="6.75"/>
    <n v="6.1425000000000001"/>
    <n v="6.75"/>
    <n v="6.1425000000000001"/>
    <n v="0.60749999999999993"/>
    <n v="8.9999999999999983E-2"/>
    <x v="1"/>
  </r>
  <r>
    <s v="CYV-13426-645"/>
    <x v="115"/>
    <s v="88593-59934-VU"/>
    <s v="E-D-1"/>
    <n v="1"/>
    <s v="Evelina Dacca"/>
    <s v="edacca3l@google.pl"/>
    <x v="0"/>
    <x v="1"/>
    <x v="1"/>
    <x v="2"/>
    <x v="2"/>
    <x v="0"/>
    <n v="12.15"/>
    <n v="10.813500000000001"/>
    <n v="12.15"/>
    <n v="10.813500000000001"/>
    <n v="1.3364999999999991"/>
    <n v="0.10999999999999993"/>
    <x v="0"/>
  </r>
  <r>
    <s v="WRP-39846-614"/>
    <x v="49"/>
    <s v="47493-68564-YM"/>
    <s v="A-L-2.5"/>
    <n v="5"/>
    <s v="Bidget Tremellier"/>
    <s v="-"/>
    <x v="1"/>
    <x v="2"/>
    <x v="2"/>
    <x v="1"/>
    <x v="1"/>
    <x v="2"/>
    <n v="29.784999999999997"/>
    <n v="27.104349999999997"/>
    <n v="148.92499999999998"/>
    <n v="135.52175"/>
    <n v="13.403249999999986"/>
    <n v="8.9999999999999913E-2"/>
    <x v="0"/>
  </r>
  <r>
    <s v="VDZ-76673-968"/>
    <x v="116"/>
    <s v="82246-82543-DW"/>
    <s v="E-D-0.5"/>
    <n v="2"/>
    <s v="Bobinette Hindsberg"/>
    <s v="bhindsberg3n@blogs.com"/>
    <x v="0"/>
    <x v="1"/>
    <x v="1"/>
    <x v="2"/>
    <x v="2"/>
    <x v="1"/>
    <n v="7.29"/>
    <n v="6.4881000000000002"/>
    <n v="14.58"/>
    <n v="12.9762"/>
    <n v="1.6037999999999997"/>
    <n v="0.10999999999999997"/>
    <x v="0"/>
  </r>
  <r>
    <s v="VTV-03546-175"/>
    <x v="117"/>
    <s v="03384-62101-IY"/>
    <s v="A-L-2.5"/>
    <n v="5"/>
    <s v="Osbert Robins"/>
    <s v="orobins3o@salon.com"/>
    <x v="0"/>
    <x v="2"/>
    <x v="2"/>
    <x v="1"/>
    <x v="1"/>
    <x v="2"/>
    <n v="29.784999999999997"/>
    <n v="27.104349999999997"/>
    <n v="148.92499999999998"/>
    <n v="135.52175"/>
    <n v="13.403249999999986"/>
    <n v="8.9999999999999913E-2"/>
    <x v="0"/>
  </r>
  <r>
    <s v="GHR-72274-715"/>
    <x v="118"/>
    <s v="86881-41559-OR"/>
    <s v="L-D-1"/>
    <n v="1"/>
    <s v="Othello Syseland"/>
    <s v="osyseland3p@independent.co.uk"/>
    <x v="0"/>
    <x v="3"/>
    <x v="3"/>
    <x v="2"/>
    <x v="2"/>
    <x v="0"/>
    <n v="12.95"/>
    <n v="11.266499999999999"/>
    <n v="12.95"/>
    <n v="11.266499999999999"/>
    <n v="1.6835000000000004"/>
    <n v="0.13000000000000003"/>
    <x v="1"/>
  </r>
  <r>
    <s v="ZGK-97262-313"/>
    <x v="119"/>
    <s v="02536-18494-AQ"/>
    <s v="E-M-2.5"/>
    <n v="3"/>
    <s v="Ewell Hanby"/>
    <s v="-"/>
    <x v="0"/>
    <x v="1"/>
    <x v="1"/>
    <x v="0"/>
    <x v="0"/>
    <x v="2"/>
    <n v="31.624999999999996"/>
    <n v="28.146249999999995"/>
    <n v="94.874999999999986"/>
    <n v="84.438749999999985"/>
    <n v="10.436250000000001"/>
    <n v="0.11000000000000003"/>
    <x v="0"/>
  </r>
  <r>
    <s v="ZFS-30776-804"/>
    <x v="120"/>
    <s v="58638-01029-CB"/>
    <s v="A-L-0.5"/>
    <n v="5"/>
    <s v="Blancha McAmish"/>
    <s v="bmcamish2e@tripadvisor.com"/>
    <x v="0"/>
    <x v="2"/>
    <x v="2"/>
    <x v="1"/>
    <x v="1"/>
    <x v="1"/>
    <n v="7.77"/>
    <n v="7.0706999999999995"/>
    <n v="38.849999999999994"/>
    <n v="35.353499999999997"/>
    <n v="3.4964999999999975"/>
    <n v="8.9999999999999955E-2"/>
    <x v="0"/>
  </r>
  <r>
    <s v="QUU-91729-492"/>
    <x v="121"/>
    <s v="90312-11148-LA"/>
    <s v="A-D-0.2"/>
    <n v="4"/>
    <s v="Lowell Keenleyside"/>
    <s v="lkeenleyside3s@topsy.com"/>
    <x v="0"/>
    <x v="2"/>
    <x v="2"/>
    <x v="2"/>
    <x v="2"/>
    <x v="3"/>
    <n v="2.9849999999999999"/>
    <n v="2.7163499999999998"/>
    <n v="11.94"/>
    <n v="10.865399999999999"/>
    <n v="1.0746000000000002"/>
    <n v="9.0000000000000024E-2"/>
    <x v="1"/>
  </r>
  <r>
    <s v="PVI-72795-960"/>
    <x v="122"/>
    <s v="68239-74809-TF"/>
    <s v="E-L-2.5"/>
    <n v="3"/>
    <s v="Elonore Joliffe"/>
    <s v="-"/>
    <x v="1"/>
    <x v="1"/>
    <x v="1"/>
    <x v="1"/>
    <x v="1"/>
    <x v="2"/>
    <n v="34.154999999999994"/>
    <n v="30.397949999999994"/>
    <n v="102.46499999999997"/>
    <n v="91.193849999999983"/>
    <n v="11.271149999999992"/>
    <n v="0.10999999999999995"/>
    <x v="1"/>
  </r>
  <r>
    <s v="PPP-78935-365"/>
    <x v="123"/>
    <s v="91074-60023-IP"/>
    <s v="E-D-1"/>
    <n v="4"/>
    <s v="Abraham Coleman"/>
    <s v="-"/>
    <x v="0"/>
    <x v="1"/>
    <x v="1"/>
    <x v="2"/>
    <x v="2"/>
    <x v="0"/>
    <n v="12.15"/>
    <n v="10.813500000000001"/>
    <n v="48.6"/>
    <n v="43.254000000000005"/>
    <n v="5.3459999999999965"/>
    <n v="0.10999999999999993"/>
    <x v="1"/>
  </r>
  <r>
    <s v="JUO-34131-517"/>
    <x v="124"/>
    <s v="07972-83748-JI"/>
    <s v="L-D-1"/>
    <n v="6"/>
    <s v="Rivy Farington"/>
    <s v="-"/>
    <x v="0"/>
    <x v="3"/>
    <x v="3"/>
    <x v="2"/>
    <x v="2"/>
    <x v="0"/>
    <n v="12.95"/>
    <n v="11.266499999999999"/>
    <n v="77.699999999999989"/>
    <n v="67.59899999999999"/>
    <n v="10.100999999999999"/>
    <n v="0.13"/>
    <x v="0"/>
  </r>
  <r>
    <s v="ZJE-89333-489"/>
    <x v="125"/>
    <s v="08694-57330-XR"/>
    <s v="L-D-2.5"/>
    <n v="1"/>
    <s v="Vallie Kundt"/>
    <s v="vkundt3w@bigcartel.com"/>
    <x v="1"/>
    <x v="3"/>
    <x v="3"/>
    <x v="2"/>
    <x v="2"/>
    <x v="2"/>
    <n v="29.784999999999997"/>
    <n v="25.912949999999995"/>
    <n v="29.784999999999997"/>
    <n v="25.912949999999995"/>
    <n v="3.8720500000000015"/>
    <n v="0.13000000000000006"/>
    <x v="0"/>
  </r>
  <r>
    <s v="LOO-35324-159"/>
    <x v="126"/>
    <s v="68412-11126-YJ"/>
    <s v="A-L-0.2"/>
    <n v="4"/>
    <s v="Boyd Bett"/>
    <s v="bbett3x@google.de"/>
    <x v="0"/>
    <x v="2"/>
    <x v="2"/>
    <x v="1"/>
    <x v="1"/>
    <x v="3"/>
    <n v="3.8849999999999998"/>
    <n v="3.5353499999999998"/>
    <n v="15.54"/>
    <n v="14.141399999999999"/>
    <n v="1.3986000000000001"/>
    <n v="9.0000000000000011E-2"/>
    <x v="0"/>
  </r>
  <r>
    <s v="JBQ-93412-846"/>
    <x v="127"/>
    <s v="69037-66822-DW"/>
    <s v="E-L-2.5"/>
    <n v="4"/>
    <s v="Julio Armytage"/>
    <s v="-"/>
    <x v="1"/>
    <x v="1"/>
    <x v="1"/>
    <x v="1"/>
    <x v="1"/>
    <x v="2"/>
    <n v="34.154999999999994"/>
    <n v="30.397949999999994"/>
    <n v="136.61999999999998"/>
    <n v="121.59179999999998"/>
    <n v="15.028199999999998"/>
    <n v="0.11"/>
    <x v="0"/>
  </r>
  <r>
    <s v="EHX-66333-637"/>
    <x v="128"/>
    <s v="01297-94364-XH"/>
    <s v="L-M-0.5"/>
    <n v="2"/>
    <s v="Deana Staite"/>
    <s v="dstaite3z@scientificamerican.com"/>
    <x v="0"/>
    <x v="3"/>
    <x v="3"/>
    <x v="0"/>
    <x v="0"/>
    <x v="1"/>
    <n v="8.73"/>
    <n v="7.5951000000000004"/>
    <n v="17.46"/>
    <n v="15.190200000000001"/>
    <n v="2.2698"/>
    <n v="0.13"/>
    <x v="1"/>
  </r>
  <r>
    <s v="WXG-25759-236"/>
    <x v="103"/>
    <s v="39919-06540-ZI"/>
    <s v="E-L-2.5"/>
    <n v="2"/>
    <s v="Winn Keyse"/>
    <s v="wkeyse40@apple.com"/>
    <x v="0"/>
    <x v="1"/>
    <x v="1"/>
    <x v="1"/>
    <x v="1"/>
    <x v="2"/>
    <n v="34.154999999999994"/>
    <n v="30.397949999999994"/>
    <n v="68.309999999999988"/>
    <n v="60.795899999999989"/>
    <n v="7.5140999999999991"/>
    <n v="0.11"/>
    <x v="0"/>
  </r>
  <r>
    <s v="QNA-31113-984"/>
    <x v="129"/>
    <s v="60512-78550-WS"/>
    <s v="L-M-0.2"/>
    <n v="4"/>
    <s v="Osmund Clausen-Thue"/>
    <s v="oclausenthue41@marriott.com"/>
    <x v="0"/>
    <x v="3"/>
    <x v="3"/>
    <x v="0"/>
    <x v="0"/>
    <x v="3"/>
    <n v="4.3650000000000002"/>
    <n v="3.7975500000000002"/>
    <n v="17.46"/>
    <n v="15.190200000000001"/>
    <n v="2.2698"/>
    <n v="0.13"/>
    <x v="1"/>
  </r>
  <r>
    <s v="ZWI-52029-159"/>
    <x v="130"/>
    <s v="40172-12000-AU"/>
    <s v="L-M-1"/>
    <n v="3"/>
    <s v="Leonore Francisco"/>
    <s v="lfrancisco42@fema.gov"/>
    <x v="0"/>
    <x v="3"/>
    <x v="3"/>
    <x v="0"/>
    <x v="0"/>
    <x v="0"/>
    <n v="14.55"/>
    <n v="12.6585"/>
    <n v="43.650000000000006"/>
    <n v="37.975499999999997"/>
    <n v="5.674500000000009"/>
    <n v="0.1300000000000002"/>
    <x v="1"/>
  </r>
  <r>
    <s v="ZWI-52029-159"/>
    <x v="130"/>
    <s v="40172-12000-AU"/>
    <s v="E-M-1"/>
    <n v="2"/>
    <s v="Leonore Francisco"/>
    <s v="lfrancisco42@fema.gov"/>
    <x v="0"/>
    <x v="1"/>
    <x v="1"/>
    <x v="0"/>
    <x v="0"/>
    <x v="0"/>
    <n v="13.75"/>
    <n v="12.237500000000001"/>
    <n v="27.5"/>
    <n v="24.475000000000001"/>
    <n v="3.0249999999999986"/>
    <n v="0.10999999999999995"/>
    <x v="1"/>
  </r>
  <r>
    <s v="DFS-49954-707"/>
    <x v="131"/>
    <s v="39019-13649-CL"/>
    <s v="E-D-0.2"/>
    <n v="5"/>
    <s v="Giacobo Skingle"/>
    <s v="gskingle44@clickbank.net"/>
    <x v="0"/>
    <x v="1"/>
    <x v="1"/>
    <x v="2"/>
    <x v="2"/>
    <x v="3"/>
    <n v="3.645"/>
    <n v="3.2440500000000001"/>
    <n v="18.225000000000001"/>
    <n v="16.22025"/>
    <n v="2.0047500000000014"/>
    <n v="0.11000000000000007"/>
    <x v="0"/>
  </r>
  <r>
    <s v="VYP-89830-878"/>
    <x v="132"/>
    <s v="12715-05198-QU"/>
    <s v="A-M-2.5"/>
    <n v="2"/>
    <s v="Gerard Pirdy"/>
    <s v="-"/>
    <x v="0"/>
    <x v="2"/>
    <x v="2"/>
    <x v="0"/>
    <x v="0"/>
    <x v="2"/>
    <n v="25.874999999999996"/>
    <n v="23.546249999999997"/>
    <n v="51.749999999999993"/>
    <n v="47.092499999999994"/>
    <n v="4.6574999999999989"/>
    <n v="0.09"/>
    <x v="0"/>
  </r>
  <r>
    <s v="AMT-40418-362"/>
    <x v="133"/>
    <s v="04513-76520-QO"/>
    <s v="L-D-1"/>
    <n v="1"/>
    <s v="Jacinthe Balsillie"/>
    <s v="jbalsillie46@princeton.edu"/>
    <x v="0"/>
    <x v="3"/>
    <x v="3"/>
    <x v="2"/>
    <x v="2"/>
    <x v="0"/>
    <n v="12.95"/>
    <n v="11.266499999999999"/>
    <n v="12.95"/>
    <n v="11.266499999999999"/>
    <n v="1.6835000000000004"/>
    <n v="0.13000000000000003"/>
    <x v="0"/>
  </r>
  <r>
    <s v="NFQ-23241-793"/>
    <x v="134"/>
    <s v="88446-59251-SQ"/>
    <s v="A-M-1"/>
    <n v="3"/>
    <s v="Quinton Fouracres"/>
    <s v="-"/>
    <x v="0"/>
    <x v="2"/>
    <x v="2"/>
    <x v="0"/>
    <x v="0"/>
    <x v="0"/>
    <n v="11.25"/>
    <n v="10.237500000000001"/>
    <n v="33.75"/>
    <n v="30.712500000000002"/>
    <n v="3.0374999999999979"/>
    <n v="8.9999999999999941E-2"/>
    <x v="0"/>
  </r>
  <r>
    <s v="JQK-64922-985"/>
    <x v="113"/>
    <s v="23779-10274-KN"/>
    <s v="R-M-2.5"/>
    <n v="3"/>
    <s v="Bettina Leffek"/>
    <s v="bleffek48@ning.com"/>
    <x v="0"/>
    <x v="0"/>
    <x v="0"/>
    <x v="0"/>
    <x v="0"/>
    <x v="2"/>
    <n v="22.884999999999998"/>
    <n v="21.511899999999997"/>
    <n v="68.655000000000001"/>
    <n v="64.535699999999991"/>
    <n v="4.1193000000000097"/>
    <n v="6.0000000000000143E-2"/>
    <x v="0"/>
  </r>
  <r>
    <s v="YET-17732-678"/>
    <x v="135"/>
    <s v="57235-92842-DK"/>
    <s v="R-D-0.2"/>
    <n v="1"/>
    <s v="Hetti Penson"/>
    <s v="-"/>
    <x v="0"/>
    <x v="0"/>
    <x v="0"/>
    <x v="2"/>
    <x v="2"/>
    <x v="3"/>
    <n v="2.6849999999999996"/>
    <n v="2.5238999999999998"/>
    <n v="2.6849999999999996"/>
    <n v="2.5238999999999998"/>
    <n v="0.1610999999999998"/>
    <n v="5.9999999999999935E-2"/>
    <x v="1"/>
  </r>
  <r>
    <s v="NKW-24945-846"/>
    <x v="35"/>
    <s v="75977-30364-AY"/>
    <s v="A-D-2.5"/>
    <n v="5"/>
    <s v="Jocko Pray"/>
    <s v="jpray4a@youtube.com"/>
    <x v="0"/>
    <x v="2"/>
    <x v="2"/>
    <x v="2"/>
    <x v="2"/>
    <x v="2"/>
    <n v="22.884999999999998"/>
    <n v="20.82535"/>
    <n v="114.42499999999998"/>
    <n v="104.12675"/>
    <n v="10.298249999999982"/>
    <n v="8.9999999999999858E-2"/>
    <x v="1"/>
  </r>
  <r>
    <s v="VKA-82720-513"/>
    <x v="136"/>
    <s v="12299-30914-NG"/>
    <s v="A-M-2.5"/>
    <n v="6"/>
    <s v="Grete Holborn"/>
    <s v="gholborn4b@ow.ly"/>
    <x v="0"/>
    <x v="2"/>
    <x v="2"/>
    <x v="0"/>
    <x v="0"/>
    <x v="2"/>
    <n v="25.874999999999996"/>
    <n v="23.546249999999997"/>
    <n v="155.24999999999997"/>
    <n v="141.27749999999997"/>
    <n v="13.972499999999997"/>
    <n v="0.09"/>
    <x v="0"/>
  </r>
  <r>
    <s v="THA-60599-417"/>
    <x v="137"/>
    <s v="59971-35626-YJ"/>
    <s v="A-M-2.5"/>
    <n v="3"/>
    <s v="Fielding Keinrat"/>
    <s v="fkeinrat4c@dailymail.co.uk"/>
    <x v="0"/>
    <x v="2"/>
    <x v="2"/>
    <x v="0"/>
    <x v="0"/>
    <x v="2"/>
    <n v="25.874999999999996"/>
    <n v="23.546249999999997"/>
    <n v="77.624999999999986"/>
    <n v="70.638749999999987"/>
    <n v="6.9862499999999983"/>
    <n v="0.09"/>
    <x v="0"/>
  </r>
  <r>
    <s v="MEK-39769-035"/>
    <x v="138"/>
    <s v="15380-76513-PS"/>
    <s v="R-D-2.5"/>
    <n v="3"/>
    <s v="Paulo Yea"/>
    <s v="pyea4d@aol.com"/>
    <x v="1"/>
    <x v="0"/>
    <x v="0"/>
    <x v="2"/>
    <x v="2"/>
    <x v="2"/>
    <n v="20.584999999999997"/>
    <n v="19.349899999999998"/>
    <n v="61.754999999999995"/>
    <n v="58.049699999999994"/>
    <n v="3.7053000000000011"/>
    <n v="6.0000000000000026E-2"/>
    <x v="1"/>
  </r>
  <r>
    <s v="JAF-18294-750"/>
    <x v="139"/>
    <s v="73564-98204-EY"/>
    <s v="R-D-2.5"/>
    <n v="6"/>
    <s v="Say Risborough"/>
    <s v="-"/>
    <x v="0"/>
    <x v="0"/>
    <x v="0"/>
    <x v="2"/>
    <x v="2"/>
    <x v="2"/>
    <n v="20.584999999999997"/>
    <n v="19.349899999999998"/>
    <n v="123.50999999999999"/>
    <n v="116.09939999999999"/>
    <n v="7.4106000000000023"/>
    <n v="6.0000000000000026E-2"/>
    <x v="0"/>
  </r>
  <r>
    <s v="TME-59627-221"/>
    <x v="140"/>
    <s v="72282-40594-RX"/>
    <s v="L-L-2.5"/>
    <n v="6"/>
    <s v="Alexa Sizey"/>
    <s v="-"/>
    <x v="0"/>
    <x v="3"/>
    <x v="3"/>
    <x v="1"/>
    <x v="1"/>
    <x v="2"/>
    <n v="36.454999999999998"/>
    <n v="31.71585"/>
    <n v="218.73"/>
    <n v="190.29509999999999"/>
    <n v="28.434899999999999"/>
    <n v="0.13"/>
    <x v="1"/>
  </r>
  <r>
    <s v="UDG-65353-824"/>
    <x v="141"/>
    <s v="17514-94165-RJ"/>
    <s v="E-M-0.5"/>
    <n v="4"/>
    <s v="Kari Swede"/>
    <s v="kswede4g@addthis.com"/>
    <x v="0"/>
    <x v="1"/>
    <x v="1"/>
    <x v="0"/>
    <x v="0"/>
    <x v="1"/>
    <n v="8.25"/>
    <n v="7.3425000000000002"/>
    <n v="33"/>
    <n v="29.37"/>
    <n v="3.629999999999999"/>
    <n v="0.10999999999999997"/>
    <x v="1"/>
  </r>
  <r>
    <s v="ENQ-42923-176"/>
    <x v="142"/>
    <s v="56248-75861-JX"/>
    <s v="A-L-0.5"/>
    <n v="3"/>
    <s v="Leontine Rubrow"/>
    <s v="lrubrow4h@microsoft.com"/>
    <x v="0"/>
    <x v="2"/>
    <x v="2"/>
    <x v="1"/>
    <x v="1"/>
    <x v="1"/>
    <n v="7.77"/>
    <n v="7.0706999999999995"/>
    <n v="23.31"/>
    <n v="21.2121"/>
    <n v="2.0978999999999992"/>
    <n v="8.9999999999999969E-2"/>
    <x v="1"/>
  </r>
  <r>
    <s v="CBT-55781-720"/>
    <x v="143"/>
    <s v="97855-54761-IS"/>
    <s v="E-D-0.5"/>
    <n v="3"/>
    <s v="Dottie Tift"/>
    <s v="dtift4i@netvibes.com"/>
    <x v="0"/>
    <x v="1"/>
    <x v="1"/>
    <x v="2"/>
    <x v="2"/>
    <x v="1"/>
    <n v="7.29"/>
    <n v="6.4881000000000002"/>
    <n v="21.87"/>
    <n v="19.464300000000001"/>
    <n v="2.4056999999999995"/>
    <n v="0.10999999999999997"/>
    <x v="0"/>
  </r>
  <r>
    <s v="NEU-86533-016"/>
    <x v="144"/>
    <s v="96544-91644-IT"/>
    <s v="R-D-0.2"/>
    <n v="6"/>
    <s v="Gerardo Schonfeld"/>
    <s v="gschonfeld4j@oracle.com"/>
    <x v="0"/>
    <x v="0"/>
    <x v="0"/>
    <x v="2"/>
    <x v="2"/>
    <x v="3"/>
    <n v="2.6849999999999996"/>
    <n v="2.5238999999999998"/>
    <n v="16.11"/>
    <n v="15.1434"/>
    <n v="0.96659999999999968"/>
    <n v="5.9999999999999984E-2"/>
    <x v="1"/>
  </r>
  <r>
    <s v="BYU-58154-603"/>
    <x v="145"/>
    <s v="51971-70393-QM"/>
    <s v="E-D-0.5"/>
    <n v="4"/>
    <s v="Claiborne Feye"/>
    <s v="cfeye4k@google.co.jp"/>
    <x v="1"/>
    <x v="1"/>
    <x v="1"/>
    <x v="2"/>
    <x v="2"/>
    <x v="1"/>
    <n v="7.29"/>
    <n v="6.4881000000000002"/>
    <n v="29.16"/>
    <n v="25.952400000000001"/>
    <n v="3.2075999999999993"/>
    <n v="0.10999999999999997"/>
    <x v="1"/>
  </r>
  <r>
    <s v="EHJ-05910-257"/>
    <x v="146"/>
    <s v="06812-11924-IK"/>
    <s v="R-D-1"/>
    <n v="6"/>
    <s v="Mina Elstone"/>
    <s v="-"/>
    <x v="0"/>
    <x v="0"/>
    <x v="0"/>
    <x v="2"/>
    <x v="2"/>
    <x v="0"/>
    <n v="8.9499999999999993"/>
    <n v="8.4130000000000003"/>
    <n v="53.699999999999996"/>
    <n v="50.478000000000002"/>
    <n v="3.2219999999999942"/>
    <n v="5.9999999999999894E-2"/>
    <x v="0"/>
  </r>
  <r>
    <s v="EIL-44855-309"/>
    <x v="147"/>
    <s v="59741-90220-OW"/>
    <s v="R-D-0.5"/>
    <n v="5"/>
    <s v="Sherman Mewrcik"/>
    <s v="-"/>
    <x v="0"/>
    <x v="0"/>
    <x v="0"/>
    <x v="2"/>
    <x v="2"/>
    <x v="1"/>
    <n v="5.3699999999999992"/>
    <n v="5.0477999999999996"/>
    <n v="26.849999999999994"/>
    <n v="25.238999999999997"/>
    <n v="1.6109999999999971"/>
    <n v="5.9999999999999908E-2"/>
    <x v="0"/>
  </r>
  <r>
    <s v="HCA-87224-420"/>
    <x v="148"/>
    <s v="62682-27930-PD"/>
    <s v="E-M-0.5"/>
    <n v="5"/>
    <s v="Tamarah Fero"/>
    <s v="tfero4n@comsenz.com"/>
    <x v="0"/>
    <x v="1"/>
    <x v="1"/>
    <x v="0"/>
    <x v="0"/>
    <x v="1"/>
    <n v="8.25"/>
    <n v="7.3425000000000002"/>
    <n v="41.25"/>
    <n v="36.712499999999999"/>
    <n v="4.5375000000000014"/>
    <n v="0.11000000000000003"/>
    <x v="0"/>
  </r>
  <r>
    <s v="ABO-29054-365"/>
    <x v="149"/>
    <s v="00256-19905-YG"/>
    <s v="A-M-0.5"/>
    <n v="6"/>
    <s v="Stanislaus Valsler"/>
    <s v="-"/>
    <x v="1"/>
    <x v="2"/>
    <x v="2"/>
    <x v="0"/>
    <x v="0"/>
    <x v="1"/>
    <n v="6.75"/>
    <n v="6.1425000000000001"/>
    <n v="40.5"/>
    <n v="36.855000000000004"/>
    <n v="3.644999999999996"/>
    <n v="8.99999999999999E-2"/>
    <x v="1"/>
  </r>
  <r>
    <s v="TKN-58485-031"/>
    <x v="150"/>
    <s v="38890-22576-UI"/>
    <s v="R-D-1"/>
    <n v="2"/>
    <s v="Felita Dauney"/>
    <s v="fdauney4p@sphinn.com"/>
    <x v="1"/>
    <x v="0"/>
    <x v="0"/>
    <x v="2"/>
    <x v="2"/>
    <x v="0"/>
    <n v="8.9499999999999993"/>
    <n v="8.4130000000000003"/>
    <n v="17.899999999999999"/>
    <n v="16.826000000000001"/>
    <n v="1.0739999999999981"/>
    <n v="5.9999999999999894E-2"/>
    <x v="1"/>
  </r>
  <r>
    <s v="RCK-04069-371"/>
    <x v="151"/>
    <s v="94573-61802-PH"/>
    <s v="E-L-2.5"/>
    <n v="2"/>
    <s v="Serena Earley"/>
    <s v="searley4q@youku.com"/>
    <x v="2"/>
    <x v="1"/>
    <x v="1"/>
    <x v="1"/>
    <x v="1"/>
    <x v="2"/>
    <n v="34.154999999999994"/>
    <n v="30.397949999999994"/>
    <n v="68.309999999999988"/>
    <n v="60.795899999999989"/>
    <n v="7.5140999999999991"/>
    <n v="0.11"/>
    <x v="1"/>
  </r>
  <r>
    <s v="IRJ-67095-738"/>
    <x v="13"/>
    <s v="86447-02699-UT"/>
    <s v="E-M-2.5"/>
    <n v="2"/>
    <s v="Minny Chamberlayne"/>
    <s v="mchamberlayne4r@bigcartel.com"/>
    <x v="0"/>
    <x v="1"/>
    <x v="1"/>
    <x v="0"/>
    <x v="0"/>
    <x v="2"/>
    <n v="31.624999999999996"/>
    <n v="28.146249999999995"/>
    <n v="63.249999999999993"/>
    <n v="56.29249999999999"/>
    <n v="6.9575000000000031"/>
    <n v="0.11000000000000006"/>
    <x v="0"/>
  </r>
  <r>
    <s v="VEA-31961-977"/>
    <x v="79"/>
    <s v="51432-27169-KN"/>
    <s v="E-D-0.5"/>
    <n v="3"/>
    <s v="Bartholemy Flaherty"/>
    <s v="bflaherty4s@moonfruit.com"/>
    <x v="1"/>
    <x v="1"/>
    <x v="1"/>
    <x v="2"/>
    <x v="2"/>
    <x v="1"/>
    <n v="7.29"/>
    <n v="6.4881000000000002"/>
    <n v="21.87"/>
    <n v="19.464300000000001"/>
    <n v="2.4056999999999995"/>
    <n v="0.10999999999999997"/>
    <x v="1"/>
  </r>
  <r>
    <s v="BAF-42286-205"/>
    <x v="152"/>
    <s v="43074-00987-PB"/>
    <s v="R-M-2.5"/>
    <n v="4"/>
    <s v="Oran Colbeck"/>
    <s v="ocolbeck4t@sina.com.cn"/>
    <x v="0"/>
    <x v="0"/>
    <x v="0"/>
    <x v="0"/>
    <x v="0"/>
    <x v="2"/>
    <n v="22.884999999999998"/>
    <n v="21.511899999999997"/>
    <n v="91.539999999999992"/>
    <n v="86.047599999999989"/>
    <n v="5.4924000000000035"/>
    <n v="6.0000000000000046E-2"/>
    <x v="1"/>
  </r>
  <r>
    <s v="WOR-52762-511"/>
    <x v="153"/>
    <s v="04739-85772-QT"/>
    <s v="E-L-2.5"/>
    <n v="6"/>
    <s v="Elysee Sketch"/>
    <s v="-"/>
    <x v="0"/>
    <x v="1"/>
    <x v="1"/>
    <x v="1"/>
    <x v="1"/>
    <x v="2"/>
    <n v="34.154999999999994"/>
    <n v="30.397949999999994"/>
    <n v="204.92999999999995"/>
    <n v="182.38769999999997"/>
    <n v="22.542299999999983"/>
    <n v="0.10999999999999995"/>
    <x v="0"/>
  </r>
  <r>
    <s v="ZWK-03995-815"/>
    <x v="154"/>
    <s v="28279-78469-YW"/>
    <s v="E-M-2.5"/>
    <n v="2"/>
    <s v="Ethelda Hobbing"/>
    <s v="ehobbing4v@nsw.gov.au"/>
    <x v="0"/>
    <x v="1"/>
    <x v="1"/>
    <x v="0"/>
    <x v="0"/>
    <x v="2"/>
    <n v="31.624999999999996"/>
    <n v="28.146249999999995"/>
    <n v="63.249999999999993"/>
    <n v="56.29249999999999"/>
    <n v="6.9575000000000031"/>
    <n v="0.11000000000000006"/>
    <x v="0"/>
  </r>
  <r>
    <s v="CKF-43291-846"/>
    <x v="155"/>
    <s v="91829-99544-DS"/>
    <s v="E-L-2.5"/>
    <n v="1"/>
    <s v="Odille Thynne"/>
    <s v="othynne4w@auda.org.au"/>
    <x v="0"/>
    <x v="1"/>
    <x v="1"/>
    <x v="1"/>
    <x v="1"/>
    <x v="2"/>
    <n v="34.154999999999994"/>
    <n v="30.397949999999994"/>
    <n v="34.154999999999994"/>
    <n v="30.397949999999994"/>
    <n v="3.7570499999999996"/>
    <n v="0.11"/>
    <x v="0"/>
  </r>
  <r>
    <s v="RMW-74160-339"/>
    <x v="156"/>
    <s v="38978-59582-JP"/>
    <s v="R-L-2.5"/>
    <n v="4"/>
    <s v="Emlynne Heining"/>
    <s v="eheining4x@flickr.com"/>
    <x v="0"/>
    <x v="0"/>
    <x v="0"/>
    <x v="1"/>
    <x v="1"/>
    <x v="2"/>
    <n v="27.484999999999996"/>
    <n v="25.835899999999995"/>
    <n v="109.93999999999998"/>
    <n v="103.34359999999998"/>
    <n v="6.5964000000000027"/>
    <n v="6.0000000000000032E-2"/>
    <x v="0"/>
  </r>
  <r>
    <s v="FMT-94584-786"/>
    <x v="22"/>
    <s v="86504-96610-BH"/>
    <s v="A-L-1"/>
    <n v="2"/>
    <s v="Katerina Melloi"/>
    <s v="kmelloi4y@imdb.com"/>
    <x v="0"/>
    <x v="2"/>
    <x v="2"/>
    <x v="1"/>
    <x v="1"/>
    <x v="0"/>
    <n v="12.95"/>
    <n v="11.7845"/>
    <n v="25.9"/>
    <n v="23.568999999999999"/>
    <n v="2.3309999999999995"/>
    <n v="8.9999999999999983E-2"/>
    <x v="1"/>
  </r>
  <r>
    <s v="NWT-78222-575"/>
    <x v="157"/>
    <s v="75986-98864-EZ"/>
    <s v="A-D-0.2"/>
    <n v="1"/>
    <s v="Tiffany Scardafield"/>
    <s v="-"/>
    <x v="1"/>
    <x v="2"/>
    <x v="2"/>
    <x v="2"/>
    <x v="2"/>
    <x v="3"/>
    <n v="2.9849999999999999"/>
    <n v="2.7163499999999998"/>
    <n v="2.9849999999999999"/>
    <n v="2.7163499999999998"/>
    <n v="0.26865000000000006"/>
    <n v="9.0000000000000024E-2"/>
    <x v="1"/>
  </r>
  <r>
    <s v="EOI-02511-919"/>
    <x v="158"/>
    <s v="66776-88682-RG"/>
    <s v="E-L-0.2"/>
    <n v="5"/>
    <s v="Abrahan Mussen"/>
    <s v="amussen50@51.la"/>
    <x v="0"/>
    <x v="1"/>
    <x v="1"/>
    <x v="1"/>
    <x v="1"/>
    <x v="3"/>
    <n v="4.4550000000000001"/>
    <n v="3.96495"/>
    <n v="22.274999999999999"/>
    <n v="19.824750000000002"/>
    <n v="2.4502499999999969"/>
    <n v="0.10999999999999988"/>
    <x v="1"/>
  </r>
  <r>
    <s v="EOI-02511-919"/>
    <x v="158"/>
    <s v="66776-88682-RG"/>
    <s v="A-D-0.5"/>
    <n v="5"/>
    <s v="Abrahan Mussen"/>
    <s v="amussen50@51.la"/>
    <x v="0"/>
    <x v="2"/>
    <x v="2"/>
    <x v="2"/>
    <x v="2"/>
    <x v="1"/>
    <n v="5.97"/>
    <n v="5.4326999999999996"/>
    <n v="29.849999999999998"/>
    <n v="27.163499999999999"/>
    <n v="2.6864999999999988"/>
    <n v="8.9999999999999969E-2"/>
    <x v="1"/>
  </r>
  <r>
    <s v="UCT-03935-589"/>
    <x v="78"/>
    <s v="85851-78384-DM"/>
    <s v="R-D-0.5"/>
    <n v="6"/>
    <s v="Anny Mundford"/>
    <s v="amundford52@nbcnews.com"/>
    <x v="0"/>
    <x v="0"/>
    <x v="0"/>
    <x v="2"/>
    <x v="2"/>
    <x v="1"/>
    <n v="5.3699999999999992"/>
    <n v="5.0477999999999996"/>
    <n v="32.22"/>
    <n v="30.286799999999999"/>
    <n v="1.9331999999999994"/>
    <n v="5.9999999999999984E-2"/>
    <x v="1"/>
  </r>
  <r>
    <s v="SBI-60013-494"/>
    <x v="159"/>
    <s v="55232-81621-BX"/>
    <s v="E-M-0.2"/>
    <n v="2"/>
    <s v="Tory Walas"/>
    <s v="twalas53@google.ca"/>
    <x v="0"/>
    <x v="1"/>
    <x v="1"/>
    <x v="0"/>
    <x v="0"/>
    <x v="3"/>
    <n v="4.125"/>
    <n v="3.6712500000000001"/>
    <n v="8.25"/>
    <n v="7.3425000000000002"/>
    <n v="0.90749999999999975"/>
    <n v="0.10999999999999997"/>
    <x v="1"/>
  </r>
  <r>
    <s v="QRA-73277-814"/>
    <x v="160"/>
    <s v="80310-92912-JA"/>
    <s v="A-L-0.5"/>
    <n v="4"/>
    <s v="Isa Blazewicz"/>
    <s v="iblazewicz54@thetimes.co.uk"/>
    <x v="0"/>
    <x v="2"/>
    <x v="2"/>
    <x v="1"/>
    <x v="1"/>
    <x v="1"/>
    <n v="7.77"/>
    <n v="7.0706999999999995"/>
    <n v="31.08"/>
    <n v="28.282799999999998"/>
    <n v="2.7972000000000001"/>
    <n v="9.0000000000000011E-2"/>
    <x v="1"/>
  </r>
  <r>
    <s v="EQE-31648-909"/>
    <x v="161"/>
    <s v="19821-05175-WZ"/>
    <s v="E-D-0.5"/>
    <n v="5"/>
    <s v="Angie Rizzetti"/>
    <s v="arizzetti55@naver.com"/>
    <x v="0"/>
    <x v="1"/>
    <x v="1"/>
    <x v="2"/>
    <x v="2"/>
    <x v="1"/>
    <n v="7.29"/>
    <n v="6.4881000000000002"/>
    <n v="36.450000000000003"/>
    <n v="32.4405"/>
    <n v="4.0095000000000027"/>
    <n v="0.11000000000000007"/>
    <x v="0"/>
  </r>
  <r>
    <s v="QOO-24615-950"/>
    <x v="162"/>
    <s v="01338-83217-GV"/>
    <s v="R-M-2.5"/>
    <n v="3"/>
    <s v="Mord Meriet"/>
    <s v="mmeriet56@noaa.gov"/>
    <x v="0"/>
    <x v="0"/>
    <x v="0"/>
    <x v="0"/>
    <x v="0"/>
    <x v="2"/>
    <n v="22.884999999999998"/>
    <n v="21.511899999999997"/>
    <n v="68.655000000000001"/>
    <n v="64.535699999999991"/>
    <n v="4.1193000000000097"/>
    <n v="6.0000000000000143E-2"/>
    <x v="1"/>
  </r>
  <r>
    <s v="WDV-73864-037"/>
    <x v="70"/>
    <s v="66044-25298-TA"/>
    <s v="L-M-0.5"/>
    <n v="5"/>
    <s v="Lawrence Pratt"/>
    <s v="lpratt57@netvibes.com"/>
    <x v="0"/>
    <x v="3"/>
    <x v="3"/>
    <x v="0"/>
    <x v="0"/>
    <x v="1"/>
    <n v="8.73"/>
    <n v="7.5951000000000004"/>
    <n v="43.650000000000006"/>
    <n v="37.975500000000004"/>
    <n v="5.6745000000000019"/>
    <n v="0.13000000000000003"/>
    <x v="0"/>
  </r>
  <r>
    <s v="PKR-88575-066"/>
    <x v="163"/>
    <s v="28728-47861-TZ"/>
    <s v="E-L-0.2"/>
    <n v="1"/>
    <s v="Astrix Kitchingham"/>
    <s v="akitchingham58@com.com"/>
    <x v="0"/>
    <x v="1"/>
    <x v="1"/>
    <x v="1"/>
    <x v="1"/>
    <x v="3"/>
    <n v="4.4550000000000001"/>
    <n v="3.96495"/>
    <n v="4.4550000000000001"/>
    <n v="3.96495"/>
    <n v="0.4900500000000001"/>
    <n v="0.11000000000000001"/>
    <x v="0"/>
  </r>
  <r>
    <s v="BWR-85735-955"/>
    <x v="153"/>
    <s v="32638-38620-AX"/>
    <s v="L-M-1"/>
    <n v="3"/>
    <s v="Burnard Bartholin"/>
    <s v="bbartholin59@xinhuanet.com"/>
    <x v="0"/>
    <x v="3"/>
    <x v="3"/>
    <x v="0"/>
    <x v="0"/>
    <x v="0"/>
    <n v="14.55"/>
    <n v="12.6585"/>
    <n v="43.650000000000006"/>
    <n v="37.975499999999997"/>
    <n v="5.674500000000009"/>
    <n v="0.1300000000000002"/>
    <x v="0"/>
  </r>
  <r>
    <s v="YFX-64795-136"/>
    <x v="164"/>
    <s v="83163-65741-IH"/>
    <s v="L-M-2.5"/>
    <n v="1"/>
    <s v="Madelene Prinn"/>
    <s v="mprinn5a@usa.gov"/>
    <x v="0"/>
    <x v="3"/>
    <x v="3"/>
    <x v="0"/>
    <x v="0"/>
    <x v="2"/>
    <n v="33.464999999999996"/>
    <n v="29.114549999999998"/>
    <n v="33.464999999999996"/>
    <n v="29.114549999999998"/>
    <n v="4.3504499999999986"/>
    <n v="0.12999999999999998"/>
    <x v="0"/>
  </r>
  <r>
    <s v="DDO-71442-967"/>
    <x v="165"/>
    <s v="89422-58281-FD"/>
    <s v="L-D-0.2"/>
    <n v="5"/>
    <s v="Alisun Baudino"/>
    <s v="abaudino5b@netvibes.com"/>
    <x v="0"/>
    <x v="3"/>
    <x v="3"/>
    <x v="2"/>
    <x v="2"/>
    <x v="3"/>
    <n v="3.8849999999999998"/>
    <n v="3.37995"/>
    <n v="19.424999999999997"/>
    <n v="16.899750000000001"/>
    <n v="2.5252499999999962"/>
    <n v="0.12999999999999984"/>
    <x v="0"/>
  </r>
  <r>
    <s v="ILQ-11027-588"/>
    <x v="166"/>
    <s v="76293-30918-DQ"/>
    <s v="E-D-1"/>
    <n v="6"/>
    <s v="Philipa Petrushanko"/>
    <s v="ppetrushanko5c@blinklist.com"/>
    <x v="1"/>
    <x v="1"/>
    <x v="1"/>
    <x v="2"/>
    <x v="2"/>
    <x v="0"/>
    <n v="12.15"/>
    <n v="10.813500000000001"/>
    <n v="72.900000000000006"/>
    <n v="64.881"/>
    <n v="8.0190000000000055"/>
    <n v="0.11000000000000007"/>
    <x v="0"/>
  </r>
  <r>
    <s v="KRZ-13868-122"/>
    <x v="167"/>
    <s v="86779-84838-EJ"/>
    <s v="E-L-1"/>
    <n v="3"/>
    <s v="Kimberli Mustchin"/>
    <s v="-"/>
    <x v="0"/>
    <x v="1"/>
    <x v="1"/>
    <x v="1"/>
    <x v="1"/>
    <x v="0"/>
    <n v="14.85"/>
    <n v="13.2165"/>
    <n v="44.55"/>
    <n v="39.649500000000003"/>
    <n v="4.9004999999999939"/>
    <n v="0.10999999999999988"/>
    <x v="1"/>
  </r>
  <r>
    <s v="VRM-93594-914"/>
    <x v="168"/>
    <s v="66806-41795-MX"/>
    <s v="E-D-0.5"/>
    <n v="5"/>
    <s v="Emlynne Laird"/>
    <s v="elaird5e@bing.com"/>
    <x v="0"/>
    <x v="1"/>
    <x v="1"/>
    <x v="2"/>
    <x v="2"/>
    <x v="1"/>
    <n v="7.29"/>
    <n v="6.4881000000000002"/>
    <n v="36.450000000000003"/>
    <n v="32.4405"/>
    <n v="4.0095000000000027"/>
    <n v="0.11000000000000007"/>
    <x v="1"/>
  </r>
  <r>
    <s v="HXL-22497-359"/>
    <x v="169"/>
    <s v="64875-71224-UI"/>
    <s v="A-L-1"/>
    <n v="3"/>
    <s v="Marlena Howsden"/>
    <s v="mhowsden5f@infoseek.co.jp"/>
    <x v="0"/>
    <x v="2"/>
    <x v="2"/>
    <x v="1"/>
    <x v="1"/>
    <x v="0"/>
    <n v="12.95"/>
    <n v="11.7845"/>
    <n v="38.849999999999994"/>
    <n v="35.353499999999997"/>
    <n v="3.4964999999999975"/>
    <n v="8.9999999999999955E-2"/>
    <x v="1"/>
  </r>
  <r>
    <s v="NOP-21394-646"/>
    <x v="170"/>
    <s v="16982-35708-BZ"/>
    <s v="E-L-0.5"/>
    <n v="6"/>
    <s v="Nealson Cuttler"/>
    <s v="ncuttler5g@parallels.com"/>
    <x v="0"/>
    <x v="1"/>
    <x v="1"/>
    <x v="1"/>
    <x v="1"/>
    <x v="1"/>
    <n v="8.91"/>
    <n v="7.9298999999999999"/>
    <n v="53.46"/>
    <n v="47.5794"/>
    <n v="5.8806000000000012"/>
    <n v="0.11000000000000001"/>
    <x v="1"/>
  </r>
  <r>
    <s v="NOP-21394-646"/>
    <x v="170"/>
    <s v="16982-35708-BZ"/>
    <s v="L-D-2.5"/>
    <n v="2"/>
    <s v="Nealson Cuttler"/>
    <s v="ncuttler5g@parallels.com"/>
    <x v="0"/>
    <x v="3"/>
    <x v="3"/>
    <x v="2"/>
    <x v="2"/>
    <x v="2"/>
    <n v="29.784999999999997"/>
    <n v="25.912949999999995"/>
    <n v="59.569999999999993"/>
    <n v="51.82589999999999"/>
    <n v="7.7441000000000031"/>
    <n v="0.13000000000000006"/>
    <x v="1"/>
  </r>
  <r>
    <s v="NOP-21394-646"/>
    <x v="170"/>
    <s v="16982-35708-BZ"/>
    <s v="L-D-2.5"/>
    <n v="3"/>
    <s v="Nealson Cuttler"/>
    <s v="ncuttler5g@parallels.com"/>
    <x v="0"/>
    <x v="3"/>
    <x v="3"/>
    <x v="2"/>
    <x v="2"/>
    <x v="2"/>
    <n v="29.784999999999997"/>
    <n v="25.912949999999995"/>
    <n v="89.35499999999999"/>
    <n v="77.738849999999985"/>
    <n v="11.616150000000005"/>
    <n v="0.13000000000000006"/>
    <x v="1"/>
  </r>
  <r>
    <s v="NOP-21394-646"/>
    <x v="170"/>
    <s v="16982-35708-BZ"/>
    <s v="L-L-0.5"/>
    <n v="4"/>
    <s v="Nealson Cuttler"/>
    <s v="ncuttler5g@parallels.com"/>
    <x v="0"/>
    <x v="3"/>
    <x v="3"/>
    <x v="1"/>
    <x v="1"/>
    <x v="1"/>
    <n v="9.51"/>
    <n v="8.2736999999999998"/>
    <n v="38.04"/>
    <n v="33.094799999999999"/>
    <n v="4.9451999999999998"/>
    <n v="0.13"/>
    <x v="1"/>
  </r>
  <r>
    <s v="NOP-21394-646"/>
    <x v="170"/>
    <s v="16982-35708-BZ"/>
    <s v="E-M-1"/>
    <n v="3"/>
    <s v="Nealson Cuttler"/>
    <s v="ncuttler5g@parallels.com"/>
    <x v="0"/>
    <x v="1"/>
    <x v="1"/>
    <x v="0"/>
    <x v="0"/>
    <x v="0"/>
    <n v="13.75"/>
    <n v="12.237500000000001"/>
    <n v="41.25"/>
    <n v="36.712500000000006"/>
    <n v="4.5374999999999943"/>
    <n v="0.10999999999999986"/>
    <x v="1"/>
  </r>
  <r>
    <s v="FTV-77095-168"/>
    <x v="171"/>
    <s v="66708-26678-QK"/>
    <s v="L-L-0.5"/>
    <n v="6"/>
    <s v="Adriana Lazarus"/>
    <s v="-"/>
    <x v="0"/>
    <x v="3"/>
    <x v="3"/>
    <x v="1"/>
    <x v="1"/>
    <x v="1"/>
    <n v="9.51"/>
    <n v="8.2736999999999998"/>
    <n v="57.06"/>
    <n v="49.642200000000003"/>
    <n v="7.4177999999999997"/>
    <n v="0.12999999999999998"/>
    <x v="1"/>
  </r>
  <r>
    <s v="BOR-02906-411"/>
    <x v="172"/>
    <s v="08743-09057-OO"/>
    <s v="L-D-2.5"/>
    <n v="6"/>
    <s v="Tallie felip"/>
    <s v="tfelip5m@typepad.com"/>
    <x v="0"/>
    <x v="3"/>
    <x v="3"/>
    <x v="2"/>
    <x v="2"/>
    <x v="2"/>
    <n v="29.784999999999997"/>
    <n v="25.912949999999995"/>
    <n v="178.70999999999998"/>
    <n v="155.47769999999997"/>
    <n v="23.232300000000009"/>
    <n v="0.13000000000000006"/>
    <x v="0"/>
  </r>
  <r>
    <s v="WMP-68847-770"/>
    <x v="173"/>
    <s v="37490-01572-JW"/>
    <s v="L-L-0.2"/>
    <n v="1"/>
    <s v="Vanna Le - Count"/>
    <s v="vle5n@disqus.com"/>
    <x v="0"/>
    <x v="3"/>
    <x v="3"/>
    <x v="1"/>
    <x v="1"/>
    <x v="3"/>
    <n v="4.7549999999999999"/>
    <n v="4.1368499999999999"/>
    <n v="4.7549999999999999"/>
    <n v="4.1368499999999999"/>
    <n v="0.61814999999999998"/>
    <n v="0.13"/>
    <x v="1"/>
  </r>
  <r>
    <s v="TMO-22785-872"/>
    <x v="174"/>
    <s v="01811-60350-CU"/>
    <s v="E-M-1"/>
    <n v="6"/>
    <s v="Sarette Ducarel"/>
    <s v="-"/>
    <x v="0"/>
    <x v="1"/>
    <x v="1"/>
    <x v="0"/>
    <x v="0"/>
    <x v="0"/>
    <n v="13.75"/>
    <n v="12.237500000000001"/>
    <n v="82.5"/>
    <n v="73.425000000000011"/>
    <n v="9.0749999999999886"/>
    <n v="0.10999999999999986"/>
    <x v="1"/>
  </r>
  <r>
    <s v="TJG-73587-353"/>
    <x v="175"/>
    <s v="24766-58139-GT"/>
    <s v="R-D-0.2"/>
    <n v="3"/>
    <s v="Kendra Glison"/>
    <s v="-"/>
    <x v="0"/>
    <x v="0"/>
    <x v="0"/>
    <x v="2"/>
    <x v="2"/>
    <x v="3"/>
    <n v="2.6849999999999996"/>
    <n v="2.5238999999999998"/>
    <n v="8.0549999999999997"/>
    <n v="7.5716999999999999"/>
    <n v="0.48329999999999984"/>
    <n v="5.9999999999999984E-2"/>
    <x v="0"/>
  </r>
  <r>
    <s v="OOU-61343-455"/>
    <x v="176"/>
    <s v="90123-70970-NY"/>
    <s v="A-M-1"/>
    <n v="2"/>
    <s v="Nertie Poolman"/>
    <s v="npoolman5q@howstuffworks.com"/>
    <x v="0"/>
    <x v="2"/>
    <x v="2"/>
    <x v="0"/>
    <x v="0"/>
    <x v="0"/>
    <n v="11.25"/>
    <n v="10.237500000000001"/>
    <n v="22.5"/>
    <n v="20.475000000000001"/>
    <n v="2.0249999999999986"/>
    <n v="8.9999999999999941E-2"/>
    <x v="1"/>
  </r>
  <r>
    <s v="RMA-08327-369"/>
    <x v="142"/>
    <s v="93809-05424-MG"/>
    <s v="A-M-0.5"/>
    <n v="6"/>
    <s v="Orbadiah Duny"/>
    <s v="oduny5r@constantcontact.com"/>
    <x v="0"/>
    <x v="2"/>
    <x v="2"/>
    <x v="0"/>
    <x v="0"/>
    <x v="1"/>
    <n v="6.75"/>
    <n v="6.1425000000000001"/>
    <n v="40.5"/>
    <n v="36.855000000000004"/>
    <n v="3.644999999999996"/>
    <n v="8.99999999999999E-2"/>
    <x v="0"/>
  </r>
  <r>
    <s v="SFB-97929-779"/>
    <x v="177"/>
    <s v="85425-33494-HQ"/>
    <s v="E-D-0.5"/>
    <n v="4"/>
    <s v="Constance Halfhide"/>
    <s v="chalfhide5s@google.ru"/>
    <x v="1"/>
    <x v="1"/>
    <x v="1"/>
    <x v="2"/>
    <x v="2"/>
    <x v="1"/>
    <n v="7.29"/>
    <n v="6.4881000000000002"/>
    <n v="29.16"/>
    <n v="25.952400000000001"/>
    <n v="3.2075999999999993"/>
    <n v="0.10999999999999997"/>
    <x v="0"/>
  </r>
  <r>
    <s v="AUP-10128-606"/>
    <x v="178"/>
    <s v="54387-64897-XC"/>
    <s v="A-M-0.5"/>
    <n v="1"/>
    <s v="Fransisco Malecky"/>
    <s v="fmalecky5t@list-manage.com"/>
    <x v="2"/>
    <x v="2"/>
    <x v="2"/>
    <x v="0"/>
    <x v="0"/>
    <x v="1"/>
    <n v="6.75"/>
    <n v="6.1425000000000001"/>
    <n v="6.75"/>
    <n v="6.1425000000000001"/>
    <n v="0.60749999999999993"/>
    <n v="8.9999999999999983E-2"/>
    <x v="1"/>
  </r>
  <r>
    <s v="YTW-40242-005"/>
    <x v="179"/>
    <s v="01035-70465-UO"/>
    <s v="L-D-1"/>
    <n v="4"/>
    <s v="Anselma Attwater"/>
    <s v="aattwater5u@wikia.com"/>
    <x v="0"/>
    <x v="3"/>
    <x v="3"/>
    <x v="2"/>
    <x v="2"/>
    <x v="0"/>
    <n v="12.95"/>
    <n v="11.266499999999999"/>
    <n v="51.8"/>
    <n v="45.065999999999995"/>
    <n v="6.7340000000000018"/>
    <n v="0.13000000000000003"/>
    <x v="0"/>
  </r>
  <r>
    <s v="PRP-53390-819"/>
    <x v="180"/>
    <s v="84260-39432-ML"/>
    <s v="E-L-0.5"/>
    <n v="6"/>
    <s v="Minette Whellans"/>
    <s v="mwhellans5v@mapquest.com"/>
    <x v="0"/>
    <x v="1"/>
    <x v="1"/>
    <x v="1"/>
    <x v="1"/>
    <x v="1"/>
    <n v="8.91"/>
    <n v="7.9298999999999999"/>
    <n v="53.46"/>
    <n v="47.5794"/>
    <n v="5.8806000000000012"/>
    <n v="0.11000000000000001"/>
    <x v="1"/>
  </r>
  <r>
    <s v="GSJ-01065-125"/>
    <x v="181"/>
    <s v="69779-40609-RS"/>
    <s v="E-D-0.2"/>
    <n v="4"/>
    <s v="Dael Camilletti"/>
    <s v="dcamilletti5w@businesswire.com"/>
    <x v="0"/>
    <x v="1"/>
    <x v="1"/>
    <x v="2"/>
    <x v="2"/>
    <x v="3"/>
    <n v="3.645"/>
    <n v="3.2440500000000001"/>
    <n v="14.58"/>
    <n v="12.9762"/>
    <n v="1.6037999999999997"/>
    <n v="0.10999999999999997"/>
    <x v="0"/>
  </r>
  <r>
    <s v="YQU-65147-580"/>
    <x v="182"/>
    <s v="80247-70000-HT"/>
    <s v="R-D-2.5"/>
    <n v="1"/>
    <s v="Emiline Galgey"/>
    <s v="egalgey5x@wufoo.com"/>
    <x v="0"/>
    <x v="0"/>
    <x v="0"/>
    <x v="2"/>
    <x v="2"/>
    <x v="2"/>
    <n v="20.584999999999997"/>
    <n v="19.349899999999998"/>
    <n v="20.584999999999997"/>
    <n v="19.349899999999998"/>
    <n v="1.2350999999999992"/>
    <n v="5.999999999999997E-2"/>
    <x v="1"/>
  </r>
  <r>
    <s v="QPM-95832-683"/>
    <x v="183"/>
    <s v="35058-04550-VC"/>
    <s v="L-L-1"/>
    <n v="2"/>
    <s v="Murdock Hame"/>
    <s v="mhame5y@newsvine.com"/>
    <x v="1"/>
    <x v="3"/>
    <x v="3"/>
    <x v="1"/>
    <x v="1"/>
    <x v="0"/>
    <n v="15.85"/>
    <n v="13.7895"/>
    <n v="31.7"/>
    <n v="27.579000000000001"/>
    <n v="4.1209999999999987"/>
    <n v="0.12999999999999995"/>
    <x v="1"/>
  </r>
  <r>
    <s v="BNQ-88920-567"/>
    <x v="184"/>
    <s v="27226-53717-SY"/>
    <s v="L-D-0.2"/>
    <n v="6"/>
    <s v="Ilka Gurnee"/>
    <s v="igurnee5z@usnews.com"/>
    <x v="0"/>
    <x v="3"/>
    <x v="3"/>
    <x v="2"/>
    <x v="2"/>
    <x v="3"/>
    <n v="3.8849999999999998"/>
    <n v="3.37995"/>
    <n v="23.31"/>
    <n v="20.279699999999998"/>
    <n v="3.0303000000000004"/>
    <n v="0.13000000000000003"/>
    <x v="1"/>
  </r>
  <r>
    <s v="PUX-47906-110"/>
    <x v="185"/>
    <s v="02002-98725-CH"/>
    <s v="L-M-1"/>
    <n v="4"/>
    <s v="Alfy Snowding"/>
    <s v="asnowding60@comsenz.com"/>
    <x v="0"/>
    <x v="3"/>
    <x v="3"/>
    <x v="0"/>
    <x v="0"/>
    <x v="0"/>
    <n v="14.55"/>
    <n v="12.6585"/>
    <n v="58.2"/>
    <n v="50.634"/>
    <n v="7.5660000000000025"/>
    <n v="0.13000000000000003"/>
    <x v="0"/>
  </r>
  <r>
    <s v="COL-72079-610"/>
    <x v="186"/>
    <s v="38487-01549-MV"/>
    <s v="E-L-0.5"/>
    <n v="4"/>
    <s v="Godfry Poinsett"/>
    <s v="gpoinsett61@berkeley.edu"/>
    <x v="0"/>
    <x v="1"/>
    <x v="1"/>
    <x v="1"/>
    <x v="1"/>
    <x v="1"/>
    <n v="8.91"/>
    <n v="7.9298999999999999"/>
    <n v="35.64"/>
    <n v="31.7196"/>
    <n v="3.9204000000000008"/>
    <n v="0.11000000000000001"/>
    <x v="1"/>
  </r>
  <r>
    <s v="LBC-45686-819"/>
    <x v="187"/>
    <s v="98573-41811-EQ"/>
    <s v="A-M-1"/>
    <n v="5"/>
    <s v="Rem Furman"/>
    <s v="rfurman62@t.co"/>
    <x v="1"/>
    <x v="2"/>
    <x v="2"/>
    <x v="0"/>
    <x v="0"/>
    <x v="0"/>
    <n v="11.25"/>
    <n v="10.237500000000001"/>
    <n v="56.25"/>
    <n v="51.1875"/>
    <n v="5.0625"/>
    <n v="0.09"/>
    <x v="0"/>
  </r>
  <r>
    <s v="BLQ-03709-265"/>
    <x v="148"/>
    <s v="72463-75685-MV"/>
    <s v="R-L-0.2"/>
    <n v="3"/>
    <s v="Charis Crosier"/>
    <s v="ccrosier63@xrea.com"/>
    <x v="0"/>
    <x v="0"/>
    <x v="0"/>
    <x v="1"/>
    <x v="1"/>
    <x v="3"/>
    <n v="3.5849999999999995"/>
    <n v="3.3698999999999995"/>
    <n v="10.754999999999999"/>
    <n v="10.109699999999998"/>
    <n v="0.64530000000000065"/>
    <n v="6.0000000000000067E-2"/>
    <x v="1"/>
  </r>
  <r>
    <s v="BLQ-03709-265"/>
    <x v="148"/>
    <s v="72463-75685-MV"/>
    <s v="R-M-0.2"/>
    <n v="5"/>
    <s v="Charis Crosier"/>
    <s v="ccrosier63@xrea.com"/>
    <x v="0"/>
    <x v="0"/>
    <x v="0"/>
    <x v="0"/>
    <x v="0"/>
    <x v="3"/>
    <n v="2.9849999999999999"/>
    <n v="2.8058999999999998"/>
    <n v="14.924999999999999"/>
    <n v="14.029499999999999"/>
    <n v="0.89550000000000018"/>
    <n v="6.0000000000000019E-2"/>
    <x v="1"/>
  </r>
  <r>
    <s v="VFZ-91673-181"/>
    <x v="188"/>
    <s v="10225-91535-AI"/>
    <s v="A-L-1"/>
    <n v="6"/>
    <s v="Lenka Rushmer"/>
    <s v="lrushmer65@europa.eu"/>
    <x v="0"/>
    <x v="2"/>
    <x v="2"/>
    <x v="1"/>
    <x v="1"/>
    <x v="0"/>
    <n v="12.95"/>
    <n v="11.7845"/>
    <n v="77.699999999999989"/>
    <n v="70.706999999999994"/>
    <n v="6.992999999999995"/>
    <n v="8.9999999999999955E-2"/>
    <x v="0"/>
  </r>
  <r>
    <s v="WKD-81956-870"/>
    <x v="189"/>
    <s v="48090-06534-HI"/>
    <s v="L-D-0.5"/>
    <n v="3"/>
    <s v="Waneta Edinborough"/>
    <s v="wedinborough66@github.io"/>
    <x v="0"/>
    <x v="3"/>
    <x v="3"/>
    <x v="2"/>
    <x v="2"/>
    <x v="1"/>
    <n v="7.77"/>
    <n v="6.7599"/>
    <n v="23.31"/>
    <n v="20.279699999999998"/>
    <n v="3.0303000000000004"/>
    <n v="0.13000000000000003"/>
    <x v="1"/>
  </r>
  <r>
    <s v="TNI-91067-006"/>
    <x v="190"/>
    <s v="80444-58185-FX"/>
    <s v="E-L-1"/>
    <n v="4"/>
    <s v="Bobbe Piggott"/>
    <s v="-"/>
    <x v="0"/>
    <x v="1"/>
    <x v="1"/>
    <x v="1"/>
    <x v="1"/>
    <x v="0"/>
    <n v="14.85"/>
    <n v="13.2165"/>
    <n v="59.4"/>
    <n v="52.866"/>
    <n v="6.5339999999999989"/>
    <n v="0.10999999999999999"/>
    <x v="0"/>
  </r>
  <r>
    <s v="IZA-61469-812"/>
    <x v="191"/>
    <s v="13561-92774-WP"/>
    <s v="L-D-2.5"/>
    <n v="4"/>
    <s v="Ketty Bromehead"/>
    <s v="kbromehead68@un.org"/>
    <x v="0"/>
    <x v="3"/>
    <x v="3"/>
    <x v="2"/>
    <x v="2"/>
    <x v="2"/>
    <n v="29.784999999999997"/>
    <n v="25.912949999999995"/>
    <n v="119.13999999999999"/>
    <n v="103.65179999999998"/>
    <n v="15.488200000000006"/>
    <n v="0.13000000000000006"/>
    <x v="0"/>
  </r>
  <r>
    <s v="PSS-22466-862"/>
    <x v="192"/>
    <s v="11550-78378-GE"/>
    <s v="R-L-0.2"/>
    <n v="4"/>
    <s v="Elsbeth Westerman"/>
    <s v="ewesterman69@si.edu"/>
    <x v="1"/>
    <x v="0"/>
    <x v="0"/>
    <x v="1"/>
    <x v="1"/>
    <x v="3"/>
    <n v="3.5849999999999995"/>
    <n v="3.3698999999999995"/>
    <n v="14.339999999999998"/>
    <n v="13.479599999999998"/>
    <n v="0.86040000000000028"/>
    <n v="6.0000000000000026E-2"/>
    <x v="1"/>
  </r>
  <r>
    <s v="REH-56504-397"/>
    <x v="193"/>
    <s v="90961-35603-RP"/>
    <s v="A-M-2.5"/>
    <n v="5"/>
    <s v="Anabelle Hutchens"/>
    <s v="ahutchens6a@amazonaws.com"/>
    <x v="0"/>
    <x v="2"/>
    <x v="2"/>
    <x v="0"/>
    <x v="0"/>
    <x v="2"/>
    <n v="25.874999999999996"/>
    <n v="23.546249999999997"/>
    <n v="129.37499999999997"/>
    <n v="117.73124999999999"/>
    <n v="11.643749999999983"/>
    <n v="8.9999999999999886E-2"/>
    <x v="1"/>
  </r>
  <r>
    <s v="ALA-62598-016"/>
    <x v="194"/>
    <s v="57145-03803-ZL"/>
    <s v="R-D-0.2"/>
    <n v="6"/>
    <s v="Noak Wyvill"/>
    <s v="nwyvill6b@naver.com"/>
    <x v="2"/>
    <x v="0"/>
    <x v="0"/>
    <x v="2"/>
    <x v="2"/>
    <x v="3"/>
    <n v="2.6849999999999996"/>
    <n v="2.5238999999999998"/>
    <n v="16.11"/>
    <n v="15.1434"/>
    <n v="0.96659999999999968"/>
    <n v="5.9999999999999984E-2"/>
    <x v="0"/>
  </r>
  <r>
    <s v="EYE-70374-835"/>
    <x v="195"/>
    <s v="89115-11966-VF"/>
    <s v="R-L-0.2"/>
    <n v="5"/>
    <s v="Beltran Mathon"/>
    <s v="bmathon6c@barnesandnoble.com"/>
    <x v="0"/>
    <x v="0"/>
    <x v="0"/>
    <x v="1"/>
    <x v="1"/>
    <x v="3"/>
    <n v="3.5849999999999995"/>
    <n v="3.3698999999999995"/>
    <n v="17.924999999999997"/>
    <n v="16.849499999999999"/>
    <n v="1.0754999999999981"/>
    <n v="5.9999999999999908E-2"/>
    <x v="1"/>
  </r>
  <r>
    <s v="CCZ-19589-212"/>
    <x v="196"/>
    <s v="05754-41702-FG"/>
    <s v="L-M-0.2"/>
    <n v="2"/>
    <s v="Kristos Streight"/>
    <s v="kstreight6d@about.com"/>
    <x v="0"/>
    <x v="3"/>
    <x v="3"/>
    <x v="0"/>
    <x v="0"/>
    <x v="3"/>
    <n v="4.3650000000000002"/>
    <n v="3.7975500000000002"/>
    <n v="8.73"/>
    <n v="7.5951000000000004"/>
    <n v="1.1349"/>
    <n v="0.13"/>
    <x v="1"/>
  </r>
  <r>
    <s v="BPT-83989-157"/>
    <x v="197"/>
    <s v="84269-49816-ML"/>
    <s v="A-M-2.5"/>
    <n v="2"/>
    <s v="Portie Cutchie"/>
    <s v="pcutchie6e@globo.com"/>
    <x v="0"/>
    <x v="2"/>
    <x v="2"/>
    <x v="0"/>
    <x v="0"/>
    <x v="2"/>
    <n v="25.874999999999996"/>
    <n v="23.546249999999997"/>
    <n v="51.749999999999993"/>
    <n v="47.092499999999994"/>
    <n v="4.6574999999999989"/>
    <n v="0.09"/>
    <x v="1"/>
  </r>
  <r>
    <s v="YFH-87456-208"/>
    <x v="198"/>
    <s v="23600-98432-ME"/>
    <s v="L-M-0.2"/>
    <n v="2"/>
    <s v="Sinclare Edsell"/>
    <s v="-"/>
    <x v="0"/>
    <x v="3"/>
    <x v="3"/>
    <x v="0"/>
    <x v="0"/>
    <x v="3"/>
    <n v="4.3650000000000002"/>
    <n v="3.7975500000000002"/>
    <n v="8.73"/>
    <n v="7.5951000000000004"/>
    <n v="1.1349"/>
    <n v="0.13"/>
    <x v="0"/>
  </r>
  <r>
    <s v="JLN-14700-924"/>
    <x v="199"/>
    <s v="79058-02767-CP"/>
    <s v="L-L-0.2"/>
    <n v="5"/>
    <s v="Conny Gheraldi"/>
    <s v="cgheraldi6g@opera.com"/>
    <x v="2"/>
    <x v="3"/>
    <x v="3"/>
    <x v="1"/>
    <x v="1"/>
    <x v="3"/>
    <n v="4.7549999999999999"/>
    <n v="4.1368499999999999"/>
    <n v="23.774999999999999"/>
    <n v="20.684249999999999"/>
    <n v="3.0907499999999999"/>
    <n v="0.13"/>
    <x v="1"/>
  </r>
  <r>
    <s v="JVW-22582-137"/>
    <x v="200"/>
    <s v="89208-74646-UK"/>
    <s v="E-M-0.2"/>
    <n v="5"/>
    <s v="Beryle Kenwell"/>
    <s v="bkenwell6h@over-blog.com"/>
    <x v="0"/>
    <x v="1"/>
    <x v="1"/>
    <x v="0"/>
    <x v="0"/>
    <x v="3"/>
    <n v="4.125"/>
    <n v="3.6712500000000001"/>
    <n v="20.625"/>
    <n v="18.356249999999999"/>
    <n v="2.2687500000000007"/>
    <n v="0.11000000000000003"/>
    <x v="1"/>
  </r>
  <r>
    <s v="LAA-41879-001"/>
    <x v="201"/>
    <s v="11408-81032-UR"/>
    <s v="L-L-2.5"/>
    <n v="1"/>
    <s v="Tomas Sutty"/>
    <s v="tsutty6i@google.es"/>
    <x v="0"/>
    <x v="3"/>
    <x v="3"/>
    <x v="1"/>
    <x v="1"/>
    <x v="2"/>
    <n v="36.454999999999998"/>
    <n v="31.71585"/>
    <n v="36.454999999999998"/>
    <n v="31.71585"/>
    <n v="4.7391499999999986"/>
    <n v="0.12999999999999998"/>
    <x v="1"/>
  </r>
  <r>
    <s v="BRV-64870-915"/>
    <x v="202"/>
    <s v="32070-55528-UG"/>
    <s v="L-L-2.5"/>
    <n v="5"/>
    <s v="Samuele Ales0"/>
    <s v="-"/>
    <x v="1"/>
    <x v="3"/>
    <x v="3"/>
    <x v="1"/>
    <x v="1"/>
    <x v="2"/>
    <n v="36.454999999999998"/>
    <n v="31.71585"/>
    <n v="182.27499999999998"/>
    <n v="158.57925"/>
    <n v="23.695749999999975"/>
    <n v="0.12999999999999989"/>
    <x v="1"/>
  </r>
  <r>
    <s v="RGJ-12544-083"/>
    <x v="203"/>
    <s v="48873-84433-PN"/>
    <s v="L-D-2.5"/>
    <n v="3"/>
    <s v="Carlie Harce"/>
    <s v="charce6k@cafepress.com"/>
    <x v="1"/>
    <x v="3"/>
    <x v="3"/>
    <x v="2"/>
    <x v="2"/>
    <x v="2"/>
    <n v="29.784999999999997"/>
    <n v="25.912949999999995"/>
    <n v="89.35499999999999"/>
    <n v="77.738849999999985"/>
    <n v="11.616150000000005"/>
    <n v="0.13000000000000006"/>
    <x v="1"/>
  </r>
  <r>
    <s v="JJX-83339-346"/>
    <x v="204"/>
    <s v="32928-18158-OW"/>
    <s v="R-L-0.2"/>
    <n v="1"/>
    <s v="Craggy Bril"/>
    <s v="-"/>
    <x v="0"/>
    <x v="0"/>
    <x v="0"/>
    <x v="1"/>
    <x v="1"/>
    <x v="3"/>
    <n v="3.5849999999999995"/>
    <n v="3.3698999999999995"/>
    <n v="3.5849999999999995"/>
    <n v="3.3698999999999995"/>
    <n v="0.21510000000000007"/>
    <n v="6.0000000000000026E-2"/>
    <x v="0"/>
  </r>
  <r>
    <s v="BIU-21970-705"/>
    <x v="205"/>
    <s v="89711-56688-GG"/>
    <s v="R-M-2.5"/>
    <n v="2"/>
    <s v="Friederike Drysdale"/>
    <s v="fdrysdale6m@symantec.com"/>
    <x v="0"/>
    <x v="0"/>
    <x v="0"/>
    <x v="0"/>
    <x v="0"/>
    <x v="2"/>
    <n v="22.884999999999998"/>
    <n v="21.511899999999997"/>
    <n v="45.769999999999996"/>
    <n v="43.023799999999994"/>
    <n v="2.7462000000000018"/>
    <n v="6.0000000000000046E-2"/>
    <x v="0"/>
  </r>
  <r>
    <s v="ELJ-87741-745"/>
    <x v="206"/>
    <s v="48389-71976-JB"/>
    <s v="E-L-1"/>
    <n v="4"/>
    <s v="Devon Magowan"/>
    <s v="dmagowan6n@fc2.com"/>
    <x v="0"/>
    <x v="1"/>
    <x v="1"/>
    <x v="1"/>
    <x v="1"/>
    <x v="0"/>
    <n v="14.85"/>
    <n v="13.2165"/>
    <n v="59.4"/>
    <n v="52.866"/>
    <n v="6.5339999999999989"/>
    <n v="0.10999999999999999"/>
    <x v="1"/>
  </r>
  <r>
    <s v="SGI-48226-857"/>
    <x v="207"/>
    <s v="84033-80762-EQ"/>
    <s v="A-M-2.5"/>
    <n v="6"/>
    <s v="Codi Littrell"/>
    <s v="-"/>
    <x v="0"/>
    <x v="2"/>
    <x v="2"/>
    <x v="0"/>
    <x v="0"/>
    <x v="2"/>
    <n v="25.874999999999996"/>
    <n v="23.546249999999997"/>
    <n v="155.24999999999997"/>
    <n v="141.27749999999997"/>
    <n v="13.972499999999997"/>
    <n v="0.09"/>
    <x v="0"/>
  </r>
  <r>
    <s v="AHV-66988-037"/>
    <x v="208"/>
    <s v="12743-00952-KO"/>
    <s v="R-M-2.5"/>
    <n v="2"/>
    <s v="Christel Speak"/>
    <s v="-"/>
    <x v="0"/>
    <x v="0"/>
    <x v="0"/>
    <x v="0"/>
    <x v="0"/>
    <x v="2"/>
    <n v="22.884999999999998"/>
    <n v="21.511899999999997"/>
    <n v="45.769999999999996"/>
    <n v="43.023799999999994"/>
    <n v="2.7462000000000018"/>
    <n v="6.0000000000000046E-2"/>
    <x v="1"/>
  </r>
  <r>
    <s v="ISK-42066-094"/>
    <x v="209"/>
    <s v="41505-42181-EF"/>
    <s v="E-D-1"/>
    <n v="3"/>
    <s v="Sibella Rushbrooke"/>
    <s v="srushbrooke6q@youku.com"/>
    <x v="0"/>
    <x v="1"/>
    <x v="1"/>
    <x v="2"/>
    <x v="2"/>
    <x v="0"/>
    <n v="12.15"/>
    <n v="10.813500000000001"/>
    <n v="36.450000000000003"/>
    <n v="32.4405"/>
    <n v="4.0095000000000027"/>
    <n v="0.11000000000000007"/>
    <x v="0"/>
  </r>
  <r>
    <s v="FTC-35822-530"/>
    <x v="210"/>
    <s v="14307-87663-KB"/>
    <s v="E-D-0.5"/>
    <n v="4"/>
    <s v="Tammie Drynan"/>
    <s v="tdrynan6r@deviantart.com"/>
    <x v="0"/>
    <x v="1"/>
    <x v="1"/>
    <x v="2"/>
    <x v="2"/>
    <x v="1"/>
    <n v="7.29"/>
    <n v="6.4881000000000002"/>
    <n v="29.16"/>
    <n v="25.952400000000001"/>
    <n v="3.2075999999999993"/>
    <n v="0.10999999999999997"/>
    <x v="0"/>
  </r>
  <r>
    <s v="VSS-56247-688"/>
    <x v="211"/>
    <s v="08360-19442-GB"/>
    <s v="L-M-2.5"/>
    <n v="4"/>
    <s v="Effie Yurkov"/>
    <s v="eyurkov6s@hud.gov"/>
    <x v="0"/>
    <x v="3"/>
    <x v="3"/>
    <x v="0"/>
    <x v="0"/>
    <x v="2"/>
    <n v="33.464999999999996"/>
    <n v="29.114549999999998"/>
    <n v="133.85999999999999"/>
    <n v="116.45819999999999"/>
    <n v="17.401799999999994"/>
    <n v="0.12999999999999998"/>
    <x v="1"/>
  </r>
  <r>
    <s v="HVW-25584-144"/>
    <x v="212"/>
    <s v="93405-51204-UW"/>
    <s v="L-L-0.2"/>
    <n v="5"/>
    <s v="Lexie Mallan"/>
    <s v="lmallan6t@state.gov"/>
    <x v="0"/>
    <x v="3"/>
    <x v="3"/>
    <x v="1"/>
    <x v="1"/>
    <x v="3"/>
    <n v="4.7549999999999999"/>
    <n v="4.1368499999999999"/>
    <n v="23.774999999999999"/>
    <n v="20.684249999999999"/>
    <n v="3.0907499999999999"/>
    <n v="0.13"/>
    <x v="0"/>
  </r>
  <r>
    <s v="MUY-15309-209"/>
    <x v="213"/>
    <s v="97152-03355-IW"/>
    <s v="L-D-1"/>
    <n v="3"/>
    <s v="Georgena Bentjens"/>
    <s v="gbentjens6u@netlog.com"/>
    <x v="2"/>
    <x v="3"/>
    <x v="3"/>
    <x v="2"/>
    <x v="2"/>
    <x v="0"/>
    <n v="12.95"/>
    <n v="11.266499999999999"/>
    <n v="38.849999999999994"/>
    <n v="33.799499999999995"/>
    <n v="5.0504999999999995"/>
    <n v="0.13"/>
    <x v="1"/>
  </r>
  <r>
    <s v="VAJ-44572-469"/>
    <x v="63"/>
    <s v="79216-73157-TE"/>
    <s v="R-L-0.2"/>
    <n v="6"/>
    <s v="Delmar Beasant"/>
    <s v="-"/>
    <x v="1"/>
    <x v="0"/>
    <x v="0"/>
    <x v="1"/>
    <x v="1"/>
    <x v="3"/>
    <n v="3.5849999999999995"/>
    <n v="3.3698999999999995"/>
    <n v="21.509999999999998"/>
    <n v="20.219399999999997"/>
    <n v="1.2906000000000013"/>
    <n v="6.0000000000000067E-2"/>
    <x v="0"/>
  </r>
  <r>
    <s v="YJU-84377-606"/>
    <x v="214"/>
    <s v="20259-47723-AC"/>
    <s v="A-D-1"/>
    <n v="1"/>
    <s v="Lyn Entwistle"/>
    <s v="lentwistle6w@omniture.com"/>
    <x v="0"/>
    <x v="2"/>
    <x v="2"/>
    <x v="2"/>
    <x v="2"/>
    <x v="0"/>
    <n v="9.9499999999999993"/>
    <n v="9.0544999999999991"/>
    <n v="9.9499999999999993"/>
    <n v="9.0544999999999991"/>
    <n v="0.89550000000000018"/>
    <n v="9.0000000000000024E-2"/>
    <x v="0"/>
  </r>
  <r>
    <s v="VNC-93921-469"/>
    <x v="215"/>
    <s v="04666-71569-RI"/>
    <s v="L-L-1"/>
    <n v="1"/>
    <s v="Zacharias Kiffe"/>
    <s v="zkiffe74@cyberchimps.com"/>
    <x v="0"/>
    <x v="3"/>
    <x v="3"/>
    <x v="1"/>
    <x v="1"/>
    <x v="0"/>
    <n v="15.85"/>
    <n v="13.7895"/>
    <n v="15.85"/>
    <n v="13.7895"/>
    <n v="2.0604999999999993"/>
    <n v="0.12999999999999995"/>
    <x v="0"/>
  </r>
  <r>
    <s v="OGB-91614-810"/>
    <x v="216"/>
    <s v="08909-77713-CG"/>
    <s v="R-M-0.2"/>
    <n v="1"/>
    <s v="Mercedes Acott"/>
    <s v="macott6y@pagesperso-orange.fr"/>
    <x v="0"/>
    <x v="0"/>
    <x v="0"/>
    <x v="0"/>
    <x v="0"/>
    <x v="3"/>
    <n v="2.9849999999999999"/>
    <n v="2.8058999999999998"/>
    <n v="2.9849999999999999"/>
    <n v="2.8058999999999998"/>
    <n v="0.17910000000000004"/>
    <n v="6.0000000000000012E-2"/>
    <x v="0"/>
  </r>
  <r>
    <s v="BQI-61647-496"/>
    <x v="217"/>
    <s v="84340-73931-VV"/>
    <s v="E-M-1"/>
    <n v="5"/>
    <s v="Connor Heaviside"/>
    <s v="cheaviside6z@rediff.com"/>
    <x v="0"/>
    <x v="1"/>
    <x v="1"/>
    <x v="0"/>
    <x v="0"/>
    <x v="0"/>
    <n v="13.75"/>
    <n v="12.237500000000001"/>
    <n v="68.75"/>
    <n v="61.1875"/>
    <n v="7.5625"/>
    <n v="0.11"/>
    <x v="0"/>
  </r>
  <r>
    <s v="IOM-51636-823"/>
    <x v="218"/>
    <s v="04609-95151-XH"/>
    <s v="A-D-1"/>
    <n v="3"/>
    <s v="Devy Bulbrook"/>
    <s v="-"/>
    <x v="0"/>
    <x v="2"/>
    <x v="2"/>
    <x v="2"/>
    <x v="2"/>
    <x v="0"/>
    <n v="9.9499999999999993"/>
    <n v="9.0544999999999991"/>
    <n v="29.849999999999998"/>
    <n v="27.163499999999999"/>
    <n v="2.6864999999999988"/>
    <n v="8.9999999999999969E-2"/>
    <x v="1"/>
  </r>
  <r>
    <s v="GGD-38107-641"/>
    <x v="219"/>
    <s v="99562-88650-YF"/>
    <s v="L-M-1"/>
    <n v="4"/>
    <s v="Leia Kernan"/>
    <s v="lkernan71@wsj.com"/>
    <x v="0"/>
    <x v="3"/>
    <x v="3"/>
    <x v="0"/>
    <x v="0"/>
    <x v="0"/>
    <n v="14.55"/>
    <n v="12.6585"/>
    <n v="58.2"/>
    <n v="50.634"/>
    <n v="7.5660000000000025"/>
    <n v="0.13000000000000003"/>
    <x v="1"/>
  </r>
  <r>
    <s v="LTO-95975-728"/>
    <x v="220"/>
    <s v="46560-73885-PJ"/>
    <s v="R-L-0.5"/>
    <n v="4"/>
    <s v="Rosaline McLae"/>
    <s v="rmclae72@dailymotion.com"/>
    <x v="2"/>
    <x v="0"/>
    <x v="0"/>
    <x v="1"/>
    <x v="1"/>
    <x v="1"/>
    <n v="7.169999999999999"/>
    <n v="6.7397999999999989"/>
    <n v="28.679999999999996"/>
    <n v="26.959199999999996"/>
    <n v="1.7208000000000006"/>
    <n v="6.0000000000000026E-2"/>
    <x v="1"/>
  </r>
  <r>
    <s v="IGM-84664-265"/>
    <x v="114"/>
    <s v="80179-44620-WN"/>
    <s v="R-L-0.5"/>
    <n v="3"/>
    <s v="Cleve Blowfelde"/>
    <s v="cblowfelde73@ustream.tv"/>
    <x v="0"/>
    <x v="0"/>
    <x v="0"/>
    <x v="1"/>
    <x v="1"/>
    <x v="1"/>
    <n v="7.169999999999999"/>
    <n v="6.7397999999999989"/>
    <n v="21.509999999999998"/>
    <n v="20.219399999999997"/>
    <n v="1.2906000000000013"/>
    <n v="6.0000000000000067E-2"/>
    <x v="1"/>
  </r>
  <r>
    <s v="SKO-45740-621"/>
    <x v="221"/>
    <s v="04666-71569-RI"/>
    <s v="L-M-0.5"/>
    <n v="2"/>
    <s v="Zacharias Kiffe"/>
    <s v="zkiffe74@cyberchimps.com"/>
    <x v="0"/>
    <x v="3"/>
    <x v="3"/>
    <x v="0"/>
    <x v="0"/>
    <x v="1"/>
    <n v="8.73"/>
    <n v="7.5951000000000004"/>
    <n v="17.46"/>
    <n v="15.190200000000001"/>
    <n v="2.2698"/>
    <n v="0.13"/>
    <x v="0"/>
  </r>
  <r>
    <s v="FOJ-02234-063"/>
    <x v="222"/>
    <s v="59081-87231-VP"/>
    <s v="E-D-2.5"/>
    <n v="1"/>
    <s v="Denyse O'Calleran"/>
    <s v="docalleran75@ucla.edu"/>
    <x v="0"/>
    <x v="1"/>
    <x v="1"/>
    <x v="2"/>
    <x v="2"/>
    <x v="2"/>
    <n v="27.945"/>
    <n v="24.87105"/>
    <n v="27.945"/>
    <n v="24.87105"/>
    <n v="3.07395"/>
    <n v="0.11"/>
    <x v="0"/>
  </r>
  <r>
    <s v="MSJ-11909-468"/>
    <x v="188"/>
    <s v="07878-45872-CC"/>
    <s v="E-D-2.5"/>
    <n v="5"/>
    <s v="Cobby Cromwell"/>
    <s v="ccromwell76@desdev.cn"/>
    <x v="0"/>
    <x v="1"/>
    <x v="1"/>
    <x v="2"/>
    <x v="2"/>
    <x v="2"/>
    <n v="27.945"/>
    <n v="24.87105"/>
    <n v="139.72499999999999"/>
    <n v="124.35525"/>
    <n v="15.369749999999996"/>
    <n v="0.10999999999999997"/>
    <x v="1"/>
  </r>
  <r>
    <s v="DKB-78053-329"/>
    <x v="223"/>
    <s v="12444-05174-OO"/>
    <s v="R-M-0.2"/>
    <n v="2"/>
    <s v="Irv Hay"/>
    <s v="ihay77@lulu.com"/>
    <x v="2"/>
    <x v="0"/>
    <x v="0"/>
    <x v="0"/>
    <x v="0"/>
    <x v="3"/>
    <n v="2.9849999999999999"/>
    <n v="2.8058999999999998"/>
    <n v="5.97"/>
    <n v="5.6117999999999997"/>
    <n v="0.35820000000000007"/>
    <n v="6.0000000000000012E-2"/>
    <x v="1"/>
  </r>
  <r>
    <s v="DFZ-45083-941"/>
    <x v="224"/>
    <s v="34665-62561-AU"/>
    <s v="R-L-2.5"/>
    <n v="1"/>
    <s v="Tani Taffarello"/>
    <s v="ttaffarello78@sciencedaily.com"/>
    <x v="0"/>
    <x v="0"/>
    <x v="0"/>
    <x v="1"/>
    <x v="1"/>
    <x v="2"/>
    <n v="27.484999999999996"/>
    <n v="25.835899999999995"/>
    <n v="27.484999999999996"/>
    <n v="25.835899999999995"/>
    <n v="1.6491000000000007"/>
    <n v="6.0000000000000032E-2"/>
    <x v="0"/>
  </r>
  <r>
    <s v="OTA-40969-710"/>
    <x v="83"/>
    <s v="77877-11993-QH"/>
    <s v="R-L-1"/>
    <n v="5"/>
    <s v="Monique Canty"/>
    <s v="mcanty79@jigsy.com"/>
    <x v="0"/>
    <x v="0"/>
    <x v="0"/>
    <x v="1"/>
    <x v="1"/>
    <x v="0"/>
    <n v="11.95"/>
    <n v="11.232999999999999"/>
    <n v="59.75"/>
    <n v="56.164999999999992"/>
    <n v="3.585000000000008"/>
    <n v="6.0000000000000137E-2"/>
    <x v="0"/>
  </r>
  <r>
    <s v="GRH-45571-667"/>
    <x v="104"/>
    <s v="32291-18308-YZ"/>
    <s v="E-M-1"/>
    <n v="3"/>
    <s v="Javier Kopke"/>
    <s v="jkopke7a@auda.org.au"/>
    <x v="0"/>
    <x v="1"/>
    <x v="1"/>
    <x v="0"/>
    <x v="0"/>
    <x v="0"/>
    <n v="13.75"/>
    <n v="12.237500000000001"/>
    <n v="41.25"/>
    <n v="36.712500000000006"/>
    <n v="4.5374999999999943"/>
    <n v="0.10999999999999986"/>
    <x v="1"/>
  </r>
  <r>
    <s v="NXV-05302-067"/>
    <x v="225"/>
    <s v="25754-33191-ZI"/>
    <s v="L-M-2.5"/>
    <n v="4"/>
    <s v="Mar McIver"/>
    <s v="-"/>
    <x v="0"/>
    <x v="3"/>
    <x v="3"/>
    <x v="0"/>
    <x v="0"/>
    <x v="2"/>
    <n v="33.464999999999996"/>
    <n v="29.114549999999998"/>
    <n v="133.85999999999999"/>
    <n v="116.45819999999999"/>
    <n v="17.401799999999994"/>
    <n v="0.12999999999999998"/>
    <x v="1"/>
  </r>
  <r>
    <s v="VZH-86274-142"/>
    <x v="226"/>
    <s v="53120-45532-KL"/>
    <s v="R-L-1"/>
    <n v="5"/>
    <s v="Arabella Fransewich"/>
    <s v="-"/>
    <x v="1"/>
    <x v="0"/>
    <x v="0"/>
    <x v="1"/>
    <x v="1"/>
    <x v="0"/>
    <n v="11.95"/>
    <n v="11.232999999999999"/>
    <n v="59.75"/>
    <n v="56.164999999999992"/>
    <n v="3.585000000000008"/>
    <n v="6.0000000000000137E-2"/>
    <x v="0"/>
  </r>
  <r>
    <s v="KIX-93248-135"/>
    <x v="227"/>
    <s v="36605-83052-WB"/>
    <s v="A-D-0.5"/>
    <n v="1"/>
    <s v="Violette Hellmore"/>
    <s v="vhellmore7d@bbc.co.uk"/>
    <x v="0"/>
    <x v="2"/>
    <x v="2"/>
    <x v="2"/>
    <x v="2"/>
    <x v="1"/>
    <n v="5.97"/>
    <n v="5.4326999999999996"/>
    <n v="5.97"/>
    <n v="5.4326999999999996"/>
    <n v="0.53730000000000011"/>
    <n v="9.0000000000000024E-2"/>
    <x v="0"/>
  </r>
  <r>
    <s v="AXR-10962-010"/>
    <x v="180"/>
    <s v="53683-35977-KI"/>
    <s v="E-D-1"/>
    <n v="2"/>
    <s v="Myles Seawright"/>
    <s v="mseawright7e@nbcnews.com"/>
    <x v="2"/>
    <x v="1"/>
    <x v="1"/>
    <x v="2"/>
    <x v="2"/>
    <x v="0"/>
    <n v="12.15"/>
    <n v="10.813500000000001"/>
    <n v="24.3"/>
    <n v="21.627000000000002"/>
    <n v="2.6729999999999983"/>
    <n v="0.10999999999999993"/>
    <x v="1"/>
  </r>
  <r>
    <s v="IHS-71573-008"/>
    <x v="228"/>
    <s v="07972-83134-NM"/>
    <s v="E-D-0.2"/>
    <n v="6"/>
    <s v="Silvana Northeast"/>
    <s v="snortheast7f@mashable.com"/>
    <x v="0"/>
    <x v="1"/>
    <x v="1"/>
    <x v="2"/>
    <x v="2"/>
    <x v="3"/>
    <n v="3.645"/>
    <n v="3.2440500000000001"/>
    <n v="21.87"/>
    <n v="19.464300000000001"/>
    <n v="2.4056999999999995"/>
    <n v="0.10999999999999997"/>
    <x v="0"/>
  </r>
  <r>
    <s v="QTR-19001-114"/>
    <x v="229"/>
    <s v="01035-70465-UO"/>
    <s v="A-D-1"/>
    <n v="2"/>
    <s v="Anselma Attwater"/>
    <s v="aattwater5u@wikia.com"/>
    <x v="0"/>
    <x v="2"/>
    <x v="2"/>
    <x v="2"/>
    <x v="2"/>
    <x v="0"/>
    <n v="9.9499999999999993"/>
    <n v="9.0544999999999991"/>
    <n v="19.899999999999999"/>
    <n v="18.108999999999998"/>
    <n v="1.7910000000000004"/>
    <n v="9.0000000000000024E-2"/>
    <x v="0"/>
  </r>
  <r>
    <s v="WBK-62297-910"/>
    <x v="230"/>
    <s v="25514-23938-IQ"/>
    <s v="A-D-0.2"/>
    <n v="2"/>
    <s v="Monica Fearon"/>
    <s v="mfearon7h@reverbnation.com"/>
    <x v="0"/>
    <x v="2"/>
    <x v="2"/>
    <x v="2"/>
    <x v="2"/>
    <x v="3"/>
    <n v="2.9849999999999999"/>
    <n v="2.7163499999999998"/>
    <n v="5.97"/>
    <n v="5.4326999999999996"/>
    <n v="0.53730000000000011"/>
    <n v="9.0000000000000024E-2"/>
    <x v="1"/>
  </r>
  <r>
    <s v="OGY-19377-175"/>
    <x v="231"/>
    <s v="49084-44492-OJ"/>
    <s v="E-D-0.5"/>
    <n v="1"/>
    <s v="Barney Chisnell"/>
    <s v="-"/>
    <x v="1"/>
    <x v="1"/>
    <x v="1"/>
    <x v="2"/>
    <x v="2"/>
    <x v="1"/>
    <n v="7.29"/>
    <n v="6.4881000000000002"/>
    <n v="7.29"/>
    <n v="6.4881000000000002"/>
    <n v="0.80189999999999984"/>
    <n v="0.10999999999999997"/>
    <x v="0"/>
  </r>
  <r>
    <s v="ESR-66651-814"/>
    <x v="80"/>
    <s v="76624-72205-CK"/>
    <s v="A-D-0.2"/>
    <n v="4"/>
    <s v="Jasper Sisneros"/>
    <s v="jsisneros7j@a8.net"/>
    <x v="0"/>
    <x v="2"/>
    <x v="2"/>
    <x v="2"/>
    <x v="2"/>
    <x v="3"/>
    <n v="2.9849999999999999"/>
    <n v="2.7163499999999998"/>
    <n v="11.94"/>
    <n v="10.865399999999999"/>
    <n v="1.0746000000000002"/>
    <n v="9.0000000000000024E-2"/>
    <x v="0"/>
  </r>
  <r>
    <s v="CPX-46916-770"/>
    <x v="232"/>
    <s v="12729-50170-JE"/>
    <s v="R-L-1"/>
    <n v="6"/>
    <s v="Zachariah Carlson"/>
    <s v="zcarlson7k@bigcartel.com"/>
    <x v="1"/>
    <x v="0"/>
    <x v="0"/>
    <x v="1"/>
    <x v="1"/>
    <x v="0"/>
    <n v="11.95"/>
    <n v="11.232999999999999"/>
    <n v="71.699999999999989"/>
    <n v="67.397999999999996"/>
    <n v="4.3019999999999925"/>
    <n v="5.9999999999999908E-2"/>
    <x v="0"/>
  </r>
  <r>
    <s v="MDC-03318-645"/>
    <x v="233"/>
    <s v="43974-44760-QI"/>
    <s v="A-L-0.2"/>
    <n v="2"/>
    <s v="Warner Maddox"/>
    <s v="wmaddox7l@timesonline.co.uk"/>
    <x v="0"/>
    <x v="2"/>
    <x v="2"/>
    <x v="1"/>
    <x v="1"/>
    <x v="3"/>
    <n v="3.8849999999999998"/>
    <n v="3.5353499999999998"/>
    <n v="7.77"/>
    <n v="7.0706999999999995"/>
    <n v="0.69930000000000003"/>
    <n v="9.0000000000000011E-2"/>
    <x v="1"/>
  </r>
  <r>
    <s v="SFF-86059-407"/>
    <x v="234"/>
    <s v="30585-48726-BK"/>
    <s v="A-M-2.5"/>
    <n v="1"/>
    <s v="Donnie Hedlestone"/>
    <s v="dhedlestone7m@craigslist.org"/>
    <x v="0"/>
    <x v="2"/>
    <x v="2"/>
    <x v="0"/>
    <x v="0"/>
    <x v="2"/>
    <n v="25.874999999999996"/>
    <n v="23.546249999999997"/>
    <n v="25.874999999999996"/>
    <n v="23.546249999999997"/>
    <n v="2.3287499999999994"/>
    <n v="0.09"/>
    <x v="1"/>
  </r>
  <r>
    <s v="SCL-94540-788"/>
    <x v="235"/>
    <s v="16123-07017-TY"/>
    <s v="E-L-2.5"/>
    <n v="6"/>
    <s v="Teddi Crowthe"/>
    <s v="tcrowthe7n@europa.eu"/>
    <x v="0"/>
    <x v="1"/>
    <x v="1"/>
    <x v="1"/>
    <x v="1"/>
    <x v="2"/>
    <n v="34.154999999999994"/>
    <n v="30.397949999999994"/>
    <n v="204.92999999999995"/>
    <n v="182.38769999999997"/>
    <n v="22.542299999999983"/>
    <n v="0.10999999999999995"/>
    <x v="1"/>
  </r>
  <r>
    <s v="HVU-21634-076"/>
    <x v="236"/>
    <s v="27723-45097-MH"/>
    <s v="R-L-2.5"/>
    <n v="4"/>
    <s v="Dorelia Bury"/>
    <s v="dbury7o@tinyurl.com"/>
    <x v="1"/>
    <x v="0"/>
    <x v="0"/>
    <x v="1"/>
    <x v="1"/>
    <x v="2"/>
    <n v="27.484999999999996"/>
    <n v="25.835899999999995"/>
    <n v="109.93999999999998"/>
    <n v="103.34359999999998"/>
    <n v="6.5964000000000027"/>
    <n v="6.0000000000000032E-2"/>
    <x v="0"/>
  </r>
  <r>
    <s v="XUS-73326-418"/>
    <x v="237"/>
    <s v="37078-56703-AF"/>
    <s v="E-L-1"/>
    <n v="6"/>
    <s v="Gussy Broadbear"/>
    <s v="gbroadbear7p@omniture.com"/>
    <x v="0"/>
    <x v="1"/>
    <x v="1"/>
    <x v="1"/>
    <x v="1"/>
    <x v="0"/>
    <n v="14.85"/>
    <n v="13.2165"/>
    <n v="89.1"/>
    <n v="79.299000000000007"/>
    <n v="9.8009999999999877"/>
    <n v="0.10999999999999988"/>
    <x v="1"/>
  </r>
  <r>
    <s v="XWD-18933-006"/>
    <x v="238"/>
    <s v="79420-11075-MY"/>
    <s v="A-L-0.2"/>
    <n v="2"/>
    <s v="Emlynne Palfrey"/>
    <s v="epalfrey7q@devhub.com"/>
    <x v="0"/>
    <x v="2"/>
    <x v="2"/>
    <x v="1"/>
    <x v="1"/>
    <x v="3"/>
    <n v="3.8849999999999998"/>
    <n v="3.5353499999999998"/>
    <n v="7.77"/>
    <n v="7.0706999999999995"/>
    <n v="0.69930000000000003"/>
    <n v="9.0000000000000011E-2"/>
    <x v="0"/>
  </r>
  <r>
    <s v="HPD-65272-772"/>
    <x v="52"/>
    <s v="57504-13456-UO"/>
    <s v="L-M-2.5"/>
    <n v="1"/>
    <s v="Parsifal Metrick"/>
    <s v="pmetrick7r@rakuten.co.jp"/>
    <x v="0"/>
    <x v="3"/>
    <x v="3"/>
    <x v="0"/>
    <x v="0"/>
    <x v="2"/>
    <n v="33.464999999999996"/>
    <n v="29.114549999999998"/>
    <n v="33.464999999999996"/>
    <n v="29.114549999999998"/>
    <n v="4.3504499999999986"/>
    <n v="0.12999999999999998"/>
    <x v="0"/>
  </r>
  <r>
    <s v="JEG-93140-224"/>
    <x v="146"/>
    <s v="53751-57560-CN"/>
    <s v="E-M-0.5"/>
    <n v="5"/>
    <s v="Christopher Grieveson"/>
    <s v="-"/>
    <x v="0"/>
    <x v="1"/>
    <x v="1"/>
    <x v="0"/>
    <x v="0"/>
    <x v="1"/>
    <n v="8.25"/>
    <n v="7.3425000000000002"/>
    <n v="41.25"/>
    <n v="36.712499999999999"/>
    <n v="4.5375000000000014"/>
    <n v="0.11000000000000003"/>
    <x v="0"/>
  </r>
  <r>
    <s v="NNH-62058-950"/>
    <x v="239"/>
    <s v="96112-42558-EA"/>
    <s v="E-L-1"/>
    <n v="4"/>
    <s v="Karlan Karby"/>
    <s v="kkarby7t@sbwire.com"/>
    <x v="0"/>
    <x v="1"/>
    <x v="1"/>
    <x v="1"/>
    <x v="1"/>
    <x v="0"/>
    <n v="14.85"/>
    <n v="13.2165"/>
    <n v="59.4"/>
    <n v="52.866"/>
    <n v="6.5339999999999989"/>
    <n v="0.10999999999999999"/>
    <x v="0"/>
  </r>
  <r>
    <s v="LTD-71429-845"/>
    <x v="240"/>
    <s v="03157-23165-UB"/>
    <s v="A-L-0.5"/>
    <n v="1"/>
    <s v="Flory Crumpe"/>
    <s v="fcrumpe7u@ftc.gov"/>
    <x v="2"/>
    <x v="2"/>
    <x v="2"/>
    <x v="1"/>
    <x v="1"/>
    <x v="1"/>
    <n v="7.77"/>
    <n v="7.0706999999999995"/>
    <n v="7.77"/>
    <n v="7.0706999999999995"/>
    <n v="0.69930000000000003"/>
    <n v="9.0000000000000011E-2"/>
    <x v="1"/>
  </r>
  <r>
    <s v="MPV-26985-215"/>
    <x v="241"/>
    <s v="51466-52850-AG"/>
    <s v="R-D-0.5"/>
    <n v="1"/>
    <s v="Amity Chatto"/>
    <s v="achatto7v@sakura.ne.jp"/>
    <x v="2"/>
    <x v="0"/>
    <x v="0"/>
    <x v="2"/>
    <x v="2"/>
    <x v="1"/>
    <n v="5.3699999999999992"/>
    <n v="5.0477999999999996"/>
    <n v="5.3699999999999992"/>
    <n v="5.0477999999999996"/>
    <n v="0.3221999999999996"/>
    <n v="5.9999999999999935E-2"/>
    <x v="0"/>
  </r>
  <r>
    <s v="IYO-10245-081"/>
    <x v="242"/>
    <s v="57145-31023-FK"/>
    <s v="E-M-2.5"/>
    <n v="3"/>
    <s v="Nanine McCarthy"/>
    <s v="-"/>
    <x v="0"/>
    <x v="1"/>
    <x v="1"/>
    <x v="0"/>
    <x v="0"/>
    <x v="2"/>
    <n v="31.624999999999996"/>
    <n v="28.146249999999995"/>
    <n v="94.874999999999986"/>
    <n v="84.438749999999985"/>
    <n v="10.436250000000001"/>
    <n v="0.11000000000000003"/>
    <x v="1"/>
  </r>
  <r>
    <s v="BYZ-39669-954"/>
    <x v="243"/>
    <s v="66408-53777-VE"/>
    <s v="L-L-2.5"/>
    <n v="1"/>
    <s v="Lyndsey Megany"/>
    <s v="-"/>
    <x v="0"/>
    <x v="3"/>
    <x v="3"/>
    <x v="1"/>
    <x v="1"/>
    <x v="2"/>
    <n v="36.454999999999998"/>
    <n v="31.71585"/>
    <n v="36.454999999999998"/>
    <n v="31.71585"/>
    <n v="4.7391499999999986"/>
    <n v="0.12999999999999998"/>
    <x v="1"/>
  </r>
  <r>
    <s v="EFB-72860-209"/>
    <x v="244"/>
    <s v="53035-99701-WG"/>
    <s v="A-M-0.2"/>
    <n v="4"/>
    <s v="Byram Mergue"/>
    <s v="bmergue7y@umn.edu"/>
    <x v="0"/>
    <x v="2"/>
    <x v="2"/>
    <x v="0"/>
    <x v="0"/>
    <x v="3"/>
    <n v="3.375"/>
    <n v="3.07125"/>
    <n v="13.5"/>
    <n v="12.285"/>
    <n v="1.2149999999999999"/>
    <n v="8.9999999999999983E-2"/>
    <x v="0"/>
  </r>
  <r>
    <s v="GMM-72397-378"/>
    <x v="245"/>
    <s v="45899-92796-EI"/>
    <s v="R-L-0.2"/>
    <n v="4"/>
    <s v="Kerr Patise"/>
    <s v="kpatise7z@jigsy.com"/>
    <x v="0"/>
    <x v="0"/>
    <x v="0"/>
    <x v="1"/>
    <x v="1"/>
    <x v="3"/>
    <n v="3.5849999999999995"/>
    <n v="3.3698999999999995"/>
    <n v="14.339999999999998"/>
    <n v="13.479599999999998"/>
    <n v="0.86040000000000028"/>
    <n v="6.0000000000000026E-2"/>
    <x v="1"/>
  </r>
  <r>
    <s v="LYP-52345-883"/>
    <x v="246"/>
    <s v="17649-28133-PY"/>
    <s v="E-M-0.5"/>
    <n v="1"/>
    <s v="Mathew Goulter"/>
    <s v="-"/>
    <x v="1"/>
    <x v="1"/>
    <x v="1"/>
    <x v="0"/>
    <x v="0"/>
    <x v="1"/>
    <n v="8.25"/>
    <n v="7.3425000000000002"/>
    <n v="8.25"/>
    <n v="7.3425000000000002"/>
    <n v="0.90749999999999975"/>
    <n v="0.10999999999999997"/>
    <x v="0"/>
  </r>
  <r>
    <s v="DFK-35846-692"/>
    <x v="247"/>
    <s v="49612-33852-CN"/>
    <s v="R-D-0.2"/>
    <n v="5"/>
    <s v="Marris Grcic"/>
    <s v="-"/>
    <x v="0"/>
    <x v="0"/>
    <x v="0"/>
    <x v="2"/>
    <x v="2"/>
    <x v="3"/>
    <n v="2.6849999999999996"/>
    <n v="2.5238999999999998"/>
    <n v="13.424999999999997"/>
    <n v="12.619499999999999"/>
    <n v="0.80549999999999855"/>
    <n v="5.9999999999999908E-2"/>
    <x v="0"/>
  </r>
  <r>
    <s v="XAH-93337-609"/>
    <x v="248"/>
    <s v="66976-43829-YG"/>
    <s v="A-D-1"/>
    <n v="5"/>
    <s v="Domeniga Duke"/>
    <s v="dduke82@vkontakte.ru"/>
    <x v="0"/>
    <x v="2"/>
    <x v="2"/>
    <x v="2"/>
    <x v="2"/>
    <x v="0"/>
    <n v="9.9499999999999993"/>
    <n v="9.0544999999999991"/>
    <n v="49.75"/>
    <n v="45.272499999999994"/>
    <n v="4.4775000000000063"/>
    <n v="9.0000000000000122E-2"/>
    <x v="1"/>
  </r>
  <r>
    <s v="QKA-72582-644"/>
    <x v="249"/>
    <s v="64852-04619-XZ"/>
    <s v="E-M-0.5"/>
    <n v="2"/>
    <s v="Violante Skouling"/>
    <s v="-"/>
    <x v="1"/>
    <x v="1"/>
    <x v="1"/>
    <x v="0"/>
    <x v="0"/>
    <x v="1"/>
    <n v="8.25"/>
    <n v="7.3425000000000002"/>
    <n v="16.5"/>
    <n v="14.685"/>
    <n v="1.8149999999999995"/>
    <n v="0.10999999999999997"/>
    <x v="1"/>
  </r>
  <r>
    <s v="ZDK-84567-102"/>
    <x v="250"/>
    <s v="58690-31815-VY"/>
    <s v="A-D-0.5"/>
    <n v="3"/>
    <s v="Isidore Hussey"/>
    <s v="ihussey84@mapy.cz"/>
    <x v="0"/>
    <x v="2"/>
    <x v="2"/>
    <x v="2"/>
    <x v="2"/>
    <x v="1"/>
    <n v="5.97"/>
    <n v="5.4326999999999996"/>
    <n v="17.91"/>
    <n v="16.298099999999998"/>
    <n v="1.6119000000000021"/>
    <n v="9.0000000000000122E-2"/>
    <x v="1"/>
  </r>
  <r>
    <s v="WAV-38301-984"/>
    <x v="251"/>
    <s v="62863-81239-DT"/>
    <s v="A-D-0.5"/>
    <n v="5"/>
    <s v="Cassie Pinkerton"/>
    <s v="cpinkerton85@upenn.edu"/>
    <x v="0"/>
    <x v="2"/>
    <x v="2"/>
    <x v="2"/>
    <x v="2"/>
    <x v="1"/>
    <n v="5.97"/>
    <n v="5.4326999999999996"/>
    <n v="29.849999999999998"/>
    <n v="27.163499999999999"/>
    <n v="2.6864999999999988"/>
    <n v="8.9999999999999969E-2"/>
    <x v="1"/>
  </r>
  <r>
    <s v="KZR-33023-209"/>
    <x v="177"/>
    <s v="21177-40725-CF"/>
    <s v="E-L-1"/>
    <n v="3"/>
    <s v="Micki Fero"/>
    <s v="-"/>
    <x v="0"/>
    <x v="1"/>
    <x v="1"/>
    <x v="1"/>
    <x v="1"/>
    <x v="0"/>
    <n v="14.85"/>
    <n v="13.2165"/>
    <n v="44.55"/>
    <n v="39.649500000000003"/>
    <n v="4.9004999999999939"/>
    <n v="0.10999999999999988"/>
    <x v="1"/>
  </r>
  <r>
    <s v="ULM-49433-003"/>
    <x v="252"/>
    <s v="99421-80253-UI"/>
    <s v="E-M-1"/>
    <n v="2"/>
    <s v="Cybill Graddell"/>
    <s v="-"/>
    <x v="0"/>
    <x v="1"/>
    <x v="1"/>
    <x v="0"/>
    <x v="0"/>
    <x v="0"/>
    <n v="13.75"/>
    <n v="12.237500000000001"/>
    <n v="27.5"/>
    <n v="24.475000000000001"/>
    <n v="3.0249999999999986"/>
    <n v="0.10999999999999995"/>
    <x v="1"/>
  </r>
  <r>
    <s v="SIB-83254-136"/>
    <x v="253"/>
    <s v="45315-50206-DK"/>
    <s v="R-M-0.5"/>
    <n v="6"/>
    <s v="Dorian Vizor"/>
    <s v="dvizor88@furl.net"/>
    <x v="0"/>
    <x v="0"/>
    <x v="0"/>
    <x v="0"/>
    <x v="0"/>
    <x v="1"/>
    <n v="5.97"/>
    <n v="5.6117999999999997"/>
    <n v="35.82"/>
    <n v="33.6708"/>
    <n v="2.1492000000000004"/>
    <n v="6.0000000000000012E-2"/>
    <x v="0"/>
  </r>
  <r>
    <s v="NOK-50349-551"/>
    <x v="254"/>
    <s v="09595-95726-OV"/>
    <s v="R-D-0.5"/>
    <n v="3"/>
    <s v="Eddi Sedgebeer"/>
    <s v="esedgebeer89@oaic.gov.au"/>
    <x v="0"/>
    <x v="0"/>
    <x v="0"/>
    <x v="2"/>
    <x v="2"/>
    <x v="1"/>
    <n v="5.3699999999999992"/>
    <n v="5.0477999999999996"/>
    <n v="16.11"/>
    <n v="15.1434"/>
    <n v="0.96659999999999968"/>
    <n v="5.9999999999999984E-2"/>
    <x v="0"/>
  </r>
  <r>
    <s v="YIS-96268-844"/>
    <x v="227"/>
    <s v="60221-67036-TD"/>
    <s v="E-L-0.2"/>
    <n v="6"/>
    <s v="Ken Lestrange"/>
    <s v="klestrange8a@lulu.com"/>
    <x v="0"/>
    <x v="1"/>
    <x v="1"/>
    <x v="1"/>
    <x v="1"/>
    <x v="3"/>
    <n v="4.4550000000000001"/>
    <n v="3.96495"/>
    <n v="26.73"/>
    <n v="23.7897"/>
    <n v="2.9403000000000006"/>
    <n v="0.11000000000000001"/>
    <x v="0"/>
  </r>
  <r>
    <s v="CXI-04933-855"/>
    <x v="110"/>
    <s v="62923-29397-KX"/>
    <s v="E-L-2.5"/>
    <n v="6"/>
    <s v="Lacee Tanti"/>
    <s v="ltanti8b@techcrunch.com"/>
    <x v="0"/>
    <x v="1"/>
    <x v="1"/>
    <x v="1"/>
    <x v="1"/>
    <x v="2"/>
    <n v="34.154999999999994"/>
    <n v="30.397949999999994"/>
    <n v="204.92999999999995"/>
    <n v="182.38769999999997"/>
    <n v="22.542299999999983"/>
    <n v="0.10999999999999995"/>
    <x v="0"/>
  </r>
  <r>
    <s v="IZU-90429-382"/>
    <x v="182"/>
    <s v="33011-52383-BA"/>
    <s v="A-L-1"/>
    <n v="3"/>
    <s v="Arel De Lasci"/>
    <s v="ade8c@1und1.de"/>
    <x v="0"/>
    <x v="2"/>
    <x v="2"/>
    <x v="1"/>
    <x v="1"/>
    <x v="0"/>
    <n v="12.95"/>
    <n v="11.7845"/>
    <n v="38.849999999999994"/>
    <n v="35.353499999999997"/>
    <n v="3.4964999999999975"/>
    <n v="8.9999999999999955E-2"/>
    <x v="0"/>
  </r>
  <r>
    <s v="WIT-40912-783"/>
    <x v="255"/>
    <s v="86768-91598-FA"/>
    <s v="L-D-0.2"/>
    <n v="4"/>
    <s v="Trescha Jedrachowicz"/>
    <s v="tjedrachowicz8d@acquirethisname.com"/>
    <x v="0"/>
    <x v="3"/>
    <x v="3"/>
    <x v="2"/>
    <x v="2"/>
    <x v="3"/>
    <n v="3.8849999999999998"/>
    <n v="3.37995"/>
    <n v="15.54"/>
    <n v="13.5198"/>
    <n v="2.0201999999999991"/>
    <n v="0.12999999999999995"/>
    <x v="0"/>
  </r>
  <r>
    <s v="PSD-57291-590"/>
    <x v="256"/>
    <s v="37191-12203-MX"/>
    <s v="A-M-0.5"/>
    <n v="1"/>
    <s v="Perkin Stonner"/>
    <s v="pstonner8e@moonfruit.com"/>
    <x v="0"/>
    <x v="2"/>
    <x v="2"/>
    <x v="0"/>
    <x v="0"/>
    <x v="1"/>
    <n v="6.75"/>
    <n v="6.1425000000000001"/>
    <n v="6.75"/>
    <n v="6.1425000000000001"/>
    <n v="0.60749999999999993"/>
    <n v="8.9999999999999983E-2"/>
    <x v="1"/>
  </r>
  <r>
    <s v="GOI-41472-677"/>
    <x v="3"/>
    <s v="16545-76328-JY"/>
    <s v="E-D-2.5"/>
    <n v="4"/>
    <s v="Darrin Tingly"/>
    <s v="dtingly8f@goo.ne.jp"/>
    <x v="0"/>
    <x v="1"/>
    <x v="1"/>
    <x v="2"/>
    <x v="2"/>
    <x v="2"/>
    <n v="27.945"/>
    <n v="24.87105"/>
    <n v="111.78"/>
    <n v="99.484200000000001"/>
    <n v="12.2958"/>
    <n v="0.11"/>
    <x v="0"/>
  </r>
  <r>
    <s v="KTX-17944-494"/>
    <x v="257"/>
    <s v="74330-29286-RO"/>
    <s v="A-L-0.2"/>
    <n v="1"/>
    <s v="Claudetta Rushe"/>
    <s v="crushe8n@about.me"/>
    <x v="0"/>
    <x v="2"/>
    <x v="2"/>
    <x v="1"/>
    <x v="1"/>
    <x v="3"/>
    <n v="3.8849999999999998"/>
    <n v="3.5353499999999998"/>
    <n v="3.8849999999999998"/>
    <n v="3.5353499999999998"/>
    <n v="0.34965000000000002"/>
    <n v="9.0000000000000011E-2"/>
    <x v="0"/>
  </r>
  <r>
    <s v="RDM-99811-230"/>
    <x v="258"/>
    <s v="22349-47389-GY"/>
    <s v="L-M-0.2"/>
    <n v="5"/>
    <s v="Benn Checci"/>
    <s v="bchecci8h@usa.gov"/>
    <x v="2"/>
    <x v="3"/>
    <x v="3"/>
    <x v="0"/>
    <x v="0"/>
    <x v="3"/>
    <n v="4.3650000000000002"/>
    <n v="3.7975500000000002"/>
    <n v="21.825000000000003"/>
    <n v="18.987750000000002"/>
    <n v="2.8372500000000009"/>
    <n v="0.13000000000000003"/>
    <x v="1"/>
  </r>
  <r>
    <s v="JTU-55897-581"/>
    <x v="259"/>
    <s v="70290-38099-GB"/>
    <s v="R-M-0.2"/>
    <n v="5"/>
    <s v="Janifer Bagot"/>
    <s v="jbagot8i@mac.com"/>
    <x v="0"/>
    <x v="0"/>
    <x v="0"/>
    <x v="0"/>
    <x v="0"/>
    <x v="3"/>
    <n v="2.9849999999999999"/>
    <n v="2.8058999999999998"/>
    <n v="14.924999999999999"/>
    <n v="14.029499999999999"/>
    <n v="0.89550000000000018"/>
    <n v="6.0000000000000019E-2"/>
    <x v="1"/>
  </r>
  <r>
    <s v="CRK-07584-240"/>
    <x v="260"/>
    <s v="18741-72071-PP"/>
    <s v="A-M-1"/>
    <n v="3"/>
    <s v="Ermin Beeble"/>
    <s v="ebeeble8j@soundcloud.com"/>
    <x v="0"/>
    <x v="2"/>
    <x v="2"/>
    <x v="0"/>
    <x v="0"/>
    <x v="0"/>
    <n v="11.25"/>
    <n v="10.237500000000001"/>
    <n v="33.75"/>
    <n v="30.712500000000002"/>
    <n v="3.0374999999999979"/>
    <n v="8.9999999999999941E-2"/>
    <x v="0"/>
  </r>
  <r>
    <s v="MKE-75518-399"/>
    <x v="261"/>
    <s v="62588-82624-II"/>
    <s v="A-M-1"/>
    <n v="3"/>
    <s v="Cos Fluin"/>
    <s v="cfluin8k@flickr.com"/>
    <x v="2"/>
    <x v="2"/>
    <x v="2"/>
    <x v="0"/>
    <x v="0"/>
    <x v="0"/>
    <n v="11.25"/>
    <n v="10.237500000000001"/>
    <n v="33.75"/>
    <n v="30.712500000000002"/>
    <n v="3.0374999999999979"/>
    <n v="8.9999999999999941E-2"/>
    <x v="1"/>
  </r>
  <r>
    <s v="AEL-51169-725"/>
    <x v="262"/>
    <s v="37430-29579-HD"/>
    <s v="L-M-0.2"/>
    <n v="6"/>
    <s v="Eveleen Bletsor"/>
    <s v="ebletsor8l@vinaora.com"/>
    <x v="0"/>
    <x v="3"/>
    <x v="3"/>
    <x v="0"/>
    <x v="0"/>
    <x v="3"/>
    <n v="4.3650000000000002"/>
    <n v="3.7975500000000002"/>
    <n v="26.19"/>
    <n v="22.785299999999999"/>
    <n v="3.4047000000000018"/>
    <n v="0.13000000000000006"/>
    <x v="0"/>
  </r>
  <r>
    <s v="ZGM-83108-823"/>
    <x v="263"/>
    <s v="84132-22322-QT"/>
    <s v="E-L-1"/>
    <n v="1"/>
    <s v="Paola Brydell"/>
    <s v="pbrydell8m@bloglovin.com"/>
    <x v="1"/>
    <x v="1"/>
    <x v="1"/>
    <x v="1"/>
    <x v="1"/>
    <x v="0"/>
    <n v="14.85"/>
    <n v="13.2165"/>
    <n v="14.85"/>
    <n v="13.2165"/>
    <n v="1.6334999999999997"/>
    <n v="0.10999999999999999"/>
    <x v="1"/>
  </r>
  <r>
    <s v="JBP-78754-392"/>
    <x v="212"/>
    <s v="74330-29286-RO"/>
    <s v="E-M-2.5"/>
    <n v="6"/>
    <s v="Claudetta Rushe"/>
    <s v="crushe8n@about.me"/>
    <x v="0"/>
    <x v="1"/>
    <x v="1"/>
    <x v="0"/>
    <x v="0"/>
    <x v="2"/>
    <n v="31.624999999999996"/>
    <n v="28.146249999999995"/>
    <n v="189.74999999999997"/>
    <n v="168.87749999999997"/>
    <n v="20.872500000000002"/>
    <n v="0.11000000000000003"/>
    <x v="0"/>
  </r>
  <r>
    <s v="RNH-54912-747"/>
    <x v="187"/>
    <s v="37445-17791-NQ"/>
    <s v="R-M-0.5"/>
    <n v="1"/>
    <s v="Natka Leethem"/>
    <s v="nleethem8o@mac.com"/>
    <x v="0"/>
    <x v="0"/>
    <x v="0"/>
    <x v="0"/>
    <x v="0"/>
    <x v="1"/>
    <n v="5.97"/>
    <n v="5.6117999999999997"/>
    <n v="5.97"/>
    <n v="5.6117999999999997"/>
    <n v="0.35820000000000007"/>
    <n v="6.0000000000000012E-2"/>
    <x v="0"/>
  </r>
  <r>
    <s v="JDS-33440-914"/>
    <x v="248"/>
    <s v="58511-10548-ZU"/>
    <s v="R-M-1"/>
    <n v="3"/>
    <s v="Ailene Nesfield"/>
    <s v="anesfield8p@people.com.cn"/>
    <x v="2"/>
    <x v="0"/>
    <x v="0"/>
    <x v="0"/>
    <x v="0"/>
    <x v="0"/>
    <n v="9.9499999999999993"/>
    <n v="9.3529999999999998"/>
    <n v="29.849999999999998"/>
    <n v="28.058999999999997"/>
    <n v="1.7910000000000004"/>
    <n v="6.0000000000000019E-2"/>
    <x v="0"/>
  </r>
  <r>
    <s v="SYX-48878-182"/>
    <x v="264"/>
    <s v="47725-34771-FJ"/>
    <s v="R-D-1"/>
    <n v="5"/>
    <s v="Stacy Pickworth"/>
    <s v="-"/>
    <x v="0"/>
    <x v="0"/>
    <x v="0"/>
    <x v="2"/>
    <x v="2"/>
    <x v="0"/>
    <n v="8.9499999999999993"/>
    <n v="8.4130000000000003"/>
    <n v="44.75"/>
    <n v="42.064999999999998"/>
    <n v="2.6850000000000023"/>
    <n v="6.0000000000000053E-2"/>
    <x v="1"/>
  </r>
  <r>
    <s v="ZGD-94763-868"/>
    <x v="265"/>
    <s v="53086-67334-KT"/>
    <s v="E-L-2.5"/>
    <n v="1"/>
    <s v="Melli Brockway"/>
    <s v="mbrockway8r@ibm.com"/>
    <x v="0"/>
    <x v="1"/>
    <x v="1"/>
    <x v="1"/>
    <x v="1"/>
    <x v="2"/>
    <n v="34.154999999999994"/>
    <n v="30.397949999999994"/>
    <n v="34.154999999999994"/>
    <n v="30.397949999999994"/>
    <n v="3.7570499999999996"/>
    <n v="0.11"/>
    <x v="0"/>
  </r>
  <r>
    <s v="CZY-70361-485"/>
    <x v="266"/>
    <s v="83308-82257-UN"/>
    <s v="E-L-2.5"/>
    <n v="6"/>
    <s v="Nanny Lush"/>
    <s v="nlush8s@dedecms.com"/>
    <x v="1"/>
    <x v="1"/>
    <x v="1"/>
    <x v="1"/>
    <x v="1"/>
    <x v="2"/>
    <n v="34.154999999999994"/>
    <n v="30.397949999999994"/>
    <n v="204.92999999999995"/>
    <n v="182.38769999999997"/>
    <n v="22.542299999999983"/>
    <n v="0.10999999999999995"/>
    <x v="1"/>
  </r>
  <r>
    <s v="RJR-12175-899"/>
    <x v="267"/>
    <s v="37274-08534-FM"/>
    <s v="E-D-0.5"/>
    <n v="3"/>
    <s v="Selma McMillian"/>
    <s v="smcmillian8t@csmonitor.com"/>
    <x v="0"/>
    <x v="1"/>
    <x v="1"/>
    <x v="2"/>
    <x v="2"/>
    <x v="1"/>
    <n v="7.29"/>
    <n v="6.4881000000000002"/>
    <n v="21.87"/>
    <n v="19.464300000000001"/>
    <n v="2.4056999999999995"/>
    <n v="0.10999999999999997"/>
    <x v="1"/>
  </r>
  <r>
    <s v="ELB-07929-407"/>
    <x v="204"/>
    <s v="54004-04664-AA"/>
    <s v="A-M-2.5"/>
    <n v="2"/>
    <s v="Tess Bennison"/>
    <s v="tbennison8u@google.cn"/>
    <x v="0"/>
    <x v="2"/>
    <x v="2"/>
    <x v="0"/>
    <x v="0"/>
    <x v="2"/>
    <n v="25.874999999999996"/>
    <n v="23.546249999999997"/>
    <n v="51.749999999999993"/>
    <n v="47.092499999999994"/>
    <n v="4.6574999999999989"/>
    <n v="0.09"/>
    <x v="0"/>
  </r>
  <r>
    <s v="UJQ-54441-340"/>
    <x v="268"/>
    <s v="26822-19510-SD"/>
    <s v="E-M-0.2"/>
    <n v="2"/>
    <s v="Gabie Tweed"/>
    <s v="gtweed8v@yolasite.com"/>
    <x v="0"/>
    <x v="1"/>
    <x v="1"/>
    <x v="0"/>
    <x v="0"/>
    <x v="3"/>
    <n v="4.125"/>
    <n v="3.6712500000000001"/>
    <n v="8.25"/>
    <n v="7.3425000000000002"/>
    <n v="0.90749999999999975"/>
    <n v="0.10999999999999997"/>
    <x v="0"/>
  </r>
  <r>
    <s v="UJQ-54441-340"/>
    <x v="268"/>
    <s v="26822-19510-SD"/>
    <s v="A-L-0.2"/>
    <n v="5"/>
    <s v="Gabie Tweed"/>
    <s v="gtweed8v@yolasite.com"/>
    <x v="0"/>
    <x v="2"/>
    <x v="2"/>
    <x v="1"/>
    <x v="1"/>
    <x v="3"/>
    <n v="3.8849999999999998"/>
    <n v="3.5353499999999998"/>
    <n v="19.424999999999997"/>
    <n v="17.676749999999998"/>
    <n v="1.7482499999999987"/>
    <n v="8.9999999999999955E-2"/>
    <x v="0"/>
  </r>
  <r>
    <s v="OWY-43108-475"/>
    <x v="269"/>
    <s v="06432-73165-ML"/>
    <s v="A-M-0.2"/>
    <n v="6"/>
    <s v="Gaile Goggin"/>
    <s v="ggoggin8x@wix.com"/>
    <x v="1"/>
    <x v="2"/>
    <x v="2"/>
    <x v="0"/>
    <x v="0"/>
    <x v="3"/>
    <n v="3.375"/>
    <n v="3.07125"/>
    <n v="20.25"/>
    <n v="18.427500000000002"/>
    <n v="1.822499999999998"/>
    <n v="8.99999999999999E-2"/>
    <x v="0"/>
  </r>
  <r>
    <s v="GNO-91911-159"/>
    <x v="145"/>
    <s v="96503-31833-CW"/>
    <s v="L-D-0.5"/>
    <n v="3"/>
    <s v="Skylar Jeyness"/>
    <s v="sjeyness8y@biglobe.ne.jp"/>
    <x v="1"/>
    <x v="3"/>
    <x v="3"/>
    <x v="2"/>
    <x v="2"/>
    <x v="1"/>
    <n v="7.77"/>
    <n v="6.7599"/>
    <n v="23.31"/>
    <n v="20.279699999999998"/>
    <n v="3.0303000000000004"/>
    <n v="0.13000000000000003"/>
    <x v="1"/>
  </r>
  <r>
    <s v="CNY-06284-066"/>
    <x v="270"/>
    <s v="63985-64148-MG"/>
    <s v="E-D-0.2"/>
    <n v="5"/>
    <s v="Donica Bonhome"/>
    <s v="dbonhome8z@shinystat.com"/>
    <x v="0"/>
    <x v="1"/>
    <x v="1"/>
    <x v="2"/>
    <x v="2"/>
    <x v="3"/>
    <n v="3.645"/>
    <n v="3.2440500000000001"/>
    <n v="18.225000000000001"/>
    <n v="16.22025"/>
    <n v="2.0047500000000014"/>
    <n v="0.11000000000000007"/>
    <x v="0"/>
  </r>
  <r>
    <s v="OQS-46321-904"/>
    <x v="271"/>
    <s v="19597-91185-CM"/>
    <s v="E-M-1"/>
    <n v="1"/>
    <s v="Diena Peetermann"/>
    <s v="-"/>
    <x v="0"/>
    <x v="1"/>
    <x v="1"/>
    <x v="0"/>
    <x v="0"/>
    <x v="0"/>
    <n v="13.75"/>
    <n v="12.237500000000001"/>
    <n v="13.75"/>
    <n v="12.237500000000001"/>
    <n v="1.5124999999999993"/>
    <n v="0.10999999999999995"/>
    <x v="1"/>
  </r>
  <r>
    <s v="IBW-87442-480"/>
    <x v="272"/>
    <s v="79814-23626-JR"/>
    <s v="A-L-2.5"/>
    <n v="1"/>
    <s v="Trina Le Sarr"/>
    <s v="tle91@epa.gov"/>
    <x v="0"/>
    <x v="2"/>
    <x v="2"/>
    <x v="1"/>
    <x v="1"/>
    <x v="2"/>
    <n v="29.784999999999997"/>
    <n v="27.104349999999997"/>
    <n v="29.784999999999997"/>
    <n v="27.104349999999997"/>
    <n v="2.68065"/>
    <n v="9.0000000000000011E-2"/>
    <x v="0"/>
  </r>
  <r>
    <s v="DGZ-82537-477"/>
    <x v="252"/>
    <s v="43439-94003-DW"/>
    <s v="R-D-1"/>
    <n v="5"/>
    <s v="Flynn Antony"/>
    <s v="-"/>
    <x v="0"/>
    <x v="0"/>
    <x v="0"/>
    <x v="2"/>
    <x v="2"/>
    <x v="0"/>
    <n v="8.9499999999999993"/>
    <n v="8.4130000000000003"/>
    <n v="44.75"/>
    <n v="42.064999999999998"/>
    <n v="2.6850000000000023"/>
    <n v="6.0000000000000053E-2"/>
    <x v="1"/>
  </r>
  <r>
    <s v="LPS-39089-432"/>
    <x v="273"/>
    <s v="97655-45555-LI"/>
    <s v="R-D-1"/>
    <n v="5"/>
    <s v="Baudoin Alldridge"/>
    <s v="balldridge93@yandex.ru"/>
    <x v="0"/>
    <x v="0"/>
    <x v="0"/>
    <x v="2"/>
    <x v="2"/>
    <x v="0"/>
    <n v="8.9499999999999993"/>
    <n v="8.4130000000000003"/>
    <n v="44.75"/>
    <n v="42.064999999999998"/>
    <n v="2.6850000000000023"/>
    <n v="6.0000000000000053E-2"/>
    <x v="0"/>
  </r>
  <r>
    <s v="MQU-86100-929"/>
    <x v="274"/>
    <s v="64418-01720-VW"/>
    <s v="L-L-0.5"/>
    <n v="4"/>
    <s v="Homer Dulany"/>
    <s v="-"/>
    <x v="0"/>
    <x v="3"/>
    <x v="3"/>
    <x v="1"/>
    <x v="1"/>
    <x v="1"/>
    <n v="9.51"/>
    <n v="8.2736999999999998"/>
    <n v="38.04"/>
    <n v="33.094799999999999"/>
    <n v="4.9451999999999998"/>
    <n v="0.13"/>
    <x v="0"/>
  </r>
  <r>
    <s v="XUR-14132-391"/>
    <x v="275"/>
    <s v="96836-09258-RI"/>
    <s v="R-D-0.5"/>
    <n v="4"/>
    <s v="Lisa Goodger"/>
    <s v="lgoodger95@guardian.co.uk"/>
    <x v="0"/>
    <x v="0"/>
    <x v="0"/>
    <x v="2"/>
    <x v="2"/>
    <x v="1"/>
    <n v="5.3699999999999992"/>
    <n v="5.0477999999999996"/>
    <n v="21.479999999999997"/>
    <n v="20.191199999999998"/>
    <n v="1.2887999999999984"/>
    <n v="5.9999999999999935E-2"/>
    <x v="0"/>
  </r>
  <r>
    <s v="OVI-27064-381"/>
    <x v="276"/>
    <s v="37274-08534-FM"/>
    <s v="R-D-0.5"/>
    <n v="3"/>
    <s v="Selma McMillian"/>
    <s v="smcmillian8t@csmonitor.com"/>
    <x v="0"/>
    <x v="0"/>
    <x v="0"/>
    <x v="2"/>
    <x v="2"/>
    <x v="1"/>
    <n v="5.3699999999999992"/>
    <n v="5.0477999999999996"/>
    <n v="16.11"/>
    <n v="15.1434"/>
    <n v="0.96659999999999968"/>
    <n v="5.9999999999999984E-2"/>
    <x v="1"/>
  </r>
  <r>
    <s v="SHP-17012-870"/>
    <x v="277"/>
    <s v="69529-07533-CV"/>
    <s v="R-M-2.5"/>
    <n v="1"/>
    <s v="Corine Drewett"/>
    <s v="cdrewett97@wikipedia.org"/>
    <x v="0"/>
    <x v="0"/>
    <x v="0"/>
    <x v="0"/>
    <x v="0"/>
    <x v="2"/>
    <n v="22.884999999999998"/>
    <n v="21.511899999999997"/>
    <n v="22.884999999999998"/>
    <n v="21.511899999999997"/>
    <n v="1.3731000000000009"/>
    <n v="6.0000000000000046E-2"/>
    <x v="0"/>
  </r>
  <r>
    <s v="FDY-03414-903"/>
    <x v="278"/>
    <s v="94840-49457-UD"/>
    <s v="A-D-0.5"/>
    <n v="3"/>
    <s v="Quinn Parsons"/>
    <s v="qparsons98@blogtalkradio.com"/>
    <x v="0"/>
    <x v="2"/>
    <x v="2"/>
    <x v="2"/>
    <x v="2"/>
    <x v="1"/>
    <n v="5.97"/>
    <n v="5.4326999999999996"/>
    <n v="17.91"/>
    <n v="16.298099999999998"/>
    <n v="1.6119000000000021"/>
    <n v="9.0000000000000122E-2"/>
    <x v="0"/>
  </r>
  <r>
    <s v="WXT-85291-143"/>
    <x v="279"/>
    <s v="81414-81273-DK"/>
    <s v="R-M-0.5"/>
    <n v="4"/>
    <s v="Vivyan Ceely"/>
    <s v="vceely99@auda.org.au"/>
    <x v="0"/>
    <x v="0"/>
    <x v="0"/>
    <x v="0"/>
    <x v="0"/>
    <x v="1"/>
    <n v="5.97"/>
    <n v="5.6117999999999997"/>
    <n v="23.88"/>
    <n v="22.447199999999999"/>
    <n v="1.4328000000000003"/>
    <n v="6.0000000000000012E-2"/>
    <x v="0"/>
  </r>
  <r>
    <s v="QNP-18893-547"/>
    <x v="280"/>
    <s v="76930-61689-CH"/>
    <s v="R-L-1"/>
    <n v="5"/>
    <s v="Elonore Goodings"/>
    <s v="-"/>
    <x v="0"/>
    <x v="0"/>
    <x v="0"/>
    <x v="1"/>
    <x v="1"/>
    <x v="0"/>
    <n v="11.95"/>
    <n v="11.232999999999999"/>
    <n v="59.75"/>
    <n v="56.164999999999992"/>
    <n v="3.585000000000008"/>
    <n v="6.0000000000000137E-2"/>
    <x v="1"/>
  </r>
  <r>
    <s v="DOH-92927-530"/>
    <x v="281"/>
    <s v="12839-56537-TQ"/>
    <s v="L-L-0.2"/>
    <n v="6"/>
    <s v="Clement Vasiliev"/>
    <s v="cvasiliev9b@discuz.net"/>
    <x v="0"/>
    <x v="3"/>
    <x v="3"/>
    <x v="1"/>
    <x v="1"/>
    <x v="3"/>
    <n v="4.7549999999999999"/>
    <n v="4.1368499999999999"/>
    <n v="28.53"/>
    <n v="24.821100000000001"/>
    <n v="3.7088999999999999"/>
    <n v="0.12999999999999998"/>
    <x v="0"/>
  </r>
  <r>
    <s v="HGJ-82768-173"/>
    <x v="282"/>
    <s v="62741-01322-HU"/>
    <s v="A-M-1"/>
    <n v="4"/>
    <s v="Terencio O'Moylan"/>
    <s v="tomoylan9c@liveinternet.ru"/>
    <x v="2"/>
    <x v="2"/>
    <x v="2"/>
    <x v="0"/>
    <x v="0"/>
    <x v="0"/>
    <n v="11.25"/>
    <n v="10.237500000000001"/>
    <n v="45"/>
    <n v="40.950000000000003"/>
    <n v="4.0499999999999972"/>
    <n v="8.9999999999999941E-2"/>
    <x v="1"/>
  </r>
  <r>
    <s v="YPT-95383-088"/>
    <x v="283"/>
    <s v="43439-94003-DW"/>
    <s v="E-D-2.5"/>
    <n v="2"/>
    <s v="Flynn Antony"/>
    <s v="-"/>
    <x v="0"/>
    <x v="1"/>
    <x v="1"/>
    <x v="2"/>
    <x v="2"/>
    <x v="2"/>
    <n v="27.945"/>
    <n v="24.87105"/>
    <n v="55.89"/>
    <n v="49.742100000000001"/>
    <n v="6.1478999999999999"/>
    <n v="0.11"/>
    <x v="1"/>
  </r>
  <r>
    <s v="OYH-16533-767"/>
    <x v="284"/>
    <s v="44932-34838-RM"/>
    <s v="E-L-1"/>
    <n v="4"/>
    <s v="Wyatan Fetherston"/>
    <s v="wfetherston9e@constantcontact.com"/>
    <x v="0"/>
    <x v="1"/>
    <x v="1"/>
    <x v="1"/>
    <x v="1"/>
    <x v="0"/>
    <n v="14.85"/>
    <n v="13.2165"/>
    <n v="59.4"/>
    <n v="52.866"/>
    <n v="6.5339999999999989"/>
    <n v="0.10999999999999999"/>
    <x v="1"/>
  </r>
  <r>
    <s v="DWW-28642-549"/>
    <x v="285"/>
    <s v="91181-19412-RQ"/>
    <s v="E-D-0.2"/>
    <n v="2"/>
    <s v="Emmaline Rasmus"/>
    <s v="erasmus9f@techcrunch.com"/>
    <x v="0"/>
    <x v="1"/>
    <x v="1"/>
    <x v="2"/>
    <x v="2"/>
    <x v="3"/>
    <n v="3.645"/>
    <n v="3.2440500000000001"/>
    <n v="7.29"/>
    <n v="6.4881000000000002"/>
    <n v="0.80189999999999984"/>
    <n v="0.10999999999999997"/>
    <x v="0"/>
  </r>
  <r>
    <s v="CGO-79583-871"/>
    <x v="286"/>
    <s v="37182-54930-XC"/>
    <s v="E-D-0.5"/>
    <n v="1"/>
    <s v="Wesley Giorgioni"/>
    <s v="wgiorgioni9g@wikipedia.org"/>
    <x v="0"/>
    <x v="1"/>
    <x v="1"/>
    <x v="2"/>
    <x v="2"/>
    <x v="1"/>
    <n v="7.29"/>
    <n v="6.4881000000000002"/>
    <n v="7.29"/>
    <n v="6.4881000000000002"/>
    <n v="0.80189999999999984"/>
    <n v="0.10999999999999997"/>
    <x v="0"/>
  </r>
  <r>
    <s v="TFY-52090-386"/>
    <x v="287"/>
    <s v="08613-17327-XT"/>
    <s v="E-L-0.5"/>
    <n v="2"/>
    <s v="Lucienne Scargle"/>
    <s v="lscargle9h@myspace.com"/>
    <x v="0"/>
    <x v="1"/>
    <x v="1"/>
    <x v="1"/>
    <x v="1"/>
    <x v="1"/>
    <n v="8.91"/>
    <n v="7.9298999999999999"/>
    <n v="17.82"/>
    <n v="15.8598"/>
    <n v="1.9602000000000004"/>
    <n v="0.11000000000000001"/>
    <x v="1"/>
  </r>
  <r>
    <s v="TFY-52090-386"/>
    <x v="287"/>
    <s v="08613-17327-XT"/>
    <s v="L-D-0.5"/>
    <n v="5"/>
    <s v="Lucienne Scargle"/>
    <s v="lscargle9h@myspace.com"/>
    <x v="0"/>
    <x v="3"/>
    <x v="3"/>
    <x v="2"/>
    <x v="2"/>
    <x v="1"/>
    <n v="7.77"/>
    <n v="6.7599"/>
    <n v="38.849999999999994"/>
    <n v="33.799500000000002"/>
    <n v="5.0504999999999924"/>
    <n v="0.12999999999999984"/>
    <x v="1"/>
  </r>
  <r>
    <s v="NYY-73968-094"/>
    <x v="288"/>
    <s v="70451-38048-AH"/>
    <s v="R-D-0.5"/>
    <n v="6"/>
    <s v="Noam Climance"/>
    <s v="nclimance9j@europa.eu"/>
    <x v="0"/>
    <x v="0"/>
    <x v="0"/>
    <x v="2"/>
    <x v="2"/>
    <x v="1"/>
    <n v="5.3699999999999992"/>
    <n v="5.0477999999999996"/>
    <n v="32.22"/>
    <n v="30.286799999999999"/>
    <n v="1.9331999999999994"/>
    <n v="5.9999999999999984E-2"/>
    <x v="1"/>
  </r>
  <r>
    <s v="QEY-71761-460"/>
    <x v="250"/>
    <s v="35442-75769-PL"/>
    <s v="R-M-1"/>
    <n v="2"/>
    <s v="Catarina Donn"/>
    <s v="-"/>
    <x v="1"/>
    <x v="0"/>
    <x v="0"/>
    <x v="0"/>
    <x v="0"/>
    <x v="0"/>
    <n v="9.9499999999999993"/>
    <n v="9.3529999999999998"/>
    <n v="19.899999999999999"/>
    <n v="18.706"/>
    <n v="1.1939999999999991"/>
    <n v="5.9999999999999956E-2"/>
    <x v="0"/>
  </r>
  <r>
    <s v="GKQ-82603-910"/>
    <x v="289"/>
    <s v="83737-56117-JE"/>
    <s v="R-L-1"/>
    <n v="5"/>
    <s v="Ameline Snazle"/>
    <s v="asnazle9l@oracle.com"/>
    <x v="0"/>
    <x v="0"/>
    <x v="0"/>
    <x v="1"/>
    <x v="1"/>
    <x v="0"/>
    <n v="11.95"/>
    <n v="11.232999999999999"/>
    <n v="59.75"/>
    <n v="56.164999999999992"/>
    <n v="3.585000000000008"/>
    <n v="6.0000000000000137E-2"/>
    <x v="1"/>
  </r>
  <r>
    <s v="IOB-32673-745"/>
    <x v="290"/>
    <s v="07095-81281-NJ"/>
    <s v="A-L-0.5"/>
    <n v="3"/>
    <s v="Rebeka Worg"/>
    <s v="rworg9m@arstechnica.com"/>
    <x v="0"/>
    <x v="2"/>
    <x v="2"/>
    <x v="1"/>
    <x v="1"/>
    <x v="1"/>
    <n v="7.77"/>
    <n v="7.0706999999999995"/>
    <n v="23.31"/>
    <n v="21.2121"/>
    <n v="2.0978999999999992"/>
    <n v="8.9999999999999969E-2"/>
    <x v="0"/>
  </r>
  <r>
    <s v="YAU-98893-150"/>
    <x v="291"/>
    <s v="77043-48851-HG"/>
    <s v="L-M-1"/>
    <n v="3"/>
    <s v="Lewes Danes"/>
    <s v="ldanes9n@umn.edu"/>
    <x v="0"/>
    <x v="3"/>
    <x v="3"/>
    <x v="0"/>
    <x v="0"/>
    <x v="0"/>
    <n v="14.55"/>
    <n v="12.6585"/>
    <n v="43.650000000000006"/>
    <n v="37.975499999999997"/>
    <n v="5.674500000000009"/>
    <n v="0.1300000000000002"/>
    <x v="1"/>
  </r>
  <r>
    <s v="XNM-14163-951"/>
    <x v="292"/>
    <s v="78224-60622-KH"/>
    <s v="E-L-2.5"/>
    <n v="6"/>
    <s v="Shelli Keynd"/>
    <s v="skeynd9o@narod.ru"/>
    <x v="0"/>
    <x v="1"/>
    <x v="1"/>
    <x v="1"/>
    <x v="1"/>
    <x v="2"/>
    <n v="34.154999999999994"/>
    <n v="30.397949999999994"/>
    <n v="204.92999999999995"/>
    <n v="182.38769999999997"/>
    <n v="22.542299999999983"/>
    <n v="0.10999999999999995"/>
    <x v="1"/>
  </r>
  <r>
    <s v="JPB-45297-000"/>
    <x v="293"/>
    <s v="83105-86631-IU"/>
    <s v="R-L-0.2"/>
    <n v="4"/>
    <s v="Dell Daveridge"/>
    <s v="ddaveridge9p@arstechnica.com"/>
    <x v="0"/>
    <x v="0"/>
    <x v="0"/>
    <x v="1"/>
    <x v="1"/>
    <x v="3"/>
    <n v="3.5849999999999995"/>
    <n v="3.3698999999999995"/>
    <n v="14.339999999999998"/>
    <n v="13.479599999999998"/>
    <n v="0.86040000000000028"/>
    <n v="6.0000000000000026E-2"/>
    <x v="1"/>
  </r>
  <r>
    <s v="MOU-74341-266"/>
    <x v="294"/>
    <s v="99358-65399-TC"/>
    <s v="A-D-0.5"/>
    <n v="4"/>
    <s v="Joshuah Awdry"/>
    <s v="jawdry9q@utexas.edu"/>
    <x v="0"/>
    <x v="2"/>
    <x v="2"/>
    <x v="2"/>
    <x v="2"/>
    <x v="1"/>
    <n v="5.97"/>
    <n v="5.4326999999999996"/>
    <n v="23.88"/>
    <n v="21.730799999999999"/>
    <n v="2.1492000000000004"/>
    <n v="9.0000000000000024E-2"/>
    <x v="1"/>
  </r>
  <r>
    <s v="DHJ-87461-571"/>
    <x v="295"/>
    <s v="94525-76037-JP"/>
    <s v="A-M-1"/>
    <n v="2"/>
    <s v="Ethel Ryles"/>
    <s v="eryles9r@fastcompany.com"/>
    <x v="0"/>
    <x v="2"/>
    <x v="2"/>
    <x v="0"/>
    <x v="0"/>
    <x v="0"/>
    <n v="11.25"/>
    <n v="10.237500000000001"/>
    <n v="22.5"/>
    <n v="20.475000000000001"/>
    <n v="2.0249999999999986"/>
    <n v="8.9999999999999941E-2"/>
    <x v="1"/>
  </r>
  <r>
    <s v="DKM-97676-850"/>
    <x v="296"/>
    <s v="43439-94003-DW"/>
    <s v="E-D-0.5"/>
    <n v="5"/>
    <s v="Flynn Antony"/>
    <s v="-"/>
    <x v="0"/>
    <x v="1"/>
    <x v="1"/>
    <x v="2"/>
    <x v="2"/>
    <x v="1"/>
    <n v="7.29"/>
    <n v="6.4881000000000002"/>
    <n v="36.450000000000003"/>
    <n v="32.4405"/>
    <n v="4.0095000000000027"/>
    <n v="0.11000000000000007"/>
    <x v="1"/>
  </r>
  <r>
    <s v="UEB-09112-118"/>
    <x v="297"/>
    <s v="82718-93677-XO"/>
    <s v="A-M-0.5"/>
    <n v="4"/>
    <s v="Maitilde Boxill"/>
    <s v="-"/>
    <x v="0"/>
    <x v="2"/>
    <x v="2"/>
    <x v="0"/>
    <x v="0"/>
    <x v="1"/>
    <n v="6.75"/>
    <n v="6.1425000000000001"/>
    <n v="27"/>
    <n v="24.57"/>
    <n v="2.4299999999999997"/>
    <n v="8.9999999999999983E-2"/>
    <x v="0"/>
  </r>
  <r>
    <s v="ORZ-67699-748"/>
    <x v="298"/>
    <s v="44708-78241-DF"/>
    <s v="A-M-2.5"/>
    <n v="6"/>
    <s v="Jodee Caldicott"/>
    <s v="jcaldicott9u@usda.gov"/>
    <x v="0"/>
    <x v="2"/>
    <x v="2"/>
    <x v="0"/>
    <x v="0"/>
    <x v="2"/>
    <n v="25.874999999999996"/>
    <n v="23.546249999999997"/>
    <n v="155.24999999999997"/>
    <n v="141.27749999999997"/>
    <n v="13.972499999999997"/>
    <n v="0.09"/>
    <x v="1"/>
  </r>
  <r>
    <s v="JXP-28398-485"/>
    <x v="299"/>
    <s v="23039-93032-FN"/>
    <s v="A-D-2.5"/>
    <n v="5"/>
    <s v="Marianna Vedmore"/>
    <s v="mvedmore9v@a8.net"/>
    <x v="0"/>
    <x v="2"/>
    <x v="2"/>
    <x v="2"/>
    <x v="2"/>
    <x v="2"/>
    <n v="22.884999999999998"/>
    <n v="20.82535"/>
    <n v="114.42499999999998"/>
    <n v="104.12675"/>
    <n v="10.298249999999982"/>
    <n v="8.9999999999999858E-2"/>
    <x v="0"/>
  </r>
  <r>
    <s v="WWH-92259-198"/>
    <x v="300"/>
    <s v="35256-12529-FT"/>
    <s v="L-D-1"/>
    <n v="4"/>
    <s v="Willey Romao"/>
    <s v="wromao9w@chronoengine.com"/>
    <x v="0"/>
    <x v="3"/>
    <x v="3"/>
    <x v="2"/>
    <x v="2"/>
    <x v="0"/>
    <n v="12.95"/>
    <n v="11.266499999999999"/>
    <n v="51.8"/>
    <n v="45.065999999999995"/>
    <n v="6.7340000000000018"/>
    <n v="0.13000000000000003"/>
    <x v="0"/>
  </r>
  <r>
    <s v="FLR-82914-153"/>
    <x v="301"/>
    <s v="86100-33488-WP"/>
    <s v="A-M-2.5"/>
    <n v="6"/>
    <s v="Enriqueta Ixor"/>
    <s v="-"/>
    <x v="0"/>
    <x v="2"/>
    <x v="2"/>
    <x v="0"/>
    <x v="0"/>
    <x v="2"/>
    <n v="25.874999999999996"/>
    <n v="23.546249999999997"/>
    <n v="155.24999999999997"/>
    <n v="141.27749999999997"/>
    <n v="13.972499999999997"/>
    <n v="0.09"/>
    <x v="1"/>
  </r>
  <r>
    <s v="AMB-93600-000"/>
    <x v="302"/>
    <s v="64435-53100-WM"/>
    <s v="A-L-2.5"/>
    <n v="1"/>
    <s v="Tomasina Cotmore"/>
    <s v="tcotmore9y@amazonaws.com"/>
    <x v="0"/>
    <x v="2"/>
    <x v="2"/>
    <x v="1"/>
    <x v="1"/>
    <x v="2"/>
    <n v="29.784999999999997"/>
    <n v="27.104349999999997"/>
    <n v="29.784999999999997"/>
    <n v="27.104349999999997"/>
    <n v="2.68065"/>
    <n v="9.0000000000000011E-2"/>
    <x v="1"/>
  </r>
  <r>
    <s v="FEP-36895-658"/>
    <x v="303"/>
    <s v="44699-43836-UH"/>
    <s v="R-L-0.2"/>
    <n v="6"/>
    <s v="Yuma Skipsey"/>
    <s v="yskipsey9z@spotify.com"/>
    <x v="2"/>
    <x v="0"/>
    <x v="0"/>
    <x v="1"/>
    <x v="1"/>
    <x v="3"/>
    <n v="3.5849999999999995"/>
    <n v="3.3698999999999995"/>
    <n v="21.509999999999998"/>
    <n v="20.219399999999997"/>
    <n v="1.2906000000000013"/>
    <n v="6.0000000000000067E-2"/>
    <x v="1"/>
  </r>
  <r>
    <s v="RXW-91413-276"/>
    <x v="304"/>
    <s v="29588-35679-RG"/>
    <s v="R-D-2.5"/>
    <n v="2"/>
    <s v="Nicko Corps"/>
    <s v="ncorpsa0@gmpg.org"/>
    <x v="0"/>
    <x v="0"/>
    <x v="0"/>
    <x v="2"/>
    <x v="2"/>
    <x v="2"/>
    <n v="20.584999999999997"/>
    <n v="19.349899999999998"/>
    <n v="41.169999999999995"/>
    <n v="38.699799999999996"/>
    <n v="2.4701999999999984"/>
    <n v="5.999999999999997E-2"/>
    <x v="1"/>
  </r>
  <r>
    <s v="RXW-91413-276"/>
    <x v="304"/>
    <s v="29588-35679-RG"/>
    <s v="R-M-0.5"/>
    <n v="1"/>
    <s v="Nicko Corps"/>
    <s v="ncorpsa0@gmpg.org"/>
    <x v="0"/>
    <x v="0"/>
    <x v="0"/>
    <x v="0"/>
    <x v="0"/>
    <x v="1"/>
    <n v="5.97"/>
    <n v="5.6117999999999997"/>
    <n v="5.97"/>
    <n v="5.6117999999999997"/>
    <n v="0.35820000000000007"/>
    <n v="6.0000000000000012E-2"/>
    <x v="1"/>
  </r>
  <r>
    <s v="SDB-77492-188"/>
    <x v="305"/>
    <s v="64815-54078-HH"/>
    <s v="E-L-1"/>
    <n v="5"/>
    <s v="Feliks Babber"/>
    <s v="fbabbera2@stanford.edu"/>
    <x v="0"/>
    <x v="1"/>
    <x v="1"/>
    <x v="1"/>
    <x v="1"/>
    <x v="0"/>
    <n v="14.85"/>
    <n v="13.2165"/>
    <n v="74.25"/>
    <n v="66.082499999999996"/>
    <n v="8.167500000000004"/>
    <n v="0.11000000000000006"/>
    <x v="0"/>
  </r>
  <r>
    <s v="RZN-65182-395"/>
    <x v="196"/>
    <s v="59572-41990-XY"/>
    <s v="L-M-1"/>
    <n v="6"/>
    <s v="Kaja Loxton"/>
    <s v="kloxtona3@opensource.org"/>
    <x v="0"/>
    <x v="3"/>
    <x v="3"/>
    <x v="0"/>
    <x v="0"/>
    <x v="0"/>
    <n v="14.55"/>
    <n v="12.6585"/>
    <n v="87.300000000000011"/>
    <n v="75.950999999999993"/>
    <n v="11.349000000000018"/>
    <n v="0.1300000000000002"/>
    <x v="1"/>
  </r>
  <r>
    <s v="HDQ-86094-507"/>
    <x v="110"/>
    <s v="32481-61533-ZJ"/>
    <s v="E-D-1"/>
    <n v="6"/>
    <s v="Parker Tofful"/>
    <s v="ptoffula4@posterous.com"/>
    <x v="0"/>
    <x v="1"/>
    <x v="1"/>
    <x v="2"/>
    <x v="2"/>
    <x v="0"/>
    <n v="12.15"/>
    <n v="10.813500000000001"/>
    <n v="72.900000000000006"/>
    <n v="64.881"/>
    <n v="8.0190000000000055"/>
    <n v="0.11000000000000007"/>
    <x v="0"/>
  </r>
  <r>
    <s v="YXO-79631-417"/>
    <x v="24"/>
    <s v="31587-92570-HL"/>
    <s v="L-D-0.5"/>
    <n v="1"/>
    <s v="Casi Gwinnett"/>
    <s v="cgwinnetta5@behance.net"/>
    <x v="0"/>
    <x v="3"/>
    <x v="3"/>
    <x v="2"/>
    <x v="2"/>
    <x v="1"/>
    <n v="7.77"/>
    <n v="6.7599"/>
    <n v="7.77"/>
    <n v="6.7599"/>
    <n v="1.0100999999999996"/>
    <n v="0.12999999999999995"/>
    <x v="1"/>
  </r>
  <r>
    <s v="SNF-57032-096"/>
    <x v="306"/>
    <s v="93832-04799-ID"/>
    <s v="E-D-0.5"/>
    <n v="6"/>
    <s v="Saree Ellesworth"/>
    <s v="-"/>
    <x v="0"/>
    <x v="1"/>
    <x v="1"/>
    <x v="2"/>
    <x v="2"/>
    <x v="1"/>
    <n v="7.29"/>
    <n v="6.4881000000000002"/>
    <n v="43.74"/>
    <n v="38.928600000000003"/>
    <n v="4.811399999999999"/>
    <n v="0.10999999999999997"/>
    <x v="1"/>
  </r>
  <r>
    <s v="DGL-29648-995"/>
    <x v="307"/>
    <s v="59367-30821-ZQ"/>
    <s v="L-M-0.2"/>
    <n v="2"/>
    <s v="Silvio Iorizzi"/>
    <s v="-"/>
    <x v="0"/>
    <x v="3"/>
    <x v="3"/>
    <x v="0"/>
    <x v="0"/>
    <x v="3"/>
    <n v="4.3650000000000002"/>
    <n v="3.7975500000000002"/>
    <n v="8.73"/>
    <n v="7.5951000000000004"/>
    <n v="1.1349"/>
    <n v="0.13"/>
    <x v="0"/>
  </r>
  <r>
    <s v="GPU-65651-504"/>
    <x v="308"/>
    <s v="83947-45528-ET"/>
    <s v="E-M-2.5"/>
    <n v="2"/>
    <s v="Leesa Flaonier"/>
    <s v="lflaoniera8@wordpress.org"/>
    <x v="0"/>
    <x v="1"/>
    <x v="1"/>
    <x v="0"/>
    <x v="0"/>
    <x v="2"/>
    <n v="31.624999999999996"/>
    <n v="28.146249999999995"/>
    <n v="63.249999999999993"/>
    <n v="56.29249999999999"/>
    <n v="6.9575000000000031"/>
    <n v="0.11000000000000006"/>
    <x v="1"/>
  </r>
  <r>
    <s v="OJU-34452-896"/>
    <x v="309"/>
    <s v="60799-92593-CX"/>
    <s v="E-L-0.5"/>
    <n v="1"/>
    <s v="Abba Pummell"/>
    <s v="-"/>
    <x v="0"/>
    <x v="1"/>
    <x v="1"/>
    <x v="1"/>
    <x v="1"/>
    <x v="1"/>
    <n v="8.91"/>
    <n v="7.9298999999999999"/>
    <n v="8.91"/>
    <n v="7.9298999999999999"/>
    <n v="0.98010000000000019"/>
    <n v="0.11000000000000001"/>
    <x v="0"/>
  </r>
  <r>
    <s v="GZS-50547-887"/>
    <x v="310"/>
    <s v="61600-55136-UM"/>
    <s v="E-D-1"/>
    <n v="2"/>
    <s v="Corinna Catcheside"/>
    <s v="ccatchesideaa@macromedia.com"/>
    <x v="0"/>
    <x v="1"/>
    <x v="1"/>
    <x v="2"/>
    <x v="2"/>
    <x v="0"/>
    <n v="12.15"/>
    <n v="10.813500000000001"/>
    <n v="24.3"/>
    <n v="21.627000000000002"/>
    <n v="2.6729999999999983"/>
    <n v="0.10999999999999993"/>
    <x v="0"/>
  </r>
  <r>
    <s v="ESR-54041-053"/>
    <x v="311"/>
    <s v="59771-90302-OF"/>
    <s v="A-L-0.5"/>
    <n v="6"/>
    <s v="Cortney Gibbonson"/>
    <s v="cgibbonsonab@accuweather.com"/>
    <x v="0"/>
    <x v="2"/>
    <x v="2"/>
    <x v="1"/>
    <x v="1"/>
    <x v="1"/>
    <n v="7.77"/>
    <n v="7.0706999999999995"/>
    <n v="46.62"/>
    <n v="42.424199999999999"/>
    <n v="4.1957999999999984"/>
    <n v="8.9999999999999969E-2"/>
    <x v="0"/>
  </r>
  <r>
    <s v="OGD-10781-526"/>
    <x v="132"/>
    <s v="16880-78077-FB"/>
    <s v="R-L-0.5"/>
    <n v="6"/>
    <s v="Terri Farra"/>
    <s v="tfarraac@behance.net"/>
    <x v="0"/>
    <x v="0"/>
    <x v="0"/>
    <x v="1"/>
    <x v="1"/>
    <x v="1"/>
    <n v="7.169999999999999"/>
    <n v="6.7397999999999989"/>
    <n v="43.019999999999996"/>
    <n v="40.438799999999993"/>
    <n v="2.5812000000000026"/>
    <n v="6.0000000000000067E-2"/>
    <x v="1"/>
  </r>
  <r>
    <s v="FVH-29271-315"/>
    <x v="312"/>
    <s v="74415-50873-FC"/>
    <s v="A-D-0.5"/>
    <n v="3"/>
    <s v="Corney Curme"/>
    <s v="-"/>
    <x v="1"/>
    <x v="2"/>
    <x v="2"/>
    <x v="2"/>
    <x v="2"/>
    <x v="1"/>
    <n v="5.97"/>
    <n v="5.4326999999999996"/>
    <n v="17.91"/>
    <n v="16.298099999999998"/>
    <n v="1.6119000000000021"/>
    <n v="9.0000000000000122E-2"/>
    <x v="0"/>
  </r>
  <r>
    <s v="BNZ-20544-633"/>
    <x v="313"/>
    <s v="31798-95707-NR"/>
    <s v="L-L-0.5"/>
    <n v="4"/>
    <s v="Gothart Bamfield"/>
    <s v="gbamfieldae@yellowpages.com"/>
    <x v="0"/>
    <x v="3"/>
    <x v="3"/>
    <x v="1"/>
    <x v="1"/>
    <x v="1"/>
    <n v="9.51"/>
    <n v="8.2736999999999998"/>
    <n v="38.04"/>
    <n v="33.094799999999999"/>
    <n v="4.9451999999999998"/>
    <n v="0.13"/>
    <x v="0"/>
  </r>
  <r>
    <s v="FUX-85791-078"/>
    <x v="156"/>
    <s v="59122-08794-WT"/>
    <s v="A-M-0.2"/>
    <n v="2"/>
    <s v="Waylin Hollingdale"/>
    <s v="whollingdaleaf@about.me"/>
    <x v="0"/>
    <x v="2"/>
    <x v="2"/>
    <x v="0"/>
    <x v="0"/>
    <x v="3"/>
    <n v="3.375"/>
    <n v="3.07125"/>
    <n v="6.75"/>
    <n v="6.1425000000000001"/>
    <n v="0.60749999999999993"/>
    <n v="8.9999999999999983E-2"/>
    <x v="0"/>
  </r>
  <r>
    <s v="YXP-20078-116"/>
    <x v="314"/>
    <s v="37238-52421-JJ"/>
    <s v="R-M-0.5"/>
    <n v="1"/>
    <s v="Judd De Leek"/>
    <s v="jdeag@xrea.com"/>
    <x v="0"/>
    <x v="0"/>
    <x v="0"/>
    <x v="0"/>
    <x v="0"/>
    <x v="1"/>
    <n v="5.97"/>
    <n v="5.6117999999999997"/>
    <n v="5.97"/>
    <n v="5.6117999999999997"/>
    <n v="0.35820000000000007"/>
    <n v="6.0000000000000012E-2"/>
    <x v="0"/>
  </r>
  <r>
    <s v="VQV-59984-866"/>
    <x v="315"/>
    <s v="48854-01899-FN"/>
    <s v="R-D-0.2"/>
    <n v="3"/>
    <s v="Vanya Skullet"/>
    <s v="vskulletah@tinyurl.com"/>
    <x v="1"/>
    <x v="0"/>
    <x v="0"/>
    <x v="2"/>
    <x v="2"/>
    <x v="3"/>
    <n v="2.6849999999999996"/>
    <n v="2.5238999999999998"/>
    <n v="8.0549999999999997"/>
    <n v="7.5716999999999999"/>
    <n v="0.48329999999999984"/>
    <n v="5.9999999999999984E-2"/>
    <x v="1"/>
  </r>
  <r>
    <s v="JEH-37276-048"/>
    <x v="316"/>
    <s v="80896-38819-DW"/>
    <s v="A-L-0.5"/>
    <n v="3"/>
    <s v="Jany Rudeforth"/>
    <s v="jrudeforthai@wunderground.com"/>
    <x v="1"/>
    <x v="2"/>
    <x v="2"/>
    <x v="1"/>
    <x v="1"/>
    <x v="1"/>
    <n v="7.77"/>
    <n v="7.0706999999999995"/>
    <n v="23.31"/>
    <n v="21.2121"/>
    <n v="2.0978999999999992"/>
    <n v="8.9999999999999969E-2"/>
    <x v="0"/>
  </r>
  <r>
    <s v="VYD-28555-589"/>
    <x v="317"/>
    <s v="29814-01459-RC"/>
    <s v="R-L-0.5"/>
    <n v="6"/>
    <s v="Ashbey Tomaszewski"/>
    <s v="atomaszewskiaj@answers.com"/>
    <x v="2"/>
    <x v="0"/>
    <x v="0"/>
    <x v="1"/>
    <x v="1"/>
    <x v="1"/>
    <n v="7.169999999999999"/>
    <n v="6.7397999999999989"/>
    <n v="43.019999999999996"/>
    <n v="40.438799999999993"/>
    <n v="2.5812000000000026"/>
    <n v="6.0000000000000067E-2"/>
    <x v="0"/>
  </r>
  <r>
    <s v="WUG-76466-650"/>
    <x v="318"/>
    <s v="43439-94003-DW"/>
    <s v="L-D-0.5"/>
    <n v="3"/>
    <s v="Flynn Antony"/>
    <s v="-"/>
    <x v="0"/>
    <x v="3"/>
    <x v="3"/>
    <x v="2"/>
    <x v="2"/>
    <x v="1"/>
    <n v="7.77"/>
    <n v="6.7599"/>
    <n v="23.31"/>
    <n v="20.279699999999998"/>
    <n v="3.0303000000000004"/>
    <n v="0.13000000000000003"/>
    <x v="1"/>
  </r>
  <r>
    <s v="RJV-08261-583"/>
    <x v="182"/>
    <s v="48497-29281-FE"/>
    <s v="A-D-0.2"/>
    <n v="5"/>
    <s v="Pren Bess"/>
    <s v="pbessal@qq.com"/>
    <x v="0"/>
    <x v="2"/>
    <x v="2"/>
    <x v="2"/>
    <x v="2"/>
    <x v="3"/>
    <n v="2.9849999999999999"/>
    <n v="2.7163499999999998"/>
    <n v="14.924999999999999"/>
    <n v="13.58175"/>
    <n v="1.3432499999999994"/>
    <n v="8.9999999999999969E-2"/>
    <x v="0"/>
  </r>
  <r>
    <s v="PMR-56062-609"/>
    <x v="319"/>
    <s v="43605-12616-YH"/>
    <s v="E-D-0.5"/>
    <n v="3"/>
    <s v="Elka Windress"/>
    <s v="ewindressam@marketwatch.com"/>
    <x v="0"/>
    <x v="1"/>
    <x v="1"/>
    <x v="2"/>
    <x v="2"/>
    <x v="1"/>
    <n v="7.29"/>
    <n v="6.4881000000000002"/>
    <n v="21.87"/>
    <n v="19.464300000000001"/>
    <n v="2.4056999999999995"/>
    <n v="0.10999999999999997"/>
    <x v="1"/>
  </r>
  <r>
    <s v="XLD-12920-505"/>
    <x v="320"/>
    <s v="21907-75962-VB"/>
    <s v="E-L-0.5"/>
    <n v="6"/>
    <s v="Marty Kidstoun"/>
    <s v="-"/>
    <x v="0"/>
    <x v="1"/>
    <x v="1"/>
    <x v="1"/>
    <x v="1"/>
    <x v="1"/>
    <n v="8.91"/>
    <n v="7.9298999999999999"/>
    <n v="53.46"/>
    <n v="47.5794"/>
    <n v="5.8806000000000012"/>
    <n v="0.11000000000000001"/>
    <x v="0"/>
  </r>
  <r>
    <s v="UBW-50312-037"/>
    <x v="321"/>
    <s v="69503-12127-YD"/>
    <s v="A-L-2.5"/>
    <n v="4"/>
    <s v="Nickey Dimbleby"/>
    <s v="-"/>
    <x v="0"/>
    <x v="2"/>
    <x v="2"/>
    <x v="1"/>
    <x v="1"/>
    <x v="2"/>
    <n v="29.784999999999997"/>
    <n v="27.104349999999997"/>
    <n v="119.13999999999999"/>
    <n v="108.41739999999999"/>
    <n v="10.7226"/>
    <n v="9.0000000000000011E-2"/>
    <x v="1"/>
  </r>
  <r>
    <s v="QAW-05889-019"/>
    <x v="322"/>
    <s v="68810-07329-EU"/>
    <s v="L-M-0.5"/>
    <n v="5"/>
    <s v="Virgil Baumadier"/>
    <s v="vbaumadierap@google.cn"/>
    <x v="0"/>
    <x v="3"/>
    <x v="3"/>
    <x v="0"/>
    <x v="0"/>
    <x v="1"/>
    <n v="8.73"/>
    <n v="7.5951000000000004"/>
    <n v="43.650000000000006"/>
    <n v="37.975500000000004"/>
    <n v="5.6745000000000019"/>
    <n v="0.13000000000000003"/>
    <x v="0"/>
  </r>
  <r>
    <s v="EPT-12715-397"/>
    <x v="128"/>
    <s v="08478-75251-OG"/>
    <s v="A-D-0.2"/>
    <n v="6"/>
    <s v="Lenore Messenbird"/>
    <s v="-"/>
    <x v="0"/>
    <x v="2"/>
    <x v="2"/>
    <x v="2"/>
    <x v="2"/>
    <x v="3"/>
    <n v="2.9849999999999999"/>
    <n v="2.7163499999999998"/>
    <n v="17.91"/>
    <n v="16.298099999999998"/>
    <n v="1.6119000000000021"/>
    <n v="9.0000000000000122E-2"/>
    <x v="0"/>
  </r>
  <r>
    <s v="DHT-93810-053"/>
    <x v="323"/>
    <s v="17005-82030-EA"/>
    <s v="E-L-1"/>
    <n v="5"/>
    <s v="Shirleen Welds"/>
    <s v="sweldsar@wired.com"/>
    <x v="0"/>
    <x v="1"/>
    <x v="1"/>
    <x v="1"/>
    <x v="1"/>
    <x v="0"/>
    <n v="14.85"/>
    <n v="13.2165"/>
    <n v="74.25"/>
    <n v="66.082499999999996"/>
    <n v="8.167500000000004"/>
    <n v="0.11000000000000006"/>
    <x v="0"/>
  </r>
  <r>
    <s v="DMY-96037-963"/>
    <x v="324"/>
    <s v="42179-95059-DO"/>
    <s v="L-D-0.2"/>
    <n v="3"/>
    <s v="Maisie Sarvar"/>
    <s v="msarvaras@artisteer.com"/>
    <x v="0"/>
    <x v="3"/>
    <x v="3"/>
    <x v="2"/>
    <x v="2"/>
    <x v="3"/>
    <n v="3.8849999999999998"/>
    <n v="3.37995"/>
    <n v="11.654999999999999"/>
    <n v="10.139849999999999"/>
    <n v="1.5151500000000002"/>
    <n v="0.13000000000000003"/>
    <x v="0"/>
  </r>
  <r>
    <s v="MBM-55936-917"/>
    <x v="325"/>
    <s v="55989-39849-WO"/>
    <s v="L-D-0.5"/>
    <n v="3"/>
    <s v="Andrej Havick"/>
    <s v="ahavickat@nsw.gov.au"/>
    <x v="0"/>
    <x v="3"/>
    <x v="3"/>
    <x v="2"/>
    <x v="2"/>
    <x v="1"/>
    <n v="7.77"/>
    <n v="6.7599"/>
    <n v="23.31"/>
    <n v="20.279699999999998"/>
    <n v="3.0303000000000004"/>
    <n v="0.13000000000000003"/>
    <x v="0"/>
  </r>
  <r>
    <s v="TPA-93614-840"/>
    <x v="326"/>
    <s v="28932-49296-TM"/>
    <s v="E-D-0.5"/>
    <n v="2"/>
    <s v="Sloan Diviny"/>
    <s v="sdivinyau@ask.com"/>
    <x v="0"/>
    <x v="1"/>
    <x v="1"/>
    <x v="2"/>
    <x v="2"/>
    <x v="1"/>
    <n v="7.29"/>
    <n v="6.4881000000000002"/>
    <n v="14.58"/>
    <n v="12.9762"/>
    <n v="1.6037999999999997"/>
    <n v="0.10999999999999997"/>
    <x v="0"/>
  </r>
  <r>
    <s v="WDM-77521-710"/>
    <x v="327"/>
    <s v="86144-10144-CB"/>
    <s v="A-M-0.5"/>
    <n v="2"/>
    <s v="Itch Norquoy"/>
    <s v="inorquoyav@businessweek.com"/>
    <x v="0"/>
    <x v="2"/>
    <x v="2"/>
    <x v="0"/>
    <x v="0"/>
    <x v="1"/>
    <n v="6.75"/>
    <n v="6.1425000000000001"/>
    <n v="13.5"/>
    <n v="12.285"/>
    <n v="1.2149999999999999"/>
    <n v="8.9999999999999983E-2"/>
    <x v="1"/>
  </r>
  <r>
    <s v="EIP-19142-462"/>
    <x v="328"/>
    <s v="60973-72562-DQ"/>
    <s v="E-L-1"/>
    <n v="6"/>
    <s v="Anson Iddison"/>
    <s v="aiddisonaw@usa.gov"/>
    <x v="0"/>
    <x v="1"/>
    <x v="1"/>
    <x v="1"/>
    <x v="1"/>
    <x v="0"/>
    <n v="14.85"/>
    <n v="13.2165"/>
    <n v="89.1"/>
    <n v="79.299000000000007"/>
    <n v="9.8009999999999877"/>
    <n v="0.10999999999999988"/>
    <x v="1"/>
  </r>
  <r>
    <s v="EIP-19142-462"/>
    <x v="328"/>
    <s v="60973-72562-DQ"/>
    <s v="A-L-0.2"/>
    <n v="1"/>
    <s v="Anson Iddison"/>
    <s v="aiddisonaw@usa.gov"/>
    <x v="0"/>
    <x v="2"/>
    <x v="2"/>
    <x v="1"/>
    <x v="1"/>
    <x v="3"/>
    <n v="3.8849999999999998"/>
    <n v="3.5353499999999998"/>
    <n v="3.8849999999999998"/>
    <n v="3.5353499999999998"/>
    <n v="0.34965000000000002"/>
    <n v="9.0000000000000011E-2"/>
    <x v="1"/>
  </r>
  <r>
    <s v="ZZL-76364-387"/>
    <x v="128"/>
    <s v="11263-86515-VU"/>
    <s v="R-L-2.5"/>
    <n v="4"/>
    <s v="Randal Longfield"/>
    <s v="rlongfielday@bluehost.com"/>
    <x v="0"/>
    <x v="0"/>
    <x v="0"/>
    <x v="1"/>
    <x v="1"/>
    <x v="2"/>
    <n v="27.484999999999996"/>
    <n v="25.835899999999995"/>
    <n v="109.93999999999998"/>
    <n v="103.34359999999998"/>
    <n v="6.5964000000000027"/>
    <n v="6.0000000000000032E-2"/>
    <x v="1"/>
  </r>
  <r>
    <s v="GMF-18638-786"/>
    <x v="329"/>
    <s v="60004-62976-NI"/>
    <s v="L-D-0.5"/>
    <n v="6"/>
    <s v="Gregorius Kislingbury"/>
    <s v="gkislingburyaz@samsung.com"/>
    <x v="0"/>
    <x v="3"/>
    <x v="3"/>
    <x v="2"/>
    <x v="2"/>
    <x v="1"/>
    <n v="7.77"/>
    <n v="6.7599"/>
    <n v="46.62"/>
    <n v="40.559399999999997"/>
    <n v="6.0606000000000009"/>
    <n v="0.13000000000000003"/>
    <x v="0"/>
  </r>
  <r>
    <s v="TDJ-20844-787"/>
    <x v="330"/>
    <s v="77876-28498-HI"/>
    <s v="A-L-0.5"/>
    <n v="5"/>
    <s v="Xenos Gibbons"/>
    <s v="xgibbonsb0@artisteer.com"/>
    <x v="0"/>
    <x v="2"/>
    <x v="2"/>
    <x v="1"/>
    <x v="1"/>
    <x v="1"/>
    <n v="7.77"/>
    <n v="7.0706999999999995"/>
    <n v="38.849999999999994"/>
    <n v="35.353499999999997"/>
    <n v="3.4964999999999975"/>
    <n v="8.9999999999999955E-2"/>
    <x v="1"/>
  </r>
  <r>
    <s v="BWK-39400-446"/>
    <x v="331"/>
    <s v="61302-06948-EH"/>
    <s v="L-D-0.5"/>
    <n v="4"/>
    <s v="Fleur Parres"/>
    <s v="fparresb1@imageshack.us"/>
    <x v="0"/>
    <x v="3"/>
    <x v="3"/>
    <x v="2"/>
    <x v="2"/>
    <x v="1"/>
    <n v="7.77"/>
    <n v="6.7599"/>
    <n v="31.08"/>
    <n v="27.0396"/>
    <n v="4.0403999999999982"/>
    <n v="0.12999999999999995"/>
    <x v="0"/>
  </r>
  <r>
    <s v="LCB-02099-995"/>
    <x v="332"/>
    <s v="06757-96251-UH"/>
    <s v="A-D-0.2"/>
    <n v="6"/>
    <s v="Gran Sibray"/>
    <s v="gsibrayb2@wsj.com"/>
    <x v="0"/>
    <x v="2"/>
    <x v="2"/>
    <x v="2"/>
    <x v="2"/>
    <x v="3"/>
    <n v="2.9849999999999999"/>
    <n v="2.7163499999999998"/>
    <n v="17.91"/>
    <n v="16.298099999999998"/>
    <n v="1.6119000000000021"/>
    <n v="9.0000000000000122E-2"/>
    <x v="0"/>
  </r>
  <r>
    <s v="UBA-43678-174"/>
    <x v="333"/>
    <s v="44530-75983-OD"/>
    <s v="E-D-2.5"/>
    <n v="6"/>
    <s v="Ingelbert Hotchkin"/>
    <s v="ihotchkinb3@mit.edu"/>
    <x v="2"/>
    <x v="1"/>
    <x v="1"/>
    <x v="2"/>
    <x v="2"/>
    <x v="2"/>
    <n v="27.945"/>
    <n v="24.87105"/>
    <n v="167.67000000000002"/>
    <n v="149.22630000000001"/>
    <n v="18.443700000000007"/>
    <n v="0.11000000000000003"/>
    <x v="1"/>
  </r>
  <r>
    <s v="UDH-24280-432"/>
    <x v="334"/>
    <s v="44865-58249-RY"/>
    <s v="L-L-1"/>
    <n v="4"/>
    <s v="Neely Broadberrie"/>
    <s v="nbroadberrieb4@gnu.org"/>
    <x v="0"/>
    <x v="3"/>
    <x v="3"/>
    <x v="1"/>
    <x v="1"/>
    <x v="0"/>
    <n v="15.85"/>
    <n v="13.7895"/>
    <n v="63.4"/>
    <n v="55.158000000000001"/>
    <n v="8.2419999999999973"/>
    <n v="0.12999999999999995"/>
    <x v="1"/>
  </r>
  <r>
    <s v="IDQ-20193-502"/>
    <x v="335"/>
    <s v="36021-61205-DF"/>
    <s v="L-M-0.2"/>
    <n v="2"/>
    <s v="Rutger Pithcock"/>
    <s v="rpithcockb5@yellowbook.com"/>
    <x v="0"/>
    <x v="3"/>
    <x v="3"/>
    <x v="0"/>
    <x v="0"/>
    <x v="3"/>
    <n v="4.3650000000000002"/>
    <n v="3.7975500000000002"/>
    <n v="8.73"/>
    <n v="7.5951000000000004"/>
    <n v="1.1349"/>
    <n v="0.13"/>
    <x v="0"/>
  </r>
  <r>
    <s v="DJG-14442-608"/>
    <x v="336"/>
    <s v="75716-12782-SS"/>
    <s v="R-D-1"/>
    <n v="3"/>
    <s v="Gale Croysdale"/>
    <s v="gcroysdaleb6@nih.gov"/>
    <x v="0"/>
    <x v="0"/>
    <x v="0"/>
    <x v="2"/>
    <x v="2"/>
    <x v="0"/>
    <n v="8.9499999999999993"/>
    <n v="8.4130000000000003"/>
    <n v="26.849999999999998"/>
    <n v="25.239000000000001"/>
    <n v="1.6109999999999971"/>
    <n v="5.9999999999999894E-2"/>
    <x v="0"/>
  </r>
  <r>
    <s v="DWB-61381-370"/>
    <x v="337"/>
    <s v="11812-00461-KH"/>
    <s v="L-L-0.2"/>
    <n v="2"/>
    <s v="Benedetto Gozzett"/>
    <s v="bgozzettb7@github.com"/>
    <x v="0"/>
    <x v="3"/>
    <x v="3"/>
    <x v="1"/>
    <x v="1"/>
    <x v="3"/>
    <n v="4.7549999999999999"/>
    <n v="4.1368499999999999"/>
    <n v="9.51"/>
    <n v="8.2736999999999998"/>
    <n v="1.2363"/>
    <n v="0.13"/>
    <x v="1"/>
  </r>
  <r>
    <s v="FRD-17347-990"/>
    <x v="80"/>
    <s v="46681-78850-ZW"/>
    <s v="A-D-1"/>
    <n v="4"/>
    <s v="Tania Craggs"/>
    <s v="tcraggsb8@house.gov"/>
    <x v="1"/>
    <x v="2"/>
    <x v="2"/>
    <x v="2"/>
    <x v="2"/>
    <x v="0"/>
    <n v="9.9499999999999993"/>
    <n v="9.0544999999999991"/>
    <n v="39.799999999999997"/>
    <n v="36.217999999999996"/>
    <n v="3.5820000000000007"/>
    <n v="9.0000000000000024E-2"/>
    <x v="1"/>
  </r>
  <r>
    <s v="YPP-27450-525"/>
    <x v="338"/>
    <s v="01932-87052-KO"/>
    <s v="E-M-0.5"/>
    <n v="3"/>
    <s v="Leonie Cullrford"/>
    <s v="lcullrfordb9@xing.com"/>
    <x v="0"/>
    <x v="1"/>
    <x v="1"/>
    <x v="0"/>
    <x v="0"/>
    <x v="1"/>
    <n v="8.25"/>
    <n v="7.3425000000000002"/>
    <n v="24.75"/>
    <n v="22.0275"/>
    <n v="2.7225000000000001"/>
    <n v="0.11"/>
    <x v="0"/>
  </r>
  <r>
    <s v="EFC-39577-424"/>
    <x v="339"/>
    <s v="16046-34805-ZF"/>
    <s v="E-M-1"/>
    <n v="5"/>
    <s v="Auguste Rizon"/>
    <s v="arizonba@xing.com"/>
    <x v="0"/>
    <x v="1"/>
    <x v="1"/>
    <x v="0"/>
    <x v="0"/>
    <x v="0"/>
    <n v="13.75"/>
    <n v="12.237500000000001"/>
    <n v="68.75"/>
    <n v="61.1875"/>
    <n v="7.5625"/>
    <n v="0.11"/>
    <x v="0"/>
  </r>
  <r>
    <s v="LAW-80062-016"/>
    <x v="340"/>
    <s v="34546-70516-LR"/>
    <s v="E-M-0.5"/>
    <n v="6"/>
    <s v="Lorin Guerrazzi"/>
    <s v="-"/>
    <x v="1"/>
    <x v="1"/>
    <x v="1"/>
    <x v="0"/>
    <x v="0"/>
    <x v="1"/>
    <n v="8.25"/>
    <n v="7.3425000000000002"/>
    <n v="49.5"/>
    <n v="44.055"/>
    <n v="5.4450000000000003"/>
    <n v="0.11"/>
    <x v="1"/>
  </r>
  <r>
    <s v="WKL-27981-758"/>
    <x v="177"/>
    <s v="73699-93557-FZ"/>
    <s v="A-M-2.5"/>
    <n v="2"/>
    <s v="Felice Miell"/>
    <s v="fmiellbc@spiegel.de"/>
    <x v="0"/>
    <x v="2"/>
    <x v="2"/>
    <x v="0"/>
    <x v="0"/>
    <x v="2"/>
    <n v="25.874999999999996"/>
    <n v="23.546249999999997"/>
    <n v="51.749999999999993"/>
    <n v="47.092499999999994"/>
    <n v="4.6574999999999989"/>
    <n v="0.09"/>
    <x v="0"/>
  </r>
  <r>
    <s v="VRT-39834-265"/>
    <x v="341"/>
    <s v="86686-37462-CK"/>
    <s v="L-L-1"/>
    <n v="3"/>
    <s v="Hamish Skeech"/>
    <s v="-"/>
    <x v="1"/>
    <x v="3"/>
    <x v="3"/>
    <x v="1"/>
    <x v="1"/>
    <x v="0"/>
    <n v="15.85"/>
    <n v="13.7895"/>
    <n v="47.55"/>
    <n v="41.368499999999997"/>
    <n v="6.1814999999999998"/>
    <n v="0.13"/>
    <x v="0"/>
  </r>
  <r>
    <s v="QTC-71005-730"/>
    <x v="342"/>
    <s v="14298-02150-KH"/>
    <s v="A-L-0.2"/>
    <n v="4"/>
    <s v="Giordano Lorenzin"/>
    <s v="-"/>
    <x v="0"/>
    <x v="2"/>
    <x v="2"/>
    <x v="1"/>
    <x v="1"/>
    <x v="3"/>
    <n v="3.8849999999999998"/>
    <n v="3.5353499999999998"/>
    <n v="15.54"/>
    <n v="14.141399999999999"/>
    <n v="1.3986000000000001"/>
    <n v="9.0000000000000011E-2"/>
    <x v="1"/>
  </r>
  <r>
    <s v="TNX-09857-717"/>
    <x v="343"/>
    <s v="48675-07824-HJ"/>
    <s v="L-M-1"/>
    <n v="6"/>
    <s v="Harwilll Bishell"/>
    <s v="-"/>
    <x v="0"/>
    <x v="3"/>
    <x v="3"/>
    <x v="0"/>
    <x v="0"/>
    <x v="0"/>
    <n v="14.55"/>
    <n v="12.6585"/>
    <n v="87.300000000000011"/>
    <n v="75.950999999999993"/>
    <n v="11.349000000000018"/>
    <n v="0.1300000000000002"/>
    <x v="0"/>
  </r>
  <r>
    <s v="JZV-43874-185"/>
    <x v="344"/>
    <s v="18551-80943-YQ"/>
    <s v="A-M-1"/>
    <n v="5"/>
    <s v="Freeland Missenden"/>
    <s v="-"/>
    <x v="0"/>
    <x v="2"/>
    <x v="2"/>
    <x v="0"/>
    <x v="0"/>
    <x v="0"/>
    <n v="11.25"/>
    <n v="10.237500000000001"/>
    <n v="56.25"/>
    <n v="51.1875"/>
    <n v="5.0625"/>
    <n v="0.09"/>
    <x v="0"/>
  </r>
  <r>
    <s v="ICF-17486-106"/>
    <x v="47"/>
    <s v="19196-09748-DB"/>
    <s v="L-L-2.5"/>
    <n v="1"/>
    <s v="Waylan Springall"/>
    <s v="wspringallbh@jugem.jp"/>
    <x v="0"/>
    <x v="3"/>
    <x v="3"/>
    <x v="1"/>
    <x v="1"/>
    <x v="2"/>
    <n v="36.454999999999998"/>
    <n v="31.71585"/>
    <n v="36.454999999999998"/>
    <n v="31.71585"/>
    <n v="4.7391499999999986"/>
    <n v="0.12999999999999998"/>
    <x v="0"/>
  </r>
  <r>
    <s v="BMK-49520-383"/>
    <x v="345"/>
    <s v="72233-08665-IP"/>
    <s v="R-L-0.2"/>
    <n v="3"/>
    <s v="Kiri Avramow"/>
    <s v="-"/>
    <x v="0"/>
    <x v="0"/>
    <x v="0"/>
    <x v="1"/>
    <x v="1"/>
    <x v="3"/>
    <n v="3.5849999999999995"/>
    <n v="3.3698999999999995"/>
    <n v="10.754999999999999"/>
    <n v="10.109699999999998"/>
    <n v="0.64530000000000065"/>
    <n v="6.0000000000000067E-2"/>
    <x v="0"/>
  </r>
  <r>
    <s v="HTS-15020-632"/>
    <x v="169"/>
    <s v="53817-13148-RK"/>
    <s v="R-M-0.2"/>
    <n v="3"/>
    <s v="Gregg Hawkyens"/>
    <s v="ghawkyensbj@census.gov"/>
    <x v="0"/>
    <x v="0"/>
    <x v="0"/>
    <x v="0"/>
    <x v="0"/>
    <x v="3"/>
    <n v="2.9849999999999999"/>
    <n v="2.8058999999999998"/>
    <n v="8.9550000000000001"/>
    <n v="8.4177"/>
    <n v="0.53730000000000011"/>
    <n v="6.0000000000000012E-2"/>
    <x v="1"/>
  </r>
  <r>
    <s v="YLE-18247-749"/>
    <x v="346"/>
    <s v="92227-49331-QR"/>
    <s v="A-L-0.5"/>
    <n v="3"/>
    <s v="Reggis Pracy"/>
    <s v="-"/>
    <x v="0"/>
    <x v="2"/>
    <x v="2"/>
    <x v="1"/>
    <x v="1"/>
    <x v="1"/>
    <n v="7.77"/>
    <n v="7.0706999999999995"/>
    <n v="23.31"/>
    <n v="21.2121"/>
    <n v="2.0978999999999992"/>
    <n v="8.9999999999999969E-2"/>
    <x v="0"/>
  </r>
  <r>
    <s v="KJJ-12573-591"/>
    <x v="347"/>
    <s v="12997-41076-FQ"/>
    <s v="A-L-2.5"/>
    <n v="1"/>
    <s v="Paula Denis"/>
    <s v="-"/>
    <x v="0"/>
    <x v="2"/>
    <x v="2"/>
    <x v="1"/>
    <x v="1"/>
    <x v="2"/>
    <n v="29.784999999999997"/>
    <n v="27.104349999999997"/>
    <n v="29.784999999999997"/>
    <n v="27.104349999999997"/>
    <n v="2.68065"/>
    <n v="9.0000000000000011E-2"/>
    <x v="0"/>
  </r>
  <r>
    <s v="RGU-43561-950"/>
    <x v="348"/>
    <s v="44220-00348-MB"/>
    <s v="A-L-2.5"/>
    <n v="5"/>
    <s v="Broderick McGilvra"/>
    <s v="bmcgilvrabm@so-net.ne.jp"/>
    <x v="0"/>
    <x v="2"/>
    <x v="2"/>
    <x v="1"/>
    <x v="1"/>
    <x v="2"/>
    <n v="29.784999999999997"/>
    <n v="27.104349999999997"/>
    <n v="148.92499999999998"/>
    <n v="135.52175"/>
    <n v="13.403249999999986"/>
    <n v="8.9999999999999913E-2"/>
    <x v="0"/>
  </r>
  <r>
    <s v="JSN-73975-443"/>
    <x v="349"/>
    <s v="93047-98331-DD"/>
    <s v="L-M-0.5"/>
    <n v="1"/>
    <s v="Annabella Danzey"/>
    <s v="adanzeybn@github.com"/>
    <x v="0"/>
    <x v="3"/>
    <x v="3"/>
    <x v="0"/>
    <x v="0"/>
    <x v="1"/>
    <n v="8.73"/>
    <n v="7.5951000000000004"/>
    <n v="8.73"/>
    <n v="7.5951000000000004"/>
    <n v="1.1349"/>
    <n v="0.13"/>
    <x v="0"/>
  </r>
  <r>
    <s v="WNR-71736-993"/>
    <x v="350"/>
    <s v="16880-78077-FB"/>
    <s v="L-D-0.5"/>
    <n v="4"/>
    <s v="Terri Farra"/>
    <s v="tfarraac@behance.net"/>
    <x v="0"/>
    <x v="3"/>
    <x v="3"/>
    <x v="2"/>
    <x v="2"/>
    <x v="1"/>
    <n v="7.77"/>
    <n v="6.7599"/>
    <n v="31.08"/>
    <n v="27.0396"/>
    <n v="4.0403999999999982"/>
    <n v="0.12999999999999995"/>
    <x v="1"/>
  </r>
  <r>
    <s v="WNR-71736-993"/>
    <x v="350"/>
    <s v="16880-78077-FB"/>
    <s v="A-D-2.5"/>
    <n v="6"/>
    <s v="Terri Farra"/>
    <s v="tfarraac@behance.net"/>
    <x v="0"/>
    <x v="2"/>
    <x v="2"/>
    <x v="2"/>
    <x v="2"/>
    <x v="2"/>
    <n v="22.884999999999998"/>
    <n v="20.82535"/>
    <n v="137.31"/>
    <n v="124.9521"/>
    <n v="12.357900000000001"/>
    <n v="9.0000000000000011E-2"/>
    <x v="1"/>
  </r>
  <r>
    <s v="HNI-91338-546"/>
    <x v="54"/>
    <s v="67285-75317-XI"/>
    <s v="A-D-0.5"/>
    <n v="5"/>
    <s v="Nevins Glowacz"/>
    <s v="-"/>
    <x v="0"/>
    <x v="2"/>
    <x v="2"/>
    <x v="2"/>
    <x v="2"/>
    <x v="1"/>
    <n v="5.97"/>
    <n v="5.4326999999999996"/>
    <n v="29.849999999999998"/>
    <n v="27.163499999999999"/>
    <n v="2.6864999999999988"/>
    <n v="8.9999999999999969E-2"/>
    <x v="1"/>
  </r>
  <r>
    <s v="CYH-53243-218"/>
    <x v="237"/>
    <s v="88167-57964-PH"/>
    <s v="R-M-0.5"/>
    <n v="3"/>
    <s v="Adelice Isabell"/>
    <s v="-"/>
    <x v="0"/>
    <x v="0"/>
    <x v="0"/>
    <x v="0"/>
    <x v="0"/>
    <x v="1"/>
    <n v="5.97"/>
    <n v="5.6117999999999997"/>
    <n v="17.91"/>
    <n v="16.8354"/>
    <n v="1.0746000000000002"/>
    <n v="6.0000000000000012E-2"/>
    <x v="1"/>
  </r>
  <r>
    <s v="SVD-75407-177"/>
    <x v="351"/>
    <s v="16106-36039-QS"/>
    <s v="E-L-0.5"/>
    <n v="3"/>
    <s v="Yulma Dombrell"/>
    <s v="ydombrellbs@dedecms.com"/>
    <x v="0"/>
    <x v="1"/>
    <x v="1"/>
    <x v="1"/>
    <x v="1"/>
    <x v="1"/>
    <n v="8.91"/>
    <n v="7.9298999999999999"/>
    <n v="26.73"/>
    <n v="23.7897"/>
    <n v="2.9403000000000006"/>
    <n v="0.11000000000000001"/>
    <x v="0"/>
  </r>
  <r>
    <s v="NVN-66443-451"/>
    <x v="352"/>
    <s v="98921-82417-GN"/>
    <s v="R-D-1"/>
    <n v="2"/>
    <s v="Alric Darth"/>
    <s v="adarthbt@t.co"/>
    <x v="0"/>
    <x v="0"/>
    <x v="0"/>
    <x v="2"/>
    <x v="2"/>
    <x v="0"/>
    <n v="8.9499999999999993"/>
    <n v="8.4130000000000003"/>
    <n v="17.899999999999999"/>
    <n v="16.826000000000001"/>
    <n v="1.0739999999999981"/>
    <n v="5.9999999999999894E-2"/>
    <x v="1"/>
  </r>
  <r>
    <s v="JUA-13580-095"/>
    <x v="102"/>
    <s v="55265-75151-AK"/>
    <s v="R-L-0.2"/>
    <n v="4"/>
    <s v="Manuel Darrigoe"/>
    <s v="mdarrigoebu@hud.gov"/>
    <x v="1"/>
    <x v="0"/>
    <x v="0"/>
    <x v="1"/>
    <x v="1"/>
    <x v="3"/>
    <n v="3.5849999999999995"/>
    <n v="3.3698999999999995"/>
    <n v="14.339999999999998"/>
    <n v="13.479599999999998"/>
    <n v="0.86040000000000028"/>
    <n v="6.0000000000000026E-2"/>
    <x v="0"/>
  </r>
  <r>
    <s v="ACY-56225-839"/>
    <x v="353"/>
    <s v="47386-50743-FG"/>
    <s v="A-M-2.5"/>
    <n v="3"/>
    <s v="Kynthia Berick"/>
    <s v="-"/>
    <x v="0"/>
    <x v="2"/>
    <x v="2"/>
    <x v="0"/>
    <x v="0"/>
    <x v="2"/>
    <n v="25.874999999999996"/>
    <n v="23.546249999999997"/>
    <n v="77.624999999999986"/>
    <n v="70.638749999999987"/>
    <n v="6.9862499999999983"/>
    <n v="0.09"/>
    <x v="0"/>
  </r>
  <r>
    <s v="QBB-07903-622"/>
    <x v="354"/>
    <s v="32622-54551-UC"/>
    <s v="R-L-1"/>
    <n v="5"/>
    <s v="Minetta Ackrill"/>
    <s v="mackrillbw@bandcamp.com"/>
    <x v="0"/>
    <x v="0"/>
    <x v="0"/>
    <x v="1"/>
    <x v="1"/>
    <x v="0"/>
    <n v="11.95"/>
    <n v="11.232999999999999"/>
    <n v="59.75"/>
    <n v="56.164999999999992"/>
    <n v="3.585000000000008"/>
    <n v="6.0000000000000137E-2"/>
    <x v="1"/>
  </r>
  <r>
    <s v="JLJ-81802-619"/>
    <x v="135"/>
    <s v="16880-78077-FB"/>
    <s v="A-L-1"/>
    <n v="6"/>
    <s v="Terri Farra"/>
    <s v="tfarraac@behance.net"/>
    <x v="0"/>
    <x v="2"/>
    <x v="2"/>
    <x v="1"/>
    <x v="1"/>
    <x v="0"/>
    <n v="12.95"/>
    <n v="11.7845"/>
    <n v="77.699999999999989"/>
    <n v="70.706999999999994"/>
    <n v="6.992999999999995"/>
    <n v="8.9999999999999955E-2"/>
    <x v="1"/>
  </r>
  <r>
    <s v="HFT-77191-168"/>
    <x v="343"/>
    <s v="48419-02347-XP"/>
    <s v="R-D-0.2"/>
    <n v="2"/>
    <s v="Melosa Kippen"/>
    <s v="mkippenby@dion.ne.jp"/>
    <x v="0"/>
    <x v="0"/>
    <x v="0"/>
    <x v="2"/>
    <x v="2"/>
    <x v="3"/>
    <n v="2.6849999999999996"/>
    <n v="2.5238999999999998"/>
    <n v="5.3699999999999992"/>
    <n v="5.0477999999999996"/>
    <n v="0.3221999999999996"/>
    <n v="5.9999999999999935E-2"/>
    <x v="0"/>
  </r>
  <r>
    <s v="SZR-35951-530"/>
    <x v="89"/>
    <s v="14121-20527-OJ"/>
    <s v="E-D-2.5"/>
    <n v="3"/>
    <s v="Witty Ranson"/>
    <s v="wransonbz@ted.com"/>
    <x v="1"/>
    <x v="1"/>
    <x v="1"/>
    <x v="2"/>
    <x v="2"/>
    <x v="2"/>
    <n v="27.945"/>
    <n v="24.87105"/>
    <n v="83.835000000000008"/>
    <n v="74.613150000000005"/>
    <n v="9.2218500000000034"/>
    <n v="0.11000000000000003"/>
    <x v="0"/>
  </r>
  <r>
    <s v="IKL-95976-565"/>
    <x v="355"/>
    <s v="53486-73919-BQ"/>
    <s v="A-M-1"/>
    <n v="2"/>
    <s v="Rod Gowdie"/>
    <s v="-"/>
    <x v="0"/>
    <x v="2"/>
    <x v="2"/>
    <x v="0"/>
    <x v="0"/>
    <x v="0"/>
    <n v="11.25"/>
    <n v="10.237500000000001"/>
    <n v="22.5"/>
    <n v="20.475000000000001"/>
    <n v="2.0249999999999986"/>
    <n v="8.9999999999999941E-2"/>
    <x v="1"/>
  </r>
  <r>
    <s v="XEY-48929-474"/>
    <x v="204"/>
    <s v="21889-94615-WT"/>
    <s v="L-M-2.5"/>
    <n v="6"/>
    <s v="Lemuel Rignold"/>
    <s v="lrignoldc1@miibeian.gov.cn"/>
    <x v="0"/>
    <x v="3"/>
    <x v="3"/>
    <x v="0"/>
    <x v="0"/>
    <x v="2"/>
    <n v="33.464999999999996"/>
    <n v="29.114549999999998"/>
    <n v="200.78999999999996"/>
    <n v="174.68729999999999"/>
    <n v="26.10269999999997"/>
    <n v="0.12999999999999987"/>
    <x v="0"/>
  </r>
  <r>
    <s v="SQT-07286-736"/>
    <x v="356"/>
    <s v="87726-16941-QW"/>
    <s v="A-M-1"/>
    <n v="6"/>
    <s v="Nevsa Fields"/>
    <s v="-"/>
    <x v="0"/>
    <x v="2"/>
    <x v="2"/>
    <x v="0"/>
    <x v="0"/>
    <x v="0"/>
    <n v="11.25"/>
    <n v="10.237500000000001"/>
    <n v="67.5"/>
    <n v="61.425000000000004"/>
    <n v="6.0749999999999957"/>
    <n v="8.9999999999999941E-2"/>
    <x v="1"/>
  </r>
  <r>
    <s v="QDU-45390-361"/>
    <x v="357"/>
    <s v="03677-09134-BC"/>
    <s v="E-M-0.5"/>
    <n v="1"/>
    <s v="Chance Rowthorn"/>
    <s v="crowthornc3@msn.com"/>
    <x v="0"/>
    <x v="1"/>
    <x v="1"/>
    <x v="0"/>
    <x v="0"/>
    <x v="1"/>
    <n v="8.25"/>
    <n v="7.3425000000000002"/>
    <n v="8.25"/>
    <n v="7.3425000000000002"/>
    <n v="0.90749999999999975"/>
    <n v="0.10999999999999997"/>
    <x v="1"/>
  </r>
  <r>
    <s v="RUJ-30649-712"/>
    <x v="300"/>
    <s v="93224-71517-WV"/>
    <s v="L-L-0.2"/>
    <n v="2"/>
    <s v="Orly Ryland"/>
    <s v="orylandc4@deviantart.com"/>
    <x v="0"/>
    <x v="3"/>
    <x v="3"/>
    <x v="1"/>
    <x v="1"/>
    <x v="3"/>
    <n v="4.7549999999999999"/>
    <n v="4.1368499999999999"/>
    <n v="9.51"/>
    <n v="8.2736999999999998"/>
    <n v="1.2363"/>
    <n v="0.13"/>
    <x v="0"/>
  </r>
  <r>
    <s v="WSV-49732-075"/>
    <x v="358"/>
    <s v="76263-95145-GJ"/>
    <s v="L-D-2.5"/>
    <n v="1"/>
    <s v="Willabella Abramski"/>
    <s v="-"/>
    <x v="0"/>
    <x v="3"/>
    <x v="3"/>
    <x v="2"/>
    <x v="2"/>
    <x v="2"/>
    <n v="29.784999999999997"/>
    <n v="25.912949999999995"/>
    <n v="29.784999999999997"/>
    <n v="25.912949999999995"/>
    <n v="3.8720500000000015"/>
    <n v="0.13000000000000006"/>
    <x v="1"/>
  </r>
  <r>
    <s v="VJF-46305-323"/>
    <x v="161"/>
    <s v="68555-89840-GZ"/>
    <s v="L-D-0.5"/>
    <n v="2"/>
    <s v="Morgen Seson"/>
    <s v="msesonck@census.gov"/>
    <x v="0"/>
    <x v="3"/>
    <x v="3"/>
    <x v="2"/>
    <x v="2"/>
    <x v="1"/>
    <n v="7.77"/>
    <n v="6.7599"/>
    <n v="15.54"/>
    <n v="13.5198"/>
    <n v="2.0201999999999991"/>
    <n v="0.12999999999999995"/>
    <x v="1"/>
  </r>
  <r>
    <s v="CXD-74176-600"/>
    <x v="129"/>
    <s v="70624-19112-AO"/>
    <s v="E-L-0.5"/>
    <n v="4"/>
    <s v="Chickie Ragless"/>
    <s v="craglessc7@webmd.com"/>
    <x v="1"/>
    <x v="1"/>
    <x v="1"/>
    <x v="1"/>
    <x v="1"/>
    <x v="1"/>
    <n v="8.91"/>
    <n v="7.9298999999999999"/>
    <n v="35.64"/>
    <n v="31.7196"/>
    <n v="3.9204000000000008"/>
    <n v="0.11000000000000001"/>
    <x v="1"/>
  </r>
  <r>
    <s v="ADX-50674-975"/>
    <x v="359"/>
    <s v="58916-61837-QH"/>
    <s v="A-M-2.5"/>
    <n v="4"/>
    <s v="Freda Hollows"/>
    <s v="fhollowsc8@blogtalkradio.com"/>
    <x v="0"/>
    <x v="2"/>
    <x v="2"/>
    <x v="0"/>
    <x v="0"/>
    <x v="2"/>
    <n v="25.874999999999996"/>
    <n v="23.546249999999997"/>
    <n v="103.49999999999999"/>
    <n v="94.184999999999988"/>
    <n v="9.3149999999999977"/>
    <n v="0.09"/>
    <x v="0"/>
  </r>
  <r>
    <s v="RRP-51647-420"/>
    <x v="360"/>
    <s v="89292-52335-YZ"/>
    <s v="E-D-1"/>
    <n v="3"/>
    <s v="Livy Lathleiff"/>
    <s v="llathleiffc9@nationalgeographic.com"/>
    <x v="1"/>
    <x v="1"/>
    <x v="1"/>
    <x v="2"/>
    <x v="2"/>
    <x v="0"/>
    <n v="12.15"/>
    <n v="10.813500000000001"/>
    <n v="36.450000000000003"/>
    <n v="32.4405"/>
    <n v="4.0095000000000027"/>
    <n v="0.11000000000000007"/>
    <x v="0"/>
  </r>
  <r>
    <s v="PKJ-99134-523"/>
    <x v="361"/>
    <s v="77284-34297-YY"/>
    <s v="R-L-0.5"/>
    <n v="5"/>
    <s v="Koralle Heads"/>
    <s v="kheadsca@jalbum.net"/>
    <x v="0"/>
    <x v="0"/>
    <x v="0"/>
    <x v="1"/>
    <x v="1"/>
    <x v="1"/>
    <n v="7.169999999999999"/>
    <n v="6.7397999999999989"/>
    <n v="35.849999999999994"/>
    <n v="33.698999999999998"/>
    <n v="2.1509999999999962"/>
    <n v="5.9999999999999908E-2"/>
    <x v="1"/>
  </r>
  <r>
    <s v="FZQ-29439-457"/>
    <x v="362"/>
    <s v="50449-80974-BZ"/>
    <s v="E-L-0.2"/>
    <n v="5"/>
    <s v="Theo Bowne"/>
    <s v="tbownecb@unicef.org"/>
    <x v="1"/>
    <x v="1"/>
    <x v="1"/>
    <x v="1"/>
    <x v="1"/>
    <x v="3"/>
    <n v="4.4550000000000001"/>
    <n v="3.96495"/>
    <n v="22.274999999999999"/>
    <n v="19.824750000000002"/>
    <n v="2.4502499999999969"/>
    <n v="0.10999999999999988"/>
    <x v="0"/>
  </r>
  <r>
    <s v="USN-68115-161"/>
    <x v="363"/>
    <s v="08120-16183-AW"/>
    <s v="E-M-0.2"/>
    <n v="6"/>
    <s v="Rasia Jacquemard"/>
    <s v="rjacquemardcc@acquirethisname.com"/>
    <x v="1"/>
    <x v="1"/>
    <x v="1"/>
    <x v="0"/>
    <x v="0"/>
    <x v="3"/>
    <n v="4.125"/>
    <n v="3.6712500000000001"/>
    <n v="24.75"/>
    <n v="22.0275"/>
    <n v="2.7225000000000001"/>
    <n v="0.11"/>
    <x v="1"/>
  </r>
  <r>
    <s v="IXU-20263-532"/>
    <x v="364"/>
    <s v="68044-89277-ML"/>
    <s v="L-M-2.5"/>
    <n v="2"/>
    <s v="Kizzie Warman"/>
    <s v="kwarmancd@printfriendly.com"/>
    <x v="1"/>
    <x v="3"/>
    <x v="3"/>
    <x v="0"/>
    <x v="0"/>
    <x v="2"/>
    <n v="33.464999999999996"/>
    <n v="29.114549999999998"/>
    <n v="66.929999999999993"/>
    <n v="58.229099999999995"/>
    <n v="8.7008999999999972"/>
    <n v="0.12999999999999998"/>
    <x v="0"/>
  </r>
  <r>
    <s v="CBT-15092-420"/>
    <x v="85"/>
    <s v="71364-35210-HS"/>
    <s v="L-M-0.5"/>
    <n v="1"/>
    <s v="Wain Cholomin"/>
    <s v="wcholomince@about.com"/>
    <x v="2"/>
    <x v="3"/>
    <x v="3"/>
    <x v="0"/>
    <x v="0"/>
    <x v="1"/>
    <n v="8.73"/>
    <n v="7.5951000000000004"/>
    <n v="8.73"/>
    <n v="7.5951000000000004"/>
    <n v="1.1349"/>
    <n v="0.13"/>
    <x v="0"/>
  </r>
  <r>
    <s v="PKQ-46841-696"/>
    <x v="365"/>
    <s v="37177-68797-ON"/>
    <s v="R-M-0.5"/>
    <n v="3"/>
    <s v="Arleen Braidman"/>
    <s v="abraidmancf@census.gov"/>
    <x v="0"/>
    <x v="0"/>
    <x v="0"/>
    <x v="0"/>
    <x v="0"/>
    <x v="1"/>
    <n v="5.97"/>
    <n v="5.6117999999999997"/>
    <n v="17.91"/>
    <n v="16.8354"/>
    <n v="1.0746000000000002"/>
    <n v="6.0000000000000012E-2"/>
    <x v="1"/>
  </r>
  <r>
    <s v="XDU-05471-219"/>
    <x v="366"/>
    <s v="60308-06944-GS"/>
    <s v="R-L-0.5"/>
    <n v="1"/>
    <s v="Pru Durban"/>
    <s v="pdurbancg@symantec.com"/>
    <x v="1"/>
    <x v="0"/>
    <x v="0"/>
    <x v="1"/>
    <x v="1"/>
    <x v="1"/>
    <n v="7.169999999999999"/>
    <n v="6.7397999999999989"/>
    <n v="7.169999999999999"/>
    <n v="6.7397999999999989"/>
    <n v="0.43020000000000014"/>
    <n v="6.0000000000000026E-2"/>
    <x v="1"/>
  </r>
  <r>
    <s v="NID-20149-329"/>
    <x v="367"/>
    <s v="49888-39458-PF"/>
    <s v="R-D-0.2"/>
    <n v="2"/>
    <s v="Antone Harrold"/>
    <s v="aharroldch@miibeian.gov.cn"/>
    <x v="0"/>
    <x v="0"/>
    <x v="0"/>
    <x v="2"/>
    <x v="2"/>
    <x v="3"/>
    <n v="2.6849999999999996"/>
    <n v="2.5238999999999998"/>
    <n v="5.3699999999999992"/>
    <n v="5.0477999999999996"/>
    <n v="0.3221999999999996"/>
    <n v="5.9999999999999935E-2"/>
    <x v="1"/>
  </r>
  <r>
    <s v="SVU-27222-213"/>
    <x v="142"/>
    <s v="60748-46813-DZ"/>
    <s v="L-L-0.2"/>
    <n v="5"/>
    <s v="Sim Pamphilon"/>
    <s v="spamphilonci@mlb.com"/>
    <x v="1"/>
    <x v="3"/>
    <x v="3"/>
    <x v="1"/>
    <x v="1"/>
    <x v="3"/>
    <n v="4.7549999999999999"/>
    <n v="4.1368499999999999"/>
    <n v="23.774999999999999"/>
    <n v="20.684249999999999"/>
    <n v="3.0907499999999999"/>
    <n v="0.13"/>
    <x v="1"/>
  </r>
  <r>
    <s v="RWI-84131-848"/>
    <x v="368"/>
    <s v="16385-11286-NX"/>
    <s v="R-D-2.5"/>
    <n v="2"/>
    <s v="Mohandis Spurden"/>
    <s v="mspurdencj@exblog.jp"/>
    <x v="0"/>
    <x v="0"/>
    <x v="0"/>
    <x v="2"/>
    <x v="2"/>
    <x v="2"/>
    <n v="20.584999999999997"/>
    <n v="19.349899999999998"/>
    <n v="41.169999999999995"/>
    <n v="38.699799999999996"/>
    <n v="2.4701999999999984"/>
    <n v="5.999999999999997E-2"/>
    <x v="0"/>
  </r>
  <r>
    <s v="GUU-40666-525"/>
    <x v="31"/>
    <s v="68555-89840-GZ"/>
    <s v="A-L-0.2"/>
    <n v="3"/>
    <s v="Morgen Seson"/>
    <s v="msesonck@census.gov"/>
    <x v="0"/>
    <x v="2"/>
    <x v="2"/>
    <x v="1"/>
    <x v="1"/>
    <x v="3"/>
    <n v="3.8849999999999998"/>
    <n v="3.5353499999999998"/>
    <n v="11.654999999999999"/>
    <n v="10.60605"/>
    <n v="1.0489499999999996"/>
    <n v="8.9999999999999969E-2"/>
    <x v="1"/>
  </r>
  <r>
    <s v="SCN-51395-066"/>
    <x v="369"/>
    <s v="72164-90254-EJ"/>
    <s v="L-L-0.5"/>
    <n v="4"/>
    <s v="Nalani Pirrone"/>
    <s v="npirronecl@weibo.com"/>
    <x v="0"/>
    <x v="3"/>
    <x v="3"/>
    <x v="1"/>
    <x v="1"/>
    <x v="1"/>
    <n v="9.51"/>
    <n v="8.2736999999999998"/>
    <n v="38.04"/>
    <n v="33.094799999999999"/>
    <n v="4.9451999999999998"/>
    <n v="0.13"/>
    <x v="1"/>
  </r>
  <r>
    <s v="ULA-24644-321"/>
    <x v="370"/>
    <s v="67010-92988-CT"/>
    <s v="R-D-2.5"/>
    <n v="4"/>
    <s v="Reube Cawley"/>
    <s v="rcawleycm@yellowbook.com"/>
    <x v="1"/>
    <x v="0"/>
    <x v="0"/>
    <x v="2"/>
    <x v="2"/>
    <x v="2"/>
    <n v="20.584999999999997"/>
    <n v="19.349899999999998"/>
    <n v="82.339999999999989"/>
    <n v="77.399599999999992"/>
    <n v="4.9403999999999968"/>
    <n v="5.999999999999997E-2"/>
    <x v="0"/>
  </r>
  <r>
    <s v="EOL-92666-762"/>
    <x v="371"/>
    <s v="15776-91507-GT"/>
    <s v="L-L-0.2"/>
    <n v="2"/>
    <s v="Stan Barribal"/>
    <s v="sbarribalcn@microsoft.com"/>
    <x v="1"/>
    <x v="3"/>
    <x v="3"/>
    <x v="1"/>
    <x v="1"/>
    <x v="3"/>
    <n v="4.7549999999999999"/>
    <n v="4.1368499999999999"/>
    <n v="9.51"/>
    <n v="8.2736999999999998"/>
    <n v="1.2363"/>
    <n v="0.13"/>
    <x v="0"/>
  </r>
  <r>
    <s v="AJV-18231-334"/>
    <x v="372"/>
    <s v="23473-41001-CD"/>
    <s v="R-D-2.5"/>
    <n v="2"/>
    <s v="Agnes Adamides"/>
    <s v="aadamidesco@bizjournals.com"/>
    <x v="2"/>
    <x v="0"/>
    <x v="0"/>
    <x v="2"/>
    <x v="2"/>
    <x v="2"/>
    <n v="20.584999999999997"/>
    <n v="19.349899999999998"/>
    <n v="41.169999999999995"/>
    <n v="38.699799999999996"/>
    <n v="2.4701999999999984"/>
    <n v="5.999999999999997E-2"/>
    <x v="1"/>
  </r>
  <r>
    <s v="ZQI-47236-301"/>
    <x v="373"/>
    <s v="23446-47798-ID"/>
    <s v="L-L-0.5"/>
    <n v="5"/>
    <s v="Carmelita Thowes"/>
    <s v="cthowescp@craigslist.org"/>
    <x v="0"/>
    <x v="3"/>
    <x v="3"/>
    <x v="1"/>
    <x v="1"/>
    <x v="1"/>
    <n v="9.51"/>
    <n v="8.2736999999999998"/>
    <n v="47.55"/>
    <n v="41.368499999999997"/>
    <n v="6.1814999999999998"/>
    <n v="0.13"/>
    <x v="1"/>
  </r>
  <r>
    <s v="ZCR-15721-658"/>
    <x v="374"/>
    <s v="28327-84469-ND"/>
    <s v="A-M-1"/>
    <n v="4"/>
    <s v="Rodolfo Willoway"/>
    <s v="rwillowaycq@admin.ch"/>
    <x v="0"/>
    <x v="2"/>
    <x v="2"/>
    <x v="0"/>
    <x v="0"/>
    <x v="0"/>
    <n v="11.25"/>
    <n v="10.237500000000001"/>
    <n v="45"/>
    <n v="40.950000000000003"/>
    <n v="4.0499999999999972"/>
    <n v="8.9999999999999941E-2"/>
    <x v="1"/>
  </r>
  <r>
    <s v="QEW-47945-682"/>
    <x v="319"/>
    <s v="42466-87067-DT"/>
    <s v="L-L-0.2"/>
    <n v="5"/>
    <s v="Alvis Elwin"/>
    <s v="aelwincr@privacy.gov.au"/>
    <x v="0"/>
    <x v="3"/>
    <x v="3"/>
    <x v="1"/>
    <x v="1"/>
    <x v="3"/>
    <n v="4.7549999999999999"/>
    <n v="4.1368499999999999"/>
    <n v="23.774999999999999"/>
    <n v="20.684249999999999"/>
    <n v="3.0907499999999999"/>
    <n v="0.13"/>
    <x v="1"/>
  </r>
  <r>
    <s v="PSY-45485-542"/>
    <x v="375"/>
    <s v="62246-99443-HF"/>
    <s v="R-D-0.5"/>
    <n v="3"/>
    <s v="Araldo Bilbrook"/>
    <s v="abilbrookcs@booking.com"/>
    <x v="1"/>
    <x v="0"/>
    <x v="0"/>
    <x v="2"/>
    <x v="2"/>
    <x v="1"/>
    <n v="5.3699999999999992"/>
    <n v="5.0477999999999996"/>
    <n v="16.11"/>
    <n v="15.1434"/>
    <n v="0.96659999999999968"/>
    <n v="5.9999999999999984E-2"/>
    <x v="0"/>
  </r>
  <r>
    <s v="BAQ-74241-156"/>
    <x v="376"/>
    <s v="99869-55718-UU"/>
    <s v="R-D-0.2"/>
    <n v="4"/>
    <s v="Ransell McKall"/>
    <s v="rmckallct@sakura.ne.jp"/>
    <x v="2"/>
    <x v="0"/>
    <x v="0"/>
    <x v="2"/>
    <x v="2"/>
    <x v="3"/>
    <n v="2.6849999999999996"/>
    <n v="2.5238999999999998"/>
    <n v="10.739999999999998"/>
    <n v="10.095599999999999"/>
    <n v="0.6443999999999992"/>
    <n v="5.9999999999999935E-2"/>
    <x v="0"/>
  </r>
  <r>
    <s v="BVU-77367-451"/>
    <x v="377"/>
    <s v="77421-46059-RY"/>
    <s v="A-D-1"/>
    <n v="5"/>
    <s v="Borg Daile"/>
    <s v="bdailecu@vistaprint.com"/>
    <x v="0"/>
    <x v="2"/>
    <x v="2"/>
    <x v="2"/>
    <x v="2"/>
    <x v="0"/>
    <n v="9.9499999999999993"/>
    <n v="9.0544999999999991"/>
    <n v="49.75"/>
    <n v="45.272499999999994"/>
    <n v="4.4775000000000063"/>
    <n v="9.0000000000000122E-2"/>
    <x v="0"/>
  </r>
  <r>
    <s v="TJE-91516-344"/>
    <x v="378"/>
    <s v="49894-06550-OQ"/>
    <s v="E-M-1"/>
    <n v="2"/>
    <s v="Adolphe Treherne"/>
    <s v="atrehernecv@state.tx.us"/>
    <x v="1"/>
    <x v="1"/>
    <x v="1"/>
    <x v="0"/>
    <x v="0"/>
    <x v="0"/>
    <n v="13.75"/>
    <n v="12.237500000000001"/>
    <n v="27.5"/>
    <n v="24.475000000000001"/>
    <n v="3.0249999999999986"/>
    <n v="0.10999999999999995"/>
    <x v="1"/>
  </r>
  <r>
    <s v="LIS-96202-702"/>
    <x v="277"/>
    <s v="72028-63343-SU"/>
    <s v="L-D-2.5"/>
    <n v="4"/>
    <s v="Annetta Brentnall"/>
    <s v="abrentnallcw@biglobe.ne.jp"/>
    <x v="2"/>
    <x v="3"/>
    <x v="3"/>
    <x v="2"/>
    <x v="2"/>
    <x v="2"/>
    <n v="29.784999999999997"/>
    <n v="25.912949999999995"/>
    <n v="119.13999999999999"/>
    <n v="103.65179999999998"/>
    <n v="15.488200000000006"/>
    <n v="0.13000000000000006"/>
    <x v="1"/>
  </r>
  <r>
    <s v="VIO-27668-766"/>
    <x v="379"/>
    <s v="10074-20104-NN"/>
    <s v="R-D-2.5"/>
    <n v="1"/>
    <s v="Dick Drinkall"/>
    <s v="ddrinkallcx@psu.edu"/>
    <x v="0"/>
    <x v="0"/>
    <x v="0"/>
    <x v="2"/>
    <x v="2"/>
    <x v="2"/>
    <n v="20.584999999999997"/>
    <n v="19.349899999999998"/>
    <n v="20.584999999999997"/>
    <n v="19.349899999999998"/>
    <n v="1.2350999999999992"/>
    <n v="5.999999999999997E-2"/>
    <x v="0"/>
  </r>
  <r>
    <s v="ZVG-20473-043"/>
    <x v="86"/>
    <s v="71769-10219-IM"/>
    <s v="A-D-0.2"/>
    <n v="3"/>
    <s v="Dagny Kornel"/>
    <s v="dkornelcy@cyberchimps.com"/>
    <x v="0"/>
    <x v="2"/>
    <x v="2"/>
    <x v="2"/>
    <x v="2"/>
    <x v="3"/>
    <n v="2.9849999999999999"/>
    <n v="2.7163499999999998"/>
    <n v="8.9550000000000001"/>
    <n v="8.149049999999999"/>
    <n v="0.80595000000000105"/>
    <n v="9.0000000000000122E-2"/>
    <x v="0"/>
  </r>
  <r>
    <s v="KGZ-56395-231"/>
    <x v="380"/>
    <s v="22221-71106-JD"/>
    <s v="A-D-0.5"/>
    <n v="1"/>
    <s v="Rhona Lequeux"/>
    <s v="rlequeuxcz@newyorker.com"/>
    <x v="0"/>
    <x v="2"/>
    <x v="2"/>
    <x v="2"/>
    <x v="2"/>
    <x v="1"/>
    <n v="5.97"/>
    <n v="5.4326999999999996"/>
    <n v="5.97"/>
    <n v="5.4326999999999996"/>
    <n v="0.53730000000000011"/>
    <n v="9.0000000000000024E-2"/>
    <x v="1"/>
  </r>
  <r>
    <s v="CUU-92244-729"/>
    <x v="381"/>
    <s v="99735-44927-OL"/>
    <s v="E-M-1"/>
    <n v="3"/>
    <s v="Julius Mccaull"/>
    <s v="jmccaulld0@parallels.com"/>
    <x v="0"/>
    <x v="1"/>
    <x v="1"/>
    <x v="0"/>
    <x v="0"/>
    <x v="0"/>
    <n v="13.75"/>
    <n v="12.237500000000001"/>
    <n v="41.25"/>
    <n v="36.712500000000006"/>
    <n v="4.5374999999999943"/>
    <n v="0.10999999999999986"/>
    <x v="0"/>
  </r>
  <r>
    <s v="EHE-94714-312"/>
    <x v="382"/>
    <s v="27132-68907-RC"/>
    <s v="E-L-0.2"/>
    <n v="5"/>
    <s v="Ailey Brash"/>
    <s v="abrashda@plala.or.jp"/>
    <x v="0"/>
    <x v="1"/>
    <x v="1"/>
    <x v="1"/>
    <x v="1"/>
    <x v="3"/>
    <n v="4.4550000000000001"/>
    <n v="3.96495"/>
    <n v="22.274999999999999"/>
    <n v="19.824750000000002"/>
    <n v="2.4502499999999969"/>
    <n v="0.10999999999999988"/>
    <x v="0"/>
  </r>
  <r>
    <s v="RTL-16205-161"/>
    <x v="11"/>
    <s v="90440-62727-HI"/>
    <s v="A-M-0.5"/>
    <n v="1"/>
    <s v="Alberto Hutchinson"/>
    <s v="ahutchinsond2@imgur.com"/>
    <x v="0"/>
    <x v="2"/>
    <x v="2"/>
    <x v="0"/>
    <x v="0"/>
    <x v="1"/>
    <n v="6.75"/>
    <n v="6.1425000000000001"/>
    <n v="6.75"/>
    <n v="6.1425000000000001"/>
    <n v="0.60749999999999993"/>
    <n v="8.9999999999999983E-2"/>
    <x v="0"/>
  </r>
  <r>
    <s v="GTS-22482-014"/>
    <x v="167"/>
    <s v="36769-16558-SX"/>
    <s v="L-M-2.5"/>
    <n v="4"/>
    <s v="Lamond Gheeraert"/>
    <s v="-"/>
    <x v="0"/>
    <x v="3"/>
    <x v="3"/>
    <x v="0"/>
    <x v="0"/>
    <x v="2"/>
    <n v="33.464999999999996"/>
    <n v="29.114549999999998"/>
    <n v="133.85999999999999"/>
    <n v="116.45819999999999"/>
    <n v="17.401799999999994"/>
    <n v="0.12999999999999998"/>
    <x v="0"/>
  </r>
  <r>
    <s v="DYG-25473-881"/>
    <x v="383"/>
    <s v="10138-31681-SD"/>
    <s v="A-D-0.2"/>
    <n v="2"/>
    <s v="Roxine Drivers"/>
    <s v="rdriversd4@hexun.com"/>
    <x v="0"/>
    <x v="2"/>
    <x v="2"/>
    <x v="2"/>
    <x v="2"/>
    <x v="3"/>
    <n v="2.9849999999999999"/>
    <n v="2.7163499999999998"/>
    <n v="5.97"/>
    <n v="5.4326999999999996"/>
    <n v="0.53730000000000011"/>
    <n v="9.0000000000000024E-2"/>
    <x v="1"/>
  </r>
  <r>
    <s v="HTR-21838-286"/>
    <x v="18"/>
    <s v="24669-76297-SF"/>
    <s v="A-L-1"/>
    <n v="2"/>
    <s v="Heloise Zeal"/>
    <s v="hzeald5@google.de"/>
    <x v="0"/>
    <x v="2"/>
    <x v="2"/>
    <x v="1"/>
    <x v="1"/>
    <x v="0"/>
    <n v="12.95"/>
    <n v="11.7845"/>
    <n v="25.9"/>
    <n v="23.568999999999999"/>
    <n v="2.3309999999999995"/>
    <n v="8.9999999999999983E-2"/>
    <x v="1"/>
  </r>
  <r>
    <s v="KYG-28296-920"/>
    <x v="84"/>
    <s v="78050-20355-DI"/>
    <s v="E-M-2.5"/>
    <n v="1"/>
    <s v="Granger Smallcombe"/>
    <s v="gsmallcombed6@ucla.edu"/>
    <x v="1"/>
    <x v="1"/>
    <x v="1"/>
    <x v="0"/>
    <x v="0"/>
    <x v="2"/>
    <n v="31.624999999999996"/>
    <n v="28.146249999999995"/>
    <n v="31.624999999999996"/>
    <n v="28.146249999999995"/>
    <n v="3.4787500000000016"/>
    <n v="0.11000000000000006"/>
    <x v="0"/>
  </r>
  <r>
    <s v="NNB-20459-430"/>
    <x v="384"/>
    <s v="79825-17822-UH"/>
    <s v="L-M-0.2"/>
    <n v="2"/>
    <s v="Daryn Dibley"/>
    <s v="ddibleyd7@feedburner.com"/>
    <x v="0"/>
    <x v="3"/>
    <x v="3"/>
    <x v="0"/>
    <x v="0"/>
    <x v="3"/>
    <n v="4.3650000000000002"/>
    <n v="3.7975500000000002"/>
    <n v="8.73"/>
    <n v="7.5951000000000004"/>
    <n v="1.1349"/>
    <n v="0.13"/>
    <x v="1"/>
  </r>
  <r>
    <s v="FEK-14025-351"/>
    <x v="385"/>
    <s v="03990-21586-MQ"/>
    <s v="E-L-0.2"/>
    <n v="6"/>
    <s v="Gardy Dimitriou"/>
    <s v="gdimitrioud8@chronoengine.com"/>
    <x v="0"/>
    <x v="1"/>
    <x v="1"/>
    <x v="1"/>
    <x v="1"/>
    <x v="3"/>
    <n v="4.4550000000000001"/>
    <n v="3.96495"/>
    <n v="26.73"/>
    <n v="23.7897"/>
    <n v="2.9403000000000006"/>
    <n v="0.11000000000000001"/>
    <x v="0"/>
  </r>
  <r>
    <s v="AWH-16980-469"/>
    <x v="386"/>
    <s v="27493-46921-TZ"/>
    <s v="L-M-0.2"/>
    <n v="6"/>
    <s v="Fanny Flanagan"/>
    <s v="fflanagand9@woothemes.com"/>
    <x v="0"/>
    <x v="3"/>
    <x v="3"/>
    <x v="0"/>
    <x v="0"/>
    <x v="3"/>
    <n v="4.3650000000000002"/>
    <n v="3.7975500000000002"/>
    <n v="26.19"/>
    <n v="22.785299999999999"/>
    <n v="3.4047000000000018"/>
    <n v="0.13000000000000006"/>
    <x v="1"/>
  </r>
  <r>
    <s v="ZPW-31329-741"/>
    <x v="387"/>
    <s v="27132-68907-RC"/>
    <s v="R-D-1"/>
    <n v="6"/>
    <s v="Ailey Brash"/>
    <s v="abrashda@plala.or.jp"/>
    <x v="0"/>
    <x v="0"/>
    <x v="0"/>
    <x v="2"/>
    <x v="2"/>
    <x v="0"/>
    <n v="8.9499999999999993"/>
    <n v="8.4130000000000003"/>
    <n v="53.699999999999996"/>
    <n v="50.478000000000002"/>
    <n v="3.2219999999999942"/>
    <n v="5.9999999999999894E-2"/>
    <x v="0"/>
  </r>
  <r>
    <s v="ZPW-31329-741"/>
    <x v="387"/>
    <s v="27132-68907-RC"/>
    <s v="E-M-2.5"/>
    <n v="4"/>
    <s v="Ailey Brash"/>
    <s v="abrashda@plala.or.jp"/>
    <x v="0"/>
    <x v="1"/>
    <x v="1"/>
    <x v="0"/>
    <x v="0"/>
    <x v="2"/>
    <n v="31.624999999999996"/>
    <n v="28.146249999999995"/>
    <n v="126.49999999999999"/>
    <n v="112.58499999999998"/>
    <n v="13.915000000000006"/>
    <n v="0.11000000000000006"/>
    <x v="0"/>
  </r>
  <r>
    <s v="ZPW-31329-741"/>
    <x v="387"/>
    <s v="27132-68907-RC"/>
    <s v="E-M-0.2"/>
    <n v="1"/>
    <s v="Ailey Brash"/>
    <s v="abrashda@plala.or.jp"/>
    <x v="0"/>
    <x v="1"/>
    <x v="1"/>
    <x v="0"/>
    <x v="0"/>
    <x v="3"/>
    <n v="4.125"/>
    <n v="3.6712500000000001"/>
    <n v="4.125"/>
    <n v="3.6712500000000001"/>
    <n v="0.45374999999999988"/>
    <n v="0.10999999999999997"/>
    <x v="0"/>
  </r>
  <r>
    <s v="UBI-83843-396"/>
    <x v="388"/>
    <s v="58816-74064-TF"/>
    <s v="R-L-1"/>
    <n v="2"/>
    <s v="Nanny Izhakov"/>
    <s v="nizhakovdd@aol.com"/>
    <x v="2"/>
    <x v="0"/>
    <x v="0"/>
    <x v="1"/>
    <x v="1"/>
    <x v="0"/>
    <n v="11.95"/>
    <n v="11.232999999999999"/>
    <n v="23.9"/>
    <n v="22.465999999999998"/>
    <n v="1.4340000000000011"/>
    <n v="6.0000000000000046E-2"/>
    <x v="1"/>
  </r>
  <r>
    <s v="VID-40587-569"/>
    <x v="389"/>
    <s v="09818-59895-EH"/>
    <s v="E-D-2.5"/>
    <n v="5"/>
    <s v="Stanly Keets"/>
    <s v="skeetsde@answers.com"/>
    <x v="0"/>
    <x v="1"/>
    <x v="1"/>
    <x v="2"/>
    <x v="2"/>
    <x v="2"/>
    <n v="27.945"/>
    <n v="24.87105"/>
    <n v="139.72499999999999"/>
    <n v="124.35525"/>
    <n v="15.369749999999996"/>
    <n v="0.10999999999999997"/>
    <x v="0"/>
  </r>
  <r>
    <s v="KBB-52530-416"/>
    <x v="229"/>
    <s v="06488-46303-IZ"/>
    <s v="L-D-2.5"/>
    <n v="2"/>
    <s v="Orion Dyott"/>
    <s v="-"/>
    <x v="0"/>
    <x v="3"/>
    <x v="3"/>
    <x v="2"/>
    <x v="2"/>
    <x v="2"/>
    <n v="29.784999999999997"/>
    <n v="25.912949999999995"/>
    <n v="59.569999999999993"/>
    <n v="51.82589999999999"/>
    <n v="7.7441000000000031"/>
    <n v="0.13000000000000006"/>
    <x v="0"/>
  </r>
  <r>
    <s v="ISJ-48676-420"/>
    <x v="390"/>
    <s v="93046-67561-AY"/>
    <s v="L-L-0.5"/>
    <n v="6"/>
    <s v="Keefer Cake"/>
    <s v="kcakedg@huffingtonpost.com"/>
    <x v="0"/>
    <x v="3"/>
    <x v="3"/>
    <x v="1"/>
    <x v="1"/>
    <x v="1"/>
    <n v="9.51"/>
    <n v="8.2736999999999998"/>
    <n v="57.06"/>
    <n v="49.642200000000003"/>
    <n v="7.4177999999999997"/>
    <n v="0.12999999999999998"/>
    <x v="1"/>
  </r>
  <r>
    <s v="MIF-17920-768"/>
    <x v="391"/>
    <s v="68946-40750-LK"/>
    <s v="R-L-0.2"/>
    <n v="6"/>
    <s v="Morna Hansed"/>
    <s v="mhanseddh@instagram.com"/>
    <x v="1"/>
    <x v="0"/>
    <x v="0"/>
    <x v="1"/>
    <x v="1"/>
    <x v="3"/>
    <n v="3.5849999999999995"/>
    <n v="3.3698999999999995"/>
    <n v="21.509999999999998"/>
    <n v="20.219399999999997"/>
    <n v="1.2906000000000013"/>
    <n v="6.0000000000000067E-2"/>
    <x v="0"/>
  </r>
  <r>
    <s v="CPX-19312-088"/>
    <x v="117"/>
    <s v="38387-64959-WW"/>
    <s v="L-M-0.5"/>
    <n v="6"/>
    <s v="Franny Kienlein"/>
    <s v="fkienleindi@trellian.com"/>
    <x v="1"/>
    <x v="3"/>
    <x v="3"/>
    <x v="0"/>
    <x v="0"/>
    <x v="1"/>
    <n v="8.73"/>
    <n v="7.5951000000000004"/>
    <n v="52.38"/>
    <n v="45.570599999999999"/>
    <n v="6.8094000000000037"/>
    <n v="0.13000000000000006"/>
    <x v="0"/>
  </r>
  <r>
    <s v="RXI-67978-260"/>
    <x v="392"/>
    <s v="48418-60841-CC"/>
    <s v="E-D-1"/>
    <n v="6"/>
    <s v="Klarika Egglestone"/>
    <s v="kegglestonedj@sphinn.com"/>
    <x v="1"/>
    <x v="1"/>
    <x v="1"/>
    <x v="2"/>
    <x v="2"/>
    <x v="0"/>
    <n v="12.15"/>
    <n v="10.813500000000001"/>
    <n v="72.900000000000006"/>
    <n v="64.881"/>
    <n v="8.0190000000000055"/>
    <n v="0.11000000000000007"/>
    <x v="1"/>
  </r>
  <r>
    <s v="LKE-14821-285"/>
    <x v="393"/>
    <s v="13736-92418-JS"/>
    <s v="R-M-0.2"/>
    <n v="5"/>
    <s v="Becky Semkins"/>
    <s v="bsemkinsdk@unc.edu"/>
    <x v="1"/>
    <x v="0"/>
    <x v="0"/>
    <x v="0"/>
    <x v="0"/>
    <x v="3"/>
    <n v="2.9849999999999999"/>
    <n v="2.8058999999999998"/>
    <n v="14.924999999999999"/>
    <n v="14.029499999999999"/>
    <n v="0.89550000000000018"/>
    <n v="6.0000000000000019E-2"/>
    <x v="0"/>
  </r>
  <r>
    <s v="LRK-97117-150"/>
    <x v="394"/>
    <s v="33000-22405-LO"/>
    <s v="L-L-1"/>
    <n v="6"/>
    <s v="Sean Lorenzetti"/>
    <s v="slorenzettidl@is.gd"/>
    <x v="0"/>
    <x v="3"/>
    <x v="3"/>
    <x v="1"/>
    <x v="1"/>
    <x v="0"/>
    <n v="15.85"/>
    <n v="13.7895"/>
    <n v="95.1"/>
    <n v="82.736999999999995"/>
    <n v="12.363"/>
    <n v="0.13"/>
    <x v="1"/>
  </r>
  <r>
    <s v="IGK-51227-573"/>
    <x v="137"/>
    <s v="46959-60474-LT"/>
    <s v="L-D-0.5"/>
    <n v="2"/>
    <s v="Bob Giannazzi"/>
    <s v="bgiannazzidm@apple.com"/>
    <x v="0"/>
    <x v="3"/>
    <x v="3"/>
    <x v="2"/>
    <x v="2"/>
    <x v="1"/>
    <n v="7.77"/>
    <n v="6.7599"/>
    <n v="15.54"/>
    <n v="13.5198"/>
    <n v="2.0201999999999991"/>
    <n v="0.12999999999999995"/>
    <x v="1"/>
  </r>
  <r>
    <s v="ZAY-43009-775"/>
    <x v="395"/>
    <s v="73431-39823-UP"/>
    <s v="L-D-0.2"/>
    <n v="6"/>
    <s v="Kendra Backshell"/>
    <s v="-"/>
    <x v="0"/>
    <x v="3"/>
    <x v="3"/>
    <x v="2"/>
    <x v="2"/>
    <x v="3"/>
    <n v="3.8849999999999998"/>
    <n v="3.37995"/>
    <n v="23.31"/>
    <n v="20.279699999999998"/>
    <n v="3.0303000000000004"/>
    <n v="0.13000000000000003"/>
    <x v="1"/>
  </r>
  <r>
    <s v="EMA-63190-618"/>
    <x v="396"/>
    <s v="90993-98984-JK"/>
    <s v="E-M-0.2"/>
    <n v="1"/>
    <s v="Uriah Lethbrig"/>
    <s v="ulethbrigdo@hc360.com"/>
    <x v="0"/>
    <x v="1"/>
    <x v="1"/>
    <x v="0"/>
    <x v="0"/>
    <x v="3"/>
    <n v="4.125"/>
    <n v="3.6712500000000001"/>
    <n v="4.125"/>
    <n v="3.6712500000000001"/>
    <n v="0.45374999999999988"/>
    <n v="0.10999999999999997"/>
    <x v="0"/>
  </r>
  <r>
    <s v="FBI-35855-418"/>
    <x v="189"/>
    <s v="06552-04430-AG"/>
    <s v="R-M-0.5"/>
    <n v="6"/>
    <s v="Sky Farnish"/>
    <s v="sfarnishdp@dmoz.org"/>
    <x v="2"/>
    <x v="0"/>
    <x v="0"/>
    <x v="0"/>
    <x v="0"/>
    <x v="1"/>
    <n v="5.97"/>
    <n v="5.6117999999999997"/>
    <n v="35.82"/>
    <n v="33.6708"/>
    <n v="2.1492000000000004"/>
    <n v="6.0000000000000012E-2"/>
    <x v="1"/>
  </r>
  <r>
    <s v="TXB-80533-417"/>
    <x v="8"/>
    <s v="54597-57004-QM"/>
    <s v="L-L-1"/>
    <n v="2"/>
    <s v="Felicia Jecock"/>
    <s v="fjecockdq@unicef.org"/>
    <x v="0"/>
    <x v="3"/>
    <x v="3"/>
    <x v="1"/>
    <x v="1"/>
    <x v="0"/>
    <n v="15.85"/>
    <n v="13.7895"/>
    <n v="31.7"/>
    <n v="27.579000000000001"/>
    <n v="4.1209999999999987"/>
    <n v="0.12999999999999995"/>
    <x v="1"/>
  </r>
  <r>
    <s v="MBM-00112-248"/>
    <x v="397"/>
    <s v="50238-24377-ZS"/>
    <s v="L-L-1"/>
    <n v="5"/>
    <s v="Currey MacAllister"/>
    <s v="-"/>
    <x v="0"/>
    <x v="3"/>
    <x v="3"/>
    <x v="1"/>
    <x v="1"/>
    <x v="0"/>
    <n v="15.85"/>
    <n v="13.7895"/>
    <n v="79.25"/>
    <n v="68.947500000000005"/>
    <n v="10.302499999999995"/>
    <n v="0.12999999999999995"/>
    <x v="0"/>
  </r>
  <r>
    <s v="EUO-69145-988"/>
    <x v="398"/>
    <s v="60370-41934-IF"/>
    <s v="E-D-0.2"/>
    <n v="3"/>
    <s v="Hamlen Pallister"/>
    <s v="hpallisterds@ning.com"/>
    <x v="0"/>
    <x v="1"/>
    <x v="1"/>
    <x v="2"/>
    <x v="2"/>
    <x v="3"/>
    <n v="3.645"/>
    <n v="3.2440500000000001"/>
    <n v="10.935"/>
    <n v="9.7321500000000007"/>
    <n v="1.2028499999999998"/>
    <n v="0.10999999999999997"/>
    <x v="1"/>
  </r>
  <r>
    <s v="GYA-80327-368"/>
    <x v="399"/>
    <s v="06899-54551-EH"/>
    <s v="A-D-1"/>
    <n v="4"/>
    <s v="Chantal Mersh"/>
    <s v="cmershdt@drupal.org"/>
    <x v="1"/>
    <x v="2"/>
    <x v="2"/>
    <x v="2"/>
    <x v="2"/>
    <x v="0"/>
    <n v="9.9499999999999993"/>
    <n v="9.0544999999999991"/>
    <n v="39.799999999999997"/>
    <n v="36.217999999999996"/>
    <n v="3.5820000000000007"/>
    <n v="9.0000000000000024E-2"/>
    <x v="1"/>
  </r>
  <r>
    <s v="TNW-41601-420"/>
    <x v="400"/>
    <s v="66458-91190-YC"/>
    <s v="R-M-1"/>
    <n v="5"/>
    <s v="Marja Urion"/>
    <s v="murione5@alexa.com"/>
    <x v="1"/>
    <x v="0"/>
    <x v="0"/>
    <x v="0"/>
    <x v="0"/>
    <x v="0"/>
    <n v="9.9499999999999993"/>
    <n v="9.3529999999999998"/>
    <n v="49.75"/>
    <n v="46.765000000000001"/>
    <n v="2.9849999999999994"/>
    <n v="5.9999999999999991E-2"/>
    <x v="0"/>
  </r>
  <r>
    <s v="ALR-62963-723"/>
    <x v="401"/>
    <s v="80463-43913-WZ"/>
    <s v="R-D-0.2"/>
    <n v="3"/>
    <s v="Malynda Purbrick"/>
    <s v="-"/>
    <x v="1"/>
    <x v="0"/>
    <x v="0"/>
    <x v="2"/>
    <x v="2"/>
    <x v="3"/>
    <n v="2.6849999999999996"/>
    <n v="2.5238999999999998"/>
    <n v="8.0549999999999997"/>
    <n v="7.5716999999999999"/>
    <n v="0.48329999999999984"/>
    <n v="5.9999999999999984E-2"/>
    <x v="0"/>
  </r>
  <r>
    <s v="JIG-27636-870"/>
    <x v="402"/>
    <s v="67204-04870-LG"/>
    <s v="R-L-1"/>
    <n v="4"/>
    <s v="Alf Housaman"/>
    <s v="-"/>
    <x v="0"/>
    <x v="0"/>
    <x v="0"/>
    <x v="1"/>
    <x v="1"/>
    <x v="0"/>
    <n v="11.95"/>
    <n v="11.232999999999999"/>
    <n v="47.8"/>
    <n v="44.931999999999995"/>
    <n v="2.8680000000000021"/>
    <n v="6.0000000000000046E-2"/>
    <x v="1"/>
  </r>
  <r>
    <s v="CTE-31437-326"/>
    <x v="6"/>
    <s v="22721-63196-UJ"/>
    <s v="R-M-0.2"/>
    <n v="4"/>
    <s v="Gladi Ducker"/>
    <s v="gduckerdx@patch.com"/>
    <x v="2"/>
    <x v="0"/>
    <x v="0"/>
    <x v="0"/>
    <x v="0"/>
    <x v="3"/>
    <n v="2.9849999999999999"/>
    <n v="2.8058999999999998"/>
    <n v="11.94"/>
    <n v="11.223599999999999"/>
    <n v="0.71640000000000015"/>
    <n v="6.0000000000000012E-2"/>
    <x v="1"/>
  </r>
  <r>
    <s v="CTE-31437-326"/>
    <x v="6"/>
    <s v="22721-63196-UJ"/>
    <s v="E-M-0.2"/>
    <n v="4"/>
    <s v="Gladi Ducker"/>
    <s v="gduckerdx@patch.com"/>
    <x v="2"/>
    <x v="1"/>
    <x v="1"/>
    <x v="0"/>
    <x v="0"/>
    <x v="3"/>
    <n v="4.125"/>
    <n v="3.6712500000000001"/>
    <n v="16.5"/>
    <n v="14.685"/>
    <n v="1.8149999999999995"/>
    <n v="0.10999999999999997"/>
    <x v="1"/>
  </r>
  <r>
    <s v="CTE-31437-326"/>
    <x v="6"/>
    <s v="22721-63196-UJ"/>
    <s v="L-D-1"/>
    <n v="4"/>
    <s v="Gladi Ducker"/>
    <s v="gduckerdx@patch.com"/>
    <x v="2"/>
    <x v="3"/>
    <x v="3"/>
    <x v="2"/>
    <x v="2"/>
    <x v="0"/>
    <n v="12.95"/>
    <n v="11.266499999999999"/>
    <n v="51.8"/>
    <n v="45.065999999999995"/>
    <n v="6.7340000000000018"/>
    <n v="0.13000000000000003"/>
    <x v="1"/>
  </r>
  <r>
    <s v="CTE-31437-326"/>
    <x v="6"/>
    <s v="22721-63196-UJ"/>
    <s v="L-L-0.2"/>
    <n v="3"/>
    <s v="Gladi Ducker"/>
    <s v="gduckerdx@patch.com"/>
    <x v="2"/>
    <x v="3"/>
    <x v="3"/>
    <x v="1"/>
    <x v="1"/>
    <x v="3"/>
    <n v="4.7549999999999999"/>
    <n v="4.1368499999999999"/>
    <n v="14.265000000000001"/>
    <n v="12.410550000000001"/>
    <n v="1.8544499999999999"/>
    <n v="0.12999999999999998"/>
    <x v="1"/>
  </r>
  <r>
    <s v="SLD-63003-334"/>
    <x v="403"/>
    <s v="55515-37571-RS"/>
    <s v="L-M-0.2"/>
    <n v="6"/>
    <s v="Wain Stearley"/>
    <s v="wstearleye1@census.gov"/>
    <x v="0"/>
    <x v="3"/>
    <x v="3"/>
    <x v="0"/>
    <x v="0"/>
    <x v="3"/>
    <n v="4.3650000000000002"/>
    <n v="3.7975500000000002"/>
    <n v="26.19"/>
    <n v="22.785299999999999"/>
    <n v="3.4047000000000018"/>
    <n v="0.13000000000000006"/>
    <x v="1"/>
  </r>
  <r>
    <s v="BXN-64230-789"/>
    <x v="404"/>
    <s v="25598-77476-CB"/>
    <s v="A-L-1"/>
    <n v="2"/>
    <s v="Diane-marie Wincer"/>
    <s v="dwincere2@marriott.com"/>
    <x v="0"/>
    <x v="2"/>
    <x v="2"/>
    <x v="1"/>
    <x v="1"/>
    <x v="0"/>
    <n v="12.95"/>
    <n v="11.7845"/>
    <n v="25.9"/>
    <n v="23.568999999999999"/>
    <n v="2.3309999999999995"/>
    <n v="8.9999999999999983E-2"/>
    <x v="0"/>
  </r>
  <r>
    <s v="XEE-37895-169"/>
    <x v="21"/>
    <s v="14888-85625-TM"/>
    <s v="A-L-2.5"/>
    <n v="3"/>
    <s v="Perry Lyfield"/>
    <s v="plyfielde3@baidu.com"/>
    <x v="0"/>
    <x v="2"/>
    <x v="2"/>
    <x v="1"/>
    <x v="1"/>
    <x v="2"/>
    <n v="29.784999999999997"/>
    <n v="27.104349999999997"/>
    <n v="89.35499999999999"/>
    <n v="81.31304999999999"/>
    <n v="8.0419499999999999"/>
    <n v="9.0000000000000011E-2"/>
    <x v="0"/>
  </r>
  <r>
    <s v="ZTX-80764-911"/>
    <x v="239"/>
    <s v="92793-68332-NR"/>
    <s v="L-D-0.5"/>
    <n v="6"/>
    <s v="Heall Perris"/>
    <s v="hperrise4@studiopress.com"/>
    <x v="1"/>
    <x v="3"/>
    <x v="3"/>
    <x v="2"/>
    <x v="2"/>
    <x v="1"/>
    <n v="7.77"/>
    <n v="6.7599"/>
    <n v="46.62"/>
    <n v="40.559399999999997"/>
    <n v="6.0606000000000009"/>
    <n v="0.13000000000000003"/>
    <x v="1"/>
  </r>
  <r>
    <s v="WVT-88135-549"/>
    <x v="405"/>
    <s v="66458-91190-YC"/>
    <s v="A-D-1"/>
    <n v="3"/>
    <s v="Marja Urion"/>
    <s v="murione5@alexa.com"/>
    <x v="1"/>
    <x v="2"/>
    <x v="2"/>
    <x v="2"/>
    <x v="2"/>
    <x v="0"/>
    <n v="9.9499999999999993"/>
    <n v="9.0544999999999991"/>
    <n v="29.849999999999998"/>
    <n v="27.163499999999999"/>
    <n v="2.6864999999999988"/>
    <n v="8.9999999999999969E-2"/>
    <x v="0"/>
  </r>
  <r>
    <s v="IPA-94170-889"/>
    <x v="292"/>
    <s v="64439-27325-LG"/>
    <s v="R-L-0.2"/>
    <n v="3"/>
    <s v="Camellia Kid"/>
    <s v="ckide6@narod.ru"/>
    <x v="1"/>
    <x v="0"/>
    <x v="0"/>
    <x v="1"/>
    <x v="1"/>
    <x v="3"/>
    <n v="3.5849999999999995"/>
    <n v="3.3698999999999995"/>
    <n v="10.754999999999999"/>
    <n v="10.109699999999998"/>
    <n v="0.64530000000000065"/>
    <n v="6.0000000000000067E-2"/>
    <x v="0"/>
  </r>
  <r>
    <s v="YQL-63755-365"/>
    <x v="117"/>
    <s v="78570-76770-LB"/>
    <s v="A-M-0.2"/>
    <n v="4"/>
    <s v="Carolann Beine"/>
    <s v="cbeinee7@xinhuanet.com"/>
    <x v="0"/>
    <x v="2"/>
    <x v="2"/>
    <x v="0"/>
    <x v="0"/>
    <x v="3"/>
    <n v="3.375"/>
    <n v="3.07125"/>
    <n v="13.5"/>
    <n v="12.285"/>
    <n v="1.2149999999999999"/>
    <n v="8.9999999999999983E-2"/>
    <x v="0"/>
  </r>
  <r>
    <s v="RKW-81145-984"/>
    <x v="406"/>
    <s v="98661-69719-VI"/>
    <s v="L-L-1"/>
    <n v="3"/>
    <s v="Celia Bakeup"/>
    <s v="cbakeupe8@globo.com"/>
    <x v="0"/>
    <x v="3"/>
    <x v="3"/>
    <x v="1"/>
    <x v="1"/>
    <x v="0"/>
    <n v="15.85"/>
    <n v="13.7895"/>
    <n v="47.55"/>
    <n v="41.368499999999997"/>
    <n v="6.1814999999999998"/>
    <n v="0.13"/>
    <x v="1"/>
  </r>
  <r>
    <s v="MBT-23379-866"/>
    <x v="407"/>
    <s v="82990-92703-IX"/>
    <s v="L-L-1"/>
    <n v="5"/>
    <s v="Nataniel Helkin"/>
    <s v="nhelkine9@example.com"/>
    <x v="0"/>
    <x v="3"/>
    <x v="3"/>
    <x v="1"/>
    <x v="1"/>
    <x v="0"/>
    <n v="15.85"/>
    <n v="13.7895"/>
    <n v="79.25"/>
    <n v="68.947500000000005"/>
    <n v="10.302499999999995"/>
    <n v="0.12999999999999995"/>
    <x v="1"/>
  </r>
  <r>
    <s v="GEJ-39834-935"/>
    <x v="408"/>
    <s v="49412-86877-VY"/>
    <s v="L-M-0.2"/>
    <n v="6"/>
    <s v="Pippo Witherington"/>
    <s v="pwitheringtonea@networkadvertising.org"/>
    <x v="0"/>
    <x v="3"/>
    <x v="3"/>
    <x v="0"/>
    <x v="0"/>
    <x v="3"/>
    <n v="4.3650000000000002"/>
    <n v="3.7975500000000002"/>
    <n v="26.19"/>
    <n v="22.785299999999999"/>
    <n v="3.4047000000000018"/>
    <n v="0.13000000000000006"/>
    <x v="0"/>
  </r>
  <r>
    <s v="KRW-91640-596"/>
    <x v="409"/>
    <s v="70879-00984-FJ"/>
    <s v="R-L-0.5"/>
    <n v="3"/>
    <s v="Tildie Tilzey"/>
    <s v="ttilzeyeb@hostgator.com"/>
    <x v="0"/>
    <x v="0"/>
    <x v="0"/>
    <x v="1"/>
    <x v="1"/>
    <x v="1"/>
    <n v="7.169999999999999"/>
    <n v="6.7397999999999989"/>
    <n v="21.509999999999998"/>
    <n v="20.219399999999997"/>
    <n v="1.2906000000000013"/>
    <n v="6.0000000000000067E-2"/>
    <x v="1"/>
  </r>
  <r>
    <s v="AOT-70449-651"/>
    <x v="410"/>
    <s v="53414-73391-CR"/>
    <s v="R-D-2.5"/>
    <n v="5"/>
    <s v="Cindra Burling"/>
    <s v="-"/>
    <x v="0"/>
    <x v="0"/>
    <x v="0"/>
    <x v="2"/>
    <x v="2"/>
    <x v="2"/>
    <n v="20.584999999999997"/>
    <n v="19.349899999999998"/>
    <n v="102.92499999999998"/>
    <n v="96.749499999999983"/>
    <n v="6.1754999999999995"/>
    <n v="6.0000000000000005E-2"/>
    <x v="0"/>
  </r>
  <r>
    <s v="DGC-21813-731"/>
    <x v="127"/>
    <s v="43606-83072-OA"/>
    <s v="L-D-0.2"/>
    <n v="2"/>
    <s v="Channa Belamy"/>
    <s v="-"/>
    <x v="0"/>
    <x v="3"/>
    <x v="3"/>
    <x v="2"/>
    <x v="2"/>
    <x v="3"/>
    <n v="3.8849999999999998"/>
    <n v="3.37995"/>
    <n v="7.77"/>
    <n v="6.7599"/>
    <n v="1.0100999999999996"/>
    <n v="0.12999999999999995"/>
    <x v="1"/>
  </r>
  <r>
    <s v="JBE-92943-643"/>
    <x v="411"/>
    <s v="84466-22864-CE"/>
    <s v="E-D-2.5"/>
    <n v="5"/>
    <s v="Karl Imorts"/>
    <s v="kimortsee@alexa.com"/>
    <x v="0"/>
    <x v="1"/>
    <x v="1"/>
    <x v="2"/>
    <x v="2"/>
    <x v="2"/>
    <n v="27.945"/>
    <n v="24.87105"/>
    <n v="139.72499999999999"/>
    <n v="124.35525"/>
    <n v="15.369749999999996"/>
    <n v="0.10999999999999997"/>
    <x v="1"/>
  </r>
  <r>
    <s v="ZIL-34948-499"/>
    <x v="112"/>
    <s v="66458-91190-YC"/>
    <s v="A-D-0.5"/>
    <n v="2"/>
    <s v="Marja Urion"/>
    <s v="murione5@alexa.com"/>
    <x v="1"/>
    <x v="2"/>
    <x v="2"/>
    <x v="2"/>
    <x v="2"/>
    <x v="1"/>
    <n v="5.97"/>
    <n v="5.4326999999999996"/>
    <n v="11.94"/>
    <n v="10.865399999999999"/>
    <n v="1.0746000000000002"/>
    <n v="9.0000000000000024E-2"/>
    <x v="0"/>
  </r>
  <r>
    <s v="JSU-23781-256"/>
    <x v="412"/>
    <s v="76499-89100-JQ"/>
    <s v="L-D-0.2"/>
    <n v="1"/>
    <s v="Mag Armistead"/>
    <s v="marmisteadeg@blogtalkradio.com"/>
    <x v="0"/>
    <x v="3"/>
    <x v="3"/>
    <x v="2"/>
    <x v="2"/>
    <x v="3"/>
    <n v="3.8849999999999998"/>
    <n v="3.37995"/>
    <n v="3.8849999999999998"/>
    <n v="3.37995"/>
    <n v="0.50504999999999978"/>
    <n v="0.12999999999999995"/>
    <x v="1"/>
  </r>
  <r>
    <s v="JSU-23781-256"/>
    <x v="412"/>
    <s v="76499-89100-JQ"/>
    <s v="R-M-1"/>
    <n v="4"/>
    <s v="Mag Armistead"/>
    <s v="marmisteadeg@blogtalkradio.com"/>
    <x v="0"/>
    <x v="0"/>
    <x v="0"/>
    <x v="0"/>
    <x v="0"/>
    <x v="0"/>
    <n v="9.9499999999999993"/>
    <n v="9.3529999999999998"/>
    <n v="39.799999999999997"/>
    <n v="37.411999999999999"/>
    <n v="2.3879999999999981"/>
    <n v="5.9999999999999956E-2"/>
    <x v="1"/>
  </r>
  <r>
    <s v="VPX-44956-367"/>
    <x v="413"/>
    <s v="39582-35773-ZJ"/>
    <s v="R-M-0.5"/>
    <n v="5"/>
    <s v="Vasili Upstone"/>
    <s v="vupstoneei@google.pl"/>
    <x v="0"/>
    <x v="0"/>
    <x v="0"/>
    <x v="0"/>
    <x v="0"/>
    <x v="1"/>
    <n v="5.97"/>
    <n v="5.6117999999999997"/>
    <n v="29.849999999999998"/>
    <n v="28.058999999999997"/>
    <n v="1.7910000000000004"/>
    <n v="6.0000000000000019E-2"/>
    <x v="1"/>
  </r>
  <r>
    <s v="VTB-46451-959"/>
    <x v="414"/>
    <s v="66240-46962-IO"/>
    <s v="L-D-2.5"/>
    <n v="1"/>
    <s v="Berty Beelby"/>
    <s v="bbeelbyej@rediff.com"/>
    <x v="1"/>
    <x v="3"/>
    <x v="3"/>
    <x v="2"/>
    <x v="2"/>
    <x v="2"/>
    <n v="29.784999999999997"/>
    <n v="25.912949999999995"/>
    <n v="29.784999999999997"/>
    <n v="25.912949999999995"/>
    <n v="3.8720500000000015"/>
    <n v="0.13000000000000006"/>
    <x v="1"/>
  </r>
  <r>
    <s v="DNZ-11665-950"/>
    <x v="415"/>
    <s v="10637-45522-ID"/>
    <s v="L-L-2.5"/>
    <n v="2"/>
    <s v="Erny Stenyng"/>
    <s v="-"/>
    <x v="0"/>
    <x v="3"/>
    <x v="3"/>
    <x v="1"/>
    <x v="1"/>
    <x v="2"/>
    <n v="36.454999999999998"/>
    <n v="31.71585"/>
    <n v="72.91"/>
    <n v="63.431699999999999"/>
    <n v="9.4782999999999973"/>
    <n v="0.12999999999999998"/>
    <x v="1"/>
  </r>
  <r>
    <s v="ITR-54735-364"/>
    <x v="416"/>
    <s v="92599-58687-CS"/>
    <s v="R-D-0.2"/>
    <n v="5"/>
    <s v="Edin Yantsurev"/>
    <s v="-"/>
    <x v="0"/>
    <x v="0"/>
    <x v="0"/>
    <x v="2"/>
    <x v="2"/>
    <x v="3"/>
    <n v="2.6849999999999996"/>
    <n v="2.5238999999999998"/>
    <n v="13.424999999999997"/>
    <n v="12.619499999999999"/>
    <n v="0.80549999999999855"/>
    <n v="5.9999999999999908E-2"/>
    <x v="0"/>
  </r>
  <r>
    <s v="YDS-02797-307"/>
    <x v="417"/>
    <s v="06058-48844-PI"/>
    <s v="E-M-2.5"/>
    <n v="4"/>
    <s v="Webb Speechly"/>
    <s v="wspeechlyem@amazon.com"/>
    <x v="0"/>
    <x v="1"/>
    <x v="1"/>
    <x v="0"/>
    <x v="0"/>
    <x v="2"/>
    <n v="31.624999999999996"/>
    <n v="28.146249999999995"/>
    <n v="126.49999999999999"/>
    <n v="112.58499999999998"/>
    <n v="13.915000000000006"/>
    <n v="0.11000000000000006"/>
    <x v="0"/>
  </r>
  <r>
    <s v="BPG-68988-842"/>
    <x v="418"/>
    <s v="53631-24432-SY"/>
    <s v="E-M-0.5"/>
    <n v="5"/>
    <s v="Irvine Phillpot"/>
    <s v="iphillpoten@buzzfeed.com"/>
    <x v="2"/>
    <x v="1"/>
    <x v="1"/>
    <x v="0"/>
    <x v="0"/>
    <x v="1"/>
    <n v="8.25"/>
    <n v="7.3425000000000002"/>
    <n v="41.25"/>
    <n v="36.712499999999999"/>
    <n v="4.5375000000000014"/>
    <n v="0.11000000000000003"/>
    <x v="1"/>
  </r>
  <r>
    <s v="XZG-51938-658"/>
    <x v="419"/>
    <s v="18275-73980-KL"/>
    <s v="E-L-0.5"/>
    <n v="6"/>
    <s v="Lem Pennacci"/>
    <s v="lpennaccieo@statcounter.com"/>
    <x v="0"/>
    <x v="1"/>
    <x v="1"/>
    <x v="1"/>
    <x v="1"/>
    <x v="1"/>
    <n v="8.91"/>
    <n v="7.9298999999999999"/>
    <n v="53.46"/>
    <n v="47.5794"/>
    <n v="5.8806000000000012"/>
    <n v="0.11000000000000001"/>
    <x v="1"/>
  </r>
  <r>
    <s v="KAR-24978-271"/>
    <x v="420"/>
    <s v="23187-65750-HZ"/>
    <s v="R-M-1"/>
    <n v="6"/>
    <s v="Starr Arpin"/>
    <s v="sarpinep@moonfruit.com"/>
    <x v="0"/>
    <x v="0"/>
    <x v="0"/>
    <x v="0"/>
    <x v="0"/>
    <x v="0"/>
    <n v="9.9499999999999993"/>
    <n v="9.3529999999999998"/>
    <n v="59.699999999999996"/>
    <n v="56.117999999999995"/>
    <n v="3.5820000000000007"/>
    <n v="6.0000000000000019E-2"/>
    <x v="1"/>
  </r>
  <r>
    <s v="FQK-28730-361"/>
    <x v="421"/>
    <s v="22725-79522-GP"/>
    <s v="R-M-1"/>
    <n v="6"/>
    <s v="Donny Fries"/>
    <s v="dfrieseq@cargocollective.com"/>
    <x v="0"/>
    <x v="0"/>
    <x v="0"/>
    <x v="0"/>
    <x v="0"/>
    <x v="0"/>
    <n v="9.9499999999999993"/>
    <n v="9.3529999999999998"/>
    <n v="59.699999999999996"/>
    <n v="56.117999999999995"/>
    <n v="3.5820000000000007"/>
    <n v="6.0000000000000019E-2"/>
    <x v="1"/>
  </r>
  <r>
    <s v="BGB-67996-089"/>
    <x v="422"/>
    <s v="06279-72603-JE"/>
    <s v="R-D-1"/>
    <n v="5"/>
    <s v="Rana Sharer"/>
    <s v="rsharerer@flavors.me"/>
    <x v="0"/>
    <x v="0"/>
    <x v="0"/>
    <x v="2"/>
    <x v="2"/>
    <x v="0"/>
    <n v="8.9499999999999993"/>
    <n v="8.4130000000000003"/>
    <n v="44.75"/>
    <n v="42.064999999999998"/>
    <n v="2.6850000000000023"/>
    <n v="6.0000000000000053E-2"/>
    <x v="1"/>
  </r>
  <r>
    <s v="XMC-20620-809"/>
    <x v="423"/>
    <s v="83543-79246-ON"/>
    <s v="E-M-0.5"/>
    <n v="2"/>
    <s v="Nannie Naseby"/>
    <s v="nnasebyes@umich.edu"/>
    <x v="0"/>
    <x v="1"/>
    <x v="1"/>
    <x v="0"/>
    <x v="0"/>
    <x v="1"/>
    <n v="8.25"/>
    <n v="7.3425000000000002"/>
    <n v="16.5"/>
    <n v="14.685"/>
    <n v="1.8149999999999995"/>
    <n v="0.10999999999999997"/>
    <x v="0"/>
  </r>
  <r>
    <s v="ZSO-58292-191"/>
    <x v="109"/>
    <s v="66794-66795-VW"/>
    <s v="R-D-0.5"/>
    <n v="4"/>
    <s v="Rea Offell"/>
    <s v="-"/>
    <x v="0"/>
    <x v="0"/>
    <x v="0"/>
    <x v="2"/>
    <x v="2"/>
    <x v="1"/>
    <n v="5.3699999999999992"/>
    <n v="5.0477999999999996"/>
    <n v="21.479999999999997"/>
    <n v="20.191199999999998"/>
    <n v="1.2887999999999984"/>
    <n v="5.9999999999999935E-2"/>
    <x v="1"/>
  </r>
  <r>
    <s v="LWJ-06793-303"/>
    <x v="204"/>
    <s v="95424-67020-AP"/>
    <s v="R-M-2.5"/>
    <n v="2"/>
    <s v="Kris O'Cullen"/>
    <s v="koculleneu@ca.gov"/>
    <x v="1"/>
    <x v="0"/>
    <x v="0"/>
    <x v="0"/>
    <x v="0"/>
    <x v="2"/>
    <n v="22.884999999999998"/>
    <n v="21.511899999999997"/>
    <n v="45.769999999999996"/>
    <n v="43.023799999999994"/>
    <n v="2.7462000000000018"/>
    <n v="6.0000000000000046E-2"/>
    <x v="0"/>
  </r>
  <r>
    <s v="FLM-82229-989"/>
    <x v="424"/>
    <s v="73017-69644-MS"/>
    <s v="L-L-0.2"/>
    <n v="2"/>
    <s v="Timoteo Glisane"/>
    <s v="-"/>
    <x v="1"/>
    <x v="3"/>
    <x v="3"/>
    <x v="1"/>
    <x v="1"/>
    <x v="3"/>
    <n v="4.7549999999999999"/>
    <n v="4.1368499999999999"/>
    <n v="9.51"/>
    <n v="8.2736999999999998"/>
    <n v="1.2363"/>
    <n v="0.13"/>
    <x v="1"/>
  </r>
  <r>
    <s v="CPV-90280-133"/>
    <x v="13"/>
    <s v="66458-91190-YC"/>
    <s v="R-D-0.2"/>
    <n v="3"/>
    <s v="Marja Urion"/>
    <s v="murione5@alexa.com"/>
    <x v="1"/>
    <x v="0"/>
    <x v="0"/>
    <x v="2"/>
    <x v="2"/>
    <x v="3"/>
    <n v="2.6849999999999996"/>
    <n v="2.5238999999999998"/>
    <n v="8.0549999999999997"/>
    <n v="7.5716999999999999"/>
    <n v="0.48329999999999984"/>
    <n v="5.9999999999999984E-2"/>
    <x v="0"/>
  </r>
  <r>
    <s v="OGW-60685-912"/>
    <x v="224"/>
    <s v="67423-10113-LM"/>
    <s v="E-D-2.5"/>
    <n v="4"/>
    <s v="Hildegarde Brangan"/>
    <s v="hbranganex@woothemes.com"/>
    <x v="0"/>
    <x v="1"/>
    <x v="1"/>
    <x v="2"/>
    <x v="2"/>
    <x v="2"/>
    <n v="27.945"/>
    <n v="24.87105"/>
    <n v="111.78"/>
    <n v="99.484200000000001"/>
    <n v="12.2958"/>
    <n v="0.11"/>
    <x v="0"/>
  </r>
  <r>
    <s v="DEC-11160-362"/>
    <x v="220"/>
    <s v="48582-05061-RY"/>
    <s v="R-D-0.2"/>
    <n v="4"/>
    <s v="Amii Gallyon"/>
    <s v="agallyoney@engadget.com"/>
    <x v="0"/>
    <x v="0"/>
    <x v="0"/>
    <x v="2"/>
    <x v="2"/>
    <x v="3"/>
    <n v="2.6849999999999996"/>
    <n v="2.5238999999999998"/>
    <n v="10.739999999999998"/>
    <n v="10.095599999999999"/>
    <n v="0.6443999999999992"/>
    <n v="5.9999999999999935E-2"/>
    <x v="0"/>
  </r>
  <r>
    <s v="WCT-07869-499"/>
    <x v="91"/>
    <s v="32031-49093-KE"/>
    <s v="R-D-0.5"/>
    <n v="5"/>
    <s v="Birgit Domange"/>
    <s v="bdomangeez@yahoo.co.jp"/>
    <x v="0"/>
    <x v="0"/>
    <x v="0"/>
    <x v="2"/>
    <x v="2"/>
    <x v="1"/>
    <n v="5.3699999999999992"/>
    <n v="5.0477999999999996"/>
    <n v="26.849999999999994"/>
    <n v="25.238999999999997"/>
    <n v="1.6109999999999971"/>
    <n v="5.9999999999999908E-2"/>
    <x v="1"/>
  </r>
  <r>
    <s v="FHD-89872-325"/>
    <x v="425"/>
    <s v="31715-98714-OO"/>
    <s v="L-L-1"/>
    <n v="4"/>
    <s v="Killian Osler"/>
    <s v="koslerf0@gmpg.org"/>
    <x v="0"/>
    <x v="3"/>
    <x v="3"/>
    <x v="1"/>
    <x v="1"/>
    <x v="0"/>
    <n v="15.85"/>
    <n v="13.7895"/>
    <n v="63.4"/>
    <n v="55.158000000000001"/>
    <n v="8.2419999999999973"/>
    <n v="0.12999999999999995"/>
    <x v="0"/>
  </r>
  <r>
    <s v="AZF-45991-584"/>
    <x v="426"/>
    <s v="73759-17258-KA"/>
    <s v="A-D-2.5"/>
    <n v="1"/>
    <s v="Lora Dukes"/>
    <s v="-"/>
    <x v="1"/>
    <x v="2"/>
    <x v="2"/>
    <x v="2"/>
    <x v="2"/>
    <x v="2"/>
    <n v="22.884999999999998"/>
    <n v="20.82535"/>
    <n v="22.884999999999998"/>
    <n v="20.82535"/>
    <n v="2.0596499999999978"/>
    <n v="8.9999999999999913E-2"/>
    <x v="0"/>
  </r>
  <r>
    <s v="MDG-14481-513"/>
    <x v="427"/>
    <s v="64897-79178-MH"/>
    <s v="A-M-2.5"/>
    <n v="4"/>
    <s v="Zack Pellett"/>
    <s v="zpellettf2@dailymotion.com"/>
    <x v="0"/>
    <x v="2"/>
    <x v="2"/>
    <x v="0"/>
    <x v="0"/>
    <x v="2"/>
    <n v="25.874999999999996"/>
    <n v="23.546249999999997"/>
    <n v="103.49999999999999"/>
    <n v="94.184999999999988"/>
    <n v="9.3149999999999977"/>
    <n v="0.09"/>
    <x v="1"/>
  </r>
  <r>
    <s v="OFN-49424-848"/>
    <x v="428"/>
    <s v="73346-85564-JB"/>
    <s v="R-L-2.5"/>
    <n v="2"/>
    <s v="Ilaire Sprakes"/>
    <s v="isprakesf3@spiegel.de"/>
    <x v="0"/>
    <x v="0"/>
    <x v="0"/>
    <x v="1"/>
    <x v="1"/>
    <x v="2"/>
    <n v="27.484999999999996"/>
    <n v="25.835899999999995"/>
    <n v="54.969999999999992"/>
    <n v="51.67179999999999"/>
    <n v="3.2982000000000014"/>
    <n v="6.0000000000000032E-2"/>
    <x v="1"/>
  </r>
  <r>
    <s v="NFA-03411-746"/>
    <x v="383"/>
    <s v="07476-13102-NJ"/>
    <s v="A-L-0.5"/>
    <n v="2"/>
    <s v="Heda Fromant"/>
    <s v="hfromantf4@ucsd.edu"/>
    <x v="0"/>
    <x v="2"/>
    <x v="2"/>
    <x v="1"/>
    <x v="1"/>
    <x v="1"/>
    <n v="7.77"/>
    <n v="7.0706999999999995"/>
    <n v="15.54"/>
    <n v="14.141399999999999"/>
    <n v="1.3986000000000001"/>
    <n v="9.0000000000000011E-2"/>
    <x v="1"/>
  </r>
  <r>
    <s v="CYM-74988-450"/>
    <x v="156"/>
    <s v="87223-37422-SK"/>
    <s v="L-D-0.2"/>
    <n v="4"/>
    <s v="Rufus Flear"/>
    <s v="rflearf5@artisteer.com"/>
    <x v="2"/>
    <x v="3"/>
    <x v="3"/>
    <x v="2"/>
    <x v="2"/>
    <x v="3"/>
    <n v="3.8849999999999998"/>
    <n v="3.37995"/>
    <n v="15.54"/>
    <n v="13.5198"/>
    <n v="2.0201999999999991"/>
    <n v="0.12999999999999995"/>
    <x v="1"/>
  </r>
  <r>
    <s v="WTV-24996-658"/>
    <x v="429"/>
    <s v="57837-15577-YK"/>
    <s v="E-D-2.5"/>
    <n v="3"/>
    <s v="Dom Milella"/>
    <s v="-"/>
    <x v="1"/>
    <x v="1"/>
    <x v="1"/>
    <x v="2"/>
    <x v="2"/>
    <x v="2"/>
    <n v="27.945"/>
    <n v="24.87105"/>
    <n v="83.835000000000008"/>
    <n v="74.613150000000005"/>
    <n v="9.2218500000000034"/>
    <n v="0.11000000000000003"/>
    <x v="1"/>
  </r>
  <r>
    <s v="DSL-69915-544"/>
    <x v="103"/>
    <s v="10142-55267-YO"/>
    <s v="R-L-0.2"/>
    <n v="3"/>
    <s v="Wilek Lightollers"/>
    <s v="wlightollersf9@baidu.com"/>
    <x v="0"/>
    <x v="0"/>
    <x v="0"/>
    <x v="1"/>
    <x v="1"/>
    <x v="3"/>
    <n v="3.5849999999999995"/>
    <n v="3.3698999999999995"/>
    <n v="10.754999999999999"/>
    <n v="10.109699999999998"/>
    <n v="0.64530000000000065"/>
    <n v="6.0000000000000067E-2"/>
    <x v="0"/>
  </r>
  <r>
    <s v="NBT-35757-542"/>
    <x v="361"/>
    <s v="73647-66148-VM"/>
    <s v="E-L-0.2"/>
    <n v="3"/>
    <s v="Bette-ann Munden"/>
    <s v="bmundenf8@elpais.com"/>
    <x v="0"/>
    <x v="1"/>
    <x v="1"/>
    <x v="1"/>
    <x v="1"/>
    <x v="3"/>
    <n v="4.4550000000000001"/>
    <n v="3.96495"/>
    <n v="13.365"/>
    <n v="11.89485"/>
    <n v="1.4701500000000003"/>
    <n v="0.11000000000000001"/>
    <x v="0"/>
  </r>
  <r>
    <s v="OYU-25085-528"/>
    <x v="120"/>
    <s v="10142-55267-YO"/>
    <s v="E-L-0.2"/>
    <n v="4"/>
    <s v="Wilek Lightollers"/>
    <s v="wlightollersf9@baidu.com"/>
    <x v="0"/>
    <x v="1"/>
    <x v="1"/>
    <x v="1"/>
    <x v="1"/>
    <x v="3"/>
    <n v="4.4550000000000001"/>
    <n v="3.96495"/>
    <n v="17.82"/>
    <n v="15.8598"/>
    <n v="1.9602000000000004"/>
    <n v="0.11000000000000001"/>
    <x v="0"/>
  </r>
  <r>
    <s v="XCG-07109-195"/>
    <x v="430"/>
    <s v="92976-19453-DT"/>
    <s v="L-D-0.2"/>
    <n v="6"/>
    <s v="Nick Brakespear"/>
    <s v="nbrakespearfa@rediff.com"/>
    <x v="0"/>
    <x v="3"/>
    <x v="3"/>
    <x v="2"/>
    <x v="2"/>
    <x v="3"/>
    <n v="3.8849999999999998"/>
    <n v="3.37995"/>
    <n v="23.31"/>
    <n v="20.279699999999998"/>
    <n v="3.0303000000000004"/>
    <n v="0.13000000000000003"/>
    <x v="0"/>
  </r>
  <r>
    <s v="YZA-25234-630"/>
    <x v="125"/>
    <s v="89757-51438-HX"/>
    <s v="E-D-0.2"/>
    <n v="2"/>
    <s v="Malynda Glawsop"/>
    <s v="mglawsopfb@reverbnation.com"/>
    <x v="0"/>
    <x v="1"/>
    <x v="1"/>
    <x v="2"/>
    <x v="2"/>
    <x v="3"/>
    <n v="3.645"/>
    <n v="3.2440500000000001"/>
    <n v="7.29"/>
    <n v="6.4881000000000002"/>
    <n v="0.80189999999999984"/>
    <n v="0.10999999999999997"/>
    <x v="1"/>
  </r>
  <r>
    <s v="OKU-29966-417"/>
    <x v="431"/>
    <s v="76192-13390-HZ"/>
    <s v="E-L-0.2"/>
    <n v="4"/>
    <s v="Granville Alberts"/>
    <s v="galbertsfc@etsy.com"/>
    <x v="2"/>
    <x v="1"/>
    <x v="1"/>
    <x v="1"/>
    <x v="1"/>
    <x v="3"/>
    <n v="4.4550000000000001"/>
    <n v="3.96495"/>
    <n v="17.82"/>
    <n v="15.8598"/>
    <n v="1.9602000000000004"/>
    <n v="0.11000000000000001"/>
    <x v="0"/>
  </r>
  <r>
    <s v="MEX-29350-659"/>
    <x v="40"/>
    <s v="02009-87294-SY"/>
    <s v="E-M-1"/>
    <n v="5"/>
    <s v="Vasily Polglase"/>
    <s v="vpolglasefd@about.me"/>
    <x v="0"/>
    <x v="1"/>
    <x v="1"/>
    <x v="0"/>
    <x v="0"/>
    <x v="0"/>
    <n v="13.75"/>
    <n v="12.237500000000001"/>
    <n v="68.75"/>
    <n v="61.1875"/>
    <n v="7.5625"/>
    <n v="0.11"/>
    <x v="1"/>
  </r>
  <r>
    <s v="NOY-99738-977"/>
    <x v="432"/>
    <s v="82872-34456-LJ"/>
    <s v="R-L-2.5"/>
    <n v="2"/>
    <s v="Madelaine Sharples"/>
    <s v="-"/>
    <x v="2"/>
    <x v="0"/>
    <x v="0"/>
    <x v="1"/>
    <x v="1"/>
    <x v="2"/>
    <n v="27.484999999999996"/>
    <n v="25.835899999999995"/>
    <n v="54.969999999999992"/>
    <n v="51.67179999999999"/>
    <n v="3.2982000000000014"/>
    <n v="6.0000000000000032E-2"/>
    <x v="0"/>
  </r>
  <r>
    <s v="TCR-01064-030"/>
    <x v="254"/>
    <s v="13181-04387-LI"/>
    <s v="E-M-1"/>
    <n v="6"/>
    <s v="Sigfrid Busch"/>
    <s v="sbuschff@so-net.ne.jp"/>
    <x v="1"/>
    <x v="1"/>
    <x v="1"/>
    <x v="0"/>
    <x v="0"/>
    <x v="0"/>
    <n v="13.75"/>
    <n v="12.237500000000001"/>
    <n v="82.5"/>
    <n v="73.425000000000011"/>
    <n v="9.0749999999999886"/>
    <n v="0.10999999999999986"/>
    <x v="1"/>
  </r>
  <r>
    <s v="YUL-42750-776"/>
    <x v="219"/>
    <s v="24845-36117-TI"/>
    <s v="L-M-0.2"/>
    <n v="2"/>
    <s v="Cissiee Raisbeck"/>
    <s v="craisbeckfg@webnode.com"/>
    <x v="0"/>
    <x v="3"/>
    <x v="3"/>
    <x v="0"/>
    <x v="0"/>
    <x v="3"/>
    <n v="4.3650000000000002"/>
    <n v="3.7975500000000002"/>
    <n v="8.73"/>
    <n v="7.5951000000000004"/>
    <n v="1.1349"/>
    <n v="0.13"/>
    <x v="0"/>
  </r>
  <r>
    <s v="XQJ-86887-506"/>
    <x v="433"/>
    <s v="66458-91190-YC"/>
    <s v="E-L-1"/>
    <n v="4"/>
    <s v="Marja Urion"/>
    <s v="murione5@alexa.com"/>
    <x v="1"/>
    <x v="1"/>
    <x v="1"/>
    <x v="1"/>
    <x v="1"/>
    <x v="0"/>
    <n v="14.85"/>
    <n v="13.2165"/>
    <n v="59.4"/>
    <n v="52.866"/>
    <n v="6.5339999999999989"/>
    <n v="0.10999999999999999"/>
    <x v="0"/>
  </r>
  <r>
    <s v="CUN-90044-279"/>
    <x v="434"/>
    <s v="86646-65810-TD"/>
    <s v="L-D-0.2"/>
    <n v="4"/>
    <s v="Kenton Wetherick"/>
    <s v="-"/>
    <x v="0"/>
    <x v="3"/>
    <x v="3"/>
    <x v="2"/>
    <x v="2"/>
    <x v="3"/>
    <n v="3.8849999999999998"/>
    <n v="3.37995"/>
    <n v="15.54"/>
    <n v="13.5198"/>
    <n v="2.0201999999999991"/>
    <n v="0.12999999999999995"/>
    <x v="0"/>
  </r>
  <r>
    <s v="ICC-73030-502"/>
    <x v="435"/>
    <s v="59480-02795-IU"/>
    <s v="A-L-1"/>
    <n v="3"/>
    <s v="Reamonn Aynold"/>
    <s v="raynoldfj@ustream.tv"/>
    <x v="0"/>
    <x v="2"/>
    <x v="2"/>
    <x v="1"/>
    <x v="1"/>
    <x v="0"/>
    <n v="12.95"/>
    <n v="11.7845"/>
    <n v="38.849999999999994"/>
    <n v="35.353499999999997"/>
    <n v="3.4964999999999975"/>
    <n v="8.9999999999999955E-2"/>
    <x v="0"/>
  </r>
  <r>
    <s v="ADP-04506-084"/>
    <x v="436"/>
    <s v="61809-87758-LJ"/>
    <s v="E-M-2.5"/>
    <n v="6"/>
    <s v="Hatty Dovydenas"/>
    <s v="-"/>
    <x v="0"/>
    <x v="1"/>
    <x v="1"/>
    <x v="0"/>
    <x v="0"/>
    <x v="2"/>
    <n v="31.624999999999996"/>
    <n v="28.146249999999995"/>
    <n v="189.74999999999997"/>
    <n v="168.87749999999997"/>
    <n v="20.872500000000002"/>
    <n v="0.11000000000000003"/>
    <x v="0"/>
  </r>
  <r>
    <s v="PNU-22150-408"/>
    <x v="437"/>
    <s v="77408-43873-RS"/>
    <s v="A-D-0.2"/>
    <n v="6"/>
    <s v="Nathaniel Bloxland"/>
    <s v="-"/>
    <x v="1"/>
    <x v="2"/>
    <x v="2"/>
    <x v="2"/>
    <x v="2"/>
    <x v="3"/>
    <n v="2.9849999999999999"/>
    <n v="2.7163499999999998"/>
    <n v="17.91"/>
    <n v="16.298099999999998"/>
    <n v="1.6119000000000021"/>
    <n v="9.0000000000000122E-2"/>
    <x v="0"/>
  </r>
  <r>
    <s v="VSQ-07182-513"/>
    <x v="438"/>
    <s v="18366-65239-WF"/>
    <s v="L-L-0.2"/>
    <n v="6"/>
    <s v="Brendan Grece"/>
    <s v="bgrecefm@naver.com"/>
    <x v="2"/>
    <x v="3"/>
    <x v="3"/>
    <x v="1"/>
    <x v="1"/>
    <x v="3"/>
    <n v="4.7549999999999999"/>
    <n v="4.1368499999999999"/>
    <n v="28.53"/>
    <n v="24.821100000000001"/>
    <n v="3.7088999999999999"/>
    <n v="0.12999999999999998"/>
    <x v="1"/>
  </r>
  <r>
    <s v="SPF-31673-217"/>
    <x v="439"/>
    <s v="19485-98072-PS"/>
    <s v="E-M-1"/>
    <n v="6"/>
    <s v="Don Flintiff"/>
    <s v="dflintiffg1@e-recht24.de"/>
    <x v="2"/>
    <x v="1"/>
    <x v="1"/>
    <x v="0"/>
    <x v="0"/>
    <x v="0"/>
    <n v="13.75"/>
    <n v="12.237500000000001"/>
    <n v="82.5"/>
    <n v="73.425000000000011"/>
    <n v="9.0749999999999886"/>
    <n v="0.10999999999999986"/>
    <x v="1"/>
  </r>
  <r>
    <s v="NEX-63825-598"/>
    <x v="175"/>
    <s v="72072-33025-SD"/>
    <s v="R-L-0.5"/>
    <n v="2"/>
    <s v="Abbe Thys"/>
    <s v="athysfo@cdc.gov"/>
    <x v="0"/>
    <x v="0"/>
    <x v="0"/>
    <x v="1"/>
    <x v="1"/>
    <x v="1"/>
    <n v="7.169999999999999"/>
    <n v="6.7397999999999989"/>
    <n v="14.339999999999998"/>
    <n v="13.479599999999998"/>
    <n v="0.86040000000000028"/>
    <n v="6.0000000000000026E-2"/>
    <x v="1"/>
  </r>
  <r>
    <s v="XPG-66112-335"/>
    <x v="440"/>
    <s v="58118-22461-GC"/>
    <s v="R-D-2.5"/>
    <n v="4"/>
    <s v="Jackquelin Chugg"/>
    <s v="jchuggfp@about.me"/>
    <x v="0"/>
    <x v="0"/>
    <x v="0"/>
    <x v="2"/>
    <x v="2"/>
    <x v="2"/>
    <n v="20.584999999999997"/>
    <n v="19.349899999999998"/>
    <n v="82.339999999999989"/>
    <n v="77.399599999999992"/>
    <n v="4.9403999999999968"/>
    <n v="5.999999999999997E-2"/>
    <x v="1"/>
  </r>
  <r>
    <s v="NSQ-72210-345"/>
    <x v="441"/>
    <s v="90940-63327-DJ"/>
    <s v="A-M-0.2"/>
    <n v="6"/>
    <s v="Audra Kelston"/>
    <s v="akelstonfq@sakura.ne.jp"/>
    <x v="0"/>
    <x v="2"/>
    <x v="2"/>
    <x v="0"/>
    <x v="0"/>
    <x v="3"/>
    <n v="3.375"/>
    <n v="3.07125"/>
    <n v="20.25"/>
    <n v="18.427500000000002"/>
    <n v="1.822499999999998"/>
    <n v="8.99999999999999E-2"/>
    <x v="0"/>
  </r>
  <r>
    <s v="XRR-28376-277"/>
    <x v="442"/>
    <s v="64481-42546-II"/>
    <s v="R-L-2.5"/>
    <n v="6"/>
    <s v="Elvina Angel"/>
    <s v="-"/>
    <x v="1"/>
    <x v="0"/>
    <x v="0"/>
    <x v="1"/>
    <x v="1"/>
    <x v="2"/>
    <n v="27.484999999999996"/>
    <n v="25.835899999999995"/>
    <n v="164.90999999999997"/>
    <n v="155.01539999999997"/>
    <n v="9.894599999999997"/>
    <n v="5.9999999999999991E-2"/>
    <x v="1"/>
  </r>
  <r>
    <s v="WHQ-25197-475"/>
    <x v="443"/>
    <s v="27536-28463-NJ"/>
    <s v="L-L-0.2"/>
    <n v="4"/>
    <s v="Claiborne Mottram"/>
    <s v="cmottramfs@harvard.edu"/>
    <x v="0"/>
    <x v="3"/>
    <x v="3"/>
    <x v="1"/>
    <x v="1"/>
    <x v="3"/>
    <n v="4.7549999999999999"/>
    <n v="4.1368499999999999"/>
    <n v="19.02"/>
    <n v="16.5474"/>
    <n v="2.4725999999999999"/>
    <n v="0.13"/>
    <x v="0"/>
  </r>
  <r>
    <s v="HMB-30634-745"/>
    <x v="216"/>
    <s v="19485-98072-PS"/>
    <s v="A-D-2.5"/>
    <n v="6"/>
    <s v="Don Flintiff"/>
    <s v="dflintiffg1@e-recht24.de"/>
    <x v="2"/>
    <x v="2"/>
    <x v="2"/>
    <x v="2"/>
    <x v="2"/>
    <x v="2"/>
    <n v="22.884999999999998"/>
    <n v="20.82535"/>
    <n v="137.31"/>
    <n v="124.9521"/>
    <n v="12.357900000000001"/>
    <n v="9.0000000000000011E-2"/>
    <x v="1"/>
  </r>
  <r>
    <s v="XTL-68000-371"/>
    <x v="444"/>
    <s v="70140-82812-KD"/>
    <s v="A-M-0.5"/>
    <n v="4"/>
    <s v="Donalt Sangwin"/>
    <s v="dsangwinfu@weebly.com"/>
    <x v="0"/>
    <x v="2"/>
    <x v="2"/>
    <x v="0"/>
    <x v="0"/>
    <x v="1"/>
    <n v="6.75"/>
    <n v="6.1425000000000001"/>
    <n v="27"/>
    <n v="24.57"/>
    <n v="2.4299999999999997"/>
    <n v="8.9999999999999983E-2"/>
    <x v="1"/>
  </r>
  <r>
    <s v="YES-51109-625"/>
    <x v="37"/>
    <s v="91895-55605-LS"/>
    <s v="E-L-0.5"/>
    <n v="4"/>
    <s v="Elizabet Aizikowitz"/>
    <s v="eaizikowitzfv@virginia.edu"/>
    <x v="2"/>
    <x v="1"/>
    <x v="1"/>
    <x v="1"/>
    <x v="1"/>
    <x v="1"/>
    <n v="8.91"/>
    <n v="7.9298999999999999"/>
    <n v="35.64"/>
    <n v="31.7196"/>
    <n v="3.9204000000000008"/>
    <n v="0.11000000000000001"/>
    <x v="1"/>
  </r>
  <r>
    <s v="EAY-89850-211"/>
    <x v="445"/>
    <s v="43155-71724-XP"/>
    <s v="A-D-0.2"/>
    <n v="2"/>
    <s v="Herbie Peppard"/>
    <s v="-"/>
    <x v="0"/>
    <x v="2"/>
    <x v="2"/>
    <x v="2"/>
    <x v="2"/>
    <x v="3"/>
    <n v="2.9849999999999999"/>
    <n v="2.7163499999999998"/>
    <n v="5.97"/>
    <n v="5.4326999999999996"/>
    <n v="0.53730000000000011"/>
    <n v="9.0000000000000024E-2"/>
    <x v="0"/>
  </r>
  <r>
    <s v="IOQ-84840-827"/>
    <x v="446"/>
    <s v="32038-81174-JF"/>
    <s v="A-M-1"/>
    <n v="6"/>
    <s v="Cornie Venour"/>
    <s v="cvenourfx@ask.com"/>
    <x v="0"/>
    <x v="2"/>
    <x v="2"/>
    <x v="0"/>
    <x v="0"/>
    <x v="0"/>
    <n v="11.25"/>
    <n v="10.237500000000001"/>
    <n v="67.5"/>
    <n v="61.425000000000004"/>
    <n v="6.0749999999999957"/>
    <n v="8.9999999999999941E-2"/>
    <x v="1"/>
  </r>
  <r>
    <s v="FBD-56220-430"/>
    <x v="245"/>
    <s v="59205-20324-NB"/>
    <s v="R-L-0.2"/>
    <n v="6"/>
    <s v="Maggy Harby"/>
    <s v="mharbyfy@163.com"/>
    <x v="0"/>
    <x v="0"/>
    <x v="0"/>
    <x v="1"/>
    <x v="1"/>
    <x v="3"/>
    <n v="3.5849999999999995"/>
    <n v="3.3698999999999995"/>
    <n v="21.509999999999998"/>
    <n v="20.219399999999997"/>
    <n v="1.2906000000000013"/>
    <n v="6.0000000000000067E-2"/>
    <x v="0"/>
  </r>
  <r>
    <s v="COV-52659-202"/>
    <x v="447"/>
    <s v="99899-54612-NX"/>
    <s v="L-M-2.5"/>
    <n v="2"/>
    <s v="Reggie Thickpenny"/>
    <s v="rthickpennyfz@cafepress.com"/>
    <x v="0"/>
    <x v="3"/>
    <x v="3"/>
    <x v="0"/>
    <x v="0"/>
    <x v="2"/>
    <n v="33.464999999999996"/>
    <n v="29.114549999999998"/>
    <n v="66.929999999999993"/>
    <n v="58.229099999999995"/>
    <n v="8.7008999999999972"/>
    <n v="0.12999999999999998"/>
    <x v="1"/>
  </r>
  <r>
    <s v="YUO-76652-814"/>
    <x v="448"/>
    <s v="26248-84194-FI"/>
    <s v="A-D-0.2"/>
    <n v="6"/>
    <s v="Phyllys Ormerod"/>
    <s v="pormerodg0@redcross.org"/>
    <x v="0"/>
    <x v="2"/>
    <x v="2"/>
    <x v="2"/>
    <x v="2"/>
    <x v="3"/>
    <n v="2.9849999999999999"/>
    <n v="2.7163499999999998"/>
    <n v="17.91"/>
    <n v="16.298099999999998"/>
    <n v="1.6119000000000021"/>
    <n v="9.0000000000000122E-2"/>
    <x v="1"/>
  </r>
  <r>
    <s v="PBT-36926-102"/>
    <x v="344"/>
    <s v="19485-98072-PS"/>
    <s v="L-M-1"/>
    <n v="4"/>
    <s v="Don Flintiff"/>
    <s v="dflintiffg1@e-recht24.de"/>
    <x v="2"/>
    <x v="3"/>
    <x v="3"/>
    <x v="0"/>
    <x v="0"/>
    <x v="0"/>
    <n v="14.55"/>
    <n v="12.6585"/>
    <n v="58.2"/>
    <n v="50.634"/>
    <n v="7.5660000000000025"/>
    <n v="0.13000000000000003"/>
    <x v="1"/>
  </r>
  <r>
    <s v="BLV-60087-454"/>
    <x v="152"/>
    <s v="84493-71314-WX"/>
    <s v="E-L-0.2"/>
    <n v="3"/>
    <s v="Tymon Zanetti"/>
    <s v="tzanettig2@gravatar.com"/>
    <x v="1"/>
    <x v="1"/>
    <x v="1"/>
    <x v="1"/>
    <x v="1"/>
    <x v="3"/>
    <n v="4.4550000000000001"/>
    <n v="3.96495"/>
    <n v="13.365"/>
    <n v="11.89485"/>
    <n v="1.4701500000000003"/>
    <n v="0.11000000000000001"/>
    <x v="1"/>
  </r>
  <r>
    <s v="BLV-60087-454"/>
    <x v="152"/>
    <s v="84493-71314-WX"/>
    <s v="A-M-0.5"/>
    <n v="5"/>
    <s v="Tymon Zanetti"/>
    <s v="tzanettig2@gravatar.com"/>
    <x v="1"/>
    <x v="2"/>
    <x v="2"/>
    <x v="0"/>
    <x v="0"/>
    <x v="1"/>
    <n v="6.75"/>
    <n v="6.1425000000000001"/>
    <n v="33.75"/>
    <n v="30.712499999999999"/>
    <n v="3.0375000000000014"/>
    <n v="9.0000000000000038E-2"/>
    <x v="1"/>
  </r>
  <r>
    <s v="QYC-63914-195"/>
    <x v="449"/>
    <s v="39789-43945-IV"/>
    <s v="E-L-1"/>
    <n v="3"/>
    <s v="Reinaldos Kirtley"/>
    <s v="rkirtleyg4@hatena.ne.jp"/>
    <x v="0"/>
    <x v="1"/>
    <x v="1"/>
    <x v="1"/>
    <x v="1"/>
    <x v="0"/>
    <n v="14.85"/>
    <n v="13.2165"/>
    <n v="44.55"/>
    <n v="39.649500000000003"/>
    <n v="4.9004999999999939"/>
    <n v="0.10999999999999988"/>
    <x v="0"/>
  </r>
  <r>
    <s v="OIB-77163-890"/>
    <x v="450"/>
    <s v="38972-89678-ZM"/>
    <s v="E-L-0.5"/>
    <n v="5"/>
    <s v="Carney Clemencet"/>
    <s v="cclemencetg5@weather.com"/>
    <x v="2"/>
    <x v="1"/>
    <x v="1"/>
    <x v="1"/>
    <x v="1"/>
    <x v="1"/>
    <n v="8.91"/>
    <n v="7.9298999999999999"/>
    <n v="44.55"/>
    <n v="39.649500000000003"/>
    <n v="4.9004999999999939"/>
    <n v="0.10999999999999988"/>
    <x v="0"/>
  </r>
  <r>
    <s v="SGS-87525-238"/>
    <x v="451"/>
    <s v="91465-84526-IJ"/>
    <s v="E-D-1"/>
    <n v="5"/>
    <s v="Russell Donet"/>
    <s v="rdonetg6@oakley.com"/>
    <x v="0"/>
    <x v="1"/>
    <x v="1"/>
    <x v="2"/>
    <x v="2"/>
    <x v="0"/>
    <n v="12.15"/>
    <n v="10.813500000000001"/>
    <n v="60.75"/>
    <n v="54.06750000000001"/>
    <n v="6.6824999999999903"/>
    <n v="0.10999999999999983"/>
    <x v="1"/>
  </r>
  <r>
    <s v="GQR-12490-152"/>
    <x v="83"/>
    <s v="22832-98538-RB"/>
    <s v="R-L-0.2"/>
    <n v="1"/>
    <s v="Sidney Gawen"/>
    <s v="sgaweng7@creativecommons.org"/>
    <x v="0"/>
    <x v="0"/>
    <x v="0"/>
    <x v="1"/>
    <x v="1"/>
    <x v="3"/>
    <n v="3.5849999999999995"/>
    <n v="3.3698999999999995"/>
    <n v="3.5849999999999995"/>
    <n v="3.3698999999999995"/>
    <n v="0.21510000000000007"/>
    <n v="6.0000000000000026E-2"/>
    <x v="0"/>
  </r>
  <r>
    <s v="UOJ-28238-299"/>
    <x v="452"/>
    <s v="30844-91890-ZA"/>
    <s v="R-L-0.2"/>
    <n v="6"/>
    <s v="Rickey Readie"/>
    <s v="rreadieg8@guardian.co.uk"/>
    <x v="0"/>
    <x v="0"/>
    <x v="0"/>
    <x v="1"/>
    <x v="1"/>
    <x v="3"/>
    <n v="3.5849999999999995"/>
    <n v="3.3698999999999995"/>
    <n v="21.509999999999998"/>
    <n v="20.219399999999997"/>
    <n v="1.2906000000000013"/>
    <n v="6.0000000000000067E-2"/>
    <x v="1"/>
  </r>
  <r>
    <s v="ETD-58130-674"/>
    <x v="453"/>
    <s v="05325-97750-WP"/>
    <s v="E-M-0.5"/>
    <n v="2"/>
    <s v="Cody Verissimo"/>
    <s v="cverissimogh@theglobeandmail.com"/>
    <x v="2"/>
    <x v="1"/>
    <x v="1"/>
    <x v="0"/>
    <x v="0"/>
    <x v="1"/>
    <n v="8.25"/>
    <n v="7.3425000000000002"/>
    <n v="16.5"/>
    <n v="14.685"/>
    <n v="1.8149999999999995"/>
    <n v="0.10999999999999997"/>
    <x v="0"/>
  </r>
  <r>
    <s v="UPF-60123-025"/>
    <x v="454"/>
    <s v="88992-49081-AT"/>
    <s v="R-L-2.5"/>
    <n v="3"/>
    <s v="Zilvia Claisse"/>
    <s v="-"/>
    <x v="0"/>
    <x v="0"/>
    <x v="0"/>
    <x v="1"/>
    <x v="1"/>
    <x v="2"/>
    <n v="27.484999999999996"/>
    <n v="25.835899999999995"/>
    <n v="82.454999999999984"/>
    <n v="77.507699999999986"/>
    <n v="4.9472999999999985"/>
    <n v="5.9999999999999991E-2"/>
    <x v="1"/>
  </r>
  <r>
    <s v="NQS-01613-687"/>
    <x v="455"/>
    <s v="10204-31464-SA"/>
    <s v="L-D-0.5"/>
    <n v="1"/>
    <s v="Bar O' Mahony"/>
    <s v="bogb@elpais.com"/>
    <x v="0"/>
    <x v="3"/>
    <x v="3"/>
    <x v="2"/>
    <x v="2"/>
    <x v="1"/>
    <n v="7.77"/>
    <n v="6.7599"/>
    <n v="7.77"/>
    <n v="6.7599"/>
    <n v="1.0100999999999996"/>
    <n v="0.12999999999999995"/>
    <x v="0"/>
  </r>
  <r>
    <s v="MGH-36050-573"/>
    <x v="456"/>
    <s v="75156-80911-YT"/>
    <s v="R-M-0.5"/>
    <n v="2"/>
    <s v="Valenka Stansbury"/>
    <s v="vstansburygc@unblog.fr"/>
    <x v="0"/>
    <x v="0"/>
    <x v="0"/>
    <x v="0"/>
    <x v="0"/>
    <x v="1"/>
    <n v="5.97"/>
    <n v="5.6117999999999997"/>
    <n v="11.94"/>
    <n v="11.223599999999999"/>
    <n v="0.71640000000000015"/>
    <n v="6.0000000000000012E-2"/>
    <x v="0"/>
  </r>
  <r>
    <s v="UVF-59322-459"/>
    <x v="373"/>
    <s v="53971-49906-PZ"/>
    <s v="E-L-2.5"/>
    <n v="6"/>
    <s v="Daniel Heinonen"/>
    <s v="dheinonengd@printfriendly.com"/>
    <x v="0"/>
    <x v="1"/>
    <x v="1"/>
    <x v="1"/>
    <x v="1"/>
    <x v="2"/>
    <n v="34.154999999999994"/>
    <n v="30.397949999999994"/>
    <n v="204.92999999999995"/>
    <n v="182.38769999999997"/>
    <n v="22.542299999999983"/>
    <n v="0.10999999999999995"/>
    <x v="1"/>
  </r>
  <r>
    <s v="VET-41158-896"/>
    <x v="457"/>
    <s v="10728-17633-ST"/>
    <s v="E-M-2.5"/>
    <n v="2"/>
    <s v="Jewelle Shenton"/>
    <s v="jshentonge@google.com.hk"/>
    <x v="0"/>
    <x v="1"/>
    <x v="1"/>
    <x v="0"/>
    <x v="0"/>
    <x v="2"/>
    <n v="31.624999999999996"/>
    <n v="28.146249999999995"/>
    <n v="63.249999999999993"/>
    <n v="56.29249999999999"/>
    <n v="6.9575000000000031"/>
    <n v="0.11000000000000006"/>
    <x v="0"/>
  </r>
  <r>
    <s v="XYL-52196-459"/>
    <x v="458"/>
    <s v="13549-65017-VE"/>
    <s v="R-D-0.2"/>
    <n v="3"/>
    <s v="Jennifer Wilkisson"/>
    <s v="jwilkissongf@nba.com"/>
    <x v="0"/>
    <x v="0"/>
    <x v="0"/>
    <x v="2"/>
    <x v="2"/>
    <x v="3"/>
    <n v="2.6849999999999996"/>
    <n v="2.5238999999999998"/>
    <n v="8.0549999999999997"/>
    <n v="7.5716999999999999"/>
    <n v="0.48329999999999984"/>
    <n v="5.9999999999999984E-2"/>
    <x v="0"/>
  </r>
  <r>
    <s v="BPZ-51283-916"/>
    <x v="264"/>
    <s v="87688-42420-TO"/>
    <s v="A-M-2.5"/>
    <n v="2"/>
    <s v="Kylie Mowat"/>
    <s v="-"/>
    <x v="0"/>
    <x v="2"/>
    <x v="2"/>
    <x v="0"/>
    <x v="0"/>
    <x v="2"/>
    <n v="25.874999999999996"/>
    <n v="23.546249999999997"/>
    <n v="51.749999999999993"/>
    <n v="47.092499999999994"/>
    <n v="4.6574999999999989"/>
    <n v="0.09"/>
    <x v="1"/>
  </r>
  <r>
    <s v="VQW-91903-926"/>
    <x v="459"/>
    <s v="05325-97750-WP"/>
    <s v="E-D-2.5"/>
    <n v="1"/>
    <s v="Cody Verissimo"/>
    <s v="cverissimogh@theglobeandmail.com"/>
    <x v="2"/>
    <x v="1"/>
    <x v="1"/>
    <x v="2"/>
    <x v="2"/>
    <x v="2"/>
    <n v="27.945"/>
    <n v="24.87105"/>
    <n v="27.945"/>
    <n v="24.87105"/>
    <n v="3.07395"/>
    <n v="0.11"/>
    <x v="0"/>
  </r>
  <r>
    <s v="OLF-77983-457"/>
    <x v="460"/>
    <s v="51901-35210-UI"/>
    <s v="A-L-2.5"/>
    <n v="2"/>
    <s v="Gabriel Starcks"/>
    <s v="gstarcksgi@abc.net.au"/>
    <x v="0"/>
    <x v="2"/>
    <x v="2"/>
    <x v="1"/>
    <x v="1"/>
    <x v="2"/>
    <n v="29.784999999999997"/>
    <n v="27.104349999999997"/>
    <n v="59.569999999999993"/>
    <n v="54.208699999999993"/>
    <n v="5.3613"/>
    <n v="9.0000000000000011E-2"/>
    <x v="1"/>
  </r>
  <r>
    <s v="MVI-04946-827"/>
    <x v="461"/>
    <s v="62483-50867-OM"/>
    <s v="E-L-1"/>
    <n v="1"/>
    <s v="Darby Dummer"/>
    <s v="-"/>
    <x v="2"/>
    <x v="1"/>
    <x v="1"/>
    <x v="1"/>
    <x v="1"/>
    <x v="0"/>
    <n v="14.85"/>
    <n v="13.2165"/>
    <n v="14.85"/>
    <n v="13.2165"/>
    <n v="1.6334999999999997"/>
    <n v="0.10999999999999999"/>
    <x v="1"/>
  </r>
  <r>
    <s v="UOG-94188-104"/>
    <x v="219"/>
    <s v="92753-50029-SD"/>
    <s v="A-M-0.5"/>
    <n v="5"/>
    <s v="Kienan Scholard"/>
    <s v="kscholardgk@sbwire.com"/>
    <x v="0"/>
    <x v="2"/>
    <x v="2"/>
    <x v="0"/>
    <x v="0"/>
    <x v="1"/>
    <n v="6.75"/>
    <n v="6.1425000000000001"/>
    <n v="33.75"/>
    <n v="30.712499999999999"/>
    <n v="3.0375000000000014"/>
    <n v="9.0000000000000038E-2"/>
    <x v="1"/>
  </r>
  <r>
    <s v="DSN-15872-519"/>
    <x v="462"/>
    <s v="53809-98498-SN"/>
    <s v="L-L-2.5"/>
    <n v="4"/>
    <s v="Bo Kindley"/>
    <s v="bkindleygl@wikimedia.org"/>
    <x v="0"/>
    <x v="3"/>
    <x v="3"/>
    <x v="1"/>
    <x v="1"/>
    <x v="2"/>
    <n v="36.454999999999998"/>
    <n v="31.71585"/>
    <n v="145.82"/>
    <n v="126.8634"/>
    <n v="18.956599999999995"/>
    <n v="0.12999999999999998"/>
    <x v="0"/>
  </r>
  <r>
    <s v="OUQ-73954-002"/>
    <x v="463"/>
    <s v="66308-13503-KD"/>
    <s v="R-M-0.2"/>
    <n v="4"/>
    <s v="Krissie Hammett"/>
    <s v="khammettgm@dmoz.org"/>
    <x v="0"/>
    <x v="0"/>
    <x v="0"/>
    <x v="0"/>
    <x v="0"/>
    <x v="3"/>
    <n v="2.9849999999999999"/>
    <n v="2.8058999999999998"/>
    <n v="11.94"/>
    <n v="11.223599999999999"/>
    <n v="0.71640000000000015"/>
    <n v="6.0000000000000012E-2"/>
    <x v="0"/>
  </r>
  <r>
    <s v="LGL-16843-667"/>
    <x v="464"/>
    <s v="82458-87830-JE"/>
    <s v="A-D-0.2"/>
    <n v="4"/>
    <s v="Alisha Hulburt"/>
    <s v="ahulburtgn@fda.gov"/>
    <x v="0"/>
    <x v="2"/>
    <x v="2"/>
    <x v="2"/>
    <x v="2"/>
    <x v="3"/>
    <n v="2.9849999999999999"/>
    <n v="2.7163499999999998"/>
    <n v="11.94"/>
    <n v="10.865399999999999"/>
    <n v="1.0746000000000002"/>
    <n v="9.0000000000000024E-2"/>
    <x v="0"/>
  </r>
  <r>
    <s v="TCC-89722-031"/>
    <x v="465"/>
    <s v="41611-34336-WT"/>
    <s v="L-D-0.5"/>
    <n v="1"/>
    <s v="Peyter Lauritzen"/>
    <s v="plauritzengo@photobucket.com"/>
    <x v="0"/>
    <x v="3"/>
    <x v="3"/>
    <x v="2"/>
    <x v="2"/>
    <x v="1"/>
    <n v="7.77"/>
    <n v="6.7599"/>
    <n v="7.77"/>
    <n v="6.7599"/>
    <n v="1.0100999999999996"/>
    <n v="0.12999999999999995"/>
    <x v="1"/>
  </r>
  <r>
    <s v="TRA-79507-007"/>
    <x v="466"/>
    <s v="70089-27418-UJ"/>
    <s v="R-L-2.5"/>
    <n v="4"/>
    <s v="Aurelia Burgwin"/>
    <s v="aburgwingp@redcross.org"/>
    <x v="0"/>
    <x v="0"/>
    <x v="0"/>
    <x v="1"/>
    <x v="1"/>
    <x v="2"/>
    <n v="27.484999999999996"/>
    <n v="25.835899999999995"/>
    <n v="109.93999999999998"/>
    <n v="103.34359999999998"/>
    <n v="6.5964000000000027"/>
    <n v="6.0000000000000032E-2"/>
    <x v="0"/>
  </r>
  <r>
    <s v="MZJ-77284-941"/>
    <x v="467"/>
    <s v="99978-56910-BN"/>
    <s v="E-L-0.2"/>
    <n v="5"/>
    <s v="Emalee Rolin"/>
    <s v="erolingq@google.fr"/>
    <x v="0"/>
    <x v="1"/>
    <x v="1"/>
    <x v="1"/>
    <x v="1"/>
    <x v="3"/>
    <n v="4.4550000000000001"/>
    <n v="3.96495"/>
    <n v="22.274999999999999"/>
    <n v="19.824750000000002"/>
    <n v="2.4502499999999969"/>
    <n v="0.10999999999999988"/>
    <x v="0"/>
  </r>
  <r>
    <s v="AXN-57779-891"/>
    <x v="468"/>
    <s v="09668-23340-IC"/>
    <s v="R-M-0.2"/>
    <n v="3"/>
    <s v="Donavon Fowle"/>
    <s v="dfowlegr@epa.gov"/>
    <x v="0"/>
    <x v="0"/>
    <x v="0"/>
    <x v="0"/>
    <x v="0"/>
    <x v="3"/>
    <n v="2.9849999999999999"/>
    <n v="2.8058999999999998"/>
    <n v="8.9550000000000001"/>
    <n v="8.4177"/>
    <n v="0.53730000000000011"/>
    <n v="6.0000000000000012E-2"/>
    <x v="1"/>
  </r>
  <r>
    <s v="PJB-15659-994"/>
    <x v="469"/>
    <s v="39457-62611-YK"/>
    <s v="L-D-2.5"/>
    <n v="4"/>
    <s v="Jorge Bettison"/>
    <s v="-"/>
    <x v="1"/>
    <x v="3"/>
    <x v="3"/>
    <x v="2"/>
    <x v="2"/>
    <x v="2"/>
    <n v="29.784999999999997"/>
    <n v="25.912949999999995"/>
    <n v="119.13999999999999"/>
    <n v="103.65179999999998"/>
    <n v="15.488200000000006"/>
    <n v="0.13000000000000006"/>
    <x v="1"/>
  </r>
  <r>
    <s v="LTS-03470-353"/>
    <x v="470"/>
    <s v="90985-89807-RW"/>
    <s v="A-L-2.5"/>
    <n v="5"/>
    <s v="Wang Powlesland"/>
    <s v="wpowleslandgt@soundcloud.com"/>
    <x v="0"/>
    <x v="2"/>
    <x v="2"/>
    <x v="1"/>
    <x v="1"/>
    <x v="2"/>
    <n v="29.784999999999997"/>
    <n v="27.104349999999997"/>
    <n v="148.92499999999998"/>
    <n v="135.52175"/>
    <n v="13.403249999999986"/>
    <n v="8.9999999999999913E-2"/>
    <x v="0"/>
  </r>
  <r>
    <s v="UMM-28497-689"/>
    <x v="471"/>
    <s v="05325-97750-WP"/>
    <s v="L-L-2.5"/>
    <n v="3"/>
    <s v="Cody Verissimo"/>
    <s v="cverissimogh@theglobeandmail.com"/>
    <x v="2"/>
    <x v="3"/>
    <x v="3"/>
    <x v="1"/>
    <x v="1"/>
    <x v="2"/>
    <n v="36.454999999999998"/>
    <n v="31.71585"/>
    <n v="109.36499999999999"/>
    <n v="95.147549999999995"/>
    <n v="14.217449999999999"/>
    <n v="0.13"/>
    <x v="0"/>
  </r>
  <r>
    <s v="MJZ-93232-402"/>
    <x v="472"/>
    <s v="17816-67941-ZS"/>
    <s v="E-D-0.2"/>
    <n v="1"/>
    <s v="Laurence Ellingham"/>
    <s v="lellinghamgv@sciencedaily.com"/>
    <x v="0"/>
    <x v="1"/>
    <x v="1"/>
    <x v="2"/>
    <x v="2"/>
    <x v="3"/>
    <n v="3.645"/>
    <n v="3.2440500000000001"/>
    <n v="3.645"/>
    <n v="3.2440500000000001"/>
    <n v="0.40094999999999992"/>
    <n v="0.10999999999999997"/>
    <x v="0"/>
  </r>
  <r>
    <s v="UHW-74617-126"/>
    <x v="173"/>
    <s v="90816-65619-LM"/>
    <s v="E-D-2.5"/>
    <n v="2"/>
    <s v="Billy Neiland"/>
    <s v="-"/>
    <x v="0"/>
    <x v="1"/>
    <x v="1"/>
    <x v="2"/>
    <x v="2"/>
    <x v="2"/>
    <n v="27.945"/>
    <n v="24.87105"/>
    <n v="55.89"/>
    <n v="49.742100000000001"/>
    <n v="6.1478999999999999"/>
    <n v="0.11"/>
    <x v="1"/>
  </r>
  <r>
    <s v="RIK-61730-794"/>
    <x v="473"/>
    <s v="69761-61146-KD"/>
    <s v="L-M-0.2"/>
    <n v="6"/>
    <s v="Ancell Fendt"/>
    <s v="afendtgx@forbes.com"/>
    <x v="0"/>
    <x v="3"/>
    <x v="3"/>
    <x v="0"/>
    <x v="0"/>
    <x v="3"/>
    <n v="4.3650000000000002"/>
    <n v="3.7975500000000002"/>
    <n v="26.19"/>
    <n v="22.785299999999999"/>
    <n v="3.4047000000000018"/>
    <n v="0.13000000000000006"/>
    <x v="0"/>
  </r>
  <r>
    <s v="IDJ-55379-750"/>
    <x v="474"/>
    <s v="24040-20817-QB"/>
    <s v="R-M-1"/>
    <n v="4"/>
    <s v="Angelia Cleyburn"/>
    <s v="acleyburngy@lycos.com"/>
    <x v="0"/>
    <x v="0"/>
    <x v="0"/>
    <x v="0"/>
    <x v="0"/>
    <x v="0"/>
    <n v="9.9499999999999993"/>
    <n v="9.3529999999999998"/>
    <n v="39.799999999999997"/>
    <n v="37.411999999999999"/>
    <n v="2.3879999999999981"/>
    <n v="5.9999999999999956E-2"/>
    <x v="1"/>
  </r>
  <r>
    <s v="OHX-11953-965"/>
    <x v="475"/>
    <s v="19524-21432-XP"/>
    <s v="E-L-2.5"/>
    <n v="2"/>
    <s v="Temple Castiglione"/>
    <s v="tcastiglionegz@xing.com"/>
    <x v="0"/>
    <x v="1"/>
    <x v="1"/>
    <x v="1"/>
    <x v="1"/>
    <x v="2"/>
    <n v="34.154999999999994"/>
    <n v="30.397949999999994"/>
    <n v="68.309999999999988"/>
    <n v="60.795899999999989"/>
    <n v="7.5140999999999991"/>
    <n v="0.11"/>
    <x v="1"/>
  </r>
  <r>
    <s v="TVV-42245-088"/>
    <x v="476"/>
    <s v="14398-43114-RV"/>
    <s v="A-M-0.2"/>
    <n v="4"/>
    <s v="Betti Lacasa"/>
    <s v="-"/>
    <x v="1"/>
    <x v="2"/>
    <x v="2"/>
    <x v="0"/>
    <x v="0"/>
    <x v="3"/>
    <n v="3.375"/>
    <n v="3.07125"/>
    <n v="13.5"/>
    <n v="12.285"/>
    <n v="1.2149999999999999"/>
    <n v="8.9999999999999983E-2"/>
    <x v="1"/>
  </r>
  <r>
    <s v="DYP-74337-787"/>
    <x v="431"/>
    <s v="41486-52502-QQ"/>
    <s v="R-M-0.5"/>
    <n v="1"/>
    <s v="Gunilla Lynch"/>
    <s v="-"/>
    <x v="0"/>
    <x v="0"/>
    <x v="0"/>
    <x v="0"/>
    <x v="0"/>
    <x v="1"/>
    <n v="5.97"/>
    <n v="5.6117999999999997"/>
    <n v="5.97"/>
    <n v="5.6117999999999997"/>
    <n v="0.35820000000000007"/>
    <n v="6.0000000000000012E-2"/>
    <x v="1"/>
  </r>
  <r>
    <s v="OKA-93124-100"/>
    <x v="477"/>
    <s v="05325-97750-WP"/>
    <s v="R-M-0.5"/>
    <n v="5"/>
    <s v="Cody Verissimo"/>
    <s v="cverissimogh@theglobeandmail.com"/>
    <x v="2"/>
    <x v="0"/>
    <x v="0"/>
    <x v="0"/>
    <x v="0"/>
    <x v="1"/>
    <n v="5.97"/>
    <n v="5.6117999999999997"/>
    <n v="29.849999999999998"/>
    <n v="28.058999999999997"/>
    <n v="1.7910000000000004"/>
    <n v="6.0000000000000019E-2"/>
    <x v="0"/>
  </r>
  <r>
    <s v="IXW-20780-268"/>
    <x v="478"/>
    <s v="20236-64364-QL"/>
    <s v="L-L-2.5"/>
    <n v="2"/>
    <s v="Shay Couronne"/>
    <s v="scouronneh3@mozilla.org"/>
    <x v="0"/>
    <x v="3"/>
    <x v="3"/>
    <x v="1"/>
    <x v="1"/>
    <x v="2"/>
    <n v="36.454999999999998"/>
    <n v="31.71585"/>
    <n v="72.91"/>
    <n v="63.431699999999999"/>
    <n v="9.4782999999999973"/>
    <n v="0.12999999999999998"/>
    <x v="0"/>
  </r>
  <r>
    <s v="NGG-24006-937"/>
    <x v="45"/>
    <s v="29102-40100-TZ"/>
    <s v="E-M-2.5"/>
    <n v="4"/>
    <s v="Linus Flippelli"/>
    <s v="lflippellih4@github.io"/>
    <x v="2"/>
    <x v="1"/>
    <x v="1"/>
    <x v="0"/>
    <x v="0"/>
    <x v="2"/>
    <n v="31.624999999999996"/>
    <n v="28.146249999999995"/>
    <n v="126.49999999999999"/>
    <n v="112.58499999999998"/>
    <n v="13.915000000000006"/>
    <n v="0.11000000000000006"/>
    <x v="1"/>
  </r>
  <r>
    <s v="JZC-31180-557"/>
    <x v="444"/>
    <s v="09171-42203-EB"/>
    <s v="L-M-2.5"/>
    <n v="1"/>
    <s v="Rachelle Elizabeth"/>
    <s v="relizabethh5@live.com"/>
    <x v="0"/>
    <x v="3"/>
    <x v="3"/>
    <x v="0"/>
    <x v="0"/>
    <x v="2"/>
    <n v="33.464999999999996"/>
    <n v="29.114549999999998"/>
    <n v="33.464999999999996"/>
    <n v="29.114549999999998"/>
    <n v="4.3504499999999986"/>
    <n v="0.12999999999999998"/>
    <x v="1"/>
  </r>
  <r>
    <s v="ZMU-63715-204"/>
    <x v="479"/>
    <s v="29060-75856-UI"/>
    <s v="E-D-1"/>
    <n v="6"/>
    <s v="Innis Renhard"/>
    <s v="irenhardh6@i2i.jp"/>
    <x v="0"/>
    <x v="1"/>
    <x v="1"/>
    <x v="2"/>
    <x v="2"/>
    <x v="0"/>
    <n v="12.15"/>
    <n v="10.813500000000001"/>
    <n v="72.900000000000006"/>
    <n v="64.881"/>
    <n v="8.0190000000000055"/>
    <n v="0.11000000000000007"/>
    <x v="0"/>
  </r>
  <r>
    <s v="GND-08192-056"/>
    <x v="480"/>
    <s v="17088-16989-PL"/>
    <s v="L-D-0.5"/>
    <n v="2"/>
    <s v="Winne Roche"/>
    <s v="wrocheh7@xinhuanet.com"/>
    <x v="0"/>
    <x v="3"/>
    <x v="3"/>
    <x v="2"/>
    <x v="2"/>
    <x v="1"/>
    <n v="7.77"/>
    <n v="6.7599"/>
    <n v="15.54"/>
    <n v="13.5198"/>
    <n v="2.0201999999999991"/>
    <n v="0.12999999999999995"/>
    <x v="0"/>
  </r>
  <r>
    <s v="RYY-38961-093"/>
    <x v="481"/>
    <s v="14756-18321-CL"/>
    <s v="A-M-0.2"/>
    <n v="6"/>
    <s v="Linn Alaway"/>
    <s v="lalawayhh@weather.com"/>
    <x v="0"/>
    <x v="2"/>
    <x v="2"/>
    <x v="0"/>
    <x v="0"/>
    <x v="3"/>
    <n v="3.375"/>
    <n v="3.07125"/>
    <n v="20.25"/>
    <n v="18.427500000000002"/>
    <n v="1.822499999999998"/>
    <n v="8.99999999999999E-2"/>
    <x v="1"/>
  </r>
  <r>
    <s v="CVA-64996-969"/>
    <x v="478"/>
    <s v="13324-78688-MI"/>
    <s v="A-L-1"/>
    <n v="6"/>
    <s v="Cordy Odgaard"/>
    <s v="codgaardh9@nsw.gov.au"/>
    <x v="0"/>
    <x v="2"/>
    <x v="2"/>
    <x v="1"/>
    <x v="1"/>
    <x v="0"/>
    <n v="12.95"/>
    <n v="11.7845"/>
    <n v="77.699999999999989"/>
    <n v="70.706999999999994"/>
    <n v="6.992999999999995"/>
    <n v="8.9999999999999955E-2"/>
    <x v="1"/>
  </r>
  <r>
    <s v="XTH-67276-442"/>
    <x v="482"/>
    <s v="73799-04749-BM"/>
    <s v="L-M-2.5"/>
    <n v="4"/>
    <s v="Bertine Byrd"/>
    <s v="bbyrdha@4shared.com"/>
    <x v="0"/>
    <x v="3"/>
    <x v="3"/>
    <x v="0"/>
    <x v="0"/>
    <x v="2"/>
    <n v="33.464999999999996"/>
    <n v="29.114549999999998"/>
    <n v="133.85999999999999"/>
    <n v="116.45819999999999"/>
    <n v="17.401799999999994"/>
    <n v="0.12999999999999998"/>
    <x v="1"/>
  </r>
  <r>
    <s v="PVU-02950-470"/>
    <x v="353"/>
    <s v="01927-46702-YT"/>
    <s v="E-D-1"/>
    <n v="1"/>
    <s v="Nelie Garnson"/>
    <s v="-"/>
    <x v="2"/>
    <x v="1"/>
    <x v="1"/>
    <x v="2"/>
    <x v="2"/>
    <x v="0"/>
    <n v="12.15"/>
    <n v="10.813500000000001"/>
    <n v="12.15"/>
    <n v="10.813500000000001"/>
    <n v="1.3364999999999991"/>
    <n v="0.10999999999999993"/>
    <x v="1"/>
  </r>
  <r>
    <s v="XSN-26809-910"/>
    <x v="199"/>
    <s v="80467-17137-TO"/>
    <s v="E-M-2.5"/>
    <n v="2"/>
    <s v="Dianne Chardin"/>
    <s v="dchardinhc@nhs.uk"/>
    <x v="1"/>
    <x v="1"/>
    <x v="1"/>
    <x v="0"/>
    <x v="0"/>
    <x v="2"/>
    <n v="31.624999999999996"/>
    <n v="28.146249999999995"/>
    <n v="63.249999999999993"/>
    <n v="56.29249999999999"/>
    <n v="6.9575000000000031"/>
    <n v="0.11000000000000006"/>
    <x v="0"/>
  </r>
  <r>
    <s v="UDN-88321-005"/>
    <x v="372"/>
    <s v="14640-87215-BK"/>
    <s v="R-L-0.5"/>
    <n v="5"/>
    <s v="Hailee Radbone"/>
    <s v="hradbonehd@newsvine.com"/>
    <x v="0"/>
    <x v="0"/>
    <x v="0"/>
    <x v="1"/>
    <x v="1"/>
    <x v="1"/>
    <n v="7.169999999999999"/>
    <n v="6.7397999999999989"/>
    <n v="35.849999999999994"/>
    <n v="33.698999999999998"/>
    <n v="2.1509999999999962"/>
    <n v="5.9999999999999908E-2"/>
    <x v="1"/>
  </r>
  <r>
    <s v="EXP-21628-670"/>
    <x v="267"/>
    <s v="94447-35885-HK"/>
    <s v="A-M-2.5"/>
    <n v="3"/>
    <s v="Wallis Bernth"/>
    <s v="wbernthhe@miitbeian.gov.cn"/>
    <x v="0"/>
    <x v="2"/>
    <x v="2"/>
    <x v="0"/>
    <x v="0"/>
    <x v="2"/>
    <n v="25.874999999999996"/>
    <n v="23.546249999999997"/>
    <n v="77.624999999999986"/>
    <n v="70.638749999999987"/>
    <n v="6.9862499999999983"/>
    <n v="0.09"/>
    <x v="1"/>
  </r>
  <r>
    <s v="VGM-24161-361"/>
    <x v="480"/>
    <s v="71034-49694-CS"/>
    <s v="E-M-2.5"/>
    <n v="2"/>
    <s v="Byron Acarson"/>
    <s v="bacarsonhf@cnn.com"/>
    <x v="0"/>
    <x v="1"/>
    <x v="1"/>
    <x v="0"/>
    <x v="0"/>
    <x v="2"/>
    <n v="31.624999999999996"/>
    <n v="28.146249999999995"/>
    <n v="63.249999999999993"/>
    <n v="56.29249999999999"/>
    <n v="6.9575000000000031"/>
    <n v="0.11000000000000006"/>
    <x v="0"/>
  </r>
  <r>
    <s v="PKN-19556-918"/>
    <x v="483"/>
    <s v="00445-42781-KX"/>
    <s v="E-L-0.2"/>
    <n v="6"/>
    <s v="Faunie Brigham"/>
    <s v="fbrighamhg@blog.com"/>
    <x v="1"/>
    <x v="1"/>
    <x v="1"/>
    <x v="1"/>
    <x v="1"/>
    <x v="3"/>
    <n v="4.4550000000000001"/>
    <n v="3.96495"/>
    <n v="26.73"/>
    <n v="23.7897"/>
    <n v="2.9403000000000006"/>
    <n v="0.11000000000000001"/>
    <x v="0"/>
  </r>
  <r>
    <s v="PKN-19556-918"/>
    <x v="483"/>
    <s v="00445-42781-KX"/>
    <s v="L-D-0.5"/>
    <n v="4"/>
    <s v="Faunie Brigham"/>
    <s v="fbrighamhg@blog.com"/>
    <x v="1"/>
    <x v="3"/>
    <x v="3"/>
    <x v="2"/>
    <x v="2"/>
    <x v="1"/>
    <n v="7.77"/>
    <n v="6.7599"/>
    <n v="31.08"/>
    <n v="27.0396"/>
    <n v="4.0403999999999982"/>
    <n v="0.12999999999999995"/>
    <x v="0"/>
  </r>
  <r>
    <s v="PKN-19556-918"/>
    <x v="483"/>
    <s v="00445-42781-KX"/>
    <s v="A-D-0.2"/>
    <n v="1"/>
    <s v="Faunie Brigham"/>
    <s v="fbrighamhg@blog.com"/>
    <x v="1"/>
    <x v="2"/>
    <x v="2"/>
    <x v="2"/>
    <x v="2"/>
    <x v="3"/>
    <n v="2.9849999999999999"/>
    <n v="2.7163499999999998"/>
    <n v="2.9849999999999999"/>
    <n v="2.7163499999999998"/>
    <n v="0.26865000000000006"/>
    <n v="9.0000000000000024E-2"/>
    <x v="0"/>
  </r>
  <r>
    <s v="PKN-19556-918"/>
    <x v="483"/>
    <s v="00445-42781-KX"/>
    <s v="R-D-2.5"/>
    <n v="5"/>
    <s v="Faunie Brigham"/>
    <s v="fbrighamhg@blog.com"/>
    <x v="1"/>
    <x v="0"/>
    <x v="0"/>
    <x v="2"/>
    <x v="2"/>
    <x v="2"/>
    <n v="20.584999999999997"/>
    <n v="19.349899999999998"/>
    <n v="102.92499999999998"/>
    <n v="96.749499999999983"/>
    <n v="6.1754999999999995"/>
    <n v="6.0000000000000005E-2"/>
    <x v="0"/>
  </r>
  <r>
    <s v="DXQ-44537-297"/>
    <x v="484"/>
    <s v="96116-24737-LV"/>
    <s v="E-L-0.5"/>
    <n v="4"/>
    <s v="Marjorie Yoxen"/>
    <s v="myoxenhk@google.com"/>
    <x v="0"/>
    <x v="1"/>
    <x v="1"/>
    <x v="1"/>
    <x v="1"/>
    <x v="1"/>
    <n v="8.91"/>
    <n v="7.9298999999999999"/>
    <n v="35.64"/>
    <n v="31.7196"/>
    <n v="3.9204000000000008"/>
    <n v="0.11000000000000001"/>
    <x v="1"/>
  </r>
  <r>
    <s v="BPC-54727-307"/>
    <x v="485"/>
    <s v="18684-73088-YL"/>
    <s v="R-L-1"/>
    <n v="4"/>
    <s v="Gaspar McGavin"/>
    <s v="gmcgavinhl@histats.com"/>
    <x v="0"/>
    <x v="0"/>
    <x v="0"/>
    <x v="1"/>
    <x v="1"/>
    <x v="0"/>
    <n v="11.95"/>
    <n v="11.232999999999999"/>
    <n v="47.8"/>
    <n v="44.931999999999995"/>
    <n v="2.8680000000000021"/>
    <n v="6.0000000000000046E-2"/>
    <x v="1"/>
  </r>
  <r>
    <s v="KSH-47717-456"/>
    <x v="486"/>
    <s v="74671-55639-TU"/>
    <s v="L-M-1"/>
    <n v="3"/>
    <s v="Lindy Uttermare"/>
    <s v="luttermarehm@engadget.com"/>
    <x v="0"/>
    <x v="3"/>
    <x v="3"/>
    <x v="0"/>
    <x v="0"/>
    <x v="0"/>
    <n v="14.55"/>
    <n v="12.6585"/>
    <n v="43.650000000000006"/>
    <n v="37.975499999999997"/>
    <n v="5.674500000000009"/>
    <n v="0.1300000000000002"/>
    <x v="1"/>
  </r>
  <r>
    <s v="ANK-59436-446"/>
    <x v="487"/>
    <s v="17488-65879-XL"/>
    <s v="E-L-0.5"/>
    <n v="4"/>
    <s v="Eal D'Ambrogio"/>
    <s v="edambrogiohn@techcrunch.com"/>
    <x v="0"/>
    <x v="1"/>
    <x v="1"/>
    <x v="1"/>
    <x v="1"/>
    <x v="1"/>
    <n v="8.91"/>
    <n v="7.9298999999999999"/>
    <n v="35.64"/>
    <n v="31.7196"/>
    <n v="3.9204000000000008"/>
    <n v="0.11000000000000001"/>
    <x v="0"/>
  </r>
  <r>
    <s v="AYY-83051-752"/>
    <x v="488"/>
    <s v="46431-09298-OU"/>
    <s v="L-L-1"/>
    <n v="6"/>
    <s v="Carolee Winchcombe"/>
    <s v="cwinchcombeho@jiathis.com"/>
    <x v="0"/>
    <x v="3"/>
    <x v="3"/>
    <x v="1"/>
    <x v="1"/>
    <x v="0"/>
    <n v="15.85"/>
    <n v="13.7895"/>
    <n v="95.1"/>
    <n v="82.736999999999995"/>
    <n v="12.363"/>
    <n v="0.13"/>
    <x v="0"/>
  </r>
  <r>
    <s v="CSW-59644-267"/>
    <x v="489"/>
    <s v="60378-26473-FE"/>
    <s v="E-M-2.5"/>
    <n v="1"/>
    <s v="Benedikta Paumier"/>
    <s v="bpaumierhp@umn.edu"/>
    <x v="1"/>
    <x v="1"/>
    <x v="1"/>
    <x v="0"/>
    <x v="0"/>
    <x v="2"/>
    <n v="31.624999999999996"/>
    <n v="28.146249999999995"/>
    <n v="31.624999999999996"/>
    <n v="28.146249999999995"/>
    <n v="3.4787500000000016"/>
    <n v="0.11000000000000006"/>
    <x v="0"/>
  </r>
  <r>
    <s v="ITY-92466-909"/>
    <x v="162"/>
    <s v="34927-68586-ZV"/>
    <s v="A-M-2.5"/>
    <n v="3"/>
    <s v="Neville Piatto"/>
    <s v="-"/>
    <x v="1"/>
    <x v="2"/>
    <x v="2"/>
    <x v="0"/>
    <x v="0"/>
    <x v="2"/>
    <n v="25.874999999999996"/>
    <n v="23.546249999999997"/>
    <n v="77.624999999999986"/>
    <n v="70.638749999999987"/>
    <n v="6.9862499999999983"/>
    <n v="0.09"/>
    <x v="0"/>
  </r>
  <r>
    <s v="IGW-04801-466"/>
    <x v="490"/>
    <s v="29051-27555-GD"/>
    <s v="L-D-0.2"/>
    <n v="1"/>
    <s v="Jeno Capey"/>
    <s v="jcapeyhr@bravesites.com"/>
    <x v="0"/>
    <x v="3"/>
    <x v="3"/>
    <x v="2"/>
    <x v="2"/>
    <x v="3"/>
    <n v="3.8849999999999998"/>
    <n v="3.37995"/>
    <n v="3.8849999999999998"/>
    <n v="3.37995"/>
    <n v="0.50504999999999978"/>
    <n v="0.12999999999999995"/>
    <x v="0"/>
  </r>
  <r>
    <s v="LJN-34281-921"/>
    <x v="491"/>
    <s v="52143-35672-JF"/>
    <s v="R-L-2.5"/>
    <n v="5"/>
    <s v="Tuckie Mathonnet"/>
    <s v="tmathonneti0@google.co.jp"/>
    <x v="0"/>
    <x v="0"/>
    <x v="0"/>
    <x v="1"/>
    <x v="1"/>
    <x v="2"/>
    <n v="27.484999999999996"/>
    <n v="25.835899999999995"/>
    <n v="137.42499999999998"/>
    <n v="129.17949999999996"/>
    <n v="8.2455000000000211"/>
    <n v="6.0000000000000164E-2"/>
    <x v="1"/>
  </r>
  <r>
    <s v="BWZ-46364-547"/>
    <x v="301"/>
    <s v="64918-67725-MN"/>
    <s v="R-L-1"/>
    <n v="3"/>
    <s v="Yardley Basill"/>
    <s v="ybasillht@theguardian.com"/>
    <x v="0"/>
    <x v="0"/>
    <x v="0"/>
    <x v="1"/>
    <x v="1"/>
    <x v="0"/>
    <n v="11.95"/>
    <n v="11.232999999999999"/>
    <n v="35.849999999999994"/>
    <n v="33.698999999999998"/>
    <n v="2.1509999999999962"/>
    <n v="5.9999999999999908E-2"/>
    <x v="0"/>
  </r>
  <r>
    <s v="SBC-95710-706"/>
    <x v="194"/>
    <s v="85634-61759-ND"/>
    <s v="E-M-0.2"/>
    <n v="2"/>
    <s v="Maggy Baistow"/>
    <s v="mbaistowhu@i2i.jp"/>
    <x v="2"/>
    <x v="1"/>
    <x v="1"/>
    <x v="0"/>
    <x v="0"/>
    <x v="3"/>
    <n v="4.125"/>
    <n v="3.6712500000000001"/>
    <n v="8.25"/>
    <n v="7.3425000000000002"/>
    <n v="0.90749999999999975"/>
    <n v="0.10999999999999997"/>
    <x v="0"/>
  </r>
  <r>
    <s v="WRN-55114-031"/>
    <x v="26"/>
    <s v="40180-22940-QB"/>
    <s v="E-L-2.5"/>
    <n v="3"/>
    <s v="Courtney Pallant"/>
    <s v="cpallanthv@typepad.com"/>
    <x v="0"/>
    <x v="1"/>
    <x v="1"/>
    <x v="1"/>
    <x v="1"/>
    <x v="2"/>
    <n v="34.154999999999994"/>
    <n v="30.397949999999994"/>
    <n v="102.46499999999997"/>
    <n v="91.193849999999983"/>
    <n v="11.271149999999992"/>
    <n v="0.10999999999999995"/>
    <x v="0"/>
  </r>
  <r>
    <s v="TZU-64255-831"/>
    <x v="125"/>
    <s v="34666-76738-SQ"/>
    <s v="R-D-2.5"/>
    <n v="2"/>
    <s v="Marne Mingey"/>
    <s v="-"/>
    <x v="0"/>
    <x v="0"/>
    <x v="0"/>
    <x v="2"/>
    <x v="2"/>
    <x v="2"/>
    <n v="20.584999999999997"/>
    <n v="19.349899999999998"/>
    <n v="41.169999999999995"/>
    <n v="38.699799999999996"/>
    <n v="2.4701999999999984"/>
    <n v="5.999999999999997E-2"/>
    <x v="1"/>
  </r>
  <r>
    <s v="JVF-91003-729"/>
    <x v="492"/>
    <s v="98536-88616-FF"/>
    <s v="A-D-2.5"/>
    <n v="3"/>
    <s v="Denny O' Ronan"/>
    <s v="dohx@redcross.org"/>
    <x v="0"/>
    <x v="2"/>
    <x v="2"/>
    <x v="2"/>
    <x v="2"/>
    <x v="2"/>
    <n v="22.884999999999998"/>
    <n v="20.82535"/>
    <n v="68.655000000000001"/>
    <n v="62.476050000000001"/>
    <n v="6.1789500000000004"/>
    <n v="9.0000000000000011E-2"/>
    <x v="0"/>
  </r>
  <r>
    <s v="MVB-22135-665"/>
    <x v="462"/>
    <s v="55621-06130-SA"/>
    <s v="A-D-1"/>
    <n v="1"/>
    <s v="Dottie Rallin"/>
    <s v="drallinhy@howstuffworks.com"/>
    <x v="0"/>
    <x v="2"/>
    <x v="2"/>
    <x v="2"/>
    <x v="2"/>
    <x v="0"/>
    <n v="9.9499999999999993"/>
    <n v="9.0544999999999991"/>
    <n v="9.9499999999999993"/>
    <n v="9.0544999999999991"/>
    <n v="0.89550000000000018"/>
    <n v="9.0000000000000024E-2"/>
    <x v="0"/>
  </r>
  <r>
    <s v="CKS-47815-571"/>
    <x v="493"/>
    <s v="45666-86771-EH"/>
    <s v="L-L-0.5"/>
    <n v="3"/>
    <s v="Ardith Chill"/>
    <s v="achillhz@epa.gov"/>
    <x v="2"/>
    <x v="3"/>
    <x v="3"/>
    <x v="1"/>
    <x v="1"/>
    <x v="1"/>
    <n v="9.51"/>
    <n v="8.2736999999999998"/>
    <n v="28.53"/>
    <n v="24.821100000000001"/>
    <n v="3.7088999999999999"/>
    <n v="0.12999999999999998"/>
    <x v="0"/>
  </r>
  <r>
    <s v="OAW-17338-101"/>
    <x v="494"/>
    <s v="52143-35672-JF"/>
    <s v="R-D-0.2"/>
    <n v="6"/>
    <s v="Tuckie Mathonnet"/>
    <s v="tmathonneti0@google.co.jp"/>
    <x v="0"/>
    <x v="0"/>
    <x v="0"/>
    <x v="2"/>
    <x v="2"/>
    <x v="3"/>
    <n v="2.6849999999999996"/>
    <n v="2.5238999999999998"/>
    <n v="16.11"/>
    <n v="15.1434"/>
    <n v="0.96659999999999968"/>
    <n v="5.9999999999999984E-2"/>
    <x v="1"/>
  </r>
  <r>
    <s v="ALP-37623-536"/>
    <x v="495"/>
    <s v="24689-69376-XX"/>
    <s v="L-L-1"/>
    <n v="6"/>
    <s v="Charmane Denys"/>
    <s v="cdenysi1@is.gd"/>
    <x v="2"/>
    <x v="3"/>
    <x v="3"/>
    <x v="1"/>
    <x v="1"/>
    <x v="0"/>
    <n v="15.85"/>
    <n v="13.7895"/>
    <n v="95.1"/>
    <n v="82.736999999999995"/>
    <n v="12.363"/>
    <n v="0.13"/>
    <x v="1"/>
  </r>
  <r>
    <s v="WMU-87639-108"/>
    <x v="496"/>
    <s v="71891-51101-VQ"/>
    <s v="R-D-0.5"/>
    <n v="1"/>
    <s v="Cecily Stebbings"/>
    <s v="cstebbingsi2@drupal.org"/>
    <x v="0"/>
    <x v="0"/>
    <x v="0"/>
    <x v="2"/>
    <x v="2"/>
    <x v="1"/>
    <n v="5.3699999999999992"/>
    <n v="5.0477999999999996"/>
    <n v="5.3699999999999992"/>
    <n v="5.0477999999999996"/>
    <n v="0.3221999999999996"/>
    <n v="5.9999999999999935E-2"/>
    <x v="0"/>
  </r>
  <r>
    <s v="USN-44968-231"/>
    <x v="497"/>
    <s v="71749-05400-CN"/>
    <s v="R-L-1"/>
    <n v="4"/>
    <s v="Giana Tonnesen"/>
    <s v="-"/>
    <x v="0"/>
    <x v="0"/>
    <x v="0"/>
    <x v="1"/>
    <x v="1"/>
    <x v="0"/>
    <n v="11.95"/>
    <n v="11.232999999999999"/>
    <n v="47.8"/>
    <n v="44.931999999999995"/>
    <n v="2.8680000000000021"/>
    <n v="6.0000000000000046E-2"/>
    <x v="1"/>
  </r>
  <r>
    <s v="YZG-20575-451"/>
    <x v="498"/>
    <s v="64845-00270-NO"/>
    <s v="L-L-1"/>
    <n v="4"/>
    <s v="Rhetta Zywicki"/>
    <s v="rzywickii4@ifeng.com"/>
    <x v="1"/>
    <x v="3"/>
    <x v="3"/>
    <x v="1"/>
    <x v="1"/>
    <x v="0"/>
    <n v="15.85"/>
    <n v="13.7895"/>
    <n v="63.4"/>
    <n v="55.158000000000001"/>
    <n v="8.2419999999999973"/>
    <n v="0.12999999999999995"/>
    <x v="1"/>
  </r>
  <r>
    <s v="HTH-52867-812"/>
    <x v="382"/>
    <s v="29851-36402-UX"/>
    <s v="A-M-2.5"/>
    <n v="4"/>
    <s v="Almeria Burgett"/>
    <s v="aburgetti5@moonfruit.com"/>
    <x v="0"/>
    <x v="2"/>
    <x v="2"/>
    <x v="0"/>
    <x v="0"/>
    <x v="2"/>
    <n v="25.874999999999996"/>
    <n v="23.546249999999997"/>
    <n v="103.49999999999999"/>
    <n v="94.184999999999988"/>
    <n v="9.3149999999999977"/>
    <n v="0.09"/>
    <x v="1"/>
  </r>
  <r>
    <s v="FWU-44971-444"/>
    <x v="499"/>
    <s v="12190-25421-WM"/>
    <s v="A-D-2.5"/>
    <n v="3"/>
    <s v="Marvin Malloy"/>
    <s v="mmalloyi6@seattletimes.com"/>
    <x v="0"/>
    <x v="2"/>
    <x v="2"/>
    <x v="2"/>
    <x v="2"/>
    <x v="2"/>
    <n v="22.884999999999998"/>
    <n v="20.82535"/>
    <n v="68.655000000000001"/>
    <n v="62.476050000000001"/>
    <n v="6.1789500000000004"/>
    <n v="9.0000000000000011E-2"/>
    <x v="1"/>
  </r>
  <r>
    <s v="EQI-82205-066"/>
    <x v="500"/>
    <s v="52316-30571-GD"/>
    <s v="R-M-2.5"/>
    <n v="2"/>
    <s v="Maxim McParland"/>
    <s v="mmcparlandi7@w3.org"/>
    <x v="0"/>
    <x v="0"/>
    <x v="0"/>
    <x v="0"/>
    <x v="0"/>
    <x v="2"/>
    <n v="22.884999999999998"/>
    <n v="21.511899999999997"/>
    <n v="45.769999999999996"/>
    <n v="43.023799999999994"/>
    <n v="2.7462000000000018"/>
    <n v="6.0000000000000046E-2"/>
    <x v="0"/>
  </r>
  <r>
    <s v="NAR-00747-074"/>
    <x v="501"/>
    <s v="23243-92649-RY"/>
    <s v="L-D-1"/>
    <n v="4"/>
    <s v="Sylas Jennaroy"/>
    <s v="sjennaroyi8@purevolume.com"/>
    <x v="0"/>
    <x v="3"/>
    <x v="3"/>
    <x v="2"/>
    <x v="2"/>
    <x v="0"/>
    <n v="12.95"/>
    <n v="11.266499999999999"/>
    <n v="51.8"/>
    <n v="45.065999999999995"/>
    <n v="6.7340000000000018"/>
    <n v="0.13000000000000003"/>
    <x v="1"/>
  </r>
  <r>
    <s v="JYR-22052-185"/>
    <x v="502"/>
    <s v="39528-19971-OR"/>
    <s v="A-M-0.5"/>
    <n v="2"/>
    <s v="Wren Place"/>
    <s v="wplacei9@wsj.com"/>
    <x v="0"/>
    <x v="2"/>
    <x v="2"/>
    <x v="0"/>
    <x v="0"/>
    <x v="1"/>
    <n v="6.75"/>
    <n v="6.1425000000000001"/>
    <n v="13.5"/>
    <n v="12.285"/>
    <n v="1.2149999999999999"/>
    <n v="8.9999999999999983E-2"/>
    <x v="0"/>
  </r>
  <r>
    <s v="XKO-54097-932"/>
    <x v="503"/>
    <s v="32743-78448-KT"/>
    <s v="E-M-0.5"/>
    <n v="3"/>
    <s v="Janella Millett"/>
    <s v="jmillettik@addtoany.com"/>
    <x v="0"/>
    <x v="1"/>
    <x v="1"/>
    <x v="0"/>
    <x v="0"/>
    <x v="1"/>
    <n v="8.25"/>
    <n v="7.3425000000000002"/>
    <n v="24.75"/>
    <n v="22.0275"/>
    <n v="2.7225000000000001"/>
    <n v="0.11"/>
    <x v="0"/>
  </r>
  <r>
    <s v="HXA-72415-025"/>
    <x v="504"/>
    <s v="93417-12322-YB"/>
    <s v="A-D-2.5"/>
    <n v="2"/>
    <s v="Dollie Gadsden"/>
    <s v="dgadsdenib@google.com.hk"/>
    <x v="1"/>
    <x v="2"/>
    <x v="2"/>
    <x v="2"/>
    <x v="2"/>
    <x v="2"/>
    <n v="22.884999999999998"/>
    <n v="20.82535"/>
    <n v="45.769999999999996"/>
    <n v="41.650700000000001"/>
    <n v="4.1192999999999955"/>
    <n v="8.9999999999999913E-2"/>
    <x v="0"/>
  </r>
  <r>
    <s v="MJF-20065-335"/>
    <x v="497"/>
    <s v="56891-86662-UY"/>
    <s v="E-L-0.5"/>
    <n v="6"/>
    <s v="Val Wakelin"/>
    <s v="vwakelinic@unesco.org"/>
    <x v="0"/>
    <x v="1"/>
    <x v="1"/>
    <x v="1"/>
    <x v="1"/>
    <x v="1"/>
    <n v="8.91"/>
    <n v="7.9298999999999999"/>
    <n v="53.46"/>
    <n v="47.5794"/>
    <n v="5.8806000000000012"/>
    <n v="0.11000000000000001"/>
    <x v="1"/>
  </r>
  <r>
    <s v="GFI-83300-059"/>
    <x v="501"/>
    <s v="40414-26467-VE"/>
    <s v="A-M-0.2"/>
    <n v="6"/>
    <s v="Annie Campsall"/>
    <s v="acampsallid@zimbio.com"/>
    <x v="0"/>
    <x v="2"/>
    <x v="2"/>
    <x v="0"/>
    <x v="0"/>
    <x v="3"/>
    <n v="3.375"/>
    <n v="3.07125"/>
    <n v="20.25"/>
    <n v="18.427500000000002"/>
    <n v="1.822499999999998"/>
    <n v="8.99999999999999E-2"/>
    <x v="0"/>
  </r>
  <r>
    <s v="WJR-51493-682"/>
    <x v="1"/>
    <s v="87858-83734-RK"/>
    <s v="L-D-2.5"/>
    <n v="5"/>
    <s v="Shermy Moseby"/>
    <s v="smosebyie@stanford.edu"/>
    <x v="0"/>
    <x v="3"/>
    <x v="3"/>
    <x v="2"/>
    <x v="2"/>
    <x v="2"/>
    <n v="29.784999999999997"/>
    <n v="25.912949999999995"/>
    <n v="148.92499999999998"/>
    <n v="129.56474999999998"/>
    <n v="19.360250000000008"/>
    <n v="0.13000000000000006"/>
    <x v="1"/>
  </r>
  <r>
    <s v="SHP-55648-472"/>
    <x v="505"/>
    <s v="46818-20198-GB"/>
    <s v="A-M-1"/>
    <n v="6"/>
    <s v="Corrie Wass"/>
    <s v="cwassif@prweb.com"/>
    <x v="0"/>
    <x v="2"/>
    <x v="2"/>
    <x v="0"/>
    <x v="0"/>
    <x v="0"/>
    <n v="11.25"/>
    <n v="10.237500000000001"/>
    <n v="67.5"/>
    <n v="61.425000000000004"/>
    <n v="6.0749999999999957"/>
    <n v="8.9999999999999941E-2"/>
    <x v="1"/>
  </r>
  <r>
    <s v="HYR-03455-684"/>
    <x v="506"/>
    <s v="29808-89098-XD"/>
    <s v="E-D-1"/>
    <n v="6"/>
    <s v="Ira Sjostrom"/>
    <s v="isjostromig@pbs.org"/>
    <x v="0"/>
    <x v="1"/>
    <x v="1"/>
    <x v="2"/>
    <x v="2"/>
    <x v="0"/>
    <n v="12.15"/>
    <n v="10.813500000000001"/>
    <n v="72.900000000000006"/>
    <n v="64.881"/>
    <n v="8.0190000000000055"/>
    <n v="0.11000000000000007"/>
    <x v="1"/>
  </r>
  <r>
    <s v="HYR-03455-684"/>
    <x v="506"/>
    <s v="29808-89098-XD"/>
    <s v="L-D-0.2"/>
    <n v="2"/>
    <s v="Ira Sjostrom"/>
    <s v="isjostromig@pbs.org"/>
    <x v="0"/>
    <x v="3"/>
    <x v="3"/>
    <x v="2"/>
    <x v="2"/>
    <x v="3"/>
    <n v="3.8849999999999998"/>
    <n v="3.37995"/>
    <n v="7.77"/>
    <n v="6.7599"/>
    <n v="1.0100999999999996"/>
    <n v="0.12999999999999995"/>
    <x v="1"/>
  </r>
  <r>
    <s v="HUG-52766-375"/>
    <x v="507"/>
    <s v="78786-77449-RQ"/>
    <s v="A-D-2.5"/>
    <n v="4"/>
    <s v="Jermaine Branchett"/>
    <s v="jbranchettii@bravesites.com"/>
    <x v="0"/>
    <x v="2"/>
    <x v="2"/>
    <x v="2"/>
    <x v="2"/>
    <x v="2"/>
    <n v="22.884999999999998"/>
    <n v="20.82535"/>
    <n v="91.539999999999992"/>
    <n v="83.301400000000001"/>
    <n v="8.238599999999991"/>
    <n v="8.9999999999999913E-2"/>
    <x v="1"/>
  </r>
  <r>
    <s v="DAH-46595-917"/>
    <x v="508"/>
    <s v="27878-42224-QF"/>
    <s v="A-D-1"/>
    <n v="6"/>
    <s v="Nissie Rudland"/>
    <s v="nrudlandij@blogs.com"/>
    <x v="1"/>
    <x v="2"/>
    <x v="2"/>
    <x v="2"/>
    <x v="2"/>
    <x v="0"/>
    <n v="9.9499999999999993"/>
    <n v="9.0544999999999991"/>
    <n v="59.699999999999996"/>
    <n v="54.326999999999998"/>
    <n v="5.3729999999999976"/>
    <n v="8.9999999999999969E-2"/>
    <x v="1"/>
  </r>
  <r>
    <s v="VEM-79839-466"/>
    <x v="509"/>
    <s v="32743-78448-KT"/>
    <s v="R-L-2.5"/>
    <n v="5"/>
    <s v="Janella Millett"/>
    <s v="jmillettik@addtoany.com"/>
    <x v="0"/>
    <x v="0"/>
    <x v="0"/>
    <x v="1"/>
    <x v="1"/>
    <x v="2"/>
    <n v="27.484999999999996"/>
    <n v="25.835899999999995"/>
    <n v="137.42499999999998"/>
    <n v="129.17949999999996"/>
    <n v="8.2455000000000211"/>
    <n v="6.0000000000000164E-2"/>
    <x v="0"/>
  </r>
  <r>
    <s v="OWH-11126-533"/>
    <x v="131"/>
    <s v="25331-13794-SB"/>
    <s v="L-M-2.5"/>
    <n v="2"/>
    <s v="Ferdie Tourry"/>
    <s v="ftourryil@google.de"/>
    <x v="0"/>
    <x v="3"/>
    <x v="3"/>
    <x v="0"/>
    <x v="0"/>
    <x v="2"/>
    <n v="33.464999999999996"/>
    <n v="29.114549999999998"/>
    <n v="66.929999999999993"/>
    <n v="58.229099999999995"/>
    <n v="8.7008999999999972"/>
    <n v="0.12999999999999998"/>
    <x v="1"/>
  </r>
  <r>
    <s v="UMT-26130-151"/>
    <x v="510"/>
    <s v="55864-37682-GQ"/>
    <s v="L-M-0.2"/>
    <n v="3"/>
    <s v="Cecil Weatherall"/>
    <s v="cweatherallim@toplist.cz"/>
    <x v="0"/>
    <x v="3"/>
    <x v="3"/>
    <x v="0"/>
    <x v="0"/>
    <x v="3"/>
    <n v="4.3650000000000002"/>
    <n v="3.7975500000000002"/>
    <n v="13.095000000000001"/>
    <n v="11.39265"/>
    <n v="1.7023500000000009"/>
    <n v="0.13000000000000006"/>
    <x v="0"/>
  </r>
  <r>
    <s v="JKA-27899-806"/>
    <x v="511"/>
    <s v="97005-25609-CQ"/>
    <s v="R-L-1"/>
    <n v="5"/>
    <s v="Gale Heindrick"/>
    <s v="gheindrickin@usda.gov"/>
    <x v="0"/>
    <x v="0"/>
    <x v="0"/>
    <x v="1"/>
    <x v="1"/>
    <x v="0"/>
    <n v="11.95"/>
    <n v="11.232999999999999"/>
    <n v="59.75"/>
    <n v="56.164999999999992"/>
    <n v="3.585000000000008"/>
    <n v="6.0000000000000137E-2"/>
    <x v="1"/>
  </r>
  <r>
    <s v="ULU-07744-724"/>
    <x v="512"/>
    <s v="94058-95794-IJ"/>
    <s v="L-M-0.5"/>
    <n v="5"/>
    <s v="Layne Imason"/>
    <s v="limasonio@discuz.net"/>
    <x v="0"/>
    <x v="3"/>
    <x v="3"/>
    <x v="0"/>
    <x v="0"/>
    <x v="1"/>
    <n v="8.73"/>
    <n v="7.5951000000000004"/>
    <n v="43.650000000000006"/>
    <n v="37.975500000000004"/>
    <n v="5.6745000000000019"/>
    <n v="0.13000000000000003"/>
    <x v="0"/>
  </r>
  <r>
    <s v="NOM-56457-507"/>
    <x v="513"/>
    <s v="40214-03678-GU"/>
    <s v="E-M-1"/>
    <n v="6"/>
    <s v="Hazel Saill"/>
    <s v="hsaillip@odnoklassniki.ru"/>
    <x v="0"/>
    <x v="1"/>
    <x v="1"/>
    <x v="0"/>
    <x v="0"/>
    <x v="0"/>
    <n v="13.75"/>
    <n v="12.237500000000001"/>
    <n v="82.5"/>
    <n v="73.425000000000011"/>
    <n v="9.0749999999999886"/>
    <n v="0.10999999999999986"/>
    <x v="0"/>
  </r>
  <r>
    <s v="NZN-71683-705"/>
    <x v="514"/>
    <s v="04921-85445-SL"/>
    <s v="A-L-2.5"/>
    <n v="6"/>
    <s v="Hermann Larvor"/>
    <s v="hlarvoriq@last.fm"/>
    <x v="0"/>
    <x v="2"/>
    <x v="2"/>
    <x v="1"/>
    <x v="1"/>
    <x v="2"/>
    <n v="29.784999999999997"/>
    <n v="27.104349999999997"/>
    <n v="178.70999999999998"/>
    <n v="162.62609999999998"/>
    <n v="16.0839"/>
    <n v="9.0000000000000011E-2"/>
    <x v="0"/>
  </r>
  <r>
    <s v="WMA-34232-850"/>
    <x v="7"/>
    <s v="53386-94266-LJ"/>
    <s v="L-D-2.5"/>
    <n v="4"/>
    <s v="Terri Lyford"/>
    <s v="-"/>
    <x v="0"/>
    <x v="3"/>
    <x v="3"/>
    <x v="2"/>
    <x v="2"/>
    <x v="2"/>
    <n v="29.784999999999997"/>
    <n v="25.912949999999995"/>
    <n v="119.13999999999999"/>
    <n v="103.65179999999998"/>
    <n v="15.488200000000006"/>
    <n v="0.13000000000000006"/>
    <x v="0"/>
  </r>
  <r>
    <s v="EZL-27919-704"/>
    <x v="481"/>
    <s v="49480-85909-DG"/>
    <s v="L-L-0.5"/>
    <n v="5"/>
    <s v="Gabey Cogan"/>
    <s v="-"/>
    <x v="0"/>
    <x v="3"/>
    <x v="3"/>
    <x v="1"/>
    <x v="1"/>
    <x v="1"/>
    <n v="9.51"/>
    <n v="8.2736999999999998"/>
    <n v="47.55"/>
    <n v="41.368499999999997"/>
    <n v="6.1814999999999998"/>
    <n v="0.13"/>
    <x v="1"/>
  </r>
  <r>
    <s v="ZYU-11345-774"/>
    <x v="515"/>
    <s v="18293-78136-MN"/>
    <s v="L-M-0.5"/>
    <n v="5"/>
    <s v="Charin Penwarden"/>
    <s v="cpenwardenit@mlb.com"/>
    <x v="1"/>
    <x v="3"/>
    <x v="3"/>
    <x v="0"/>
    <x v="0"/>
    <x v="1"/>
    <n v="8.73"/>
    <n v="7.5951000000000004"/>
    <n v="43.650000000000006"/>
    <n v="37.975500000000004"/>
    <n v="5.6745000000000019"/>
    <n v="0.13000000000000003"/>
    <x v="1"/>
  </r>
  <r>
    <s v="CPW-34587-459"/>
    <x v="516"/>
    <s v="84641-67384-TD"/>
    <s v="A-L-2.5"/>
    <n v="6"/>
    <s v="Milty Middis"/>
    <s v="mmiddisiu@dmoz.org"/>
    <x v="0"/>
    <x v="2"/>
    <x v="2"/>
    <x v="1"/>
    <x v="1"/>
    <x v="2"/>
    <n v="29.784999999999997"/>
    <n v="27.104349999999997"/>
    <n v="178.70999999999998"/>
    <n v="162.62609999999998"/>
    <n v="16.0839"/>
    <n v="9.0000000000000011E-2"/>
    <x v="0"/>
  </r>
  <r>
    <s v="NQZ-82067-394"/>
    <x v="517"/>
    <s v="72320-29738-EB"/>
    <s v="R-L-2.5"/>
    <n v="1"/>
    <s v="Adrianne Vairow"/>
    <s v="avairowiv@studiopress.com"/>
    <x v="2"/>
    <x v="0"/>
    <x v="0"/>
    <x v="1"/>
    <x v="1"/>
    <x v="2"/>
    <n v="27.484999999999996"/>
    <n v="25.835899999999995"/>
    <n v="27.484999999999996"/>
    <n v="25.835899999999995"/>
    <n v="1.6491000000000007"/>
    <n v="6.0000000000000032E-2"/>
    <x v="1"/>
  </r>
  <r>
    <s v="JBW-95055-851"/>
    <x v="518"/>
    <s v="47355-97488-XS"/>
    <s v="A-M-1"/>
    <n v="5"/>
    <s v="Anjanette Goldie"/>
    <s v="agoldieiw@goo.gl"/>
    <x v="0"/>
    <x v="2"/>
    <x v="2"/>
    <x v="0"/>
    <x v="0"/>
    <x v="0"/>
    <n v="11.25"/>
    <n v="10.237500000000001"/>
    <n v="56.25"/>
    <n v="51.1875"/>
    <n v="5.0625"/>
    <n v="0.09"/>
    <x v="1"/>
  </r>
  <r>
    <s v="AHY-20324-088"/>
    <x v="519"/>
    <s v="63499-24884-PP"/>
    <s v="L-L-0.2"/>
    <n v="2"/>
    <s v="Nicky Ayris"/>
    <s v="nayrisix@t-online.de"/>
    <x v="2"/>
    <x v="3"/>
    <x v="3"/>
    <x v="1"/>
    <x v="1"/>
    <x v="3"/>
    <n v="4.7549999999999999"/>
    <n v="4.1368499999999999"/>
    <n v="9.51"/>
    <n v="8.2736999999999998"/>
    <n v="1.2363"/>
    <n v="0.13"/>
    <x v="0"/>
  </r>
  <r>
    <s v="ZSL-66684-103"/>
    <x v="520"/>
    <s v="39193-51770-FM"/>
    <s v="E-M-0.2"/>
    <n v="2"/>
    <s v="Laryssa Benediktovich"/>
    <s v="lbenediktovichiy@wunderground.com"/>
    <x v="0"/>
    <x v="1"/>
    <x v="1"/>
    <x v="0"/>
    <x v="0"/>
    <x v="3"/>
    <n v="4.125"/>
    <n v="3.6712500000000001"/>
    <n v="8.25"/>
    <n v="7.3425000000000002"/>
    <n v="0.90749999999999975"/>
    <n v="0.10999999999999997"/>
    <x v="0"/>
  </r>
  <r>
    <s v="WNE-73911-475"/>
    <x v="521"/>
    <s v="61323-91967-GG"/>
    <s v="L-D-0.5"/>
    <n v="6"/>
    <s v="Theo Jacobovitz"/>
    <s v="tjacobovitziz@cbc.ca"/>
    <x v="0"/>
    <x v="3"/>
    <x v="3"/>
    <x v="2"/>
    <x v="2"/>
    <x v="1"/>
    <n v="7.77"/>
    <n v="6.7599"/>
    <n v="46.62"/>
    <n v="40.559399999999997"/>
    <n v="6.0606000000000009"/>
    <n v="0.13000000000000003"/>
    <x v="1"/>
  </r>
  <r>
    <s v="EZB-68383-559"/>
    <x v="418"/>
    <s v="90123-01967-KS"/>
    <s v="R-L-1"/>
    <n v="6"/>
    <s v="Becca Ableson"/>
    <s v="-"/>
    <x v="0"/>
    <x v="0"/>
    <x v="0"/>
    <x v="1"/>
    <x v="1"/>
    <x v="0"/>
    <n v="11.95"/>
    <n v="11.232999999999999"/>
    <n v="71.699999999999989"/>
    <n v="67.397999999999996"/>
    <n v="4.3019999999999925"/>
    <n v="5.9999999999999908E-2"/>
    <x v="1"/>
  </r>
  <r>
    <s v="OVO-01283-090"/>
    <x v="122"/>
    <s v="15958-25089-OS"/>
    <s v="L-L-2.5"/>
    <n v="2"/>
    <s v="Jeno Druitt"/>
    <s v="jdruittj1@feedburner.com"/>
    <x v="0"/>
    <x v="3"/>
    <x v="3"/>
    <x v="1"/>
    <x v="1"/>
    <x v="2"/>
    <n v="36.454999999999998"/>
    <n v="31.71585"/>
    <n v="72.91"/>
    <n v="63.431699999999999"/>
    <n v="9.4782999999999973"/>
    <n v="0.12999999999999998"/>
    <x v="0"/>
  </r>
  <r>
    <s v="TXH-78646-919"/>
    <x v="423"/>
    <s v="98430-37820-UV"/>
    <s v="R-D-0.2"/>
    <n v="3"/>
    <s v="Deonne Shortall"/>
    <s v="dshortallj2@wikipedia.org"/>
    <x v="0"/>
    <x v="0"/>
    <x v="0"/>
    <x v="2"/>
    <x v="2"/>
    <x v="3"/>
    <n v="2.6849999999999996"/>
    <n v="2.5238999999999998"/>
    <n v="8.0549999999999997"/>
    <n v="7.5716999999999999"/>
    <n v="0.48329999999999984"/>
    <n v="5.9999999999999984E-2"/>
    <x v="0"/>
  </r>
  <r>
    <s v="CYZ-37122-164"/>
    <x v="463"/>
    <s v="21798-04171-XC"/>
    <s v="E-M-0.5"/>
    <n v="2"/>
    <s v="Wilton Cottier"/>
    <s v="wcottierj3@cafepress.com"/>
    <x v="0"/>
    <x v="1"/>
    <x v="1"/>
    <x v="0"/>
    <x v="0"/>
    <x v="1"/>
    <n v="8.25"/>
    <n v="7.3425000000000002"/>
    <n v="16.5"/>
    <n v="14.685"/>
    <n v="1.8149999999999995"/>
    <n v="0.10999999999999997"/>
    <x v="1"/>
  </r>
  <r>
    <s v="AGQ-06534-750"/>
    <x v="273"/>
    <s v="52798-46508-HP"/>
    <s v="A-L-1"/>
    <n v="5"/>
    <s v="Kevan Grinsted"/>
    <s v="kgrinstedj4@google.com.br"/>
    <x v="1"/>
    <x v="2"/>
    <x v="2"/>
    <x v="1"/>
    <x v="1"/>
    <x v="0"/>
    <n v="12.95"/>
    <n v="11.7845"/>
    <n v="64.75"/>
    <n v="58.922499999999999"/>
    <n v="5.8275000000000006"/>
    <n v="9.0000000000000011E-2"/>
    <x v="1"/>
  </r>
  <r>
    <s v="QVL-32245-818"/>
    <x v="522"/>
    <s v="46478-42970-EM"/>
    <s v="A-M-0.5"/>
    <n v="5"/>
    <s v="Dionne Skyner"/>
    <s v="dskynerj5@hubpages.com"/>
    <x v="0"/>
    <x v="2"/>
    <x v="2"/>
    <x v="0"/>
    <x v="0"/>
    <x v="1"/>
    <n v="6.75"/>
    <n v="6.1425000000000001"/>
    <n v="33.75"/>
    <n v="30.712499999999999"/>
    <n v="3.0375000000000014"/>
    <n v="9.0000000000000038E-2"/>
    <x v="1"/>
  </r>
  <r>
    <s v="LTD-96842-834"/>
    <x v="523"/>
    <s v="00246-15080-LE"/>
    <s v="L-D-2.5"/>
    <n v="6"/>
    <s v="Francesco Dressel"/>
    <s v="-"/>
    <x v="0"/>
    <x v="3"/>
    <x v="3"/>
    <x v="2"/>
    <x v="2"/>
    <x v="2"/>
    <n v="29.784999999999997"/>
    <n v="25.912949999999995"/>
    <n v="178.70999999999998"/>
    <n v="155.47769999999997"/>
    <n v="23.232300000000009"/>
    <n v="0.13000000000000006"/>
    <x v="1"/>
  </r>
  <r>
    <s v="SEC-91807-425"/>
    <x v="260"/>
    <s v="94091-86957-HX"/>
    <s v="A-M-1"/>
    <n v="2"/>
    <s v="Jimmy Dymoke"/>
    <s v="jdymokeje@prnewswire.com"/>
    <x v="1"/>
    <x v="2"/>
    <x v="2"/>
    <x v="0"/>
    <x v="0"/>
    <x v="0"/>
    <n v="11.25"/>
    <n v="10.237500000000001"/>
    <n v="22.5"/>
    <n v="20.475000000000001"/>
    <n v="2.0249999999999986"/>
    <n v="8.9999999999999941E-2"/>
    <x v="1"/>
  </r>
  <r>
    <s v="MHM-44857-599"/>
    <x v="331"/>
    <s v="26295-44907-DK"/>
    <s v="L-D-1"/>
    <n v="1"/>
    <s v="Ambrosio Weinmann"/>
    <s v="aweinmannj8@shinystat.com"/>
    <x v="0"/>
    <x v="3"/>
    <x v="3"/>
    <x v="2"/>
    <x v="2"/>
    <x v="0"/>
    <n v="12.95"/>
    <n v="11.266499999999999"/>
    <n v="12.95"/>
    <n v="11.266499999999999"/>
    <n v="1.6835000000000004"/>
    <n v="0.13000000000000003"/>
    <x v="1"/>
  </r>
  <r>
    <s v="KGC-95046-911"/>
    <x v="524"/>
    <s v="95351-96177-QV"/>
    <s v="A-M-2.5"/>
    <n v="2"/>
    <s v="Elden Andriessen"/>
    <s v="eandriessenj9@europa.eu"/>
    <x v="0"/>
    <x v="2"/>
    <x v="2"/>
    <x v="0"/>
    <x v="0"/>
    <x v="2"/>
    <n v="25.874999999999996"/>
    <n v="23.546249999999997"/>
    <n v="51.749999999999993"/>
    <n v="47.092499999999994"/>
    <n v="4.6574999999999989"/>
    <n v="0.09"/>
    <x v="0"/>
  </r>
  <r>
    <s v="RZC-75150-413"/>
    <x v="525"/>
    <s v="92204-96636-BS"/>
    <s v="E-D-0.5"/>
    <n v="5"/>
    <s v="Roxie Deaconson"/>
    <s v="rdeaconsonja@archive.org"/>
    <x v="0"/>
    <x v="1"/>
    <x v="1"/>
    <x v="2"/>
    <x v="2"/>
    <x v="1"/>
    <n v="7.29"/>
    <n v="6.4881000000000002"/>
    <n v="36.450000000000003"/>
    <n v="32.4405"/>
    <n v="4.0095000000000027"/>
    <n v="0.11000000000000007"/>
    <x v="1"/>
  </r>
  <r>
    <s v="EYH-88288-452"/>
    <x v="526"/>
    <s v="03010-30348-UA"/>
    <s v="L-L-2.5"/>
    <n v="5"/>
    <s v="Davida Caro"/>
    <s v="dcarojb@twitter.com"/>
    <x v="0"/>
    <x v="3"/>
    <x v="3"/>
    <x v="1"/>
    <x v="1"/>
    <x v="2"/>
    <n v="36.454999999999998"/>
    <n v="31.71585"/>
    <n v="182.27499999999998"/>
    <n v="158.57925"/>
    <n v="23.695749999999975"/>
    <n v="0.12999999999999989"/>
    <x v="0"/>
  </r>
  <r>
    <s v="NYQ-24237-772"/>
    <x v="104"/>
    <s v="13441-34686-SW"/>
    <s v="L-D-0.5"/>
    <n v="4"/>
    <s v="Johna Bluck"/>
    <s v="jbluckjc@imageshack.us"/>
    <x v="0"/>
    <x v="3"/>
    <x v="3"/>
    <x v="2"/>
    <x v="2"/>
    <x v="1"/>
    <n v="7.77"/>
    <n v="6.7599"/>
    <n v="31.08"/>
    <n v="27.0396"/>
    <n v="4.0403999999999982"/>
    <n v="0.12999999999999995"/>
    <x v="1"/>
  </r>
  <r>
    <s v="WKB-21680-566"/>
    <x v="491"/>
    <s v="96612-41722-VJ"/>
    <s v="A-M-0.5"/>
    <n v="3"/>
    <s v="Myrle Dearden"/>
    <s v="-"/>
    <x v="1"/>
    <x v="2"/>
    <x v="2"/>
    <x v="0"/>
    <x v="0"/>
    <x v="1"/>
    <n v="6.75"/>
    <n v="6.1425000000000001"/>
    <n v="20.25"/>
    <n v="18.427500000000002"/>
    <n v="1.822499999999998"/>
    <n v="8.99999999999999E-2"/>
    <x v="1"/>
  </r>
  <r>
    <s v="THE-61147-027"/>
    <x v="157"/>
    <s v="94091-86957-HX"/>
    <s v="L-D-1"/>
    <n v="2"/>
    <s v="Jimmy Dymoke"/>
    <s v="jdymokeje@prnewswire.com"/>
    <x v="1"/>
    <x v="3"/>
    <x v="3"/>
    <x v="2"/>
    <x v="2"/>
    <x v="0"/>
    <n v="12.95"/>
    <n v="11.266499999999999"/>
    <n v="25.9"/>
    <n v="22.532999999999998"/>
    <n v="3.3670000000000009"/>
    <n v="0.13000000000000003"/>
    <x v="1"/>
  </r>
  <r>
    <s v="PTY-86420-119"/>
    <x v="527"/>
    <s v="25504-41681-WA"/>
    <s v="A-D-0.5"/>
    <n v="4"/>
    <s v="Orland Tadman"/>
    <s v="otadmanjf@ft.com"/>
    <x v="0"/>
    <x v="2"/>
    <x v="2"/>
    <x v="2"/>
    <x v="2"/>
    <x v="1"/>
    <n v="5.97"/>
    <n v="5.4326999999999996"/>
    <n v="23.88"/>
    <n v="21.730799999999999"/>
    <n v="2.1492000000000004"/>
    <n v="9.0000000000000024E-2"/>
    <x v="0"/>
  </r>
  <r>
    <s v="QHL-27188-431"/>
    <x v="528"/>
    <s v="75443-07820-DZ"/>
    <s v="L-L-0.5"/>
    <n v="2"/>
    <s v="Barrett Gudde"/>
    <s v="bguddejg@dailymotion.com"/>
    <x v="0"/>
    <x v="3"/>
    <x v="3"/>
    <x v="1"/>
    <x v="1"/>
    <x v="1"/>
    <n v="9.51"/>
    <n v="8.2736999999999998"/>
    <n v="19.02"/>
    <n v="16.5474"/>
    <n v="2.4725999999999999"/>
    <n v="0.13"/>
    <x v="1"/>
  </r>
  <r>
    <s v="MIS-54381-047"/>
    <x v="99"/>
    <s v="39276-95489-XV"/>
    <s v="A-D-0.5"/>
    <n v="5"/>
    <s v="Nathan Sictornes"/>
    <s v="nsictornesjh@buzzfeed.com"/>
    <x v="1"/>
    <x v="2"/>
    <x v="2"/>
    <x v="2"/>
    <x v="2"/>
    <x v="1"/>
    <n v="5.97"/>
    <n v="5.4326999999999996"/>
    <n v="29.849999999999998"/>
    <n v="27.163499999999999"/>
    <n v="2.6864999999999988"/>
    <n v="8.9999999999999969E-2"/>
    <x v="0"/>
  </r>
  <r>
    <s v="TBB-29780-459"/>
    <x v="529"/>
    <s v="61437-83623-PZ"/>
    <s v="A-L-0.5"/>
    <n v="1"/>
    <s v="Vivyan Dunning"/>
    <s v="vdunningji@independent.co.uk"/>
    <x v="0"/>
    <x v="2"/>
    <x v="2"/>
    <x v="1"/>
    <x v="1"/>
    <x v="1"/>
    <n v="7.77"/>
    <n v="7.0706999999999995"/>
    <n v="7.77"/>
    <n v="7.0706999999999995"/>
    <n v="0.69930000000000003"/>
    <n v="9.0000000000000011E-2"/>
    <x v="0"/>
  </r>
  <r>
    <s v="QLC-52637-305"/>
    <x v="530"/>
    <s v="34317-87258-HQ"/>
    <s v="L-D-2.5"/>
    <n v="4"/>
    <s v="Doralin Baison"/>
    <s v="-"/>
    <x v="1"/>
    <x v="3"/>
    <x v="3"/>
    <x v="2"/>
    <x v="2"/>
    <x v="2"/>
    <n v="29.784999999999997"/>
    <n v="25.912949999999995"/>
    <n v="119.13999999999999"/>
    <n v="103.65179999999998"/>
    <n v="15.488200000000006"/>
    <n v="0.13000000000000006"/>
    <x v="0"/>
  </r>
  <r>
    <s v="CWT-27056-328"/>
    <x v="531"/>
    <s v="18570-80998-ZS"/>
    <s v="E-D-0.2"/>
    <n v="6"/>
    <s v="Josefina Ferens"/>
    <s v="-"/>
    <x v="0"/>
    <x v="1"/>
    <x v="1"/>
    <x v="2"/>
    <x v="2"/>
    <x v="3"/>
    <n v="3.645"/>
    <n v="3.2440500000000001"/>
    <n v="21.87"/>
    <n v="19.464300000000001"/>
    <n v="2.4056999999999995"/>
    <n v="0.10999999999999997"/>
    <x v="0"/>
  </r>
  <r>
    <s v="ASS-05878-128"/>
    <x v="210"/>
    <s v="66580-33745-OQ"/>
    <s v="E-L-0.5"/>
    <n v="2"/>
    <s v="Shelley Gehring"/>
    <s v="sgehringjl@gnu.org"/>
    <x v="0"/>
    <x v="1"/>
    <x v="1"/>
    <x v="1"/>
    <x v="1"/>
    <x v="1"/>
    <n v="8.91"/>
    <n v="7.9298999999999999"/>
    <n v="17.82"/>
    <n v="15.8598"/>
    <n v="1.9602000000000004"/>
    <n v="0.11000000000000001"/>
    <x v="1"/>
  </r>
  <r>
    <s v="EGK-03027-418"/>
    <x v="532"/>
    <s v="19820-29285-FD"/>
    <s v="E-M-0.2"/>
    <n v="3"/>
    <s v="Barrie Fallowes"/>
    <s v="bfallowesjm@purevolume.com"/>
    <x v="0"/>
    <x v="1"/>
    <x v="1"/>
    <x v="0"/>
    <x v="0"/>
    <x v="3"/>
    <n v="4.125"/>
    <n v="3.6712500000000001"/>
    <n v="12.375"/>
    <n v="11.01375"/>
    <n v="1.3612500000000001"/>
    <n v="0.11"/>
    <x v="1"/>
  </r>
  <r>
    <s v="KCY-61732-849"/>
    <x v="533"/>
    <s v="11349-55147-SN"/>
    <s v="L-D-1"/>
    <n v="2"/>
    <s v="Nicolas Aiton"/>
    <s v="-"/>
    <x v="1"/>
    <x v="3"/>
    <x v="3"/>
    <x v="2"/>
    <x v="2"/>
    <x v="0"/>
    <n v="12.95"/>
    <n v="11.266499999999999"/>
    <n v="25.9"/>
    <n v="22.532999999999998"/>
    <n v="3.3670000000000009"/>
    <n v="0.13000000000000003"/>
    <x v="1"/>
  </r>
  <r>
    <s v="BLI-21697-702"/>
    <x v="534"/>
    <s v="21141-12455-VB"/>
    <s v="A-M-0.5"/>
    <n v="2"/>
    <s v="Shelli De Banke"/>
    <s v="sdejo@newsvine.com"/>
    <x v="0"/>
    <x v="2"/>
    <x v="2"/>
    <x v="0"/>
    <x v="0"/>
    <x v="1"/>
    <n v="6.75"/>
    <n v="6.1425000000000001"/>
    <n v="13.5"/>
    <n v="12.285"/>
    <n v="1.2149999999999999"/>
    <n v="8.9999999999999983E-2"/>
    <x v="0"/>
  </r>
  <r>
    <s v="KFJ-46568-890"/>
    <x v="535"/>
    <s v="71003-85639-HB"/>
    <s v="E-L-0.5"/>
    <n v="2"/>
    <s v="Lyell Murch"/>
    <s v="-"/>
    <x v="0"/>
    <x v="1"/>
    <x v="1"/>
    <x v="1"/>
    <x v="1"/>
    <x v="1"/>
    <n v="8.91"/>
    <n v="7.9298999999999999"/>
    <n v="17.82"/>
    <n v="15.8598"/>
    <n v="1.9602000000000004"/>
    <n v="0.11000000000000001"/>
    <x v="0"/>
  </r>
  <r>
    <s v="SOK-43535-680"/>
    <x v="536"/>
    <s v="58443-95866-YO"/>
    <s v="E-M-0.5"/>
    <n v="3"/>
    <s v="Stearne Count"/>
    <s v="scountjq@nba.com"/>
    <x v="0"/>
    <x v="1"/>
    <x v="1"/>
    <x v="0"/>
    <x v="0"/>
    <x v="1"/>
    <n v="8.25"/>
    <n v="7.3425000000000002"/>
    <n v="24.75"/>
    <n v="22.0275"/>
    <n v="2.7225000000000001"/>
    <n v="0.11"/>
    <x v="1"/>
  </r>
  <r>
    <s v="XUE-87260-201"/>
    <x v="537"/>
    <s v="89646-21249-OH"/>
    <s v="R-M-0.2"/>
    <n v="6"/>
    <s v="Selia Ragles"/>
    <s v="sraglesjr@blogtalkradio.com"/>
    <x v="0"/>
    <x v="0"/>
    <x v="0"/>
    <x v="0"/>
    <x v="0"/>
    <x v="3"/>
    <n v="2.9849999999999999"/>
    <n v="2.8058999999999998"/>
    <n v="17.91"/>
    <n v="16.8354"/>
    <n v="1.0746000000000002"/>
    <n v="6.0000000000000012E-2"/>
    <x v="1"/>
  </r>
  <r>
    <s v="CZF-40873-691"/>
    <x v="61"/>
    <s v="64988-20636-XQ"/>
    <s v="E-M-0.5"/>
    <n v="2"/>
    <s v="Silas Deehan"/>
    <s v="-"/>
    <x v="2"/>
    <x v="1"/>
    <x v="1"/>
    <x v="0"/>
    <x v="0"/>
    <x v="1"/>
    <n v="8.25"/>
    <n v="7.3425000000000002"/>
    <n v="16.5"/>
    <n v="14.685"/>
    <n v="1.8149999999999995"/>
    <n v="0.10999999999999997"/>
    <x v="1"/>
  </r>
  <r>
    <s v="AIA-98989-755"/>
    <x v="242"/>
    <s v="34704-83143-KS"/>
    <s v="R-M-0.2"/>
    <n v="1"/>
    <s v="Sacha Bruun"/>
    <s v="sbruunjt@blogtalkradio.com"/>
    <x v="0"/>
    <x v="0"/>
    <x v="0"/>
    <x v="0"/>
    <x v="0"/>
    <x v="3"/>
    <n v="2.9849999999999999"/>
    <n v="2.8058999999999998"/>
    <n v="2.9849999999999999"/>
    <n v="2.8058999999999998"/>
    <n v="0.17910000000000004"/>
    <n v="6.0000000000000012E-2"/>
    <x v="1"/>
  </r>
  <r>
    <s v="ITZ-21793-986"/>
    <x v="299"/>
    <s v="67388-17544-XX"/>
    <s v="E-D-0.2"/>
    <n v="4"/>
    <s v="Alon Pllu"/>
    <s v="aplluju@dagondesign.com"/>
    <x v="1"/>
    <x v="1"/>
    <x v="1"/>
    <x v="2"/>
    <x v="2"/>
    <x v="3"/>
    <n v="3.645"/>
    <n v="3.2440500000000001"/>
    <n v="14.58"/>
    <n v="12.9762"/>
    <n v="1.6037999999999997"/>
    <n v="0.10999999999999997"/>
    <x v="0"/>
  </r>
  <r>
    <s v="YOK-93322-608"/>
    <x v="343"/>
    <s v="69411-48470-ID"/>
    <s v="E-L-1"/>
    <n v="6"/>
    <s v="Gilberto Cornier"/>
    <s v="gcornierjv@techcrunch.com"/>
    <x v="0"/>
    <x v="1"/>
    <x v="1"/>
    <x v="1"/>
    <x v="1"/>
    <x v="0"/>
    <n v="14.85"/>
    <n v="13.2165"/>
    <n v="89.1"/>
    <n v="79.299000000000007"/>
    <n v="9.8009999999999877"/>
    <n v="0.10999999999999988"/>
    <x v="1"/>
  </r>
  <r>
    <s v="LXK-00634-611"/>
    <x v="538"/>
    <s v="94091-86957-HX"/>
    <s v="R-L-1"/>
    <n v="3"/>
    <s v="Jimmy Dymoke"/>
    <s v="jdymokeje@prnewswire.com"/>
    <x v="1"/>
    <x v="0"/>
    <x v="0"/>
    <x v="1"/>
    <x v="1"/>
    <x v="0"/>
    <n v="11.95"/>
    <n v="11.232999999999999"/>
    <n v="35.849999999999994"/>
    <n v="33.698999999999998"/>
    <n v="2.1509999999999962"/>
    <n v="5.9999999999999908E-2"/>
    <x v="1"/>
  </r>
  <r>
    <s v="CQW-37388-302"/>
    <x v="539"/>
    <s v="97741-98924-KT"/>
    <s v="A-D-2.5"/>
    <n v="3"/>
    <s v="Willabella Harvison"/>
    <s v="wharvisonjx@gizmodo.com"/>
    <x v="0"/>
    <x v="2"/>
    <x v="2"/>
    <x v="2"/>
    <x v="2"/>
    <x v="2"/>
    <n v="22.884999999999998"/>
    <n v="20.82535"/>
    <n v="68.655000000000001"/>
    <n v="62.476050000000001"/>
    <n v="6.1789500000000004"/>
    <n v="9.0000000000000011E-2"/>
    <x v="1"/>
  </r>
  <r>
    <s v="SPA-79365-334"/>
    <x v="27"/>
    <s v="79857-78167-KO"/>
    <s v="L-D-1"/>
    <n v="3"/>
    <s v="Darice Heaford"/>
    <s v="dheafordjy@twitpic.com"/>
    <x v="0"/>
    <x v="3"/>
    <x v="3"/>
    <x v="2"/>
    <x v="2"/>
    <x v="0"/>
    <n v="12.95"/>
    <n v="11.266499999999999"/>
    <n v="38.849999999999994"/>
    <n v="33.799499999999995"/>
    <n v="5.0504999999999995"/>
    <n v="0.13"/>
    <x v="1"/>
  </r>
  <r>
    <s v="VPX-08817-517"/>
    <x v="540"/>
    <s v="46963-10322-ZA"/>
    <s v="L-L-1"/>
    <n v="5"/>
    <s v="Granger Fantham"/>
    <s v="gfanthamjz@hexun.com"/>
    <x v="0"/>
    <x v="3"/>
    <x v="3"/>
    <x v="1"/>
    <x v="1"/>
    <x v="0"/>
    <n v="15.85"/>
    <n v="13.7895"/>
    <n v="79.25"/>
    <n v="68.947500000000005"/>
    <n v="10.302499999999995"/>
    <n v="0.12999999999999995"/>
    <x v="0"/>
  </r>
  <r>
    <s v="PBP-87115-410"/>
    <x v="541"/>
    <s v="93812-74772-MV"/>
    <s v="E-D-0.5"/>
    <n v="5"/>
    <s v="Reynolds Crookshanks"/>
    <s v="rcrookshanksk0@unc.edu"/>
    <x v="0"/>
    <x v="1"/>
    <x v="1"/>
    <x v="2"/>
    <x v="2"/>
    <x v="1"/>
    <n v="7.29"/>
    <n v="6.4881000000000002"/>
    <n v="36.450000000000003"/>
    <n v="32.4405"/>
    <n v="4.0095000000000027"/>
    <n v="0.11000000000000007"/>
    <x v="0"/>
  </r>
  <r>
    <s v="SFB-93752-440"/>
    <x v="390"/>
    <s v="48203-23480-UB"/>
    <s v="R-M-0.2"/>
    <n v="3"/>
    <s v="Niels Leake"/>
    <s v="nleakek1@cmu.edu"/>
    <x v="0"/>
    <x v="0"/>
    <x v="0"/>
    <x v="0"/>
    <x v="0"/>
    <x v="3"/>
    <n v="2.9849999999999999"/>
    <n v="2.8058999999999998"/>
    <n v="8.9550000000000001"/>
    <n v="8.4177"/>
    <n v="0.53730000000000011"/>
    <n v="6.0000000000000012E-2"/>
    <x v="0"/>
  </r>
  <r>
    <s v="TBU-65158-068"/>
    <x v="396"/>
    <s v="60357-65386-RD"/>
    <s v="E-D-1"/>
    <n v="2"/>
    <s v="Hetti Measures"/>
    <s v="-"/>
    <x v="0"/>
    <x v="1"/>
    <x v="1"/>
    <x v="2"/>
    <x v="2"/>
    <x v="0"/>
    <n v="12.15"/>
    <n v="10.813500000000001"/>
    <n v="24.3"/>
    <n v="21.627000000000002"/>
    <n v="2.6729999999999983"/>
    <n v="0.10999999999999993"/>
    <x v="1"/>
  </r>
  <r>
    <s v="TEH-08414-216"/>
    <x v="185"/>
    <s v="35099-13971-JI"/>
    <s v="E-M-2.5"/>
    <n v="2"/>
    <s v="Gay Eilhersen"/>
    <s v="geilhersenk3@networksolutions.com"/>
    <x v="0"/>
    <x v="1"/>
    <x v="1"/>
    <x v="0"/>
    <x v="0"/>
    <x v="2"/>
    <n v="31.624999999999996"/>
    <n v="28.146249999999995"/>
    <n v="63.249999999999993"/>
    <n v="56.29249999999999"/>
    <n v="6.9575000000000031"/>
    <n v="0.11000000000000006"/>
    <x v="1"/>
  </r>
  <r>
    <s v="MAY-77231-536"/>
    <x v="542"/>
    <s v="01304-59807-OB"/>
    <s v="A-M-0.2"/>
    <n v="2"/>
    <s v="Nico Hubert"/>
    <s v="-"/>
    <x v="0"/>
    <x v="2"/>
    <x v="2"/>
    <x v="0"/>
    <x v="0"/>
    <x v="3"/>
    <n v="3.375"/>
    <n v="3.07125"/>
    <n v="6.75"/>
    <n v="6.1425000000000001"/>
    <n v="0.60749999999999993"/>
    <n v="8.9999999999999983E-2"/>
    <x v="0"/>
  </r>
  <r>
    <s v="ATY-28980-884"/>
    <x v="117"/>
    <s v="50705-17295-NK"/>
    <s v="A-L-0.2"/>
    <n v="6"/>
    <s v="Cristina Aleixo"/>
    <s v="caleixok5@globo.com"/>
    <x v="0"/>
    <x v="2"/>
    <x v="2"/>
    <x v="1"/>
    <x v="1"/>
    <x v="3"/>
    <n v="3.8849999999999998"/>
    <n v="3.5353499999999998"/>
    <n v="23.31"/>
    <n v="21.2121"/>
    <n v="2.0978999999999992"/>
    <n v="8.9999999999999969E-2"/>
    <x v="1"/>
  </r>
  <r>
    <s v="SWP-88281-918"/>
    <x v="543"/>
    <s v="77657-61366-FY"/>
    <s v="L-L-2.5"/>
    <n v="4"/>
    <s v="Derrek Allpress"/>
    <s v="-"/>
    <x v="0"/>
    <x v="3"/>
    <x v="3"/>
    <x v="1"/>
    <x v="1"/>
    <x v="2"/>
    <n v="36.454999999999998"/>
    <n v="31.71585"/>
    <n v="145.82"/>
    <n v="126.8634"/>
    <n v="18.956599999999995"/>
    <n v="0.12999999999999998"/>
    <x v="1"/>
  </r>
  <r>
    <s v="VCE-56531-986"/>
    <x v="544"/>
    <s v="57192-13428-PL"/>
    <s v="R-M-0.5"/>
    <n v="5"/>
    <s v="Rikki Tomkowicz"/>
    <s v="rtomkowiczk7@bravesites.com"/>
    <x v="1"/>
    <x v="0"/>
    <x v="0"/>
    <x v="0"/>
    <x v="0"/>
    <x v="1"/>
    <n v="5.97"/>
    <n v="5.6117999999999997"/>
    <n v="29.849999999999998"/>
    <n v="28.058999999999997"/>
    <n v="1.7910000000000004"/>
    <n v="6.0000000000000019E-2"/>
    <x v="0"/>
  </r>
  <r>
    <s v="FVV-75700-005"/>
    <x v="545"/>
    <s v="24891-77957-LU"/>
    <s v="E-D-0.5"/>
    <n v="3"/>
    <s v="Rochette Huscroft"/>
    <s v="rhuscroftk8@jimdo.com"/>
    <x v="0"/>
    <x v="1"/>
    <x v="1"/>
    <x v="2"/>
    <x v="2"/>
    <x v="1"/>
    <n v="7.29"/>
    <n v="6.4881000000000002"/>
    <n v="21.87"/>
    <n v="19.464300000000001"/>
    <n v="2.4056999999999995"/>
    <n v="0.10999999999999997"/>
    <x v="0"/>
  </r>
  <r>
    <s v="CFZ-53492-600"/>
    <x v="546"/>
    <s v="64896-18468-BT"/>
    <s v="L-M-0.2"/>
    <n v="1"/>
    <s v="Selle Scurrer"/>
    <s v="sscurrerk9@flavors.me"/>
    <x v="2"/>
    <x v="3"/>
    <x v="3"/>
    <x v="0"/>
    <x v="0"/>
    <x v="3"/>
    <n v="4.3650000000000002"/>
    <n v="3.7975500000000002"/>
    <n v="4.3650000000000002"/>
    <n v="3.7975500000000002"/>
    <n v="0.56745000000000001"/>
    <n v="0.13"/>
    <x v="1"/>
  </r>
  <r>
    <s v="LDK-71031-121"/>
    <x v="420"/>
    <s v="84761-40784-SV"/>
    <s v="L-L-2.5"/>
    <n v="1"/>
    <s v="Andie Rudram"/>
    <s v="arudramka@prnewswire.com"/>
    <x v="0"/>
    <x v="3"/>
    <x v="3"/>
    <x v="1"/>
    <x v="1"/>
    <x v="2"/>
    <n v="36.454999999999998"/>
    <n v="31.71585"/>
    <n v="36.454999999999998"/>
    <n v="31.71585"/>
    <n v="4.7391499999999986"/>
    <n v="0.12999999999999998"/>
    <x v="1"/>
  </r>
  <r>
    <s v="EBA-82404-343"/>
    <x v="547"/>
    <s v="20236-42322-CM"/>
    <s v="L-D-0.2"/>
    <n v="4"/>
    <s v="Leta Clarricoates"/>
    <s v="-"/>
    <x v="0"/>
    <x v="3"/>
    <x v="3"/>
    <x v="2"/>
    <x v="2"/>
    <x v="3"/>
    <n v="3.8849999999999998"/>
    <n v="3.37995"/>
    <n v="15.54"/>
    <n v="13.5198"/>
    <n v="2.0201999999999991"/>
    <n v="0.12999999999999995"/>
    <x v="0"/>
  </r>
  <r>
    <s v="USA-42811-560"/>
    <x v="548"/>
    <s v="49671-11547-WG"/>
    <s v="E-L-0.2"/>
    <n v="2"/>
    <s v="Jacquelyn Maha"/>
    <s v="jmahakc@cyberchimps.com"/>
    <x v="0"/>
    <x v="1"/>
    <x v="1"/>
    <x v="1"/>
    <x v="1"/>
    <x v="3"/>
    <n v="4.4550000000000001"/>
    <n v="3.96495"/>
    <n v="8.91"/>
    <n v="7.9298999999999999"/>
    <n v="0.98010000000000019"/>
    <n v="0.11000000000000001"/>
    <x v="1"/>
  </r>
  <r>
    <s v="SNL-83703-516"/>
    <x v="549"/>
    <s v="57976-33535-WK"/>
    <s v="L-M-2.5"/>
    <n v="3"/>
    <s v="Glory Clemon"/>
    <s v="gclemonkd@networksolutions.com"/>
    <x v="0"/>
    <x v="3"/>
    <x v="3"/>
    <x v="0"/>
    <x v="0"/>
    <x v="2"/>
    <n v="33.464999999999996"/>
    <n v="29.114549999999998"/>
    <n v="100.39499999999998"/>
    <n v="87.343649999999997"/>
    <n v="13.051349999999985"/>
    <n v="0.12999999999999987"/>
    <x v="0"/>
  </r>
  <r>
    <s v="SUZ-83036-175"/>
    <x v="550"/>
    <s v="55915-19477-MK"/>
    <s v="R-D-0.2"/>
    <n v="5"/>
    <s v="Alica Kift"/>
    <s v="-"/>
    <x v="0"/>
    <x v="0"/>
    <x v="0"/>
    <x v="2"/>
    <x v="2"/>
    <x v="3"/>
    <n v="2.6849999999999996"/>
    <n v="2.5238999999999998"/>
    <n v="13.424999999999997"/>
    <n v="12.619499999999999"/>
    <n v="0.80549999999999855"/>
    <n v="5.9999999999999908E-2"/>
    <x v="1"/>
  </r>
  <r>
    <s v="RGM-01187-513"/>
    <x v="551"/>
    <s v="28121-11641-UA"/>
    <s v="E-D-0.2"/>
    <n v="6"/>
    <s v="Babb Pollins"/>
    <s v="bpollinskf@shinystat.com"/>
    <x v="0"/>
    <x v="1"/>
    <x v="1"/>
    <x v="2"/>
    <x v="2"/>
    <x v="3"/>
    <n v="3.645"/>
    <n v="3.2440500000000001"/>
    <n v="21.87"/>
    <n v="19.464300000000001"/>
    <n v="2.4056999999999995"/>
    <n v="0.10999999999999997"/>
    <x v="1"/>
  </r>
  <r>
    <s v="CZG-01299-952"/>
    <x v="552"/>
    <s v="09540-70637-EV"/>
    <s v="L-D-1"/>
    <n v="2"/>
    <s v="Jarret Toye"/>
    <s v="jtoyekg@pinterest.com"/>
    <x v="1"/>
    <x v="3"/>
    <x v="3"/>
    <x v="2"/>
    <x v="2"/>
    <x v="0"/>
    <n v="12.95"/>
    <n v="11.266499999999999"/>
    <n v="25.9"/>
    <n v="22.532999999999998"/>
    <n v="3.3670000000000009"/>
    <n v="0.13000000000000003"/>
    <x v="0"/>
  </r>
  <r>
    <s v="KLD-88731-484"/>
    <x v="553"/>
    <s v="17775-77072-PP"/>
    <s v="A-M-1"/>
    <n v="5"/>
    <s v="Carlie Linskill"/>
    <s v="clinskillkh@sphinn.com"/>
    <x v="0"/>
    <x v="2"/>
    <x v="2"/>
    <x v="0"/>
    <x v="0"/>
    <x v="0"/>
    <n v="11.25"/>
    <n v="10.237500000000001"/>
    <n v="56.25"/>
    <n v="51.1875"/>
    <n v="5.0625"/>
    <n v="0.09"/>
    <x v="1"/>
  </r>
  <r>
    <s v="BQK-38412-229"/>
    <x v="554"/>
    <s v="90392-73338-BC"/>
    <s v="R-L-0.2"/>
    <n v="3"/>
    <s v="Natal Vigrass"/>
    <s v="nvigrasski@ezinearticles.com"/>
    <x v="2"/>
    <x v="0"/>
    <x v="0"/>
    <x v="1"/>
    <x v="1"/>
    <x v="3"/>
    <n v="3.5849999999999995"/>
    <n v="3.3698999999999995"/>
    <n v="10.754999999999999"/>
    <n v="10.109699999999998"/>
    <n v="0.64530000000000065"/>
    <n v="6.0000000000000067E-2"/>
    <x v="1"/>
  </r>
  <r>
    <s v="TCX-76953-071"/>
    <x v="555"/>
    <s v="94091-86957-HX"/>
    <s v="E-D-0.2"/>
    <n v="5"/>
    <s v="Jimmy Dymoke"/>
    <s v="jdymokeje@prnewswire.com"/>
    <x v="1"/>
    <x v="1"/>
    <x v="1"/>
    <x v="2"/>
    <x v="2"/>
    <x v="3"/>
    <n v="3.645"/>
    <n v="3.2440500000000001"/>
    <n v="18.225000000000001"/>
    <n v="16.22025"/>
    <n v="2.0047500000000014"/>
    <n v="0.11000000000000007"/>
    <x v="1"/>
  </r>
  <r>
    <s v="LIN-88046-551"/>
    <x v="150"/>
    <s v="10725-45724-CO"/>
    <s v="R-L-0.5"/>
    <n v="4"/>
    <s v="Kandace Cragell"/>
    <s v="kcragellkk@google.com"/>
    <x v="1"/>
    <x v="0"/>
    <x v="0"/>
    <x v="1"/>
    <x v="1"/>
    <x v="1"/>
    <n v="7.169999999999999"/>
    <n v="6.7397999999999989"/>
    <n v="28.679999999999996"/>
    <n v="26.959199999999996"/>
    <n v="1.7208000000000006"/>
    <n v="6.0000000000000026E-2"/>
    <x v="1"/>
  </r>
  <r>
    <s v="PMV-54491-220"/>
    <x v="556"/>
    <s v="87242-18006-IR"/>
    <s v="L-M-0.2"/>
    <n v="2"/>
    <s v="Lyon Ibert"/>
    <s v="libertkl@huffingtonpost.com"/>
    <x v="0"/>
    <x v="3"/>
    <x v="3"/>
    <x v="0"/>
    <x v="0"/>
    <x v="3"/>
    <n v="4.3650000000000002"/>
    <n v="3.7975500000000002"/>
    <n v="8.73"/>
    <n v="7.5951000000000004"/>
    <n v="1.1349"/>
    <n v="0.13"/>
    <x v="1"/>
  </r>
  <r>
    <s v="SKA-73676-005"/>
    <x v="327"/>
    <s v="36572-91896-PP"/>
    <s v="L-M-1"/>
    <n v="4"/>
    <s v="Reese Lidgey"/>
    <s v="rlidgeykm@vimeo.com"/>
    <x v="0"/>
    <x v="3"/>
    <x v="3"/>
    <x v="0"/>
    <x v="0"/>
    <x v="0"/>
    <n v="14.55"/>
    <n v="12.6585"/>
    <n v="58.2"/>
    <n v="50.634"/>
    <n v="7.5660000000000025"/>
    <n v="0.13000000000000003"/>
    <x v="1"/>
  </r>
  <r>
    <s v="TKH-62197-239"/>
    <x v="557"/>
    <s v="25181-97933-UX"/>
    <s v="A-D-0.5"/>
    <n v="3"/>
    <s v="Tersina Castagne"/>
    <s v="tcastagnekn@wikia.com"/>
    <x v="0"/>
    <x v="2"/>
    <x v="2"/>
    <x v="2"/>
    <x v="2"/>
    <x v="1"/>
    <n v="5.97"/>
    <n v="5.4326999999999996"/>
    <n v="17.91"/>
    <n v="16.298099999999998"/>
    <n v="1.6119000000000021"/>
    <n v="9.0000000000000122E-2"/>
    <x v="1"/>
  </r>
  <r>
    <s v="YXF-57218-272"/>
    <x v="333"/>
    <s v="55374-03175-IA"/>
    <s v="R-M-0.2"/>
    <n v="6"/>
    <s v="Samuele Klaaassen"/>
    <s v="-"/>
    <x v="0"/>
    <x v="0"/>
    <x v="0"/>
    <x v="0"/>
    <x v="0"/>
    <x v="3"/>
    <n v="2.9849999999999999"/>
    <n v="2.8058999999999998"/>
    <n v="17.91"/>
    <n v="16.8354"/>
    <n v="1.0746000000000002"/>
    <n v="6.0000000000000012E-2"/>
    <x v="0"/>
  </r>
  <r>
    <s v="PKJ-30083-501"/>
    <x v="558"/>
    <s v="76948-43532-JS"/>
    <s v="E-D-0.5"/>
    <n v="2"/>
    <s v="Jordana Halden"/>
    <s v="jhaldenkp@comcast.net"/>
    <x v="1"/>
    <x v="1"/>
    <x v="1"/>
    <x v="2"/>
    <x v="2"/>
    <x v="1"/>
    <n v="7.29"/>
    <n v="6.4881000000000002"/>
    <n v="14.58"/>
    <n v="12.9762"/>
    <n v="1.6037999999999997"/>
    <n v="0.10999999999999997"/>
    <x v="1"/>
  </r>
  <r>
    <s v="WTT-91832-645"/>
    <x v="559"/>
    <s v="24344-88599-PP"/>
    <s v="A-M-1"/>
    <n v="3"/>
    <s v="Hussein Olliff"/>
    <s v="holliffkq@sciencedirect.com"/>
    <x v="1"/>
    <x v="2"/>
    <x v="2"/>
    <x v="0"/>
    <x v="0"/>
    <x v="0"/>
    <n v="11.25"/>
    <n v="10.237500000000001"/>
    <n v="33.75"/>
    <n v="30.712500000000002"/>
    <n v="3.0374999999999979"/>
    <n v="8.9999999999999941E-2"/>
    <x v="1"/>
  </r>
  <r>
    <s v="TRZ-94735-865"/>
    <x v="310"/>
    <s v="54462-58311-YF"/>
    <s v="L-M-0.5"/>
    <n v="4"/>
    <s v="Teddi Quadri"/>
    <s v="tquadrikr@opensource.org"/>
    <x v="1"/>
    <x v="3"/>
    <x v="3"/>
    <x v="0"/>
    <x v="0"/>
    <x v="1"/>
    <n v="8.73"/>
    <n v="7.5951000000000004"/>
    <n v="34.92"/>
    <n v="30.380400000000002"/>
    <n v="4.5396000000000001"/>
    <n v="0.13"/>
    <x v="0"/>
  </r>
  <r>
    <s v="UDB-09651-780"/>
    <x v="560"/>
    <s v="90767-92589-LV"/>
    <s v="E-D-0.5"/>
    <n v="2"/>
    <s v="Felita Eshmade"/>
    <s v="feshmadeks@umn.edu"/>
    <x v="0"/>
    <x v="1"/>
    <x v="1"/>
    <x v="2"/>
    <x v="2"/>
    <x v="1"/>
    <n v="7.29"/>
    <n v="6.4881000000000002"/>
    <n v="14.58"/>
    <n v="12.9762"/>
    <n v="1.6037999999999997"/>
    <n v="0.10999999999999997"/>
    <x v="1"/>
  </r>
  <r>
    <s v="EHJ-82097-549"/>
    <x v="561"/>
    <s v="27517-43747-YD"/>
    <s v="R-D-0.2"/>
    <n v="2"/>
    <s v="Melodie OIlier"/>
    <s v="moilierkt@paginegialle.it"/>
    <x v="1"/>
    <x v="0"/>
    <x v="0"/>
    <x v="2"/>
    <x v="2"/>
    <x v="3"/>
    <n v="2.6849999999999996"/>
    <n v="2.5238999999999998"/>
    <n v="5.3699999999999992"/>
    <n v="5.0477999999999996"/>
    <n v="0.3221999999999996"/>
    <n v="5.9999999999999935E-2"/>
    <x v="0"/>
  </r>
  <r>
    <s v="ZFR-79447-696"/>
    <x v="562"/>
    <s v="77828-66867-KH"/>
    <s v="R-M-0.5"/>
    <n v="1"/>
    <s v="Hazel Iacopini"/>
    <s v="-"/>
    <x v="0"/>
    <x v="0"/>
    <x v="0"/>
    <x v="0"/>
    <x v="0"/>
    <x v="1"/>
    <n v="5.97"/>
    <n v="5.6117999999999997"/>
    <n v="5.97"/>
    <n v="5.6117999999999997"/>
    <n v="0.35820000000000007"/>
    <n v="6.0000000000000012E-2"/>
    <x v="0"/>
  </r>
  <r>
    <s v="NUU-03893-975"/>
    <x v="563"/>
    <s v="41054-59693-XE"/>
    <s v="L-L-0.5"/>
    <n v="2"/>
    <s v="Vinny Shoebotham"/>
    <s v="vshoebothamkv@redcross.org"/>
    <x v="0"/>
    <x v="3"/>
    <x v="3"/>
    <x v="1"/>
    <x v="1"/>
    <x v="1"/>
    <n v="9.51"/>
    <n v="8.2736999999999998"/>
    <n v="19.02"/>
    <n v="16.5474"/>
    <n v="2.4725999999999999"/>
    <n v="0.13"/>
    <x v="1"/>
  </r>
  <r>
    <s v="GVG-59542-307"/>
    <x v="564"/>
    <s v="26314-66792-VP"/>
    <s v="E-M-1"/>
    <n v="2"/>
    <s v="Bran Sterke"/>
    <s v="bsterkekw@biblegateway.com"/>
    <x v="0"/>
    <x v="1"/>
    <x v="1"/>
    <x v="0"/>
    <x v="0"/>
    <x v="0"/>
    <n v="13.75"/>
    <n v="12.237500000000001"/>
    <n v="27.5"/>
    <n v="24.475000000000001"/>
    <n v="3.0249999999999986"/>
    <n v="0.10999999999999995"/>
    <x v="0"/>
  </r>
  <r>
    <s v="YLY-35287-172"/>
    <x v="565"/>
    <s v="69410-04668-MA"/>
    <s v="A-D-0.5"/>
    <n v="5"/>
    <s v="Simone Capon"/>
    <s v="scaponkx@craigslist.org"/>
    <x v="0"/>
    <x v="2"/>
    <x v="2"/>
    <x v="2"/>
    <x v="2"/>
    <x v="1"/>
    <n v="5.97"/>
    <n v="5.4326999999999996"/>
    <n v="29.849999999999998"/>
    <n v="27.163499999999999"/>
    <n v="2.6864999999999988"/>
    <n v="8.9999999999999969E-2"/>
    <x v="1"/>
  </r>
  <r>
    <s v="DCI-96254-548"/>
    <x v="566"/>
    <s v="94091-86957-HX"/>
    <s v="A-D-0.2"/>
    <n v="6"/>
    <s v="Jimmy Dymoke"/>
    <s v="jdymokeje@prnewswire.com"/>
    <x v="1"/>
    <x v="2"/>
    <x v="2"/>
    <x v="2"/>
    <x v="2"/>
    <x v="3"/>
    <n v="2.9849999999999999"/>
    <n v="2.7163499999999998"/>
    <n v="17.91"/>
    <n v="16.298099999999998"/>
    <n v="1.6119000000000021"/>
    <n v="9.0000000000000122E-2"/>
    <x v="1"/>
  </r>
  <r>
    <s v="KHZ-26264-253"/>
    <x v="160"/>
    <s v="24972-55878-KX"/>
    <s v="L-L-0.2"/>
    <n v="6"/>
    <s v="Foster Constance"/>
    <s v="fconstancekz@ifeng.com"/>
    <x v="0"/>
    <x v="3"/>
    <x v="3"/>
    <x v="1"/>
    <x v="1"/>
    <x v="3"/>
    <n v="4.7549999999999999"/>
    <n v="4.1368499999999999"/>
    <n v="28.53"/>
    <n v="24.821100000000001"/>
    <n v="3.7088999999999999"/>
    <n v="0.12999999999999998"/>
    <x v="1"/>
  </r>
  <r>
    <s v="AAQ-13644-699"/>
    <x v="567"/>
    <s v="46296-42617-OQ"/>
    <s v="R-D-1"/>
    <n v="4"/>
    <s v="Fernando Sulman"/>
    <s v="fsulmanl0@washington.edu"/>
    <x v="0"/>
    <x v="0"/>
    <x v="0"/>
    <x v="2"/>
    <x v="2"/>
    <x v="0"/>
    <n v="8.9499999999999993"/>
    <n v="8.4130000000000003"/>
    <n v="35.799999999999997"/>
    <n v="33.652000000000001"/>
    <n v="2.1479999999999961"/>
    <n v="5.9999999999999894E-2"/>
    <x v="0"/>
  </r>
  <r>
    <s v="LWL-68108-794"/>
    <x v="568"/>
    <s v="44494-89923-UW"/>
    <s v="A-D-0.5"/>
    <n v="3"/>
    <s v="Dorotea Hollyman"/>
    <s v="dhollymanl1@ibm.com"/>
    <x v="0"/>
    <x v="2"/>
    <x v="2"/>
    <x v="2"/>
    <x v="2"/>
    <x v="1"/>
    <n v="5.97"/>
    <n v="5.4326999999999996"/>
    <n v="17.91"/>
    <n v="16.298099999999998"/>
    <n v="1.6119000000000021"/>
    <n v="9.0000000000000122E-2"/>
    <x v="0"/>
  </r>
  <r>
    <s v="JQT-14347-517"/>
    <x v="569"/>
    <s v="11621-09964-ID"/>
    <s v="R-D-1"/>
    <n v="1"/>
    <s v="Lorelei Nardoni"/>
    <s v="lnardonil2@hao123.com"/>
    <x v="0"/>
    <x v="0"/>
    <x v="0"/>
    <x v="2"/>
    <x v="2"/>
    <x v="0"/>
    <n v="8.9499999999999993"/>
    <n v="8.4130000000000003"/>
    <n v="8.9499999999999993"/>
    <n v="8.4130000000000003"/>
    <n v="0.53699999999999903"/>
    <n v="5.9999999999999894E-2"/>
    <x v="1"/>
  </r>
  <r>
    <s v="BMM-86471-923"/>
    <x v="570"/>
    <s v="76319-80715-II"/>
    <s v="L-D-2.5"/>
    <n v="1"/>
    <s v="Dallas Yarham"/>
    <s v="dyarhaml3@moonfruit.com"/>
    <x v="0"/>
    <x v="3"/>
    <x v="3"/>
    <x v="2"/>
    <x v="2"/>
    <x v="2"/>
    <n v="29.784999999999997"/>
    <n v="25.912949999999995"/>
    <n v="29.784999999999997"/>
    <n v="25.912949999999995"/>
    <n v="3.8720500000000015"/>
    <n v="0.13000000000000006"/>
    <x v="0"/>
  </r>
  <r>
    <s v="IXU-67272-326"/>
    <x v="571"/>
    <s v="91654-79216-IC"/>
    <s v="E-L-0.5"/>
    <n v="5"/>
    <s v="Arlana Ferrea"/>
    <s v="aferreal4@wikia.com"/>
    <x v="0"/>
    <x v="1"/>
    <x v="1"/>
    <x v="1"/>
    <x v="1"/>
    <x v="1"/>
    <n v="8.91"/>
    <n v="7.9298999999999999"/>
    <n v="44.55"/>
    <n v="39.649500000000003"/>
    <n v="4.9004999999999939"/>
    <n v="0.10999999999999988"/>
    <x v="1"/>
  </r>
  <r>
    <s v="ITE-28312-615"/>
    <x v="139"/>
    <s v="56450-21890-HK"/>
    <s v="E-L-1"/>
    <n v="6"/>
    <s v="Chuck Kendrick"/>
    <s v="ckendrickl5@webnode.com"/>
    <x v="0"/>
    <x v="1"/>
    <x v="1"/>
    <x v="1"/>
    <x v="1"/>
    <x v="0"/>
    <n v="14.85"/>
    <n v="13.2165"/>
    <n v="89.1"/>
    <n v="79.299000000000007"/>
    <n v="9.8009999999999877"/>
    <n v="0.10999999999999988"/>
    <x v="0"/>
  </r>
  <r>
    <s v="ZHQ-30471-635"/>
    <x v="303"/>
    <s v="40600-58915-WZ"/>
    <s v="L-M-0.5"/>
    <n v="5"/>
    <s v="Sharona Danilchik"/>
    <s v="sdanilchikl6@mit.edu"/>
    <x v="2"/>
    <x v="3"/>
    <x v="3"/>
    <x v="0"/>
    <x v="0"/>
    <x v="1"/>
    <n v="8.73"/>
    <n v="7.5951000000000004"/>
    <n v="43.650000000000006"/>
    <n v="37.975500000000004"/>
    <n v="5.6745000000000019"/>
    <n v="0.13000000000000003"/>
    <x v="1"/>
  </r>
  <r>
    <s v="LTP-31133-134"/>
    <x v="572"/>
    <s v="66527-94478-PB"/>
    <s v="A-L-0.5"/>
    <n v="3"/>
    <s v="Sarajane Potter"/>
    <s v="-"/>
    <x v="0"/>
    <x v="2"/>
    <x v="2"/>
    <x v="1"/>
    <x v="1"/>
    <x v="1"/>
    <n v="7.77"/>
    <n v="7.0706999999999995"/>
    <n v="23.31"/>
    <n v="21.2121"/>
    <n v="2.0978999999999992"/>
    <n v="8.9999999999999969E-2"/>
    <x v="1"/>
  </r>
  <r>
    <s v="ZVQ-26122-859"/>
    <x v="573"/>
    <s v="77154-45038-IH"/>
    <s v="A-L-2.5"/>
    <n v="6"/>
    <s v="Bobby Folomkin"/>
    <s v="bfolomkinl8@yolasite.com"/>
    <x v="0"/>
    <x v="2"/>
    <x v="2"/>
    <x v="1"/>
    <x v="1"/>
    <x v="2"/>
    <n v="29.784999999999997"/>
    <n v="27.104349999999997"/>
    <n v="178.70999999999998"/>
    <n v="162.62609999999998"/>
    <n v="16.0839"/>
    <n v="9.0000000000000011E-2"/>
    <x v="0"/>
  </r>
  <r>
    <s v="MIU-01481-194"/>
    <x v="574"/>
    <s v="08439-55669-AI"/>
    <s v="R-M-1"/>
    <n v="6"/>
    <s v="Rafferty Pursglove"/>
    <s v="rpursglovel9@biblegateway.com"/>
    <x v="0"/>
    <x v="0"/>
    <x v="0"/>
    <x v="0"/>
    <x v="0"/>
    <x v="0"/>
    <n v="9.9499999999999993"/>
    <n v="9.3529999999999998"/>
    <n v="59.699999999999996"/>
    <n v="56.117999999999995"/>
    <n v="3.5820000000000007"/>
    <n v="6.0000000000000019E-2"/>
    <x v="0"/>
  </r>
  <r>
    <s v="MIU-01481-194"/>
    <x v="574"/>
    <s v="08439-55669-AI"/>
    <s v="A-L-0.5"/>
    <n v="2"/>
    <s v="Rafferty Pursglove"/>
    <s v="rpursglovel9@biblegateway.com"/>
    <x v="0"/>
    <x v="2"/>
    <x v="2"/>
    <x v="1"/>
    <x v="1"/>
    <x v="1"/>
    <n v="7.77"/>
    <n v="7.0706999999999995"/>
    <n v="15.54"/>
    <n v="14.141399999999999"/>
    <n v="1.3986000000000001"/>
    <n v="9.0000000000000011E-2"/>
    <x v="0"/>
  </r>
  <r>
    <s v="UEA-72681-629"/>
    <x v="455"/>
    <s v="24972-55878-KX"/>
    <s v="A-L-2.5"/>
    <n v="3"/>
    <s v="Foster Constance"/>
    <s v="fconstancekz@ifeng.com"/>
    <x v="0"/>
    <x v="2"/>
    <x v="2"/>
    <x v="1"/>
    <x v="1"/>
    <x v="2"/>
    <n v="29.784999999999997"/>
    <n v="27.104349999999997"/>
    <n v="89.35499999999999"/>
    <n v="81.31304999999999"/>
    <n v="8.0419499999999999"/>
    <n v="9.0000000000000011E-2"/>
    <x v="1"/>
  </r>
  <r>
    <s v="CVE-15042-481"/>
    <x v="575"/>
    <s v="24972-55878-KX"/>
    <s v="R-L-1"/>
    <n v="2"/>
    <s v="Foster Constance"/>
    <s v="fconstancekz@ifeng.com"/>
    <x v="0"/>
    <x v="0"/>
    <x v="0"/>
    <x v="1"/>
    <x v="1"/>
    <x v="0"/>
    <n v="11.95"/>
    <n v="11.232999999999999"/>
    <n v="23.9"/>
    <n v="22.465999999999998"/>
    <n v="1.4340000000000011"/>
    <n v="6.0000000000000046E-2"/>
    <x v="1"/>
  </r>
  <r>
    <s v="EJA-79176-833"/>
    <x v="576"/>
    <s v="91509-62250-GN"/>
    <s v="R-M-2.5"/>
    <n v="6"/>
    <s v="Dalia Eburah"/>
    <s v="deburahld@google.co.jp"/>
    <x v="2"/>
    <x v="0"/>
    <x v="0"/>
    <x v="0"/>
    <x v="0"/>
    <x v="2"/>
    <n v="22.884999999999998"/>
    <n v="21.511899999999997"/>
    <n v="137.31"/>
    <n v="129.07139999999998"/>
    <n v="8.2386000000000195"/>
    <n v="6.0000000000000143E-2"/>
    <x v="1"/>
  </r>
  <r>
    <s v="AHQ-40440-522"/>
    <x v="577"/>
    <s v="83833-46106-ZC"/>
    <s v="A-D-1"/>
    <n v="1"/>
    <s v="Martie Brimilcombe"/>
    <s v="mbrimilcombele@cnn.com"/>
    <x v="0"/>
    <x v="2"/>
    <x v="2"/>
    <x v="2"/>
    <x v="2"/>
    <x v="0"/>
    <n v="9.9499999999999993"/>
    <n v="9.0544999999999991"/>
    <n v="9.9499999999999993"/>
    <n v="9.0544999999999991"/>
    <n v="0.89550000000000018"/>
    <n v="9.0000000000000024E-2"/>
    <x v="1"/>
  </r>
  <r>
    <s v="TID-21626-411"/>
    <x v="578"/>
    <s v="19383-33606-PW"/>
    <s v="R-L-0.5"/>
    <n v="3"/>
    <s v="Suzanna Bollam"/>
    <s v="sbollamlf@list-manage.com"/>
    <x v="0"/>
    <x v="0"/>
    <x v="0"/>
    <x v="1"/>
    <x v="1"/>
    <x v="1"/>
    <n v="7.169999999999999"/>
    <n v="6.7397999999999989"/>
    <n v="21.509999999999998"/>
    <n v="20.219399999999997"/>
    <n v="1.2906000000000013"/>
    <n v="6.0000000000000067E-2"/>
    <x v="1"/>
  </r>
  <r>
    <s v="RSR-96390-187"/>
    <x v="579"/>
    <s v="67052-76184-CB"/>
    <s v="E-M-1"/>
    <n v="6"/>
    <s v="Mellisa Mebes"/>
    <s v="-"/>
    <x v="0"/>
    <x v="1"/>
    <x v="1"/>
    <x v="0"/>
    <x v="0"/>
    <x v="0"/>
    <n v="13.75"/>
    <n v="12.237500000000001"/>
    <n v="82.5"/>
    <n v="73.425000000000011"/>
    <n v="9.0749999999999886"/>
    <n v="0.10999999999999986"/>
    <x v="1"/>
  </r>
  <r>
    <s v="BZE-96093-118"/>
    <x v="91"/>
    <s v="43452-18035-DH"/>
    <s v="L-M-0.2"/>
    <n v="2"/>
    <s v="Alva Filipczak"/>
    <s v="afilipczaklh@ning.com"/>
    <x v="1"/>
    <x v="3"/>
    <x v="3"/>
    <x v="0"/>
    <x v="0"/>
    <x v="3"/>
    <n v="4.3650000000000002"/>
    <n v="3.7975500000000002"/>
    <n v="8.73"/>
    <n v="7.5951000000000004"/>
    <n v="1.1349"/>
    <n v="0.13"/>
    <x v="1"/>
  </r>
  <r>
    <s v="LOU-41819-242"/>
    <x v="272"/>
    <s v="88060-50676-MV"/>
    <s v="R-M-1"/>
    <n v="2"/>
    <s v="Dorette Hinemoor"/>
    <s v="-"/>
    <x v="0"/>
    <x v="0"/>
    <x v="0"/>
    <x v="0"/>
    <x v="0"/>
    <x v="0"/>
    <n v="9.9499999999999993"/>
    <n v="9.3529999999999998"/>
    <n v="19.899999999999999"/>
    <n v="18.706"/>
    <n v="1.1939999999999991"/>
    <n v="5.9999999999999956E-2"/>
    <x v="0"/>
  </r>
  <r>
    <s v="FND-99527-640"/>
    <x v="65"/>
    <s v="89574-96203-EP"/>
    <s v="E-L-0.5"/>
    <n v="2"/>
    <s v="Rhetta Elnaugh"/>
    <s v="relnaughlj@comsenz.com"/>
    <x v="0"/>
    <x v="1"/>
    <x v="1"/>
    <x v="1"/>
    <x v="1"/>
    <x v="1"/>
    <n v="8.91"/>
    <n v="7.9298999999999999"/>
    <n v="17.82"/>
    <n v="15.8598"/>
    <n v="1.9602000000000004"/>
    <n v="0.11000000000000001"/>
    <x v="0"/>
  </r>
  <r>
    <s v="ASG-27179-958"/>
    <x v="580"/>
    <s v="12607-75113-UV"/>
    <s v="A-M-0.5"/>
    <n v="3"/>
    <s v="Jule Deehan"/>
    <s v="jdeehanlk@about.me"/>
    <x v="0"/>
    <x v="2"/>
    <x v="2"/>
    <x v="0"/>
    <x v="0"/>
    <x v="1"/>
    <n v="6.75"/>
    <n v="6.1425000000000001"/>
    <n v="20.25"/>
    <n v="18.427500000000002"/>
    <n v="1.822499999999998"/>
    <n v="8.99999999999999E-2"/>
    <x v="1"/>
  </r>
  <r>
    <s v="YKX-23510-272"/>
    <x v="581"/>
    <s v="56991-05510-PR"/>
    <s v="A-L-2.5"/>
    <n v="2"/>
    <s v="Janella Eden"/>
    <s v="jedenll@e-recht24.de"/>
    <x v="0"/>
    <x v="2"/>
    <x v="2"/>
    <x v="1"/>
    <x v="1"/>
    <x v="2"/>
    <n v="29.784999999999997"/>
    <n v="27.104349999999997"/>
    <n v="59.569999999999993"/>
    <n v="54.208699999999993"/>
    <n v="5.3613"/>
    <n v="9.0000000000000011E-2"/>
    <x v="1"/>
  </r>
  <r>
    <s v="FSA-98650-921"/>
    <x v="489"/>
    <s v="01841-48191-NL"/>
    <s v="L-L-0.5"/>
    <n v="2"/>
    <s v="Cam Jewster"/>
    <s v="cjewsterlu@moonfruit.com"/>
    <x v="0"/>
    <x v="3"/>
    <x v="3"/>
    <x v="1"/>
    <x v="1"/>
    <x v="1"/>
    <n v="9.51"/>
    <n v="8.2736999999999998"/>
    <n v="19.02"/>
    <n v="16.5474"/>
    <n v="2.4725999999999999"/>
    <n v="0.13"/>
    <x v="0"/>
  </r>
  <r>
    <s v="ZUR-55774-294"/>
    <x v="234"/>
    <s v="33269-10023-CO"/>
    <s v="L-D-1"/>
    <n v="6"/>
    <s v="Ugo Southerden"/>
    <s v="usoutherdenln@hao123.com"/>
    <x v="0"/>
    <x v="3"/>
    <x v="3"/>
    <x v="2"/>
    <x v="2"/>
    <x v="0"/>
    <n v="12.95"/>
    <n v="11.266499999999999"/>
    <n v="77.699999999999989"/>
    <n v="67.59899999999999"/>
    <n v="10.100999999999999"/>
    <n v="0.13"/>
    <x v="0"/>
  </r>
  <r>
    <s v="FUO-99821-974"/>
    <x v="175"/>
    <s v="31245-81098-PJ"/>
    <s v="E-M-1"/>
    <n v="3"/>
    <s v="Verne Dunkerley"/>
    <s v="-"/>
    <x v="0"/>
    <x v="1"/>
    <x v="1"/>
    <x v="0"/>
    <x v="0"/>
    <x v="0"/>
    <n v="13.75"/>
    <n v="12.237500000000001"/>
    <n v="41.25"/>
    <n v="36.712500000000006"/>
    <n v="4.5374999999999943"/>
    <n v="0.10999999999999986"/>
    <x v="1"/>
  </r>
  <r>
    <s v="YVH-19865-819"/>
    <x v="582"/>
    <s v="08946-56610-IH"/>
    <s v="L-L-2.5"/>
    <n v="4"/>
    <s v="Lacee Burtenshaw"/>
    <s v="lburtenshawlp@shinystat.com"/>
    <x v="0"/>
    <x v="3"/>
    <x v="3"/>
    <x v="1"/>
    <x v="1"/>
    <x v="2"/>
    <n v="36.454999999999998"/>
    <n v="31.71585"/>
    <n v="145.82"/>
    <n v="126.8634"/>
    <n v="18.956599999999995"/>
    <n v="0.12999999999999998"/>
    <x v="1"/>
  </r>
  <r>
    <s v="NNF-47422-501"/>
    <x v="583"/>
    <s v="20260-32948-EB"/>
    <s v="E-L-0.2"/>
    <n v="6"/>
    <s v="Adorne Gregoratti"/>
    <s v="agregorattilq@vistaprint.com"/>
    <x v="1"/>
    <x v="1"/>
    <x v="1"/>
    <x v="1"/>
    <x v="1"/>
    <x v="3"/>
    <n v="4.4550000000000001"/>
    <n v="3.96495"/>
    <n v="26.73"/>
    <n v="23.7897"/>
    <n v="2.9403000000000006"/>
    <n v="0.11000000000000001"/>
    <x v="1"/>
  </r>
  <r>
    <s v="RJI-71409-490"/>
    <x v="548"/>
    <s v="31613-41626-KX"/>
    <s v="L-M-0.5"/>
    <n v="5"/>
    <s v="Chris Croster"/>
    <s v="ccrosterlr@gov.uk"/>
    <x v="0"/>
    <x v="3"/>
    <x v="3"/>
    <x v="0"/>
    <x v="0"/>
    <x v="1"/>
    <n v="8.73"/>
    <n v="7.5951000000000004"/>
    <n v="43.650000000000006"/>
    <n v="37.975500000000004"/>
    <n v="5.6745000000000019"/>
    <n v="0.13000000000000003"/>
    <x v="0"/>
  </r>
  <r>
    <s v="UZL-46108-213"/>
    <x v="584"/>
    <s v="75961-20170-RD"/>
    <s v="L-L-1"/>
    <n v="2"/>
    <s v="Graeme Whitehead"/>
    <s v="gwhiteheadls@hp.com"/>
    <x v="0"/>
    <x v="3"/>
    <x v="3"/>
    <x v="1"/>
    <x v="1"/>
    <x v="0"/>
    <n v="15.85"/>
    <n v="13.7895"/>
    <n v="31.7"/>
    <n v="27.579000000000001"/>
    <n v="4.1209999999999987"/>
    <n v="0.12999999999999995"/>
    <x v="1"/>
  </r>
  <r>
    <s v="AOX-44467-109"/>
    <x v="64"/>
    <s v="72524-06410-KD"/>
    <s v="A-D-2.5"/>
    <n v="1"/>
    <s v="Haslett Jodrelle"/>
    <s v="hjodrellelt@samsung.com"/>
    <x v="0"/>
    <x v="2"/>
    <x v="2"/>
    <x v="2"/>
    <x v="2"/>
    <x v="2"/>
    <n v="22.884999999999998"/>
    <n v="20.82535"/>
    <n v="22.884999999999998"/>
    <n v="20.82535"/>
    <n v="2.0596499999999978"/>
    <n v="8.9999999999999913E-2"/>
    <x v="1"/>
  </r>
  <r>
    <s v="TZD-67261-174"/>
    <x v="585"/>
    <s v="01841-48191-NL"/>
    <s v="E-D-2.5"/>
    <n v="1"/>
    <s v="Cam Jewster"/>
    <s v="cjewsterlu@moonfruit.com"/>
    <x v="0"/>
    <x v="1"/>
    <x v="1"/>
    <x v="2"/>
    <x v="2"/>
    <x v="2"/>
    <n v="27.945"/>
    <n v="24.87105"/>
    <n v="27.945"/>
    <n v="24.87105"/>
    <n v="3.07395"/>
    <n v="0.11"/>
    <x v="0"/>
  </r>
  <r>
    <s v="TBU-64277-625"/>
    <x v="32"/>
    <s v="98918-34330-GY"/>
    <s v="E-M-1"/>
    <n v="6"/>
    <s v="Beryl Osborn"/>
    <s v="-"/>
    <x v="0"/>
    <x v="1"/>
    <x v="1"/>
    <x v="0"/>
    <x v="0"/>
    <x v="0"/>
    <n v="13.75"/>
    <n v="12.237500000000001"/>
    <n v="82.5"/>
    <n v="73.425000000000011"/>
    <n v="9.0749999999999886"/>
    <n v="0.10999999999999986"/>
    <x v="0"/>
  </r>
  <r>
    <s v="TYP-85767-944"/>
    <x v="586"/>
    <s v="51497-50894-WU"/>
    <s v="R-M-2.5"/>
    <n v="2"/>
    <s v="Kaela Nottram"/>
    <s v="knottramlw@odnoklassniki.ru"/>
    <x v="1"/>
    <x v="0"/>
    <x v="0"/>
    <x v="0"/>
    <x v="0"/>
    <x v="2"/>
    <n v="22.884999999999998"/>
    <n v="21.511899999999997"/>
    <n v="45.769999999999996"/>
    <n v="43.023799999999994"/>
    <n v="2.7462000000000018"/>
    <n v="6.0000000000000046E-2"/>
    <x v="0"/>
  </r>
  <r>
    <s v="GTT-73214-334"/>
    <x v="535"/>
    <s v="98636-90072-YE"/>
    <s v="A-L-1"/>
    <n v="6"/>
    <s v="Nobe Buney"/>
    <s v="nbuneylx@jugem.jp"/>
    <x v="0"/>
    <x v="2"/>
    <x v="2"/>
    <x v="1"/>
    <x v="1"/>
    <x v="0"/>
    <n v="12.95"/>
    <n v="11.7845"/>
    <n v="77.699999999999989"/>
    <n v="70.706999999999994"/>
    <n v="6.992999999999995"/>
    <n v="8.9999999999999955E-2"/>
    <x v="1"/>
  </r>
  <r>
    <s v="WAI-89905-069"/>
    <x v="587"/>
    <s v="47011-57815-HJ"/>
    <s v="A-L-0.5"/>
    <n v="3"/>
    <s v="Silvan McShea"/>
    <s v="smcshealy@photobucket.com"/>
    <x v="0"/>
    <x v="2"/>
    <x v="2"/>
    <x v="1"/>
    <x v="1"/>
    <x v="1"/>
    <n v="7.77"/>
    <n v="7.0706999999999995"/>
    <n v="23.31"/>
    <n v="21.2121"/>
    <n v="2.0978999999999992"/>
    <n v="8.9999999999999969E-2"/>
    <x v="1"/>
  </r>
  <r>
    <s v="OJL-96844-459"/>
    <x v="393"/>
    <s v="61253-98356-VD"/>
    <s v="L-L-0.2"/>
    <n v="5"/>
    <s v="Karylin Huddart"/>
    <s v="khuddartlz@about.com"/>
    <x v="0"/>
    <x v="3"/>
    <x v="3"/>
    <x v="1"/>
    <x v="1"/>
    <x v="3"/>
    <n v="4.7549999999999999"/>
    <n v="4.1368499999999999"/>
    <n v="23.774999999999999"/>
    <n v="20.684249999999999"/>
    <n v="3.0907499999999999"/>
    <n v="0.13"/>
    <x v="0"/>
  </r>
  <r>
    <s v="VGI-33205-360"/>
    <x v="588"/>
    <s v="96762-10814-DA"/>
    <s v="L-M-0.5"/>
    <n v="6"/>
    <s v="Jereme Gippes"/>
    <s v="jgippesm0@cloudflare.com"/>
    <x v="2"/>
    <x v="3"/>
    <x v="3"/>
    <x v="0"/>
    <x v="0"/>
    <x v="1"/>
    <n v="8.73"/>
    <n v="7.5951000000000004"/>
    <n v="52.38"/>
    <n v="45.570599999999999"/>
    <n v="6.8094000000000037"/>
    <n v="0.13000000000000006"/>
    <x v="0"/>
  </r>
  <r>
    <s v="PCA-14081-576"/>
    <x v="15"/>
    <s v="63112-10870-LC"/>
    <s v="R-L-0.2"/>
    <n v="5"/>
    <s v="Lukas Whittlesee"/>
    <s v="lwhittleseem1@e-recht24.de"/>
    <x v="0"/>
    <x v="0"/>
    <x v="0"/>
    <x v="1"/>
    <x v="1"/>
    <x v="3"/>
    <n v="3.5849999999999995"/>
    <n v="3.3698999999999995"/>
    <n v="17.924999999999997"/>
    <n v="16.849499999999999"/>
    <n v="1.0754999999999981"/>
    <n v="5.9999999999999908E-2"/>
    <x v="1"/>
  </r>
  <r>
    <s v="SCS-67069-962"/>
    <x v="507"/>
    <s v="21403-49423-PD"/>
    <s v="A-L-2.5"/>
    <n v="5"/>
    <s v="Gregorius Trengrove"/>
    <s v="gtrengrovem2@elpais.com"/>
    <x v="0"/>
    <x v="2"/>
    <x v="2"/>
    <x v="1"/>
    <x v="1"/>
    <x v="2"/>
    <n v="29.784999999999997"/>
    <n v="27.104349999999997"/>
    <n v="148.92499999999998"/>
    <n v="135.52175"/>
    <n v="13.403249999999986"/>
    <n v="8.9999999999999913E-2"/>
    <x v="1"/>
  </r>
  <r>
    <s v="BDM-03174-485"/>
    <x v="533"/>
    <s v="29581-13303-VB"/>
    <s v="R-L-0.5"/>
    <n v="4"/>
    <s v="Wright Caldero"/>
    <s v="wcalderom3@stumbleupon.com"/>
    <x v="0"/>
    <x v="0"/>
    <x v="0"/>
    <x v="1"/>
    <x v="1"/>
    <x v="1"/>
    <n v="7.169999999999999"/>
    <n v="6.7397999999999989"/>
    <n v="28.679999999999996"/>
    <n v="26.959199999999996"/>
    <n v="1.7208000000000006"/>
    <n v="6.0000000000000026E-2"/>
    <x v="1"/>
  </r>
  <r>
    <s v="UJV-32333-364"/>
    <x v="589"/>
    <s v="86110-83695-YS"/>
    <s v="L-L-0.5"/>
    <n v="1"/>
    <s v="Merell Zanazzi"/>
    <s v="-"/>
    <x v="0"/>
    <x v="3"/>
    <x v="3"/>
    <x v="1"/>
    <x v="1"/>
    <x v="1"/>
    <n v="9.51"/>
    <n v="8.2736999999999998"/>
    <n v="9.51"/>
    <n v="8.2736999999999998"/>
    <n v="1.2363"/>
    <n v="0.13"/>
    <x v="1"/>
  </r>
  <r>
    <s v="FLI-11493-954"/>
    <x v="590"/>
    <s v="80454-42225-FT"/>
    <s v="A-L-0.5"/>
    <n v="4"/>
    <s v="Jed Kennicott"/>
    <s v="jkennicottm5@yahoo.co.jp"/>
    <x v="0"/>
    <x v="2"/>
    <x v="2"/>
    <x v="1"/>
    <x v="1"/>
    <x v="1"/>
    <n v="7.77"/>
    <n v="7.0706999999999995"/>
    <n v="31.08"/>
    <n v="28.282799999999998"/>
    <n v="2.7972000000000001"/>
    <n v="9.0000000000000011E-2"/>
    <x v="1"/>
  </r>
  <r>
    <s v="IWL-13117-537"/>
    <x v="457"/>
    <s v="29129-60664-KO"/>
    <s v="R-D-0.2"/>
    <n v="3"/>
    <s v="Guenevere Ruggen"/>
    <s v="gruggenm6@nymag.com"/>
    <x v="0"/>
    <x v="0"/>
    <x v="0"/>
    <x v="2"/>
    <x v="2"/>
    <x v="3"/>
    <n v="2.6849999999999996"/>
    <n v="2.5238999999999998"/>
    <n v="8.0549999999999997"/>
    <n v="7.5716999999999999"/>
    <n v="0.48329999999999984"/>
    <n v="5.9999999999999984E-2"/>
    <x v="0"/>
  </r>
  <r>
    <s v="OAM-76916-748"/>
    <x v="591"/>
    <s v="63025-62939-AN"/>
    <s v="E-D-1"/>
    <n v="3"/>
    <s v="Gonzales Cicculi"/>
    <s v="-"/>
    <x v="0"/>
    <x v="1"/>
    <x v="1"/>
    <x v="2"/>
    <x v="2"/>
    <x v="0"/>
    <n v="12.15"/>
    <n v="10.813500000000001"/>
    <n v="36.450000000000003"/>
    <n v="32.4405"/>
    <n v="4.0095000000000027"/>
    <n v="0.11000000000000007"/>
    <x v="0"/>
  </r>
  <r>
    <s v="UMB-11223-710"/>
    <x v="592"/>
    <s v="49012-12987-QT"/>
    <s v="R-D-0.2"/>
    <n v="6"/>
    <s v="Man Fright"/>
    <s v="mfrightm8@harvard.edu"/>
    <x v="1"/>
    <x v="0"/>
    <x v="0"/>
    <x v="2"/>
    <x v="2"/>
    <x v="3"/>
    <n v="2.6849999999999996"/>
    <n v="2.5238999999999998"/>
    <n v="16.11"/>
    <n v="15.1434"/>
    <n v="0.96659999999999968"/>
    <n v="5.9999999999999984E-2"/>
    <x v="1"/>
  </r>
  <r>
    <s v="LXR-09892-726"/>
    <x v="402"/>
    <s v="50924-94200-SQ"/>
    <s v="R-D-2.5"/>
    <n v="2"/>
    <s v="Boyce Tarte"/>
    <s v="btartem9@aol.com"/>
    <x v="0"/>
    <x v="0"/>
    <x v="0"/>
    <x v="2"/>
    <x v="2"/>
    <x v="2"/>
    <n v="20.584999999999997"/>
    <n v="19.349899999999998"/>
    <n v="41.169999999999995"/>
    <n v="38.699799999999996"/>
    <n v="2.4701999999999984"/>
    <n v="5.999999999999997E-2"/>
    <x v="0"/>
  </r>
  <r>
    <s v="QXX-89943-393"/>
    <x v="593"/>
    <s v="15673-18812-IU"/>
    <s v="R-D-0.2"/>
    <n v="4"/>
    <s v="Caddric Krzysztofiak"/>
    <s v="ckrzysztofiakma@skyrock.com"/>
    <x v="0"/>
    <x v="0"/>
    <x v="0"/>
    <x v="2"/>
    <x v="2"/>
    <x v="3"/>
    <n v="2.6849999999999996"/>
    <n v="2.5238999999999998"/>
    <n v="10.739999999999998"/>
    <n v="10.095599999999999"/>
    <n v="0.6443999999999992"/>
    <n v="5.9999999999999935E-2"/>
    <x v="1"/>
  </r>
  <r>
    <s v="WVS-57822-366"/>
    <x v="594"/>
    <s v="52151-75971-YY"/>
    <s v="E-M-2.5"/>
    <n v="4"/>
    <s v="Darn Penquet"/>
    <s v="dpenquetmb@diigo.com"/>
    <x v="0"/>
    <x v="1"/>
    <x v="1"/>
    <x v="0"/>
    <x v="0"/>
    <x v="2"/>
    <n v="31.624999999999996"/>
    <n v="28.146249999999995"/>
    <n v="126.49999999999999"/>
    <n v="112.58499999999998"/>
    <n v="13.915000000000006"/>
    <n v="0.11000000000000006"/>
    <x v="1"/>
  </r>
  <r>
    <s v="CLJ-23403-689"/>
    <x v="77"/>
    <s v="19413-02045-CG"/>
    <s v="R-L-1"/>
    <n v="2"/>
    <s v="Jammie Cloke"/>
    <s v="-"/>
    <x v="2"/>
    <x v="0"/>
    <x v="0"/>
    <x v="1"/>
    <x v="1"/>
    <x v="0"/>
    <n v="11.95"/>
    <n v="11.232999999999999"/>
    <n v="23.9"/>
    <n v="22.465999999999998"/>
    <n v="1.4340000000000011"/>
    <n v="6.0000000000000046E-2"/>
    <x v="1"/>
  </r>
  <r>
    <s v="XNU-83276-288"/>
    <x v="595"/>
    <s v="98185-92775-KT"/>
    <s v="R-M-0.5"/>
    <n v="1"/>
    <s v="Chester Clowton"/>
    <s v="-"/>
    <x v="0"/>
    <x v="0"/>
    <x v="0"/>
    <x v="0"/>
    <x v="0"/>
    <x v="1"/>
    <n v="5.97"/>
    <n v="5.6117999999999997"/>
    <n v="5.97"/>
    <n v="5.6117999999999997"/>
    <n v="0.35820000000000007"/>
    <n v="6.0000000000000012E-2"/>
    <x v="1"/>
  </r>
  <r>
    <s v="YOG-94666-679"/>
    <x v="596"/>
    <s v="86991-53901-AT"/>
    <s v="L-D-0.2"/>
    <n v="2"/>
    <s v="Kathleen Diable"/>
    <s v="-"/>
    <x v="2"/>
    <x v="3"/>
    <x v="3"/>
    <x v="2"/>
    <x v="2"/>
    <x v="3"/>
    <n v="3.8849999999999998"/>
    <n v="3.37995"/>
    <n v="7.77"/>
    <n v="6.7599"/>
    <n v="1.0100999999999996"/>
    <n v="0.12999999999999995"/>
    <x v="0"/>
  </r>
  <r>
    <s v="KHG-33953-115"/>
    <x v="514"/>
    <s v="78226-97287-JI"/>
    <s v="L-D-0.5"/>
    <n v="3"/>
    <s v="Koren Ferretti"/>
    <s v="kferrettimf@huffingtonpost.com"/>
    <x v="1"/>
    <x v="3"/>
    <x v="3"/>
    <x v="2"/>
    <x v="2"/>
    <x v="1"/>
    <n v="7.77"/>
    <n v="6.7599"/>
    <n v="23.31"/>
    <n v="20.279699999999998"/>
    <n v="3.0303000000000004"/>
    <n v="0.13000000000000003"/>
    <x v="1"/>
  </r>
  <r>
    <s v="MHD-95615-696"/>
    <x v="54"/>
    <s v="27930-59250-JT"/>
    <s v="R-L-2.5"/>
    <n v="5"/>
    <s v="Allis Wilmore"/>
    <s v="-"/>
    <x v="0"/>
    <x v="0"/>
    <x v="0"/>
    <x v="1"/>
    <x v="1"/>
    <x v="2"/>
    <n v="27.484999999999996"/>
    <n v="25.835899999999995"/>
    <n v="137.42499999999998"/>
    <n v="129.17949999999996"/>
    <n v="8.2455000000000211"/>
    <n v="6.0000000000000164E-2"/>
    <x v="1"/>
  </r>
  <r>
    <s v="HBH-64794-080"/>
    <x v="597"/>
    <s v="40560-18556-YE"/>
    <s v="R-D-0.2"/>
    <n v="3"/>
    <s v="Chaddie Bennie"/>
    <s v="-"/>
    <x v="0"/>
    <x v="0"/>
    <x v="0"/>
    <x v="2"/>
    <x v="2"/>
    <x v="3"/>
    <n v="2.6849999999999996"/>
    <n v="2.5238999999999998"/>
    <n v="8.0549999999999997"/>
    <n v="7.5716999999999999"/>
    <n v="0.48329999999999984"/>
    <n v="5.9999999999999984E-2"/>
    <x v="0"/>
  </r>
  <r>
    <s v="CNJ-56058-223"/>
    <x v="105"/>
    <s v="40780-22081-LX"/>
    <s v="L-L-0.5"/>
    <n v="3"/>
    <s v="Alberta Balsdone"/>
    <s v="abalsdonemi@toplist.cz"/>
    <x v="0"/>
    <x v="3"/>
    <x v="3"/>
    <x v="1"/>
    <x v="1"/>
    <x v="1"/>
    <n v="9.51"/>
    <n v="8.2736999999999998"/>
    <n v="28.53"/>
    <n v="24.821100000000001"/>
    <n v="3.7088999999999999"/>
    <n v="0.12999999999999998"/>
    <x v="1"/>
  </r>
  <r>
    <s v="KHO-27106-786"/>
    <x v="210"/>
    <s v="01603-43789-TN"/>
    <s v="A-M-1"/>
    <n v="6"/>
    <s v="Brice Romera"/>
    <s v="bromeramj@list-manage.com"/>
    <x v="1"/>
    <x v="2"/>
    <x v="2"/>
    <x v="0"/>
    <x v="0"/>
    <x v="0"/>
    <n v="11.25"/>
    <n v="10.237500000000001"/>
    <n v="67.5"/>
    <n v="61.425000000000004"/>
    <n v="6.0749999999999957"/>
    <n v="8.9999999999999941E-2"/>
    <x v="0"/>
  </r>
  <r>
    <s v="KHO-27106-786"/>
    <x v="210"/>
    <s v="01603-43789-TN"/>
    <s v="L-D-2.5"/>
    <n v="6"/>
    <s v="Brice Romera"/>
    <s v="bromeramj@list-manage.com"/>
    <x v="1"/>
    <x v="3"/>
    <x v="3"/>
    <x v="2"/>
    <x v="2"/>
    <x v="2"/>
    <n v="29.784999999999997"/>
    <n v="25.912949999999995"/>
    <n v="178.70999999999998"/>
    <n v="155.47769999999997"/>
    <n v="23.232300000000009"/>
    <n v="0.13000000000000006"/>
    <x v="0"/>
  </r>
  <r>
    <s v="YAC-50329-982"/>
    <x v="598"/>
    <s v="75419-92838-TI"/>
    <s v="E-M-2.5"/>
    <n v="1"/>
    <s v="Conchita Bryde"/>
    <s v="cbrydeml@tuttocitta.it"/>
    <x v="0"/>
    <x v="1"/>
    <x v="1"/>
    <x v="0"/>
    <x v="0"/>
    <x v="2"/>
    <n v="31.624999999999996"/>
    <n v="28.146249999999995"/>
    <n v="31.624999999999996"/>
    <n v="28.146249999999995"/>
    <n v="3.4787500000000016"/>
    <n v="0.11000000000000006"/>
    <x v="0"/>
  </r>
  <r>
    <s v="VVL-95291-039"/>
    <x v="360"/>
    <s v="96516-97464-MF"/>
    <s v="E-L-0.2"/>
    <n v="2"/>
    <s v="Silvanus Enefer"/>
    <s v="senefermm@blog.com"/>
    <x v="0"/>
    <x v="1"/>
    <x v="1"/>
    <x v="1"/>
    <x v="1"/>
    <x v="3"/>
    <n v="4.4550000000000001"/>
    <n v="3.96495"/>
    <n v="8.91"/>
    <n v="7.9298999999999999"/>
    <n v="0.98010000000000019"/>
    <n v="0.11000000000000001"/>
    <x v="1"/>
  </r>
  <r>
    <s v="VUT-20974-364"/>
    <x v="62"/>
    <s v="90285-56295-PO"/>
    <s v="R-M-0.5"/>
    <n v="6"/>
    <s v="Lenci Haggerstone"/>
    <s v="lhaggerstonemn@independent.co.uk"/>
    <x v="0"/>
    <x v="0"/>
    <x v="0"/>
    <x v="0"/>
    <x v="0"/>
    <x v="1"/>
    <n v="5.97"/>
    <n v="5.6117999999999997"/>
    <n v="35.82"/>
    <n v="33.6708"/>
    <n v="2.1492000000000004"/>
    <n v="6.0000000000000012E-2"/>
    <x v="1"/>
  </r>
  <r>
    <s v="SFC-34054-213"/>
    <x v="599"/>
    <s v="08100-71102-HQ"/>
    <s v="L-L-0.5"/>
    <n v="4"/>
    <s v="Marvin Gundry"/>
    <s v="mgundrymo@omniture.com"/>
    <x v="1"/>
    <x v="3"/>
    <x v="3"/>
    <x v="1"/>
    <x v="1"/>
    <x v="1"/>
    <n v="9.51"/>
    <n v="8.2736999999999998"/>
    <n v="38.04"/>
    <n v="33.094799999999999"/>
    <n v="4.9451999999999998"/>
    <n v="0.13"/>
    <x v="1"/>
  </r>
  <r>
    <s v="UDS-04807-593"/>
    <x v="600"/>
    <s v="84074-28110-OV"/>
    <s v="L-D-0.5"/>
    <n v="2"/>
    <s v="Bayard Wellan"/>
    <s v="bwellanmp@cafepress.com"/>
    <x v="0"/>
    <x v="3"/>
    <x v="3"/>
    <x v="2"/>
    <x v="2"/>
    <x v="1"/>
    <n v="7.77"/>
    <n v="6.7599"/>
    <n v="15.54"/>
    <n v="13.5198"/>
    <n v="2.0201999999999991"/>
    <n v="0.12999999999999995"/>
    <x v="1"/>
  </r>
  <r>
    <s v="FWE-98471-488"/>
    <x v="601"/>
    <s v="27930-59250-JT"/>
    <s v="L-L-1"/>
    <n v="5"/>
    <s v="Allis Wilmore"/>
    <s v="-"/>
    <x v="0"/>
    <x v="3"/>
    <x v="3"/>
    <x v="1"/>
    <x v="1"/>
    <x v="0"/>
    <n v="15.85"/>
    <n v="13.7895"/>
    <n v="79.25"/>
    <n v="68.947500000000005"/>
    <n v="10.302499999999995"/>
    <n v="0.12999999999999995"/>
    <x v="1"/>
  </r>
  <r>
    <s v="RAU-17060-674"/>
    <x v="602"/>
    <s v="12747-63766-EU"/>
    <s v="L-L-0.2"/>
    <n v="1"/>
    <s v="Caddric Atcheson"/>
    <s v="catchesonmr@xinhuanet.com"/>
    <x v="0"/>
    <x v="3"/>
    <x v="3"/>
    <x v="1"/>
    <x v="1"/>
    <x v="3"/>
    <n v="4.7549999999999999"/>
    <n v="4.1368499999999999"/>
    <n v="4.7549999999999999"/>
    <n v="4.1368499999999999"/>
    <n v="0.61814999999999998"/>
    <n v="0.13"/>
    <x v="0"/>
  </r>
  <r>
    <s v="AOL-13866-711"/>
    <x v="603"/>
    <s v="83490-88357-LJ"/>
    <s v="E-M-1"/>
    <n v="4"/>
    <s v="Eustace Stenton"/>
    <s v="estentonms@google.it"/>
    <x v="0"/>
    <x v="1"/>
    <x v="1"/>
    <x v="0"/>
    <x v="0"/>
    <x v="0"/>
    <n v="13.75"/>
    <n v="12.237500000000001"/>
    <n v="55"/>
    <n v="48.95"/>
    <n v="6.0499999999999972"/>
    <n v="0.10999999999999995"/>
    <x v="0"/>
  </r>
  <r>
    <s v="NOA-79645-377"/>
    <x v="604"/>
    <s v="53729-30320-XZ"/>
    <s v="R-D-0.5"/>
    <n v="5"/>
    <s v="Ericka Tripp"/>
    <s v="etrippmt@wp.com"/>
    <x v="0"/>
    <x v="0"/>
    <x v="0"/>
    <x v="2"/>
    <x v="2"/>
    <x v="1"/>
    <n v="5.3699999999999992"/>
    <n v="5.0477999999999996"/>
    <n v="26.849999999999994"/>
    <n v="25.238999999999997"/>
    <n v="1.6109999999999971"/>
    <n v="5.9999999999999908E-2"/>
    <x v="1"/>
  </r>
  <r>
    <s v="KMS-49214-806"/>
    <x v="605"/>
    <s v="50384-52703-LA"/>
    <s v="E-L-2.5"/>
    <n v="4"/>
    <s v="Lyndsey MacManus"/>
    <s v="lmacmanusmu@imdb.com"/>
    <x v="0"/>
    <x v="1"/>
    <x v="1"/>
    <x v="1"/>
    <x v="1"/>
    <x v="2"/>
    <n v="34.154999999999994"/>
    <n v="30.397949999999994"/>
    <n v="136.61999999999998"/>
    <n v="121.59179999999998"/>
    <n v="15.028199999999998"/>
    <n v="0.11"/>
    <x v="1"/>
  </r>
  <r>
    <s v="ABK-08091-531"/>
    <x v="606"/>
    <s v="53864-36201-FG"/>
    <s v="L-L-1"/>
    <n v="3"/>
    <s v="Tess Benediktovich"/>
    <s v="tbenediktovichmv@ebay.com"/>
    <x v="0"/>
    <x v="3"/>
    <x v="3"/>
    <x v="1"/>
    <x v="1"/>
    <x v="0"/>
    <n v="15.85"/>
    <n v="13.7895"/>
    <n v="47.55"/>
    <n v="41.368499999999997"/>
    <n v="6.1814999999999998"/>
    <n v="0.13"/>
    <x v="0"/>
  </r>
  <r>
    <s v="GPT-67705-953"/>
    <x v="446"/>
    <s v="70631-33225-MZ"/>
    <s v="A-M-0.2"/>
    <n v="5"/>
    <s v="Correy Bourner"/>
    <s v="cbournermw@chronoengine.com"/>
    <x v="0"/>
    <x v="2"/>
    <x v="2"/>
    <x v="0"/>
    <x v="0"/>
    <x v="3"/>
    <n v="3.375"/>
    <n v="3.07125"/>
    <n v="16.875"/>
    <n v="15.356249999999999"/>
    <n v="1.5187500000000007"/>
    <n v="9.0000000000000038E-2"/>
    <x v="0"/>
  </r>
  <r>
    <s v="JNA-21450-177"/>
    <x v="18"/>
    <s v="54798-14109-HC"/>
    <s v="A-D-1"/>
    <n v="3"/>
    <s v="Odelia Skerme"/>
    <s v="oskermen3@hatena.ne.jp"/>
    <x v="0"/>
    <x v="2"/>
    <x v="2"/>
    <x v="2"/>
    <x v="2"/>
    <x v="0"/>
    <n v="9.9499999999999993"/>
    <n v="9.0544999999999991"/>
    <n v="29.849999999999998"/>
    <n v="27.163499999999999"/>
    <n v="2.6864999999999988"/>
    <n v="8.9999999999999969E-2"/>
    <x v="0"/>
  </r>
  <r>
    <s v="MPQ-23421-608"/>
    <x v="180"/>
    <s v="08023-52962-ET"/>
    <s v="E-M-0.5"/>
    <n v="5"/>
    <s v="Kandy Heddan"/>
    <s v="kheddanmy@icq.com"/>
    <x v="0"/>
    <x v="1"/>
    <x v="1"/>
    <x v="0"/>
    <x v="0"/>
    <x v="1"/>
    <n v="8.25"/>
    <n v="7.3425000000000002"/>
    <n v="41.25"/>
    <n v="36.712499999999999"/>
    <n v="4.5375000000000014"/>
    <n v="0.11000000000000003"/>
    <x v="0"/>
  </r>
  <r>
    <s v="NLI-63891-565"/>
    <x v="580"/>
    <s v="41899-00283-VK"/>
    <s v="E-M-0.2"/>
    <n v="5"/>
    <s v="Ibby Charters"/>
    <s v="ichartersmz@abc.net.au"/>
    <x v="0"/>
    <x v="1"/>
    <x v="1"/>
    <x v="0"/>
    <x v="0"/>
    <x v="3"/>
    <n v="4.125"/>
    <n v="3.6712500000000001"/>
    <n v="20.625"/>
    <n v="18.356249999999999"/>
    <n v="2.2687500000000007"/>
    <n v="0.11000000000000003"/>
    <x v="1"/>
  </r>
  <r>
    <s v="HHF-36647-854"/>
    <x v="453"/>
    <s v="39011-18412-GR"/>
    <s v="A-D-2.5"/>
    <n v="6"/>
    <s v="Adora Roubert"/>
    <s v="aroubertn0@tmall.com"/>
    <x v="0"/>
    <x v="2"/>
    <x v="2"/>
    <x v="2"/>
    <x v="2"/>
    <x v="2"/>
    <n v="22.884999999999998"/>
    <n v="20.82535"/>
    <n v="137.31"/>
    <n v="124.9521"/>
    <n v="12.357900000000001"/>
    <n v="9.0000000000000011E-2"/>
    <x v="0"/>
  </r>
  <r>
    <s v="SBN-16537-046"/>
    <x v="259"/>
    <s v="60255-12579-PZ"/>
    <s v="A-D-0.2"/>
    <n v="1"/>
    <s v="Hillel Mairs"/>
    <s v="hmairsn1@so-net.ne.jp"/>
    <x v="0"/>
    <x v="2"/>
    <x v="2"/>
    <x v="2"/>
    <x v="2"/>
    <x v="3"/>
    <n v="2.9849999999999999"/>
    <n v="2.7163499999999998"/>
    <n v="2.9849999999999999"/>
    <n v="2.7163499999999998"/>
    <n v="0.26865000000000006"/>
    <n v="9.0000000000000024E-2"/>
    <x v="1"/>
  </r>
  <r>
    <s v="XZD-44484-632"/>
    <x v="607"/>
    <s v="80541-38332-BP"/>
    <s v="E-M-1"/>
    <n v="2"/>
    <s v="Helaina Rainforth"/>
    <s v="hrainforthn2@blog.com"/>
    <x v="0"/>
    <x v="1"/>
    <x v="1"/>
    <x v="0"/>
    <x v="0"/>
    <x v="0"/>
    <n v="13.75"/>
    <n v="12.237500000000001"/>
    <n v="27.5"/>
    <n v="24.475000000000001"/>
    <n v="3.0249999999999986"/>
    <n v="0.10999999999999995"/>
    <x v="1"/>
  </r>
  <r>
    <s v="XZD-44484-632"/>
    <x v="607"/>
    <s v="80541-38332-BP"/>
    <s v="A-D-0.2"/>
    <n v="2"/>
    <s v="Helaina Rainforth"/>
    <s v="hrainforthn2@blog.com"/>
    <x v="0"/>
    <x v="2"/>
    <x v="2"/>
    <x v="2"/>
    <x v="2"/>
    <x v="3"/>
    <n v="2.9849999999999999"/>
    <n v="2.7163499999999998"/>
    <n v="5.97"/>
    <n v="5.4326999999999996"/>
    <n v="0.53730000000000011"/>
    <n v="9.0000000000000024E-2"/>
    <x v="1"/>
  </r>
  <r>
    <s v="IKQ-39946-768"/>
    <x v="385"/>
    <s v="72778-50968-UQ"/>
    <s v="R-M-1"/>
    <n v="6"/>
    <s v="Isac Jesper"/>
    <s v="ijespern4@theglobeandmail.com"/>
    <x v="0"/>
    <x v="0"/>
    <x v="0"/>
    <x v="0"/>
    <x v="0"/>
    <x v="0"/>
    <n v="9.9499999999999993"/>
    <n v="9.3529999999999998"/>
    <n v="59.699999999999996"/>
    <n v="56.117999999999995"/>
    <n v="3.5820000000000007"/>
    <n v="6.0000000000000019E-2"/>
    <x v="1"/>
  </r>
  <r>
    <s v="KMB-95211-174"/>
    <x v="608"/>
    <s v="23941-30203-MO"/>
    <s v="R-D-2.5"/>
    <n v="4"/>
    <s v="Lenette Dwerryhouse"/>
    <s v="ldwerryhousen5@gravatar.com"/>
    <x v="0"/>
    <x v="0"/>
    <x v="0"/>
    <x v="2"/>
    <x v="2"/>
    <x v="2"/>
    <n v="20.584999999999997"/>
    <n v="19.349899999999998"/>
    <n v="82.339999999999989"/>
    <n v="77.399599999999992"/>
    <n v="4.9403999999999968"/>
    <n v="5.999999999999997E-2"/>
    <x v="0"/>
  </r>
  <r>
    <s v="QWY-99467-368"/>
    <x v="609"/>
    <s v="96434-50068-DZ"/>
    <s v="A-D-2.5"/>
    <n v="1"/>
    <s v="Nadeen Broomer"/>
    <s v="nbroomern6@examiner.com"/>
    <x v="0"/>
    <x v="2"/>
    <x v="2"/>
    <x v="2"/>
    <x v="2"/>
    <x v="2"/>
    <n v="22.884999999999998"/>
    <n v="20.82535"/>
    <n v="22.884999999999998"/>
    <n v="20.82535"/>
    <n v="2.0596499999999978"/>
    <n v="8.9999999999999913E-2"/>
    <x v="1"/>
  </r>
  <r>
    <s v="SRG-76791-614"/>
    <x v="147"/>
    <s v="11729-74102-XB"/>
    <s v="E-L-0.5"/>
    <n v="1"/>
    <s v="Konstantine Thoumasson"/>
    <s v="kthoumassonn7@bloglovin.com"/>
    <x v="0"/>
    <x v="1"/>
    <x v="1"/>
    <x v="1"/>
    <x v="1"/>
    <x v="1"/>
    <n v="8.91"/>
    <n v="7.9298999999999999"/>
    <n v="8.91"/>
    <n v="7.9298999999999999"/>
    <n v="0.98010000000000019"/>
    <n v="0.11000000000000001"/>
    <x v="0"/>
  </r>
  <r>
    <s v="VSN-94485-621"/>
    <x v="172"/>
    <s v="88116-12604-TE"/>
    <s v="A-D-0.2"/>
    <n v="4"/>
    <s v="Frans Habbergham"/>
    <s v="fhabberghamn8@discovery.com"/>
    <x v="0"/>
    <x v="2"/>
    <x v="2"/>
    <x v="2"/>
    <x v="2"/>
    <x v="3"/>
    <n v="2.9849999999999999"/>
    <n v="2.7163499999999998"/>
    <n v="11.94"/>
    <n v="10.865399999999999"/>
    <n v="1.0746000000000002"/>
    <n v="9.0000000000000024E-2"/>
    <x v="1"/>
  </r>
  <r>
    <s v="UFZ-24348-219"/>
    <x v="610"/>
    <s v="27930-59250-JT"/>
    <s v="L-M-2.5"/>
    <n v="3"/>
    <s v="Allis Wilmore"/>
    <s v="-"/>
    <x v="0"/>
    <x v="3"/>
    <x v="3"/>
    <x v="0"/>
    <x v="0"/>
    <x v="2"/>
    <n v="33.464999999999996"/>
    <n v="29.114549999999998"/>
    <n v="100.39499999999998"/>
    <n v="87.343649999999997"/>
    <n v="13.051349999999985"/>
    <n v="0.12999999999999987"/>
    <x v="1"/>
  </r>
  <r>
    <s v="UKS-93055-397"/>
    <x v="611"/>
    <s v="13082-41034-PD"/>
    <s v="A-D-2.5"/>
    <n v="5"/>
    <s v="Romain Avrashin"/>
    <s v="ravrashinna@tamu.edu"/>
    <x v="0"/>
    <x v="2"/>
    <x v="2"/>
    <x v="2"/>
    <x v="2"/>
    <x v="2"/>
    <n v="22.884999999999998"/>
    <n v="20.82535"/>
    <n v="114.42499999999998"/>
    <n v="104.12675"/>
    <n v="10.298249999999982"/>
    <n v="8.9999999999999858E-2"/>
    <x v="1"/>
  </r>
  <r>
    <s v="AVH-56062-335"/>
    <x v="612"/>
    <s v="18082-74419-QH"/>
    <s v="E-M-0.5"/>
    <n v="5"/>
    <s v="Miran Doidge"/>
    <s v="mdoidgenb@etsy.com"/>
    <x v="0"/>
    <x v="1"/>
    <x v="1"/>
    <x v="0"/>
    <x v="0"/>
    <x v="1"/>
    <n v="8.25"/>
    <n v="7.3425000000000002"/>
    <n v="41.25"/>
    <n v="36.712499999999999"/>
    <n v="4.5375000000000014"/>
    <n v="0.11000000000000003"/>
    <x v="1"/>
  </r>
  <r>
    <s v="HGE-19842-613"/>
    <x v="613"/>
    <s v="49401-45041-ZU"/>
    <s v="R-L-0.5"/>
    <n v="4"/>
    <s v="Janeva Edinboro"/>
    <s v="jedinboronc@reverbnation.com"/>
    <x v="0"/>
    <x v="0"/>
    <x v="0"/>
    <x v="1"/>
    <x v="1"/>
    <x v="1"/>
    <n v="7.169999999999999"/>
    <n v="6.7397999999999989"/>
    <n v="28.679999999999996"/>
    <n v="26.959199999999996"/>
    <n v="1.7208000000000006"/>
    <n v="6.0000000000000026E-2"/>
    <x v="0"/>
  </r>
  <r>
    <s v="WBA-85905-175"/>
    <x v="611"/>
    <s v="41252-45992-VS"/>
    <s v="L-M-0.2"/>
    <n v="1"/>
    <s v="Trumaine Tewelson"/>
    <s v="ttewelsonnd@cdbaby.com"/>
    <x v="0"/>
    <x v="3"/>
    <x v="3"/>
    <x v="0"/>
    <x v="0"/>
    <x v="3"/>
    <n v="4.3650000000000002"/>
    <n v="3.7975500000000002"/>
    <n v="4.3650000000000002"/>
    <n v="3.7975500000000002"/>
    <n v="0.56745000000000001"/>
    <n v="0.13"/>
    <x v="1"/>
  </r>
  <r>
    <s v="DZI-35365-596"/>
    <x v="493"/>
    <s v="54798-14109-HC"/>
    <s v="E-M-0.2"/>
    <n v="2"/>
    <s v="Odelia Skerme"/>
    <s v="oskermen3@hatena.ne.jp"/>
    <x v="0"/>
    <x v="1"/>
    <x v="1"/>
    <x v="0"/>
    <x v="0"/>
    <x v="3"/>
    <n v="4.125"/>
    <n v="3.6712500000000001"/>
    <n v="8.25"/>
    <n v="7.3425000000000002"/>
    <n v="0.90749999999999975"/>
    <n v="0.10999999999999997"/>
    <x v="0"/>
  </r>
  <r>
    <s v="XIR-88982-743"/>
    <x v="614"/>
    <s v="00852-54571-WP"/>
    <s v="E-M-0.2"/>
    <n v="2"/>
    <s v="De Drewitt"/>
    <s v="ddrewittnf@mapquest.com"/>
    <x v="0"/>
    <x v="1"/>
    <x v="1"/>
    <x v="0"/>
    <x v="0"/>
    <x v="3"/>
    <n v="4.125"/>
    <n v="3.6712500000000001"/>
    <n v="8.25"/>
    <n v="7.3425000000000002"/>
    <n v="0.90749999999999975"/>
    <n v="0.10999999999999997"/>
    <x v="0"/>
  </r>
  <r>
    <s v="VUC-72395-865"/>
    <x v="151"/>
    <s v="13321-57602-GK"/>
    <s v="A-D-0.5"/>
    <n v="6"/>
    <s v="Adelheid Gladhill"/>
    <s v="agladhillng@stanford.edu"/>
    <x v="0"/>
    <x v="2"/>
    <x v="2"/>
    <x v="2"/>
    <x v="2"/>
    <x v="1"/>
    <n v="5.97"/>
    <n v="5.4326999999999996"/>
    <n v="35.82"/>
    <n v="32.596199999999996"/>
    <n v="3.2238000000000042"/>
    <n v="9.0000000000000122E-2"/>
    <x v="0"/>
  </r>
  <r>
    <s v="BQJ-44755-910"/>
    <x v="489"/>
    <s v="75006-89922-VW"/>
    <s v="E-D-2.5"/>
    <n v="6"/>
    <s v="Murielle Lorinez"/>
    <s v="mlorineznh@whitehouse.gov"/>
    <x v="0"/>
    <x v="1"/>
    <x v="1"/>
    <x v="2"/>
    <x v="2"/>
    <x v="2"/>
    <n v="27.945"/>
    <n v="24.87105"/>
    <n v="167.67000000000002"/>
    <n v="149.22630000000001"/>
    <n v="18.443700000000007"/>
    <n v="0.11000000000000003"/>
    <x v="1"/>
  </r>
  <r>
    <s v="JKC-64636-831"/>
    <x v="615"/>
    <s v="52098-80103-FD"/>
    <s v="A-M-2.5"/>
    <n v="2"/>
    <s v="Edin Mathe"/>
    <s v="-"/>
    <x v="0"/>
    <x v="2"/>
    <x v="2"/>
    <x v="0"/>
    <x v="0"/>
    <x v="2"/>
    <n v="25.874999999999996"/>
    <n v="23.546249999999997"/>
    <n v="51.749999999999993"/>
    <n v="47.092499999999994"/>
    <n v="4.6574999999999989"/>
    <n v="0.09"/>
    <x v="0"/>
  </r>
  <r>
    <s v="ZKI-78561-066"/>
    <x v="616"/>
    <s v="60121-12432-VU"/>
    <s v="A-D-0.2"/>
    <n v="3"/>
    <s v="Mordy Van Der Vlies"/>
    <s v="mvannj@wikipedia.org"/>
    <x v="0"/>
    <x v="2"/>
    <x v="2"/>
    <x v="2"/>
    <x v="2"/>
    <x v="3"/>
    <n v="2.9849999999999999"/>
    <n v="2.7163499999999998"/>
    <n v="8.9550000000000001"/>
    <n v="8.149049999999999"/>
    <n v="0.80595000000000105"/>
    <n v="9.0000000000000122E-2"/>
    <x v="0"/>
  </r>
  <r>
    <s v="IMP-12563-728"/>
    <x v="578"/>
    <s v="68346-14810-UA"/>
    <s v="E-L-0.5"/>
    <n v="6"/>
    <s v="Spencer Wastell"/>
    <s v="-"/>
    <x v="0"/>
    <x v="1"/>
    <x v="1"/>
    <x v="1"/>
    <x v="1"/>
    <x v="1"/>
    <n v="8.91"/>
    <n v="7.9298999999999999"/>
    <n v="53.46"/>
    <n v="47.5794"/>
    <n v="5.8806000000000012"/>
    <n v="0.11000000000000001"/>
    <x v="1"/>
  </r>
  <r>
    <s v="MZL-81126-390"/>
    <x v="617"/>
    <s v="48464-99723-HK"/>
    <s v="A-L-0.2"/>
    <n v="6"/>
    <s v="Jemimah Ethelston"/>
    <s v="jethelstonnl@creativecommons.org"/>
    <x v="0"/>
    <x v="2"/>
    <x v="2"/>
    <x v="1"/>
    <x v="1"/>
    <x v="3"/>
    <n v="3.8849999999999998"/>
    <n v="3.5353499999999998"/>
    <n v="23.31"/>
    <n v="21.2121"/>
    <n v="2.0978999999999992"/>
    <n v="8.9999999999999969E-2"/>
    <x v="0"/>
  </r>
  <r>
    <s v="MZL-81126-390"/>
    <x v="617"/>
    <s v="48464-99723-HK"/>
    <s v="A-M-0.2"/>
    <n v="2"/>
    <s v="Jemimah Ethelston"/>
    <s v="jethelstonnl@creativecommons.org"/>
    <x v="0"/>
    <x v="2"/>
    <x v="2"/>
    <x v="0"/>
    <x v="0"/>
    <x v="3"/>
    <n v="3.375"/>
    <n v="3.07125"/>
    <n v="6.75"/>
    <n v="6.1425000000000001"/>
    <n v="0.60749999999999993"/>
    <n v="8.9999999999999983E-2"/>
    <x v="0"/>
  </r>
  <r>
    <s v="TVF-57766-608"/>
    <x v="155"/>
    <s v="88420-46464-XE"/>
    <s v="L-D-0.5"/>
    <n v="1"/>
    <s v="Perice Eberz"/>
    <s v="peberznn@woothemes.com"/>
    <x v="0"/>
    <x v="3"/>
    <x v="3"/>
    <x v="2"/>
    <x v="2"/>
    <x v="1"/>
    <n v="7.77"/>
    <n v="6.7599"/>
    <n v="7.77"/>
    <n v="6.7599"/>
    <n v="1.0100999999999996"/>
    <n v="0.12999999999999995"/>
    <x v="0"/>
  </r>
  <r>
    <s v="RUX-37995-892"/>
    <x v="461"/>
    <s v="37762-09530-MP"/>
    <s v="L-D-2.5"/>
    <n v="4"/>
    <s v="Bear Gaish"/>
    <s v="bgaishno@altervista.org"/>
    <x v="0"/>
    <x v="3"/>
    <x v="3"/>
    <x v="2"/>
    <x v="2"/>
    <x v="2"/>
    <n v="29.784999999999997"/>
    <n v="25.912949999999995"/>
    <n v="119.13999999999999"/>
    <n v="103.65179999999998"/>
    <n v="15.488200000000006"/>
    <n v="0.13000000000000006"/>
    <x v="0"/>
  </r>
  <r>
    <s v="AVK-76526-953"/>
    <x v="87"/>
    <s v="47268-50127-XY"/>
    <s v="A-D-1"/>
    <n v="2"/>
    <s v="Lynnea Danton"/>
    <s v="ldantonnp@miitbeian.gov.cn"/>
    <x v="0"/>
    <x v="2"/>
    <x v="2"/>
    <x v="2"/>
    <x v="2"/>
    <x v="0"/>
    <n v="9.9499999999999993"/>
    <n v="9.0544999999999991"/>
    <n v="19.899999999999999"/>
    <n v="18.108999999999998"/>
    <n v="1.7910000000000004"/>
    <n v="9.0000000000000024E-2"/>
    <x v="1"/>
  </r>
  <r>
    <s v="RIU-02231-623"/>
    <x v="618"/>
    <s v="25544-84179-QC"/>
    <s v="R-L-0.5"/>
    <n v="5"/>
    <s v="Skipton Morrall"/>
    <s v="smorrallnq@answers.com"/>
    <x v="0"/>
    <x v="0"/>
    <x v="0"/>
    <x v="1"/>
    <x v="1"/>
    <x v="1"/>
    <n v="7.169999999999999"/>
    <n v="6.7397999999999989"/>
    <n v="35.849999999999994"/>
    <n v="33.698999999999998"/>
    <n v="2.1509999999999962"/>
    <n v="5.9999999999999908E-2"/>
    <x v="0"/>
  </r>
  <r>
    <s v="WFK-99317-827"/>
    <x v="619"/>
    <s v="32058-76765-ZL"/>
    <s v="L-D-2.5"/>
    <n v="3"/>
    <s v="Devan Crownshaw"/>
    <s v="dcrownshawnr@photobucket.com"/>
    <x v="0"/>
    <x v="3"/>
    <x v="3"/>
    <x v="2"/>
    <x v="2"/>
    <x v="2"/>
    <n v="29.784999999999997"/>
    <n v="25.912949999999995"/>
    <n v="89.35499999999999"/>
    <n v="77.738849999999985"/>
    <n v="11.616150000000005"/>
    <n v="0.13000000000000006"/>
    <x v="1"/>
  </r>
  <r>
    <s v="SFD-00372-284"/>
    <x v="440"/>
    <s v="54798-14109-HC"/>
    <s v="L-M-0.2"/>
    <n v="2"/>
    <s v="Odelia Skerme"/>
    <s v="oskermen3@hatena.ne.jp"/>
    <x v="0"/>
    <x v="3"/>
    <x v="3"/>
    <x v="0"/>
    <x v="0"/>
    <x v="3"/>
    <n v="4.3650000000000002"/>
    <n v="3.7975500000000002"/>
    <n v="8.73"/>
    <n v="7.5951000000000004"/>
    <n v="1.1349"/>
    <n v="0.13"/>
    <x v="0"/>
  </r>
  <r>
    <s v="SXC-62166-515"/>
    <x v="489"/>
    <s v="69171-65646-UC"/>
    <s v="R-L-2.5"/>
    <n v="5"/>
    <s v="Joceline Reddoch"/>
    <s v="jreddochnt@sun.com"/>
    <x v="0"/>
    <x v="0"/>
    <x v="0"/>
    <x v="1"/>
    <x v="1"/>
    <x v="2"/>
    <n v="27.484999999999996"/>
    <n v="25.835899999999995"/>
    <n v="137.42499999999998"/>
    <n v="129.17949999999996"/>
    <n v="8.2455000000000211"/>
    <n v="6.0000000000000164E-2"/>
    <x v="1"/>
  </r>
  <r>
    <s v="YIE-87008-621"/>
    <x v="620"/>
    <s v="22503-52799-MI"/>
    <s v="L-M-0.5"/>
    <n v="4"/>
    <s v="Shelley Titley"/>
    <s v="stitleynu@whitehouse.gov"/>
    <x v="0"/>
    <x v="3"/>
    <x v="3"/>
    <x v="0"/>
    <x v="0"/>
    <x v="1"/>
    <n v="8.73"/>
    <n v="7.5951000000000004"/>
    <n v="34.92"/>
    <n v="30.380400000000002"/>
    <n v="4.5396000000000001"/>
    <n v="0.13"/>
    <x v="1"/>
  </r>
  <r>
    <s v="HRM-94548-288"/>
    <x v="621"/>
    <s v="08934-65581-ZI"/>
    <s v="A-L-2.5"/>
    <n v="6"/>
    <s v="Redd Simao"/>
    <s v="rsimaonv@simplemachines.org"/>
    <x v="0"/>
    <x v="2"/>
    <x v="2"/>
    <x v="1"/>
    <x v="1"/>
    <x v="2"/>
    <n v="29.784999999999997"/>
    <n v="27.104349999999997"/>
    <n v="178.70999999999998"/>
    <n v="162.62609999999998"/>
    <n v="16.0839"/>
    <n v="9.0000000000000011E-2"/>
    <x v="1"/>
  </r>
  <r>
    <s v="UJG-34731-295"/>
    <x v="374"/>
    <s v="15764-22559-ZT"/>
    <s v="A-M-2.5"/>
    <n v="1"/>
    <s v="Cece Inker"/>
    <s v="-"/>
    <x v="0"/>
    <x v="2"/>
    <x v="2"/>
    <x v="0"/>
    <x v="0"/>
    <x v="2"/>
    <n v="25.874999999999996"/>
    <n v="23.546249999999997"/>
    <n v="25.874999999999996"/>
    <n v="23.546249999999997"/>
    <n v="2.3287499999999994"/>
    <n v="0.09"/>
    <x v="1"/>
  </r>
  <r>
    <s v="TWD-70988-853"/>
    <x v="345"/>
    <s v="87519-68847-ZG"/>
    <s v="L-D-1"/>
    <n v="6"/>
    <s v="Noel Chisholm"/>
    <s v="nchisholmnx@example.com"/>
    <x v="0"/>
    <x v="3"/>
    <x v="3"/>
    <x v="2"/>
    <x v="2"/>
    <x v="0"/>
    <n v="12.95"/>
    <n v="11.266499999999999"/>
    <n v="77.699999999999989"/>
    <n v="67.59899999999999"/>
    <n v="10.100999999999999"/>
    <n v="0.13"/>
    <x v="0"/>
  </r>
  <r>
    <s v="CIX-22904-641"/>
    <x v="622"/>
    <s v="78012-56878-UB"/>
    <s v="R-M-1"/>
    <n v="1"/>
    <s v="Grazia Oats"/>
    <s v="goatsny@live.com"/>
    <x v="0"/>
    <x v="0"/>
    <x v="0"/>
    <x v="0"/>
    <x v="0"/>
    <x v="0"/>
    <n v="9.9499999999999993"/>
    <n v="9.3529999999999998"/>
    <n v="9.9499999999999993"/>
    <n v="9.3529999999999998"/>
    <n v="0.59699999999999953"/>
    <n v="5.9999999999999956E-2"/>
    <x v="0"/>
  </r>
  <r>
    <s v="DLV-65840-759"/>
    <x v="623"/>
    <s v="77192-72145-RG"/>
    <s v="L-M-1"/>
    <n v="2"/>
    <s v="Meade Birkin"/>
    <s v="mbirkinnz@java.com"/>
    <x v="0"/>
    <x v="3"/>
    <x v="3"/>
    <x v="0"/>
    <x v="0"/>
    <x v="0"/>
    <n v="14.55"/>
    <n v="12.6585"/>
    <n v="29.1"/>
    <n v="25.317"/>
    <n v="3.7830000000000013"/>
    <n v="0.13000000000000003"/>
    <x v="0"/>
  </r>
  <r>
    <s v="RXN-55491-201"/>
    <x v="354"/>
    <s v="86071-79238-CX"/>
    <s v="R-L-0.2"/>
    <n v="6"/>
    <s v="Ronda Pyson"/>
    <s v="rpysono0@constantcontact.com"/>
    <x v="1"/>
    <x v="0"/>
    <x v="0"/>
    <x v="1"/>
    <x v="1"/>
    <x v="3"/>
    <n v="3.5849999999999995"/>
    <n v="3.3698999999999995"/>
    <n v="21.509999999999998"/>
    <n v="20.219399999999997"/>
    <n v="1.2906000000000013"/>
    <n v="6.0000000000000067E-2"/>
    <x v="1"/>
  </r>
  <r>
    <s v="UHK-63283-868"/>
    <x v="624"/>
    <s v="16809-16936-WF"/>
    <s v="A-M-0.5"/>
    <n v="1"/>
    <s v="Modesty MacConnechie"/>
    <s v="mmacconnechieo9@reuters.com"/>
    <x v="0"/>
    <x v="2"/>
    <x v="2"/>
    <x v="0"/>
    <x v="0"/>
    <x v="1"/>
    <n v="6.75"/>
    <n v="6.1425000000000001"/>
    <n v="6.75"/>
    <n v="6.1425000000000001"/>
    <n v="0.60749999999999993"/>
    <n v="8.9999999999999983E-2"/>
    <x v="0"/>
  </r>
  <r>
    <s v="PJC-31401-893"/>
    <x v="561"/>
    <s v="11212-69985-ZJ"/>
    <s v="A-D-0.5"/>
    <n v="3"/>
    <s v="Rafaela Treacher"/>
    <s v="rtreachero2@usa.gov"/>
    <x v="1"/>
    <x v="2"/>
    <x v="2"/>
    <x v="2"/>
    <x v="2"/>
    <x v="1"/>
    <n v="5.97"/>
    <n v="5.4326999999999996"/>
    <n v="17.91"/>
    <n v="16.298099999999998"/>
    <n v="1.6119000000000021"/>
    <n v="9.0000000000000122E-2"/>
    <x v="1"/>
  </r>
  <r>
    <s v="HHO-79903-185"/>
    <x v="42"/>
    <s v="53893-01719-CL"/>
    <s v="A-L-2.5"/>
    <n v="1"/>
    <s v="Bee Fattorini"/>
    <s v="bfattorinio3@quantcast.com"/>
    <x v="1"/>
    <x v="2"/>
    <x v="2"/>
    <x v="1"/>
    <x v="1"/>
    <x v="2"/>
    <n v="29.784999999999997"/>
    <n v="27.104349999999997"/>
    <n v="29.784999999999997"/>
    <n v="27.104349999999997"/>
    <n v="2.68065"/>
    <n v="9.0000000000000011E-2"/>
    <x v="0"/>
  </r>
  <r>
    <s v="YWM-07310-594"/>
    <x v="267"/>
    <s v="66028-99867-WJ"/>
    <s v="E-M-0.5"/>
    <n v="5"/>
    <s v="Margie Palleske"/>
    <s v="mpalleskeo4@nyu.edu"/>
    <x v="0"/>
    <x v="1"/>
    <x v="1"/>
    <x v="0"/>
    <x v="0"/>
    <x v="1"/>
    <n v="8.25"/>
    <n v="7.3425000000000002"/>
    <n v="41.25"/>
    <n v="36.712499999999999"/>
    <n v="4.5375000000000014"/>
    <n v="0.11000000000000003"/>
    <x v="0"/>
  </r>
  <r>
    <s v="FHD-94983-982"/>
    <x v="625"/>
    <s v="62839-56723-CH"/>
    <s v="R-M-0.5"/>
    <n v="3"/>
    <s v="Alexina Randals"/>
    <s v="-"/>
    <x v="0"/>
    <x v="0"/>
    <x v="0"/>
    <x v="0"/>
    <x v="0"/>
    <x v="1"/>
    <n v="5.97"/>
    <n v="5.6117999999999997"/>
    <n v="17.91"/>
    <n v="16.8354"/>
    <n v="1.0746000000000002"/>
    <n v="6.0000000000000012E-2"/>
    <x v="0"/>
  </r>
  <r>
    <s v="WQK-10857-119"/>
    <x v="616"/>
    <s v="96849-52854-CR"/>
    <s v="E-D-0.5"/>
    <n v="1"/>
    <s v="Filip Antcliffe"/>
    <s v="fantcliffeo6@amazon.co.jp"/>
    <x v="1"/>
    <x v="1"/>
    <x v="1"/>
    <x v="2"/>
    <x v="2"/>
    <x v="1"/>
    <n v="7.29"/>
    <n v="6.4881000000000002"/>
    <n v="7.29"/>
    <n v="6.4881000000000002"/>
    <n v="0.80189999999999984"/>
    <n v="0.10999999999999997"/>
    <x v="0"/>
  </r>
  <r>
    <s v="DXA-50313-073"/>
    <x v="626"/>
    <s v="19755-55847-VW"/>
    <s v="E-L-1"/>
    <n v="2"/>
    <s v="Peyter Matignon"/>
    <s v="pmatignono7@harvard.edu"/>
    <x v="2"/>
    <x v="1"/>
    <x v="1"/>
    <x v="1"/>
    <x v="1"/>
    <x v="0"/>
    <n v="14.85"/>
    <n v="13.2165"/>
    <n v="29.7"/>
    <n v="26.433"/>
    <n v="3.2669999999999995"/>
    <n v="0.10999999999999999"/>
    <x v="0"/>
  </r>
  <r>
    <s v="ONW-00560-570"/>
    <x v="52"/>
    <s v="32900-82606-BO"/>
    <s v="A-M-1"/>
    <n v="2"/>
    <s v="Claudie Weond"/>
    <s v="cweondo8@theglobeandmail.com"/>
    <x v="0"/>
    <x v="2"/>
    <x v="2"/>
    <x v="0"/>
    <x v="0"/>
    <x v="0"/>
    <n v="11.25"/>
    <n v="10.237500000000001"/>
    <n v="22.5"/>
    <n v="20.475000000000001"/>
    <n v="2.0249999999999986"/>
    <n v="8.9999999999999941E-2"/>
    <x v="1"/>
  </r>
  <r>
    <s v="BRJ-19414-277"/>
    <x v="622"/>
    <s v="16809-16936-WF"/>
    <s v="R-M-0.2"/>
    <n v="4"/>
    <s v="Modesty MacConnechie"/>
    <s v="mmacconnechieo9@reuters.com"/>
    <x v="0"/>
    <x v="0"/>
    <x v="0"/>
    <x v="0"/>
    <x v="0"/>
    <x v="3"/>
    <n v="2.9849999999999999"/>
    <n v="2.8058999999999998"/>
    <n v="11.94"/>
    <n v="11.223599999999999"/>
    <n v="0.71640000000000015"/>
    <n v="6.0000000000000012E-2"/>
    <x v="0"/>
  </r>
  <r>
    <s v="MIQ-16322-908"/>
    <x v="627"/>
    <s v="20118-28138-QD"/>
    <s v="A-L-1"/>
    <n v="2"/>
    <s v="Jaquenette Skentelbery"/>
    <s v="jskentelberyoa@paypal.com"/>
    <x v="0"/>
    <x v="2"/>
    <x v="2"/>
    <x v="1"/>
    <x v="1"/>
    <x v="0"/>
    <n v="12.95"/>
    <n v="11.7845"/>
    <n v="25.9"/>
    <n v="23.568999999999999"/>
    <n v="2.3309999999999995"/>
    <n v="8.9999999999999983E-2"/>
    <x v="1"/>
  </r>
  <r>
    <s v="MVO-39328-830"/>
    <x v="628"/>
    <s v="84057-45461-AH"/>
    <s v="L-M-0.5"/>
    <n v="5"/>
    <s v="Orazio Comber"/>
    <s v="ocomberob@goo.gl"/>
    <x v="1"/>
    <x v="3"/>
    <x v="3"/>
    <x v="0"/>
    <x v="0"/>
    <x v="1"/>
    <n v="8.73"/>
    <n v="7.5951000000000004"/>
    <n v="43.650000000000006"/>
    <n v="37.975500000000004"/>
    <n v="5.6745000000000019"/>
    <n v="0.13000000000000003"/>
    <x v="1"/>
  </r>
  <r>
    <s v="MVO-39328-830"/>
    <x v="628"/>
    <s v="84057-45461-AH"/>
    <s v="A-L-0.5"/>
    <n v="6"/>
    <s v="Orazio Comber"/>
    <s v="ocomberob@goo.gl"/>
    <x v="1"/>
    <x v="2"/>
    <x v="2"/>
    <x v="1"/>
    <x v="1"/>
    <x v="1"/>
    <n v="7.77"/>
    <n v="7.0706999999999995"/>
    <n v="46.62"/>
    <n v="42.424199999999999"/>
    <n v="4.1957999999999984"/>
    <n v="8.9999999999999969E-2"/>
    <x v="1"/>
  </r>
  <r>
    <s v="NTJ-88319-746"/>
    <x v="629"/>
    <s v="90882-88130-KQ"/>
    <s v="L-L-0.5"/>
    <n v="3"/>
    <s v="Zachary Tramel"/>
    <s v="ztramelod@netlog.com"/>
    <x v="0"/>
    <x v="3"/>
    <x v="3"/>
    <x v="1"/>
    <x v="1"/>
    <x v="1"/>
    <n v="9.51"/>
    <n v="8.2736999999999998"/>
    <n v="28.53"/>
    <n v="24.821100000000001"/>
    <n v="3.7088999999999999"/>
    <n v="0.12999999999999998"/>
    <x v="1"/>
  </r>
  <r>
    <s v="LCY-24377-948"/>
    <x v="630"/>
    <s v="21617-79890-DD"/>
    <s v="R-L-2.5"/>
    <n v="1"/>
    <s v="Izaak Primak"/>
    <s v="-"/>
    <x v="0"/>
    <x v="0"/>
    <x v="0"/>
    <x v="1"/>
    <x v="1"/>
    <x v="2"/>
    <n v="27.484999999999996"/>
    <n v="25.835899999999995"/>
    <n v="27.484999999999996"/>
    <n v="25.835899999999995"/>
    <n v="1.6491000000000007"/>
    <n v="6.0000000000000032E-2"/>
    <x v="0"/>
  </r>
  <r>
    <s v="FWD-85967-769"/>
    <x v="631"/>
    <s v="20256-54689-LO"/>
    <s v="E-D-0.2"/>
    <n v="3"/>
    <s v="Brittani Thoresbie"/>
    <s v="-"/>
    <x v="0"/>
    <x v="1"/>
    <x v="1"/>
    <x v="2"/>
    <x v="2"/>
    <x v="3"/>
    <n v="3.645"/>
    <n v="3.2440500000000001"/>
    <n v="10.935"/>
    <n v="9.7321500000000007"/>
    <n v="1.2028499999999998"/>
    <n v="0.10999999999999997"/>
    <x v="1"/>
  </r>
  <r>
    <s v="KTO-53793-109"/>
    <x v="229"/>
    <s v="17572-27091-AA"/>
    <s v="R-L-0.2"/>
    <n v="2"/>
    <s v="Constanta Hatfull"/>
    <s v="chatfullog@ebay.com"/>
    <x v="0"/>
    <x v="0"/>
    <x v="0"/>
    <x v="1"/>
    <x v="1"/>
    <x v="3"/>
    <n v="3.5849999999999995"/>
    <n v="3.3698999999999995"/>
    <n v="7.169999999999999"/>
    <n v="6.7397999999999989"/>
    <n v="0.43020000000000014"/>
    <n v="6.0000000000000026E-2"/>
    <x v="1"/>
  </r>
  <r>
    <s v="OCK-89033-348"/>
    <x v="632"/>
    <s v="82300-88786-UE"/>
    <s v="A-L-0.2"/>
    <n v="6"/>
    <s v="Bobbe Castagneto"/>
    <s v="-"/>
    <x v="0"/>
    <x v="2"/>
    <x v="2"/>
    <x v="1"/>
    <x v="1"/>
    <x v="3"/>
    <n v="3.8849999999999998"/>
    <n v="3.5353499999999998"/>
    <n v="23.31"/>
    <n v="21.2121"/>
    <n v="2.0978999999999992"/>
    <n v="8.9999999999999969E-2"/>
    <x v="0"/>
  </r>
  <r>
    <s v="GPZ-36017-366"/>
    <x v="633"/>
    <s v="65732-22589-OW"/>
    <s v="A-D-2.5"/>
    <n v="5"/>
    <s v="Kippie Marrison"/>
    <s v="kmarrisonoq@dropbox.com"/>
    <x v="0"/>
    <x v="2"/>
    <x v="2"/>
    <x v="2"/>
    <x v="2"/>
    <x v="2"/>
    <n v="22.884999999999998"/>
    <n v="20.82535"/>
    <n v="114.42499999999998"/>
    <n v="104.12675"/>
    <n v="10.298249999999982"/>
    <n v="8.9999999999999858E-2"/>
    <x v="0"/>
  </r>
  <r>
    <s v="BZP-33213-637"/>
    <x v="95"/>
    <s v="77175-09826-SF"/>
    <s v="A-M-2.5"/>
    <n v="3"/>
    <s v="Lindon Agnolo"/>
    <s v="lagnolooj@pinterest.com"/>
    <x v="0"/>
    <x v="2"/>
    <x v="2"/>
    <x v="0"/>
    <x v="0"/>
    <x v="2"/>
    <n v="25.874999999999996"/>
    <n v="23.546249999999997"/>
    <n v="77.624999999999986"/>
    <n v="70.638749999999987"/>
    <n v="6.9862499999999983"/>
    <n v="0.09"/>
    <x v="0"/>
  </r>
  <r>
    <s v="WFH-21507-708"/>
    <x v="521"/>
    <s v="07237-32539-NB"/>
    <s v="R-D-0.5"/>
    <n v="1"/>
    <s v="Delainey Kiddy"/>
    <s v="dkiddyok@fda.gov"/>
    <x v="0"/>
    <x v="0"/>
    <x v="0"/>
    <x v="2"/>
    <x v="2"/>
    <x v="1"/>
    <n v="5.3699999999999992"/>
    <n v="5.0477999999999996"/>
    <n v="5.3699999999999992"/>
    <n v="5.0477999999999996"/>
    <n v="0.3221999999999996"/>
    <n v="5.9999999999999935E-2"/>
    <x v="0"/>
  </r>
  <r>
    <s v="HST-96923-073"/>
    <x v="76"/>
    <s v="54722-76431-EX"/>
    <s v="R-D-2.5"/>
    <n v="6"/>
    <s v="Helli Petroulis"/>
    <s v="hpetroulisol@state.tx.us"/>
    <x v="1"/>
    <x v="0"/>
    <x v="0"/>
    <x v="2"/>
    <x v="2"/>
    <x v="2"/>
    <n v="20.584999999999997"/>
    <n v="19.349899999999998"/>
    <n v="123.50999999999999"/>
    <n v="116.09939999999999"/>
    <n v="7.4106000000000023"/>
    <n v="6.0000000000000026E-2"/>
    <x v="1"/>
  </r>
  <r>
    <s v="ENN-79947-323"/>
    <x v="634"/>
    <s v="67847-82662-TE"/>
    <s v="L-M-0.5"/>
    <n v="2"/>
    <s v="Marty Scholl"/>
    <s v="mschollom@taobao.com"/>
    <x v="0"/>
    <x v="3"/>
    <x v="3"/>
    <x v="0"/>
    <x v="0"/>
    <x v="1"/>
    <n v="8.73"/>
    <n v="7.5951000000000004"/>
    <n v="17.46"/>
    <n v="15.190200000000001"/>
    <n v="2.2698"/>
    <n v="0.13"/>
    <x v="1"/>
  </r>
  <r>
    <s v="BHA-47429-889"/>
    <x v="635"/>
    <s v="51114-51191-EW"/>
    <s v="E-L-0.2"/>
    <n v="3"/>
    <s v="Kienan Ferson"/>
    <s v="kfersonon@g.co"/>
    <x v="0"/>
    <x v="1"/>
    <x v="1"/>
    <x v="1"/>
    <x v="1"/>
    <x v="3"/>
    <n v="4.4550000000000001"/>
    <n v="3.96495"/>
    <n v="13.365"/>
    <n v="11.89485"/>
    <n v="1.4701500000000003"/>
    <n v="0.11000000000000001"/>
    <x v="1"/>
  </r>
  <r>
    <s v="SZY-63017-318"/>
    <x v="636"/>
    <s v="91809-58808-TV"/>
    <s v="A-L-0.2"/>
    <n v="2"/>
    <s v="Blake Kelloway"/>
    <s v="bkellowayoo@omniture.com"/>
    <x v="0"/>
    <x v="2"/>
    <x v="2"/>
    <x v="1"/>
    <x v="1"/>
    <x v="3"/>
    <n v="3.8849999999999998"/>
    <n v="3.5353499999999998"/>
    <n v="7.77"/>
    <n v="7.0706999999999995"/>
    <n v="0.69930000000000003"/>
    <n v="9.0000000000000011E-2"/>
    <x v="0"/>
  </r>
  <r>
    <s v="LCU-93317-340"/>
    <x v="637"/>
    <s v="84996-26826-DK"/>
    <s v="R-D-0.2"/>
    <n v="1"/>
    <s v="Scarlett Oliffe"/>
    <s v="soliffeop@yellowbook.com"/>
    <x v="0"/>
    <x v="0"/>
    <x v="0"/>
    <x v="2"/>
    <x v="2"/>
    <x v="3"/>
    <n v="2.6849999999999996"/>
    <n v="2.5238999999999998"/>
    <n v="2.6849999999999996"/>
    <n v="2.5238999999999998"/>
    <n v="0.1610999999999998"/>
    <n v="5.9999999999999935E-2"/>
    <x v="0"/>
  </r>
  <r>
    <s v="UOM-71431-481"/>
    <x v="182"/>
    <s v="65732-22589-OW"/>
    <s v="R-D-2.5"/>
    <n v="1"/>
    <s v="Kippie Marrison"/>
    <s v="kmarrisonoq@dropbox.com"/>
    <x v="0"/>
    <x v="0"/>
    <x v="0"/>
    <x v="2"/>
    <x v="2"/>
    <x v="2"/>
    <n v="20.584999999999997"/>
    <n v="19.349899999999998"/>
    <n v="20.584999999999997"/>
    <n v="19.349899999999998"/>
    <n v="1.2350999999999992"/>
    <n v="5.999999999999997E-2"/>
    <x v="0"/>
  </r>
  <r>
    <s v="PJH-42618-877"/>
    <x v="479"/>
    <s v="93676-95250-XJ"/>
    <s v="A-D-2.5"/>
    <n v="5"/>
    <s v="Celestia Dolohunty"/>
    <s v="cdolohuntyor@dailymail.co.uk"/>
    <x v="0"/>
    <x v="2"/>
    <x v="2"/>
    <x v="2"/>
    <x v="2"/>
    <x v="2"/>
    <n v="22.884999999999998"/>
    <n v="20.82535"/>
    <n v="114.42499999999998"/>
    <n v="104.12675"/>
    <n v="10.298249999999982"/>
    <n v="8.9999999999999858E-2"/>
    <x v="0"/>
  </r>
  <r>
    <s v="XED-90333-402"/>
    <x v="638"/>
    <s v="28300-14355-GF"/>
    <s v="E-M-0.2"/>
    <n v="5"/>
    <s v="Patsy Vasilenko"/>
    <s v="pvasilenkoos@addtoany.com"/>
    <x v="2"/>
    <x v="1"/>
    <x v="1"/>
    <x v="0"/>
    <x v="0"/>
    <x v="3"/>
    <n v="4.125"/>
    <n v="3.6712500000000001"/>
    <n v="20.625"/>
    <n v="18.356249999999999"/>
    <n v="2.2687500000000007"/>
    <n v="0.11000000000000003"/>
    <x v="1"/>
  </r>
  <r>
    <s v="IKK-62234-199"/>
    <x v="639"/>
    <s v="91190-84826-IQ"/>
    <s v="L-L-0.5"/>
    <n v="6"/>
    <s v="Raphaela Schankelborg"/>
    <s v="rschankelborgot@ameblo.jp"/>
    <x v="0"/>
    <x v="3"/>
    <x v="3"/>
    <x v="1"/>
    <x v="1"/>
    <x v="1"/>
    <n v="9.51"/>
    <n v="8.2736999999999998"/>
    <n v="57.06"/>
    <n v="49.642200000000003"/>
    <n v="7.4177999999999997"/>
    <n v="0.12999999999999998"/>
    <x v="0"/>
  </r>
  <r>
    <s v="KAW-95195-329"/>
    <x v="640"/>
    <s v="34570-99384-AF"/>
    <s v="R-D-2.5"/>
    <n v="4"/>
    <s v="Sharity Wickens"/>
    <s v="-"/>
    <x v="1"/>
    <x v="0"/>
    <x v="0"/>
    <x v="2"/>
    <x v="2"/>
    <x v="2"/>
    <n v="20.584999999999997"/>
    <n v="19.349899999999998"/>
    <n v="82.339999999999989"/>
    <n v="77.399599999999992"/>
    <n v="4.9403999999999968"/>
    <n v="5.999999999999997E-2"/>
    <x v="0"/>
  </r>
  <r>
    <s v="QDO-57268-842"/>
    <x v="612"/>
    <s v="57808-90533-UE"/>
    <s v="E-M-2.5"/>
    <n v="5"/>
    <s v="Derick Snow"/>
    <s v="-"/>
    <x v="0"/>
    <x v="1"/>
    <x v="1"/>
    <x v="0"/>
    <x v="0"/>
    <x v="2"/>
    <n v="31.624999999999996"/>
    <n v="28.146249999999995"/>
    <n v="158.12499999999997"/>
    <n v="140.73124999999999"/>
    <n v="17.393749999999983"/>
    <n v="0.10999999999999992"/>
    <x v="1"/>
  </r>
  <r>
    <s v="IIZ-24416-212"/>
    <x v="641"/>
    <s v="76060-30540-LB"/>
    <s v="R-D-0.5"/>
    <n v="6"/>
    <s v="Baxy Cargen"/>
    <s v="bcargenow@geocities.jp"/>
    <x v="0"/>
    <x v="0"/>
    <x v="0"/>
    <x v="2"/>
    <x v="2"/>
    <x v="1"/>
    <n v="5.3699999999999992"/>
    <n v="5.0477999999999996"/>
    <n v="32.22"/>
    <n v="30.286799999999999"/>
    <n v="1.9331999999999994"/>
    <n v="5.9999999999999984E-2"/>
    <x v="0"/>
  </r>
  <r>
    <s v="AWP-11469-510"/>
    <x v="36"/>
    <s v="76730-63769-ND"/>
    <s v="E-D-1"/>
    <n v="2"/>
    <s v="Ryann Stickler"/>
    <s v="rsticklerox@printfriendly.com"/>
    <x v="2"/>
    <x v="1"/>
    <x v="1"/>
    <x v="2"/>
    <x v="2"/>
    <x v="0"/>
    <n v="12.15"/>
    <n v="10.813500000000001"/>
    <n v="24.3"/>
    <n v="21.627000000000002"/>
    <n v="2.6729999999999983"/>
    <n v="0.10999999999999993"/>
    <x v="1"/>
  </r>
  <r>
    <s v="KXA-27983-918"/>
    <x v="642"/>
    <s v="96042-27290-EQ"/>
    <s v="R-L-0.5"/>
    <n v="5"/>
    <s v="Daryn Cassius"/>
    <s v="-"/>
    <x v="0"/>
    <x v="0"/>
    <x v="0"/>
    <x v="1"/>
    <x v="1"/>
    <x v="1"/>
    <n v="7.169999999999999"/>
    <n v="6.7397999999999989"/>
    <n v="35.849999999999994"/>
    <n v="33.698999999999998"/>
    <n v="2.1509999999999962"/>
    <n v="5.9999999999999908E-2"/>
    <x v="1"/>
  </r>
  <r>
    <s v="VKQ-39009-292"/>
    <x v="219"/>
    <s v="57808-90533-UE"/>
    <s v="L-M-1"/>
    <n v="5"/>
    <s v="Derick Snow"/>
    <s v="-"/>
    <x v="0"/>
    <x v="3"/>
    <x v="3"/>
    <x v="0"/>
    <x v="0"/>
    <x v="0"/>
    <n v="14.55"/>
    <n v="12.6585"/>
    <n v="72.75"/>
    <n v="63.292500000000004"/>
    <n v="9.457499999999996"/>
    <n v="0.12999999999999995"/>
    <x v="1"/>
  </r>
  <r>
    <s v="PDB-98743-282"/>
    <x v="643"/>
    <s v="51940-02669-OR"/>
    <s v="L-L-1"/>
    <n v="3"/>
    <s v="Skelly Dolohunty"/>
    <s v="-"/>
    <x v="1"/>
    <x v="3"/>
    <x v="3"/>
    <x v="1"/>
    <x v="1"/>
    <x v="0"/>
    <n v="15.85"/>
    <n v="13.7895"/>
    <n v="47.55"/>
    <n v="41.368499999999997"/>
    <n v="6.1814999999999998"/>
    <n v="0.13"/>
    <x v="1"/>
  </r>
  <r>
    <s v="SXW-34014-556"/>
    <x v="644"/>
    <s v="99144-98314-GN"/>
    <s v="R-L-0.2"/>
    <n v="1"/>
    <s v="Drake Jevon"/>
    <s v="djevonp1@ibm.com"/>
    <x v="0"/>
    <x v="0"/>
    <x v="0"/>
    <x v="1"/>
    <x v="1"/>
    <x v="3"/>
    <n v="3.5849999999999995"/>
    <n v="3.3698999999999995"/>
    <n v="3.5849999999999995"/>
    <n v="3.3698999999999995"/>
    <n v="0.21510000000000007"/>
    <n v="6.0000000000000026E-2"/>
    <x v="0"/>
  </r>
  <r>
    <s v="QOJ-38788-727"/>
    <x v="136"/>
    <s v="16358-63919-CE"/>
    <s v="E-M-2.5"/>
    <n v="5"/>
    <s v="Hall Ranner"/>
    <s v="hrannerp2@omniture.com"/>
    <x v="0"/>
    <x v="1"/>
    <x v="1"/>
    <x v="0"/>
    <x v="0"/>
    <x v="2"/>
    <n v="31.624999999999996"/>
    <n v="28.146249999999995"/>
    <n v="158.12499999999997"/>
    <n v="140.73124999999999"/>
    <n v="17.393749999999983"/>
    <n v="0.10999999999999992"/>
    <x v="1"/>
  </r>
  <r>
    <s v="TGF-38649-658"/>
    <x v="645"/>
    <s v="67743-54817-UT"/>
    <s v="L-M-0.5"/>
    <n v="2"/>
    <s v="Berkly Imrie"/>
    <s v="bimriep3@addtoany.com"/>
    <x v="0"/>
    <x v="3"/>
    <x v="3"/>
    <x v="0"/>
    <x v="0"/>
    <x v="1"/>
    <n v="8.73"/>
    <n v="7.5951000000000004"/>
    <n v="17.46"/>
    <n v="15.190200000000001"/>
    <n v="2.2698"/>
    <n v="0.13"/>
    <x v="1"/>
  </r>
  <r>
    <s v="EAI-25194-209"/>
    <x v="646"/>
    <s v="44601-51441-BH"/>
    <s v="A-L-2.5"/>
    <n v="5"/>
    <s v="Dorey Sopper"/>
    <s v="dsopperp4@eventbrite.com"/>
    <x v="0"/>
    <x v="2"/>
    <x v="2"/>
    <x v="1"/>
    <x v="1"/>
    <x v="2"/>
    <n v="29.784999999999997"/>
    <n v="27.104349999999997"/>
    <n v="148.92499999999998"/>
    <n v="135.52175"/>
    <n v="13.403249999999986"/>
    <n v="8.9999999999999913E-2"/>
    <x v="1"/>
  </r>
  <r>
    <s v="IJK-34441-720"/>
    <x v="647"/>
    <s v="97201-58870-WB"/>
    <s v="A-M-0.5"/>
    <n v="6"/>
    <s v="Darcy Lochran"/>
    <s v="-"/>
    <x v="0"/>
    <x v="2"/>
    <x v="2"/>
    <x v="0"/>
    <x v="0"/>
    <x v="1"/>
    <n v="6.75"/>
    <n v="6.1425000000000001"/>
    <n v="40.5"/>
    <n v="36.855000000000004"/>
    <n v="3.644999999999996"/>
    <n v="8.99999999999999E-2"/>
    <x v="0"/>
  </r>
  <r>
    <s v="ZMC-00336-619"/>
    <x v="591"/>
    <s v="19849-12926-QF"/>
    <s v="A-M-0.5"/>
    <n v="4"/>
    <s v="Lauritz Ledgley"/>
    <s v="lledgleyp6@de.vu"/>
    <x v="0"/>
    <x v="2"/>
    <x v="2"/>
    <x v="0"/>
    <x v="0"/>
    <x v="1"/>
    <n v="6.75"/>
    <n v="6.1425000000000001"/>
    <n v="27"/>
    <n v="24.57"/>
    <n v="2.4299999999999997"/>
    <n v="8.9999999999999983E-2"/>
    <x v="0"/>
  </r>
  <r>
    <s v="UPX-54529-618"/>
    <x v="648"/>
    <s v="40535-56770-UM"/>
    <s v="L-D-1"/>
    <n v="3"/>
    <s v="Tawnya Menary"/>
    <s v="tmenaryp7@phoca.cz"/>
    <x v="0"/>
    <x v="3"/>
    <x v="3"/>
    <x v="2"/>
    <x v="2"/>
    <x v="0"/>
    <n v="12.95"/>
    <n v="11.266499999999999"/>
    <n v="38.849999999999994"/>
    <n v="33.799499999999995"/>
    <n v="5.0504999999999995"/>
    <n v="0.13"/>
    <x v="1"/>
  </r>
  <r>
    <s v="DLX-01059-899"/>
    <x v="191"/>
    <s v="74940-09646-MU"/>
    <s v="R-L-1"/>
    <n v="5"/>
    <s v="Gustaf Ciccotti"/>
    <s v="gciccottip8@so-net.ne.jp"/>
    <x v="0"/>
    <x v="0"/>
    <x v="0"/>
    <x v="1"/>
    <x v="1"/>
    <x v="0"/>
    <n v="11.95"/>
    <n v="11.232999999999999"/>
    <n v="59.75"/>
    <n v="56.164999999999992"/>
    <n v="3.585000000000008"/>
    <n v="6.0000000000000137E-2"/>
    <x v="1"/>
  </r>
  <r>
    <s v="MEK-85120-243"/>
    <x v="649"/>
    <s v="06623-54610-HC"/>
    <s v="R-L-0.2"/>
    <n v="3"/>
    <s v="Bobbe Renner"/>
    <s v="-"/>
    <x v="0"/>
    <x v="0"/>
    <x v="0"/>
    <x v="1"/>
    <x v="1"/>
    <x v="3"/>
    <n v="3.5849999999999995"/>
    <n v="3.3698999999999995"/>
    <n v="10.754999999999999"/>
    <n v="10.109699999999998"/>
    <n v="0.64530000000000065"/>
    <n v="6.0000000000000067E-2"/>
    <x v="1"/>
  </r>
  <r>
    <s v="NFI-37188-246"/>
    <x v="553"/>
    <s v="89490-75361-AF"/>
    <s v="A-D-2.5"/>
    <n v="4"/>
    <s v="Wilton Jallin"/>
    <s v="wjallinpa@pcworld.com"/>
    <x v="0"/>
    <x v="2"/>
    <x v="2"/>
    <x v="2"/>
    <x v="2"/>
    <x v="2"/>
    <n v="22.884999999999998"/>
    <n v="20.82535"/>
    <n v="91.539999999999992"/>
    <n v="83.301400000000001"/>
    <n v="8.238599999999991"/>
    <n v="8.9999999999999913E-2"/>
    <x v="1"/>
  </r>
  <r>
    <s v="BXH-62195-013"/>
    <x v="584"/>
    <s v="94526-79230-GZ"/>
    <s v="A-M-1"/>
    <n v="4"/>
    <s v="Mindy Bogey"/>
    <s v="mbogeypb@thetimes.co.uk"/>
    <x v="0"/>
    <x v="2"/>
    <x v="2"/>
    <x v="0"/>
    <x v="0"/>
    <x v="0"/>
    <n v="11.25"/>
    <n v="10.237500000000001"/>
    <n v="45"/>
    <n v="40.950000000000003"/>
    <n v="4.0499999999999972"/>
    <n v="8.9999999999999941E-2"/>
    <x v="0"/>
  </r>
  <r>
    <s v="YLK-78851-470"/>
    <x v="650"/>
    <s v="58559-08254-UY"/>
    <s v="R-M-2.5"/>
    <n v="6"/>
    <s v="Paulie Fonzone"/>
    <s v="-"/>
    <x v="0"/>
    <x v="0"/>
    <x v="0"/>
    <x v="0"/>
    <x v="0"/>
    <x v="2"/>
    <n v="22.884999999999998"/>
    <n v="21.511899999999997"/>
    <n v="137.31"/>
    <n v="129.07139999999998"/>
    <n v="8.2386000000000195"/>
    <n v="6.0000000000000143E-2"/>
    <x v="0"/>
  </r>
  <r>
    <s v="DXY-76225-633"/>
    <x v="121"/>
    <s v="88574-37083-WX"/>
    <s v="A-M-0.5"/>
    <n v="1"/>
    <s v="Merrile Cobbledick"/>
    <s v="mcobbledickpd@ucsd.edu"/>
    <x v="0"/>
    <x v="2"/>
    <x v="2"/>
    <x v="0"/>
    <x v="0"/>
    <x v="1"/>
    <n v="6.75"/>
    <n v="6.1425000000000001"/>
    <n v="6.75"/>
    <n v="6.1425000000000001"/>
    <n v="0.60749999999999993"/>
    <n v="8.9999999999999983E-2"/>
    <x v="1"/>
  </r>
  <r>
    <s v="UHP-24614-199"/>
    <x v="472"/>
    <s v="67953-79896-AC"/>
    <s v="A-M-1"/>
    <n v="4"/>
    <s v="Antonius Lewry"/>
    <s v="alewrype@whitehouse.gov"/>
    <x v="0"/>
    <x v="2"/>
    <x v="2"/>
    <x v="0"/>
    <x v="0"/>
    <x v="0"/>
    <n v="11.25"/>
    <n v="10.237500000000001"/>
    <n v="45"/>
    <n v="40.950000000000003"/>
    <n v="4.0499999999999972"/>
    <n v="8.9999999999999941E-2"/>
    <x v="1"/>
  </r>
  <r>
    <s v="HBY-35655-049"/>
    <x v="594"/>
    <s v="69207-93422-CQ"/>
    <s v="E-D-2.5"/>
    <n v="3"/>
    <s v="Isis Hessel"/>
    <s v="ihesselpf@ox.ac.uk"/>
    <x v="0"/>
    <x v="1"/>
    <x v="1"/>
    <x v="2"/>
    <x v="2"/>
    <x v="2"/>
    <n v="27.945"/>
    <n v="24.87105"/>
    <n v="83.835000000000008"/>
    <n v="74.613150000000005"/>
    <n v="9.2218500000000034"/>
    <n v="0.11000000000000003"/>
    <x v="0"/>
  </r>
  <r>
    <s v="DCE-22886-861"/>
    <x v="89"/>
    <s v="56060-17602-RG"/>
    <s v="E-D-0.2"/>
    <n v="1"/>
    <s v="Harland Trematick"/>
    <s v="-"/>
    <x v="1"/>
    <x v="1"/>
    <x v="1"/>
    <x v="2"/>
    <x v="2"/>
    <x v="3"/>
    <n v="3.645"/>
    <n v="3.2440500000000001"/>
    <n v="3.645"/>
    <n v="3.2440500000000001"/>
    <n v="0.40094999999999992"/>
    <n v="0.10999999999999997"/>
    <x v="0"/>
  </r>
  <r>
    <s v="QTG-93823-843"/>
    <x v="651"/>
    <s v="46859-14212-FI"/>
    <s v="A-M-0.5"/>
    <n v="1"/>
    <s v="Chloris Sorrell"/>
    <s v="csorrellph@amazon.com"/>
    <x v="2"/>
    <x v="2"/>
    <x v="2"/>
    <x v="0"/>
    <x v="0"/>
    <x v="1"/>
    <n v="6.75"/>
    <n v="6.1425000000000001"/>
    <n v="6.75"/>
    <n v="6.1425000000000001"/>
    <n v="0.60749999999999993"/>
    <n v="8.9999999999999983E-2"/>
    <x v="1"/>
  </r>
  <r>
    <s v="QTG-93823-843"/>
    <x v="651"/>
    <s v="46859-14212-FI"/>
    <s v="E-D-0.5"/>
    <n v="3"/>
    <s v="Chloris Sorrell"/>
    <s v="csorrellph@amazon.com"/>
    <x v="2"/>
    <x v="1"/>
    <x v="1"/>
    <x v="2"/>
    <x v="2"/>
    <x v="1"/>
    <n v="7.29"/>
    <n v="6.4881000000000002"/>
    <n v="21.87"/>
    <n v="19.464300000000001"/>
    <n v="2.4056999999999995"/>
    <n v="0.10999999999999997"/>
    <x v="1"/>
  </r>
  <r>
    <s v="WFT-16178-396"/>
    <x v="249"/>
    <s v="33555-01585-RP"/>
    <s v="R-D-0.2"/>
    <n v="5"/>
    <s v="Quintina Heavyside"/>
    <s v="qheavysidepj@unc.edu"/>
    <x v="0"/>
    <x v="0"/>
    <x v="0"/>
    <x v="2"/>
    <x v="2"/>
    <x v="3"/>
    <n v="2.6849999999999996"/>
    <n v="2.5238999999999998"/>
    <n v="13.424999999999997"/>
    <n v="12.619499999999999"/>
    <n v="0.80549999999999855"/>
    <n v="5.9999999999999908E-2"/>
    <x v="0"/>
  </r>
  <r>
    <s v="ERC-54560-934"/>
    <x v="652"/>
    <s v="11932-85629-CU"/>
    <s v="R-D-2.5"/>
    <n v="6"/>
    <s v="Hadley Reuven"/>
    <s v="hreuvenpk@whitehouse.gov"/>
    <x v="0"/>
    <x v="0"/>
    <x v="0"/>
    <x v="2"/>
    <x v="2"/>
    <x v="2"/>
    <n v="20.584999999999997"/>
    <n v="19.349899999999998"/>
    <n v="123.50999999999999"/>
    <n v="116.09939999999999"/>
    <n v="7.4106000000000023"/>
    <n v="6.0000000000000026E-2"/>
    <x v="1"/>
  </r>
  <r>
    <s v="RUK-78200-416"/>
    <x v="653"/>
    <s v="36192-07175-XC"/>
    <s v="L-D-0.2"/>
    <n v="2"/>
    <s v="Mitch Attwool"/>
    <s v="mattwoolpl@nba.com"/>
    <x v="0"/>
    <x v="3"/>
    <x v="3"/>
    <x v="2"/>
    <x v="2"/>
    <x v="3"/>
    <n v="3.8849999999999998"/>
    <n v="3.37995"/>
    <n v="7.77"/>
    <n v="6.7599"/>
    <n v="1.0100999999999996"/>
    <n v="0.12999999999999995"/>
    <x v="1"/>
  </r>
  <r>
    <s v="KHK-13105-388"/>
    <x v="177"/>
    <s v="46242-54946-ZW"/>
    <s v="A-M-1"/>
    <n v="6"/>
    <s v="Charin Maplethorp"/>
    <s v="-"/>
    <x v="0"/>
    <x v="2"/>
    <x v="2"/>
    <x v="0"/>
    <x v="0"/>
    <x v="0"/>
    <n v="11.25"/>
    <n v="10.237500000000001"/>
    <n v="67.5"/>
    <n v="61.425000000000004"/>
    <n v="6.0749999999999957"/>
    <n v="8.9999999999999941E-2"/>
    <x v="0"/>
  </r>
  <r>
    <s v="NJR-03699-189"/>
    <x v="22"/>
    <s v="95152-82155-VQ"/>
    <s v="E-D-2.5"/>
    <n v="1"/>
    <s v="Goldie Wynes"/>
    <s v="gwynespn@dagondesign.com"/>
    <x v="0"/>
    <x v="1"/>
    <x v="1"/>
    <x v="2"/>
    <x v="2"/>
    <x v="2"/>
    <n v="27.945"/>
    <n v="24.87105"/>
    <n v="27.945"/>
    <n v="24.87105"/>
    <n v="3.07395"/>
    <n v="0.11"/>
    <x v="1"/>
  </r>
  <r>
    <s v="PJV-20427-019"/>
    <x v="508"/>
    <s v="13404-39127-WQ"/>
    <s v="A-L-2.5"/>
    <n v="3"/>
    <s v="Celie MacCourt"/>
    <s v="cmaccourtpo@amazon.com"/>
    <x v="0"/>
    <x v="2"/>
    <x v="2"/>
    <x v="1"/>
    <x v="1"/>
    <x v="2"/>
    <n v="29.784999999999997"/>
    <n v="27.104349999999997"/>
    <n v="89.35499999999999"/>
    <n v="81.31304999999999"/>
    <n v="8.0419499999999999"/>
    <n v="9.0000000000000011E-2"/>
    <x v="1"/>
  </r>
  <r>
    <s v="UGK-07613-982"/>
    <x v="654"/>
    <s v="57808-90533-UE"/>
    <s v="A-M-0.5"/>
    <n v="3"/>
    <s v="Derick Snow"/>
    <s v="-"/>
    <x v="0"/>
    <x v="2"/>
    <x v="2"/>
    <x v="0"/>
    <x v="0"/>
    <x v="1"/>
    <n v="6.75"/>
    <n v="6.1425000000000001"/>
    <n v="20.25"/>
    <n v="18.427500000000002"/>
    <n v="1.822499999999998"/>
    <n v="8.99999999999999E-2"/>
    <x v="1"/>
  </r>
  <r>
    <s v="OLA-68289-577"/>
    <x v="524"/>
    <s v="40226-52317-IO"/>
    <s v="A-M-0.5"/>
    <n v="5"/>
    <s v="Evy Wilsone"/>
    <s v="ewilsonepq@eepurl.com"/>
    <x v="0"/>
    <x v="2"/>
    <x v="2"/>
    <x v="0"/>
    <x v="0"/>
    <x v="1"/>
    <n v="6.75"/>
    <n v="6.1425000000000001"/>
    <n v="33.75"/>
    <n v="30.712499999999999"/>
    <n v="3.0375000000000014"/>
    <n v="9.0000000000000038E-2"/>
    <x v="0"/>
  </r>
  <r>
    <s v="TNR-84447-052"/>
    <x v="655"/>
    <s v="34419-18068-AG"/>
    <s v="E-D-2.5"/>
    <n v="4"/>
    <s v="Dolores Duffie"/>
    <s v="dduffiepr@time.com"/>
    <x v="0"/>
    <x v="1"/>
    <x v="1"/>
    <x v="2"/>
    <x v="2"/>
    <x v="2"/>
    <n v="27.945"/>
    <n v="24.87105"/>
    <n v="111.78"/>
    <n v="99.484200000000001"/>
    <n v="12.2958"/>
    <n v="0.11"/>
    <x v="1"/>
  </r>
  <r>
    <s v="FBZ-64200-586"/>
    <x v="523"/>
    <s v="51738-61457-RS"/>
    <s v="E-M-2.5"/>
    <n v="2"/>
    <s v="Mathilda Matiasek"/>
    <s v="mmatiasekps@ucoz.ru"/>
    <x v="0"/>
    <x v="1"/>
    <x v="1"/>
    <x v="0"/>
    <x v="0"/>
    <x v="2"/>
    <n v="31.624999999999996"/>
    <n v="28.146249999999995"/>
    <n v="63.249999999999993"/>
    <n v="56.29249999999999"/>
    <n v="6.9575000000000031"/>
    <n v="0.11000000000000006"/>
    <x v="0"/>
  </r>
  <r>
    <s v="OBN-66334-505"/>
    <x v="656"/>
    <s v="86757-52367-ON"/>
    <s v="E-L-0.2"/>
    <n v="2"/>
    <s v="Jarred Camillo"/>
    <s v="jcamillopt@shinystat.com"/>
    <x v="0"/>
    <x v="1"/>
    <x v="1"/>
    <x v="1"/>
    <x v="1"/>
    <x v="3"/>
    <n v="4.4550000000000001"/>
    <n v="3.96495"/>
    <n v="8.91"/>
    <n v="7.9298999999999999"/>
    <n v="0.98010000000000019"/>
    <n v="0.11000000000000001"/>
    <x v="0"/>
  </r>
  <r>
    <s v="NXM-89323-646"/>
    <x v="657"/>
    <s v="28158-93383-CK"/>
    <s v="E-D-1"/>
    <n v="1"/>
    <s v="Kameko Philbrick"/>
    <s v="kphilbrickpu@cdc.gov"/>
    <x v="0"/>
    <x v="1"/>
    <x v="1"/>
    <x v="2"/>
    <x v="2"/>
    <x v="0"/>
    <n v="12.15"/>
    <n v="10.813500000000001"/>
    <n v="12.15"/>
    <n v="10.813500000000001"/>
    <n v="1.3364999999999991"/>
    <n v="0.10999999999999993"/>
    <x v="0"/>
  </r>
  <r>
    <s v="NHI-23264-055"/>
    <x v="658"/>
    <s v="44799-09711-XW"/>
    <s v="A-D-0.5"/>
    <n v="4"/>
    <s v="Mallory Shrimpling"/>
    <s v="-"/>
    <x v="0"/>
    <x v="2"/>
    <x v="2"/>
    <x v="2"/>
    <x v="2"/>
    <x v="1"/>
    <n v="5.97"/>
    <n v="5.4326999999999996"/>
    <n v="23.88"/>
    <n v="21.730799999999999"/>
    <n v="2.1492000000000004"/>
    <n v="9.0000000000000024E-2"/>
    <x v="0"/>
  </r>
  <r>
    <s v="EQH-53569-934"/>
    <x v="659"/>
    <s v="53667-91553-LT"/>
    <s v="E-M-1"/>
    <n v="4"/>
    <s v="Barnett Sillis"/>
    <s v="bsillispw@istockphoto.com"/>
    <x v="0"/>
    <x v="1"/>
    <x v="1"/>
    <x v="0"/>
    <x v="0"/>
    <x v="0"/>
    <n v="13.75"/>
    <n v="12.237500000000001"/>
    <n v="55"/>
    <n v="48.95"/>
    <n v="6.0499999999999972"/>
    <n v="0.10999999999999995"/>
    <x v="1"/>
  </r>
  <r>
    <s v="XKK-06692-189"/>
    <x v="558"/>
    <s v="86579-92122-OC"/>
    <s v="R-D-1"/>
    <n v="3"/>
    <s v="Brenn Dundredge"/>
    <s v="-"/>
    <x v="0"/>
    <x v="0"/>
    <x v="0"/>
    <x v="2"/>
    <x v="2"/>
    <x v="0"/>
    <n v="8.9499999999999993"/>
    <n v="8.4130000000000003"/>
    <n v="26.849999999999998"/>
    <n v="25.239000000000001"/>
    <n v="1.6109999999999971"/>
    <n v="5.9999999999999894E-2"/>
    <x v="0"/>
  </r>
  <r>
    <s v="BYP-16005-016"/>
    <x v="660"/>
    <s v="01474-63436-TP"/>
    <s v="R-M-2.5"/>
    <n v="5"/>
    <s v="Read Cutts"/>
    <s v="rcuttspy@techcrunch.com"/>
    <x v="0"/>
    <x v="0"/>
    <x v="0"/>
    <x v="0"/>
    <x v="0"/>
    <x v="2"/>
    <n v="22.884999999999998"/>
    <n v="21.511899999999997"/>
    <n v="114.42499999999998"/>
    <n v="107.55949999999999"/>
    <n v="6.8654999999999973"/>
    <n v="5.9999999999999984E-2"/>
    <x v="1"/>
  </r>
  <r>
    <s v="LWS-13938-905"/>
    <x v="661"/>
    <s v="90533-82440-EE"/>
    <s v="A-M-2.5"/>
    <n v="6"/>
    <s v="Michale Delves"/>
    <s v="mdelvespz@nature.com"/>
    <x v="0"/>
    <x v="2"/>
    <x v="2"/>
    <x v="0"/>
    <x v="0"/>
    <x v="2"/>
    <n v="25.874999999999996"/>
    <n v="23.546249999999997"/>
    <n v="155.24999999999997"/>
    <n v="141.27749999999997"/>
    <n v="13.972499999999997"/>
    <n v="0.09"/>
    <x v="0"/>
  </r>
  <r>
    <s v="OLH-95722-362"/>
    <x v="662"/>
    <s v="48553-69225-VX"/>
    <s v="L-D-0.5"/>
    <n v="3"/>
    <s v="Devland Gritton"/>
    <s v="dgrittonq0@nydailynews.com"/>
    <x v="0"/>
    <x v="3"/>
    <x v="3"/>
    <x v="2"/>
    <x v="2"/>
    <x v="1"/>
    <n v="7.77"/>
    <n v="6.7599"/>
    <n v="23.31"/>
    <n v="20.279699999999998"/>
    <n v="3.0303000000000004"/>
    <n v="0.13000000000000003"/>
    <x v="0"/>
  </r>
  <r>
    <s v="OLH-95722-362"/>
    <x v="662"/>
    <s v="48553-69225-VX"/>
    <s v="R-M-2.5"/>
    <n v="4"/>
    <s v="Devland Gritton"/>
    <s v="dgrittonq0@nydailynews.com"/>
    <x v="0"/>
    <x v="0"/>
    <x v="0"/>
    <x v="0"/>
    <x v="0"/>
    <x v="2"/>
    <n v="22.884999999999998"/>
    <n v="21.511899999999997"/>
    <n v="91.539999999999992"/>
    <n v="86.047599999999989"/>
    <n v="5.4924000000000035"/>
    <n v="6.0000000000000046E-2"/>
    <x v="0"/>
  </r>
  <r>
    <s v="KCW-50949-318"/>
    <x v="184"/>
    <s v="52374-27313-IV"/>
    <s v="E-L-1"/>
    <n v="5"/>
    <s v="Dell Gut"/>
    <s v="dgutq2@umich.edu"/>
    <x v="0"/>
    <x v="1"/>
    <x v="1"/>
    <x v="1"/>
    <x v="1"/>
    <x v="0"/>
    <n v="14.85"/>
    <n v="13.2165"/>
    <n v="74.25"/>
    <n v="66.082499999999996"/>
    <n v="8.167500000000004"/>
    <n v="0.11000000000000006"/>
    <x v="0"/>
  </r>
  <r>
    <s v="JGZ-16947-591"/>
    <x v="663"/>
    <s v="14264-41252-SL"/>
    <s v="L-L-0.2"/>
    <n v="6"/>
    <s v="Willy Pummery"/>
    <s v="wpummeryq3@topsy.com"/>
    <x v="0"/>
    <x v="3"/>
    <x v="3"/>
    <x v="1"/>
    <x v="1"/>
    <x v="3"/>
    <n v="4.7549999999999999"/>
    <n v="4.1368499999999999"/>
    <n v="28.53"/>
    <n v="24.821100000000001"/>
    <n v="3.7088999999999999"/>
    <n v="0.12999999999999998"/>
    <x v="1"/>
  </r>
  <r>
    <s v="LXS-63326-144"/>
    <x v="334"/>
    <s v="35367-50483-AR"/>
    <s v="R-L-0.5"/>
    <n v="2"/>
    <s v="Geoffrey Siuda"/>
    <s v="gsiudaq4@nytimes.com"/>
    <x v="0"/>
    <x v="0"/>
    <x v="0"/>
    <x v="1"/>
    <x v="1"/>
    <x v="1"/>
    <n v="7.169999999999999"/>
    <n v="6.7397999999999989"/>
    <n v="14.339999999999998"/>
    <n v="13.479599999999998"/>
    <n v="0.86040000000000028"/>
    <n v="6.0000000000000026E-2"/>
    <x v="0"/>
  </r>
  <r>
    <s v="CZG-86544-655"/>
    <x v="664"/>
    <s v="69443-77665-QW"/>
    <s v="A-L-0.5"/>
    <n v="2"/>
    <s v="Henderson Crowne"/>
    <s v="hcrowneq5@wufoo.com"/>
    <x v="1"/>
    <x v="2"/>
    <x v="2"/>
    <x v="1"/>
    <x v="1"/>
    <x v="1"/>
    <n v="7.77"/>
    <n v="7.0706999999999995"/>
    <n v="15.54"/>
    <n v="14.141399999999999"/>
    <n v="1.3986000000000001"/>
    <n v="9.0000000000000011E-2"/>
    <x v="0"/>
  </r>
  <r>
    <s v="WFV-88138-247"/>
    <x v="24"/>
    <s v="63411-51758-QC"/>
    <s v="R-L-1"/>
    <n v="3"/>
    <s v="Vernor Pawsey"/>
    <s v="vpawseyq6@tiny.cc"/>
    <x v="0"/>
    <x v="0"/>
    <x v="0"/>
    <x v="1"/>
    <x v="1"/>
    <x v="0"/>
    <n v="11.95"/>
    <n v="11.232999999999999"/>
    <n v="35.849999999999994"/>
    <n v="33.698999999999998"/>
    <n v="2.1509999999999962"/>
    <n v="5.9999999999999908E-2"/>
    <x v="1"/>
  </r>
  <r>
    <s v="RFG-28227-288"/>
    <x v="12"/>
    <s v="68605-21835-UF"/>
    <s v="A-L-0.5"/>
    <n v="6"/>
    <s v="Augustin Waterhouse"/>
    <s v="awaterhouseq7@istockphoto.com"/>
    <x v="0"/>
    <x v="2"/>
    <x v="2"/>
    <x v="1"/>
    <x v="1"/>
    <x v="1"/>
    <n v="7.77"/>
    <n v="7.0706999999999995"/>
    <n v="46.62"/>
    <n v="42.424199999999999"/>
    <n v="4.1957999999999984"/>
    <n v="8.9999999999999969E-2"/>
    <x v="1"/>
  </r>
  <r>
    <s v="QAK-77286-758"/>
    <x v="105"/>
    <s v="34786-30419-XY"/>
    <s v="R-L-0.5"/>
    <n v="5"/>
    <s v="Fanchon Haughian"/>
    <s v="fhaughianq8@1688.com"/>
    <x v="0"/>
    <x v="0"/>
    <x v="0"/>
    <x v="1"/>
    <x v="1"/>
    <x v="1"/>
    <n v="7.169999999999999"/>
    <n v="6.7397999999999989"/>
    <n v="35.849999999999994"/>
    <n v="33.698999999999998"/>
    <n v="2.1509999999999962"/>
    <n v="5.9999999999999908E-2"/>
    <x v="1"/>
  </r>
  <r>
    <s v="CZD-56716-840"/>
    <x v="665"/>
    <s v="15456-29250-RU"/>
    <s v="L-D-2.5"/>
    <n v="4"/>
    <s v="Jaimie Hatz"/>
    <s v="-"/>
    <x v="0"/>
    <x v="3"/>
    <x v="3"/>
    <x v="2"/>
    <x v="2"/>
    <x v="2"/>
    <n v="29.784999999999997"/>
    <n v="25.912949999999995"/>
    <n v="119.13999999999999"/>
    <n v="103.65179999999998"/>
    <n v="15.488200000000006"/>
    <n v="0.13000000000000006"/>
    <x v="1"/>
  </r>
  <r>
    <s v="UBI-59229-277"/>
    <x v="44"/>
    <s v="00886-35803-FG"/>
    <s v="L-D-0.5"/>
    <n v="3"/>
    <s v="Edeline Edney"/>
    <s v="-"/>
    <x v="0"/>
    <x v="3"/>
    <x v="3"/>
    <x v="2"/>
    <x v="2"/>
    <x v="1"/>
    <n v="7.77"/>
    <n v="6.7599"/>
    <n v="23.31"/>
    <n v="20.279699999999998"/>
    <n v="3.0303000000000004"/>
    <n v="0.13000000000000003"/>
    <x v="1"/>
  </r>
  <r>
    <s v="WJJ-37489-898"/>
    <x v="171"/>
    <s v="31599-82152-AD"/>
    <s v="A-M-1"/>
    <n v="1"/>
    <s v="Rickie Faltin"/>
    <s v="rfaltinqb@topsy.com"/>
    <x v="1"/>
    <x v="2"/>
    <x v="2"/>
    <x v="0"/>
    <x v="0"/>
    <x v="0"/>
    <n v="11.25"/>
    <n v="10.237500000000001"/>
    <n v="11.25"/>
    <n v="10.237500000000001"/>
    <n v="1.0124999999999993"/>
    <n v="8.9999999999999941E-2"/>
    <x v="1"/>
  </r>
  <r>
    <s v="ORX-57454-917"/>
    <x v="328"/>
    <s v="76209-39601-ZR"/>
    <s v="E-D-2.5"/>
    <n v="3"/>
    <s v="Gnni Cheeke"/>
    <s v="gcheekeqc@sitemeter.com"/>
    <x v="2"/>
    <x v="1"/>
    <x v="1"/>
    <x v="2"/>
    <x v="2"/>
    <x v="2"/>
    <n v="27.945"/>
    <n v="24.87105"/>
    <n v="83.835000000000008"/>
    <n v="74.613150000000005"/>
    <n v="9.2218500000000034"/>
    <n v="0.11000000000000003"/>
    <x v="0"/>
  </r>
  <r>
    <s v="GRB-68838-629"/>
    <x v="648"/>
    <s v="15064-65241-HB"/>
    <s v="R-L-2.5"/>
    <n v="4"/>
    <s v="Gwenni Ratt"/>
    <s v="grattqd@phpbb.com"/>
    <x v="1"/>
    <x v="0"/>
    <x v="0"/>
    <x v="1"/>
    <x v="1"/>
    <x v="2"/>
    <n v="27.484999999999996"/>
    <n v="25.835899999999995"/>
    <n v="109.93999999999998"/>
    <n v="103.34359999999998"/>
    <n v="6.5964000000000027"/>
    <n v="6.0000000000000032E-2"/>
    <x v="1"/>
  </r>
  <r>
    <s v="SHT-04865-419"/>
    <x v="666"/>
    <s v="69215-90789-DL"/>
    <s v="R-L-0.2"/>
    <n v="4"/>
    <s v="Johnath Fairebrother"/>
    <s v="-"/>
    <x v="0"/>
    <x v="0"/>
    <x v="0"/>
    <x v="1"/>
    <x v="1"/>
    <x v="3"/>
    <n v="3.5849999999999995"/>
    <n v="3.3698999999999995"/>
    <n v="14.339999999999998"/>
    <n v="13.479599999999998"/>
    <n v="0.86040000000000028"/>
    <n v="6.0000000000000026E-2"/>
    <x v="0"/>
  </r>
  <r>
    <s v="UQI-28177-865"/>
    <x v="577"/>
    <s v="04317-46176-TB"/>
    <s v="R-L-0.2"/>
    <n v="6"/>
    <s v="Ingamar Eberlein"/>
    <s v="ieberleinqf@hc360.com"/>
    <x v="0"/>
    <x v="0"/>
    <x v="0"/>
    <x v="1"/>
    <x v="1"/>
    <x v="3"/>
    <n v="3.5849999999999995"/>
    <n v="3.3698999999999995"/>
    <n v="21.509999999999998"/>
    <n v="20.219399999999997"/>
    <n v="1.2906000000000013"/>
    <n v="6.0000000000000067E-2"/>
    <x v="1"/>
  </r>
  <r>
    <s v="OIB-13664-879"/>
    <x v="114"/>
    <s v="04713-57765-KR"/>
    <s v="A-M-1"/>
    <n v="2"/>
    <s v="Jilly Dreng"/>
    <s v="jdrengqg@uiuc.edu"/>
    <x v="1"/>
    <x v="2"/>
    <x v="2"/>
    <x v="0"/>
    <x v="0"/>
    <x v="0"/>
    <n v="11.25"/>
    <n v="10.237500000000001"/>
    <n v="22.5"/>
    <n v="20.475000000000001"/>
    <n v="2.0249999999999986"/>
    <n v="8.9999999999999941E-2"/>
    <x v="0"/>
  </r>
  <r>
    <s v="PJS-30996-485"/>
    <x v="4"/>
    <s v="86579-92122-OC"/>
    <s v="A-L-0.2"/>
    <n v="1"/>
    <s v="Brenn Dundredge"/>
    <s v="-"/>
    <x v="0"/>
    <x v="2"/>
    <x v="2"/>
    <x v="1"/>
    <x v="1"/>
    <x v="3"/>
    <n v="3.8849999999999998"/>
    <n v="3.5353499999999998"/>
    <n v="3.8849999999999998"/>
    <n v="3.5353499999999998"/>
    <n v="0.34965000000000002"/>
    <n v="9.0000000000000011E-2"/>
    <x v="0"/>
  </r>
  <r>
    <s v="HEL-86709-449"/>
    <x v="667"/>
    <s v="86579-92122-OC"/>
    <s v="E-D-2.5"/>
    <n v="1"/>
    <s v="Brenn Dundredge"/>
    <s v="-"/>
    <x v="0"/>
    <x v="1"/>
    <x v="1"/>
    <x v="2"/>
    <x v="2"/>
    <x v="2"/>
    <n v="27.945"/>
    <n v="24.87105"/>
    <n v="27.945"/>
    <n v="24.87105"/>
    <n v="3.07395"/>
    <n v="0.11"/>
    <x v="0"/>
  </r>
  <r>
    <s v="NCH-55389-562"/>
    <x v="110"/>
    <s v="86579-92122-OC"/>
    <s v="E-L-2.5"/>
    <n v="5"/>
    <s v="Brenn Dundredge"/>
    <s v="-"/>
    <x v="0"/>
    <x v="1"/>
    <x v="1"/>
    <x v="1"/>
    <x v="1"/>
    <x v="2"/>
    <n v="34.154999999999994"/>
    <n v="30.397949999999994"/>
    <n v="170.77499999999998"/>
    <n v="151.98974999999996"/>
    <n v="18.785250000000019"/>
    <n v="0.11000000000000013"/>
    <x v="0"/>
  </r>
  <r>
    <s v="NCH-55389-562"/>
    <x v="110"/>
    <s v="86579-92122-OC"/>
    <s v="R-L-2.5"/>
    <n v="2"/>
    <s v="Brenn Dundredge"/>
    <s v="-"/>
    <x v="0"/>
    <x v="0"/>
    <x v="0"/>
    <x v="1"/>
    <x v="1"/>
    <x v="2"/>
    <n v="27.484999999999996"/>
    <n v="25.835899999999995"/>
    <n v="54.969999999999992"/>
    <n v="51.67179999999999"/>
    <n v="3.2982000000000014"/>
    <n v="6.0000000000000032E-2"/>
    <x v="0"/>
  </r>
  <r>
    <s v="NCH-55389-562"/>
    <x v="110"/>
    <s v="86579-92122-OC"/>
    <s v="E-L-1"/>
    <n v="1"/>
    <s v="Brenn Dundredge"/>
    <s v="-"/>
    <x v="0"/>
    <x v="1"/>
    <x v="1"/>
    <x v="1"/>
    <x v="1"/>
    <x v="0"/>
    <n v="14.85"/>
    <n v="13.2165"/>
    <n v="14.85"/>
    <n v="13.2165"/>
    <n v="1.6334999999999997"/>
    <n v="0.10999999999999999"/>
    <x v="0"/>
  </r>
  <r>
    <s v="NCH-55389-562"/>
    <x v="110"/>
    <s v="86579-92122-OC"/>
    <s v="A-L-0.2"/>
    <n v="2"/>
    <s v="Brenn Dundredge"/>
    <s v="-"/>
    <x v="0"/>
    <x v="2"/>
    <x v="2"/>
    <x v="1"/>
    <x v="1"/>
    <x v="3"/>
    <n v="3.8849999999999998"/>
    <n v="3.5353499999999998"/>
    <n v="7.77"/>
    <n v="7.0706999999999995"/>
    <n v="0.69930000000000003"/>
    <n v="9.0000000000000011E-2"/>
    <x v="0"/>
  </r>
  <r>
    <s v="GUG-45603-775"/>
    <x v="668"/>
    <s v="40959-32642-DN"/>
    <s v="L-L-0.2"/>
    <n v="5"/>
    <s v="Rhodie Strathern"/>
    <s v="rstrathernqn@devhub.com"/>
    <x v="0"/>
    <x v="3"/>
    <x v="3"/>
    <x v="1"/>
    <x v="1"/>
    <x v="3"/>
    <n v="4.7549999999999999"/>
    <n v="4.1368499999999999"/>
    <n v="23.774999999999999"/>
    <n v="20.684249999999999"/>
    <n v="3.0907499999999999"/>
    <n v="0.13"/>
    <x v="0"/>
  </r>
  <r>
    <s v="KJB-98240-098"/>
    <x v="422"/>
    <s v="77746-08153-PM"/>
    <s v="L-L-1"/>
    <n v="5"/>
    <s v="Chad Miguel"/>
    <s v="cmiguelqo@exblog.jp"/>
    <x v="0"/>
    <x v="3"/>
    <x v="3"/>
    <x v="1"/>
    <x v="1"/>
    <x v="0"/>
    <n v="15.85"/>
    <n v="13.7895"/>
    <n v="79.25"/>
    <n v="68.947500000000005"/>
    <n v="10.302499999999995"/>
    <n v="0.12999999999999995"/>
    <x v="0"/>
  </r>
  <r>
    <s v="JMS-48374-462"/>
    <x v="669"/>
    <s v="49667-96708-JL"/>
    <s v="A-D-2.5"/>
    <n v="2"/>
    <s v="Florinda Matusovsky"/>
    <s v="-"/>
    <x v="0"/>
    <x v="2"/>
    <x v="2"/>
    <x v="2"/>
    <x v="2"/>
    <x v="2"/>
    <n v="22.884999999999998"/>
    <n v="20.82535"/>
    <n v="45.769999999999996"/>
    <n v="41.650700000000001"/>
    <n v="4.1192999999999955"/>
    <n v="8.9999999999999913E-2"/>
    <x v="0"/>
  </r>
  <r>
    <s v="YIT-15877-117"/>
    <x v="670"/>
    <s v="24155-79322-EQ"/>
    <s v="R-D-1"/>
    <n v="1"/>
    <s v="Morly Rocks"/>
    <s v="mrocksqq@exblog.jp"/>
    <x v="1"/>
    <x v="0"/>
    <x v="0"/>
    <x v="2"/>
    <x v="2"/>
    <x v="0"/>
    <n v="8.9499999999999993"/>
    <n v="8.4130000000000003"/>
    <n v="8.9499999999999993"/>
    <n v="8.4130000000000003"/>
    <n v="0.53699999999999903"/>
    <n v="5.9999999999999894E-2"/>
    <x v="0"/>
  </r>
  <r>
    <s v="YVK-82679-655"/>
    <x v="341"/>
    <s v="95342-88311-SF"/>
    <s v="R-M-0.5"/>
    <n v="4"/>
    <s v="Yuri Burrells"/>
    <s v="yburrellsqr@vinaora.com"/>
    <x v="0"/>
    <x v="0"/>
    <x v="0"/>
    <x v="0"/>
    <x v="0"/>
    <x v="1"/>
    <n v="5.97"/>
    <n v="5.6117999999999997"/>
    <n v="23.88"/>
    <n v="22.447199999999999"/>
    <n v="1.4328000000000003"/>
    <n v="6.0000000000000012E-2"/>
    <x v="0"/>
  </r>
  <r>
    <s v="TYH-81940-054"/>
    <x v="671"/>
    <s v="69374-08133-RI"/>
    <s v="E-L-0.2"/>
    <n v="5"/>
    <s v="Cleopatra Goodrum"/>
    <s v="cgoodrumqs@goodreads.com"/>
    <x v="0"/>
    <x v="1"/>
    <x v="1"/>
    <x v="1"/>
    <x v="1"/>
    <x v="3"/>
    <n v="4.4550000000000001"/>
    <n v="3.96495"/>
    <n v="22.274999999999999"/>
    <n v="19.824750000000002"/>
    <n v="2.4502499999999969"/>
    <n v="0.10999999999999988"/>
    <x v="1"/>
  </r>
  <r>
    <s v="HTY-30660-254"/>
    <x v="672"/>
    <s v="83844-95908-RX"/>
    <s v="R-M-1"/>
    <n v="3"/>
    <s v="Joey Jefferys"/>
    <s v="jjefferysqt@blog.com"/>
    <x v="0"/>
    <x v="0"/>
    <x v="0"/>
    <x v="0"/>
    <x v="0"/>
    <x v="0"/>
    <n v="9.9499999999999993"/>
    <n v="9.3529999999999998"/>
    <n v="29.849999999999998"/>
    <n v="28.058999999999997"/>
    <n v="1.7910000000000004"/>
    <n v="6.0000000000000019E-2"/>
    <x v="0"/>
  </r>
  <r>
    <s v="GPW-43956-761"/>
    <x v="673"/>
    <s v="09667-09231-YM"/>
    <s v="E-L-0.5"/>
    <n v="6"/>
    <s v="Bearnard Wardell"/>
    <s v="bwardellqu@adobe.com"/>
    <x v="0"/>
    <x v="1"/>
    <x v="1"/>
    <x v="1"/>
    <x v="1"/>
    <x v="1"/>
    <n v="8.91"/>
    <n v="7.9298999999999999"/>
    <n v="53.46"/>
    <n v="47.5794"/>
    <n v="5.8806000000000012"/>
    <n v="0.11000000000000001"/>
    <x v="0"/>
  </r>
  <r>
    <s v="DWY-56352-412"/>
    <x v="674"/>
    <s v="55427-08059-DF"/>
    <s v="R-D-0.2"/>
    <n v="1"/>
    <s v="Zeke Walisiak"/>
    <s v="zwalisiakqv@ucsd.edu"/>
    <x v="1"/>
    <x v="0"/>
    <x v="0"/>
    <x v="2"/>
    <x v="2"/>
    <x v="3"/>
    <n v="2.6849999999999996"/>
    <n v="2.5238999999999998"/>
    <n v="2.6849999999999996"/>
    <n v="2.5238999999999998"/>
    <n v="0.1610999999999998"/>
    <n v="5.9999999999999935E-2"/>
    <x v="0"/>
  </r>
  <r>
    <s v="PUH-55647-976"/>
    <x v="675"/>
    <s v="06624-54037-BQ"/>
    <s v="R-M-0.2"/>
    <n v="2"/>
    <s v="Wiley Leopold"/>
    <s v="wleopoldqw@blogspot.com"/>
    <x v="0"/>
    <x v="0"/>
    <x v="0"/>
    <x v="0"/>
    <x v="0"/>
    <x v="3"/>
    <n v="2.9849999999999999"/>
    <n v="2.8058999999999998"/>
    <n v="5.97"/>
    <n v="5.6117999999999997"/>
    <n v="0.35820000000000007"/>
    <n v="6.0000000000000012E-2"/>
    <x v="1"/>
  </r>
  <r>
    <s v="DTB-71371-705"/>
    <x v="539"/>
    <s v="48544-90737-AZ"/>
    <s v="L-D-1"/>
    <n v="1"/>
    <s v="Chiarra Shalders"/>
    <s v="cshaldersqx@cisco.com"/>
    <x v="0"/>
    <x v="3"/>
    <x v="3"/>
    <x v="2"/>
    <x v="2"/>
    <x v="0"/>
    <n v="12.95"/>
    <n v="11.266499999999999"/>
    <n v="12.95"/>
    <n v="11.266499999999999"/>
    <n v="1.6835000000000004"/>
    <n v="0.13000000000000003"/>
    <x v="0"/>
  </r>
  <r>
    <s v="ZDC-64769-740"/>
    <x v="676"/>
    <s v="79463-01597-FQ"/>
    <s v="E-M-0.5"/>
    <n v="1"/>
    <s v="Sharl Southerill"/>
    <s v="-"/>
    <x v="0"/>
    <x v="1"/>
    <x v="1"/>
    <x v="0"/>
    <x v="0"/>
    <x v="1"/>
    <n v="8.25"/>
    <n v="7.3425000000000002"/>
    <n v="8.25"/>
    <n v="7.3425000000000002"/>
    <n v="0.90749999999999975"/>
    <n v="0.10999999999999997"/>
    <x v="1"/>
  </r>
  <r>
    <s v="TED-81959-419"/>
    <x v="677"/>
    <s v="27702-50024-XC"/>
    <s v="A-L-2.5"/>
    <n v="5"/>
    <s v="Noni Furber"/>
    <s v="nfurberqz@jugem.jp"/>
    <x v="0"/>
    <x v="2"/>
    <x v="2"/>
    <x v="1"/>
    <x v="1"/>
    <x v="2"/>
    <n v="29.784999999999997"/>
    <n v="27.104349999999997"/>
    <n v="148.92499999999998"/>
    <n v="135.52175"/>
    <n v="13.403249999999986"/>
    <n v="8.9999999999999913E-2"/>
    <x v="1"/>
  </r>
  <r>
    <s v="FDO-25756-141"/>
    <x v="629"/>
    <s v="57360-46846-NS"/>
    <s v="A-L-2.5"/>
    <n v="3"/>
    <s v="Dinah Crutcher"/>
    <s v="-"/>
    <x v="1"/>
    <x v="2"/>
    <x v="2"/>
    <x v="1"/>
    <x v="1"/>
    <x v="2"/>
    <n v="29.784999999999997"/>
    <n v="27.104349999999997"/>
    <n v="89.35499999999999"/>
    <n v="81.31304999999999"/>
    <n v="8.0419499999999999"/>
    <n v="9.0000000000000011E-2"/>
    <x v="0"/>
  </r>
  <r>
    <s v="HKN-31467-517"/>
    <x v="662"/>
    <s v="84045-66771-SL"/>
    <s v="L-M-1"/>
    <n v="6"/>
    <s v="Charlean Keave"/>
    <s v="ckeaver1@ucoz.com"/>
    <x v="0"/>
    <x v="3"/>
    <x v="3"/>
    <x v="0"/>
    <x v="0"/>
    <x v="0"/>
    <n v="14.55"/>
    <n v="12.6585"/>
    <n v="87.300000000000011"/>
    <n v="75.950999999999993"/>
    <n v="11.349000000000018"/>
    <n v="0.1300000000000002"/>
    <x v="1"/>
  </r>
  <r>
    <s v="POF-29666-012"/>
    <x v="102"/>
    <s v="46885-00260-TL"/>
    <s v="R-D-0.5"/>
    <n v="1"/>
    <s v="Sada Roseborough"/>
    <s v="sroseboroughr2@virginia.edu"/>
    <x v="0"/>
    <x v="0"/>
    <x v="0"/>
    <x v="2"/>
    <x v="2"/>
    <x v="1"/>
    <n v="5.3699999999999992"/>
    <n v="5.0477999999999996"/>
    <n v="5.3699999999999992"/>
    <n v="5.0477999999999996"/>
    <n v="0.3221999999999996"/>
    <n v="5.9999999999999935E-2"/>
    <x v="0"/>
  </r>
  <r>
    <s v="IRX-59256-644"/>
    <x v="678"/>
    <s v="96446-62142-EN"/>
    <s v="A-D-0.2"/>
    <n v="3"/>
    <s v="Clayton Kingwell"/>
    <s v="ckingwellr3@squarespace.com"/>
    <x v="1"/>
    <x v="2"/>
    <x v="2"/>
    <x v="2"/>
    <x v="2"/>
    <x v="3"/>
    <n v="2.9849999999999999"/>
    <n v="2.7163499999999998"/>
    <n v="8.9550000000000001"/>
    <n v="8.149049999999999"/>
    <n v="0.80595000000000105"/>
    <n v="9.0000000000000122E-2"/>
    <x v="0"/>
  </r>
  <r>
    <s v="LTN-89139-350"/>
    <x v="679"/>
    <s v="07756-71018-GU"/>
    <s v="R-L-2.5"/>
    <n v="5"/>
    <s v="Kacy Canto"/>
    <s v="kcantor4@gmpg.org"/>
    <x v="0"/>
    <x v="0"/>
    <x v="0"/>
    <x v="1"/>
    <x v="1"/>
    <x v="2"/>
    <n v="27.484999999999996"/>
    <n v="25.835899999999995"/>
    <n v="137.42499999999998"/>
    <n v="129.17949999999996"/>
    <n v="8.2455000000000211"/>
    <n v="6.0000000000000164E-2"/>
    <x v="0"/>
  </r>
  <r>
    <s v="TXF-79780-017"/>
    <x v="112"/>
    <s v="92048-47813-QB"/>
    <s v="R-L-1"/>
    <n v="5"/>
    <s v="Mab Blakemore"/>
    <s v="mblakemorer5@nsw.gov.au"/>
    <x v="0"/>
    <x v="0"/>
    <x v="0"/>
    <x v="1"/>
    <x v="1"/>
    <x v="0"/>
    <n v="11.95"/>
    <n v="11.232999999999999"/>
    <n v="59.75"/>
    <n v="56.164999999999992"/>
    <n v="3.585000000000008"/>
    <n v="6.0000000000000137E-2"/>
    <x v="1"/>
  </r>
  <r>
    <s v="ALM-80762-974"/>
    <x v="55"/>
    <s v="84045-66771-SL"/>
    <s v="A-L-0.5"/>
    <n v="3"/>
    <s v="Charlean Keave"/>
    <s v="ckeaver1@ucoz.com"/>
    <x v="0"/>
    <x v="2"/>
    <x v="2"/>
    <x v="1"/>
    <x v="1"/>
    <x v="1"/>
    <n v="7.77"/>
    <n v="7.0706999999999995"/>
    <n v="23.31"/>
    <n v="21.2121"/>
    <n v="2.0978999999999992"/>
    <n v="8.9999999999999969E-2"/>
    <x v="1"/>
  </r>
  <r>
    <s v="NXF-15738-707"/>
    <x v="680"/>
    <s v="28699-16256-XV"/>
    <s v="R-D-0.5"/>
    <n v="2"/>
    <s v="Javier Causnett"/>
    <s v="-"/>
    <x v="0"/>
    <x v="0"/>
    <x v="0"/>
    <x v="2"/>
    <x v="2"/>
    <x v="1"/>
    <n v="5.3699999999999992"/>
    <n v="5.0477999999999996"/>
    <n v="10.739999999999998"/>
    <n v="10.095599999999999"/>
    <n v="0.6443999999999992"/>
    <n v="5.9999999999999935E-2"/>
    <x v="1"/>
  </r>
  <r>
    <s v="MVV-19034-198"/>
    <x v="94"/>
    <s v="98476-63654-CG"/>
    <s v="E-D-2.5"/>
    <n v="6"/>
    <s v="Demetris Micheli"/>
    <s v="-"/>
    <x v="0"/>
    <x v="1"/>
    <x v="1"/>
    <x v="2"/>
    <x v="2"/>
    <x v="2"/>
    <n v="27.945"/>
    <n v="24.87105"/>
    <n v="167.67000000000002"/>
    <n v="149.22630000000001"/>
    <n v="18.443700000000007"/>
    <n v="0.11000000000000003"/>
    <x v="0"/>
  </r>
  <r>
    <s v="KUX-19632-830"/>
    <x v="160"/>
    <s v="55409-07759-YG"/>
    <s v="E-D-0.2"/>
    <n v="6"/>
    <s v="Chloette Bernardot"/>
    <s v="cbernardotr9@wix.com"/>
    <x v="0"/>
    <x v="1"/>
    <x v="1"/>
    <x v="2"/>
    <x v="2"/>
    <x v="3"/>
    <n v="3.645"/>
    <n v="3.2440500000000001"/>
    <n v="21.87"/>
    <n v="19.464300000000001"/>
    <n v="2.4056999999999995"/>
    <n v="0.10999999999999997"/>
    <x v="0"/>
  </r>
  <r>
    <s v="SNZ-44595-152"/>
    <x v="681"/>
    <s v="06136-65250-PG"/>
    <s v="R-L-1"/>
    <n v="2"/>
    <s v="Kim Kemery"/>
    <s v="kkemeryra@t.co"/>
    <x v="0"/>
    <x v="0"/>
    <x v="0"/>
    <x v="1"/>
    <x v="1"/>
    <x v="0"/>
    <n v="11.95"/>
    <n v="11.232999999999999"/>
    <n v="23.9"/>
    <n v="22.465999999999998"/>
    <n v="1.4340000000000011"/>
    <n v="6.0000000000000046E-2"/>
    <x v="0"/>
  </r>
  <r>
    <s v="GQA-37241-629"/>
    <x v="502"/>
    <s v="08405-33165-BS"/>
    <s v="A-M-0.2"/>
    <n v="2"/>
    <s v="Fanchette Parlot"/>
    <s v="fparlotrb@forbes.com"/>
    <x v="0"/>
    <x v="2"/>
    <x v="2"/>
    <x v="0"/>
    <x v="0"/>
    <x v="3"/>
    <n v="3.375"/>
    <n v="3.07125"/>
    <n v="6.75"/>
    <n v="6.1425000000000001"/>
    <n v="0.60749999999999993"/>
    <n v="8.9999999999999983E-2"/>
    <x v="0"/>
  </r>
  <r>
    <s v="WVV-79948-067"/>
    <x v="682"/>
    <s v="66070-30559-WI"/>
    <s v="E-M-2.5"/>
    <n v="1"/>
    <s v="Ramon Cheak"/>
    <s v="rcheakrc@tripadvisor.com"/>
    <x v="1"/>
    <x v="1"/>
    <x v="1"/>
    <x v="0"/>
    <x v="0"/>
    <x v="2"/>
    <n v="31.624999999999996"/>
    <n v="28.146249999999995"/>
    <n v="31.624999999999996"/>
    <n v="28.146249999999995"/>
    <n v="3.4787500000000016"/>
    <n v="0.11000000000000006"/>
    <x v="0"/>
  </r>
  <r>
    <s v="LHX-81117-166"/>
    <x v="683"/>
    <s v="01282-28364-RZ"/>
    <s v="R-L-1"/>
    <n v="4"/>
    <s v="Koressa O'Geneay"/>
    <s v="kogeneayrd@utexas.edu"/>
    <x v="0"/>
    <x v="0"/>
    <x v="0"/>
    <x v="1"/>
    <x v="1"/>
    <x v="0"/>
    <n v="11.95"/>
    <n v="11.232999999999999"/>
    <n v="47.8"/>
    <n v="44.931999999999995"/>
    <n v="2.8680000000000021"/>
    <n v="6.0000000000000046E-2"/>
    <x v="1"/>
  </r>
  <r>
    <s v="GCD-75444-320"/>
    <x v="594"/>
    <s v="51277-93873-RP"/>
    <s v="L-M-2.5"/>
    <n v="1"/>
    <s v="Claudell Ayre"/>
    <s v="cayrere@symantec.com"/>
    <x v="0"/>
    <x v="3"/>
    <x v="3"/>
    <x v="0"/>
    <x v="0"/>
    <x v="2"/>
    <n v="33.464999999999996"/>
    <n v="29.114549999999998"/>
    <n v="33.464999999999996"/>
    <n v="29.114549999999998"/>
    <n v="4.3504499999999986"/>
    <n v="0.12999999999999998"/>
    <x v="1"/>
  </r>
  <r>
    <s v="SGA-30059-217"/>
    <x v="389"/>
    <s v="84405-83364-DG"/>
    <s v="A-D-0.5"/>
    <n v="5"/>
    <s v="Lorianne Kyneton"/>
    <s v="lkynetonrf@macromedia.com"/>
    <x v="2"/>
    <x v="2"/>
    <x v="2"/>
    <x v="2"/>
    <x v="2"/>
    <x v="1"/>
    <n v="5.97"/>
    <n v="5.4326999999999996"/>
    <n v="29.849999999999998"/>
    <n v="27.163499999999999"/>
    <n v="2.6864999999999988"/>
    <n v="8.9999999999999969E-2"/>
    <x v="0"/>
  </r>
  <r>
    <s v="GNL-98714-885"/>
    <x v="583"/>
    <s v="83731-53280-YC"/>
    <s v="R-M-1"/>
    <n v="3"/>
    <s v="Adele McFayden"/>
    <s v="-"/>
    <x v="2"/>
    <x v="0"/>
    <x v="0"/>
    <x v="0"/>
    <x v="0"/>
    <x v="0"/>
    <n v="9.9499999999999993"/>
    <n v="9.3529999999999998"/>
    <n v="29.849999999999998"/>
    <n v="28.058999999999997"/>
    <n v="1.7910000000000004"/>
    <n v="6.0000000000000019E-2"/>
    <x v="0"/>
  </r>
  <r>
    <s v="OQA-93249-841"/>
    <x v="647"/>
    <s v="03917-13632-KC"/>
    <s v="A-M-2.5"/>
    <n v="6"/>
    <s v="Herta Layne"/>
    <s v="-"/>
    <x v="0"/>
    <x v="2"/>
    <x v="2"/>
    <x v="0"/>
    <x v="0"/>
    <x v="2"/>
    <n v="25.874999999999996"/>
    <n v="23.546249999999997"/>
    <n v="155.24999999999997"/>
    <n v="141.27749999999997"/>
    <n v="13.972499999999997"/>
    <n v="0.09"/>
    <x v="0"/>
  </r>
  <r>
    <s v="DUV-12075-132"/>
    <x v="366"/>
    <s v="62494-09113-RP"/>
    <s v="E-D-0.2"/>
    <n v="5"/>
    <s v="Marguerite Graves"/>
    <s v="-"/>
    <x v="0"/>
    <x v="1"/>
    <x v="1"/>
    <x v="2"/>
    <x v="2"/>
    <x v="3"/>
    <n v="3.645"/>
    <n v="3.2440500000000001"/>
    <n v="18.225000000000001"/>
    <n v="16.22025"/>
    <n v="2.0047500000000014"/>
    <n v="0.11000000000000007"/>
    <x v="1"/>
  </r>
  <r>
    <s v="DUV-12075-132"/>
    <x v="366"/>
    <s v="62494-09113-RP"/>
    <s v="L-D-0.5"/>
    <n v="2"/>
    <s v="Marguerite Graves"/>
    <s v="-"/>
    <x v="0"/>
    <x v="3"/>
    <x v="3"/>
    <x v="2"/>
    <x v="2"/>
    <x v="1"/>
    <n v="7.77"/>
    <n v="6.7599"/>
    <n v="15.54"/>
    <n v="13.5198"/>
    <n v="2.0201999999999991"/>
    <n v="0.12999999999999995"/>
    <x v="1"/>
  </r>
  <r>
    <s v="KPO-24942-184"/>
    <x v="684"/>
    <s v="70567-65133-CN"/>
    <s v="L-L-2.5"/>
    <n v="3"/>
    <s v="Desdemona Eye"/>
    <s v="-"/>
    <x v="1"/>
    <x v="3"/>
    <x v="3"/>
    <x v="1"/>
    <x v="1"/>
    <x v="2"/>
    <n v="36.454999999999998"/>
    <n v="31.71585"/>
    <n v="109.36499999999999"/>
    <n v="95.147549999999995"/>
    <n v="14.217449999999999"/>
    <n v="0.13"/>
    <x v="1"/>
  </r>
  <r>
    <s v="SRJ-79353-838"/>
    <x v="506"/>
    <s v="77869-81373-AY"/>
    <s v="A-L-1"/>
    <n v="6"/>
    <s v="Margarette Sterland"/>
    <s v="-"/>
    <x v="0"/>
    <x v="2"/>
    <x v="2"/>
    <x v="1"/>
    <x v="1"/>
    <x v="0"/>
    <n v="12.95"/>
    <n v="11.7845"/>
    <n v="77.699999999999989"/>
    <n v="70.706999999999994"/>
    <n v="6.992999999999995"/>
    <n v="8.9999999999999955E-2"/>
    <x v="1"/>
  </r>
  <r>
    <s v="XBV-40336-071"/>
    <x v="685"/>
    <s v="38536-98293-JZ"/>
    <s v="A-D-0.2"/>
    <n v="3"/>
    <s v="Catharine Scoines"/>
    <s v="-"/>
    <x v="1"/>
    <x v="2"/>
    <x v="2"/>
    <x v="2"/>
    <x v="2"/>
    <x v="3"/>
    <n v="2.9849999999999999"/>
    <n v="2.7163499999999998"/>
    <n v="8.9550000000000001"/>
    <n v="8.149049999999999"/>
    <n v="0.80595000000000105"/>
    <n v="9.0000000000000122E-2"/>
    <x v="1"/>
  </r>
  <r>
    <s v="RLM-96511-467"/>
    <x v="191"/>
    <s v="43014-53743-XK"/>
    <s v="R-L-2.5"/>
    <n v="1"/>
    <s v="Jennica Tewelson"/>
    <s v="jtewelsonrn@samsung.com"/>
    <x v="0"/>
    <x v="0"/>
    <x v="0"/>
    <x v="1"/>
    <x v="1"/>
    <x v="2"/>
    <n v="27.484999999999996"/>
    <n v="25.835899999999995"/>
    <n v="27.484999999999996"/>
    <n v="25.835899999999995"/>
    <n v="1.6491000000000007"/>
    <n v="6.0000000000000032E-2"/>
    <x v="1"/>
  </r>
  <r>
    <s v="AEZ-13242-456"/>
    <x v="686"/>
    <s v="62494-09113-RP"/>
    <s v="R-M-0.5"/>
    <n v="5"/>
    <s v="Marguerite Graves"/>
    <s v="-"/>
    <x v="0"/>
    <x v="0"/>
    <x v="0"/>
    <x v="0"/>
    <x v="0"/>
    <x v="1"/>
    <n v="5.97"/>
    <n v="5.6117999999999997"/>
    <n v="29.849999999999998"/>
    <n v="28.058999999999997"/>
    <n v="1.7910000000000004"/>
    <n v="6.0000000000000019E-2"/>
    <x v="1"/>
  </r>
  <r>
    <s v="UME-75640-698"/>
    <x v="687"/>
    <s v="62494-09113-RP"/>
    <s v="A-M-0.5"/>
    <n v="4"/>
    <s v="Marguerite Graves"/>
    <s v="-"/>
    <x v="0"/>
    <x v="2"/>
    <x v="2"/>
    <x v="0"/>
    <x v="0"/>
    <x v="1"/>
    <n v="6.75"/>
    <n v="6.1425000000000001"/>
    <n v="27"/>
    <n v="24.57"/>
    <n v="2.4299999999999997"/>
    <n v="8.9999999999999983E-2"/>
    <x v="1"/>
  </r>
  <r>
    <s v="GJC-66474-557"/>
    <x v="629"/>
    <s v="64965-78386-MY"/>
    <s v="A-D-1"/>
    <n v="1"/>
    <s v="Nicolina Jenny"/>
    <s v="njennyrq@bigcartel.com"/>
    <x v="0"/>
    <x v="2"/>
    <x v="2"/>
    <x v="2"/>
    <x v="2"/>
    <x v="0"/>
    <n v="9.9499999999999993"/>
    <n v="9.0544999999999991"/>
    <n v="9.9499999999999993"/>
    <n v="9.0544999999999991"/>
    <n v="0.89550000000000018"/>
    <n v="9.0000000000000024E-2"/>
    <x v="1"/>
  </r>
  <r>
    <s v="IRV-20769-219"/>
    <x v="688"/>
    <s v="77131-58092-GE"/>
    <s v="E-M-0.2"/>
    <n v="3"/>
    <s v="Vidovic Antonelli"/>
    <s v="-"/>
    <x v="2"/>
    <x v="1"/>
    <x v="1"/>
    <x v="0"/>
    <x v="0"/>
    <x v="3"/>
    <n v="4.125"/>
    <n v="3.6712500000000001"/>
    <n v="12.375"/>
    <n v="11.01375"/>
    <n v="1.3612500000000001"/>
    <n v="0.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72E65-8D72-489E-9251-55ED7D173DA8}" name="MOM SALES(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B45"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pivotField showAll="0"/>
    <pivotField showAll="0"/>
    <pivotField showAll="0"/>
    <pivotField dataField="1" showAll="0"/>
    <pivotField showAll="0"/>
    <pivotField showAll="0"/>
    <pivotField numFmtId="9"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 dragToRow="0" dragToCol="0" dragToPage="0" showAll="0" defaultSubtotal="0"/>
  </pivotFields>
  <rowFields count="1">
    <field x="20"/>
  </rowFields>
  <rowItems count="13">
    <i>
      <x v="1"/>
    </i>
    <i>
      <x v="2"/>
    </i>
    <i>
      <x v="3"/>
    </i>
    <i>
      <x v="4"/>
    </i>
    <i>
      <x v="5"/>
    </i>
    <i>
      <x v="6"/>
    </i>
    <i>
      <x v="7"/>
    </i>
    <i>
      <x v="8"/>
    </i>
    <i>
      <x v="9"/>
    </i>
    <i>
      <x v="10"/>
    </i>
    <i>
      <x v="11"/>
    </i>
    <i>
      <x v="12"/>
    </i>
    <i t="grand">
      <x/>
    </i>
  </rowItems>
  <colItems count="1">
    <i/>
  </colItems>
  <dataFields count="1">
    <dataField name="Sum of Sales" fld="15" showDataAs="percentDiff" baseField="20" baseItem="1" numFmtId="10"/>
  </dataFields>
  <chartFormats count="26">
    <chartFormat chart="0" format="13" series="1">
      <pivotArea type="data" outline="0" fieldPosition="0">
        <references count="1">
          <reference field="4294967294" count="1" selected="0">
            <x v="0"/>
          </reference>
        </references>
      </pivotArea>
    </chartFormat>
    <chartFormat chart="5" format="39" series="1">
      <pivotArea type="data" outline="0" fieldPosition="0">
        <references count="1">
          <reference field="4294967294" count="1" selected="0">
            <x v="0"/>
          </reference>
        </references>
      </pivotArea>
    </chartFormat>
    <chartFormat chart="5" format="40">
      <pivotArea type="data" outline="0" fieldPosition="0">
        <references count="2">
          <reference field="4294967294" count="1" selected="0">
            <x v="0"/>
          </reference>
          <reference field="20" count="1" selected="0">
            <x v="7"/>
          </reference>
        </references>
      </pivotArea>
    </chartFormat>
    <chartFormat chart="5" format="41">
      <pivotArea type="data" outline="0" fieldPosition="0">
        <references count="2">
          <reference field="4294967294" count="1" selected="0">
            <x v="0"/>
          </reference>
          <reference field="20" count="1" selected="0">
            <x v="9"/>
          </reference>
        </references>
      </pivotArea>
    </chartFormat>
    <chartFormat chart="5" format="42">
      <pivotArea type="data" outline="0" fieldPosition="0">
        <references count="2">
          <reference field="4294967294" count="1" selected="0">
            <x v="0"/>
          </reference>
          <reference field="20" count="1" selected="0">
            <x v="10"/>
          </reference>
        </references>
      </pivotArea>
    </chartFormat>
    <chartFormat chart="5" format="43">
      <pivotArea type="data" outline="0" fieldPosition="0">
        <references count="2">
          <reference field="4294967294" count="1" selected="0">
            <x v="0"/>
          </reference>
          <reference field="20" count="1" selected="0">
            <x v="11"/>
          </reference>
        </references>
      </pivotArea>
    </chartFormat>
    <chartFormat chart="5" format="44">
      <pivotArea type="data" outline="0" fieldPosition="0">
        <references count="2">
          <reference field="4294967294" count="1" selected="0">
            <x v="0"/>
          </reference>
          <reference field="20" count="1" selected="0">
            <x v="6"/>
          </reference>
        </references>
      </pivotArea>
    </chartFormat>
    <chartFormat chart="5" format="45">
      <pivotArea type="data" outline="0" fieldPosition="0">
        <references count="2">
          <reference field="4294967294" count="1" selected="0">
            <x v="0"/>
          </reference>
          <reference field="20" count="1" selected="0">
            <x v="3"/>
          </reference>
        </references>
      </pivotArea>
    </chartFormat>
    <chartFormat chart="5" format="46">
      <pivotArea type="data" outline="0" fieldPosition="0">
        <references count="2">
          <reference field="4294967294" count="1" selected="0">
            <x v="0"/>
          </reference>
          <reference field="20" count="1" selected="0">
            <x v="4"/>
          </reference>
        </references>
      </pivotArea>
    </chartFormat>
    <chartFormat chart="5" format="47">
      <pivotArea type="data" outline="0" fieldPosition="0">
        <references count="2">
          <reference field="4294967294" count="1" selected="0">
            <x v="0"/>
          </reference>
          <reference field="20" count="1" selected="0">
            <x v="2"/>
          </reference>
        </references>
      </pivotArea>
    </chartFormat>
    <chartFormat chart="5" format="48">
      <pivotArea type="data" outline="0" fieldPosition="0">
        <references count="2">
          <reference field="4294967294" count="1" selected="0">
            <x v="0"/>
          </reference>
          <reference field="20" count="1" selected="0">
            <x v="1"/>
          </reference>
        </references>
      </pivotArea>
    </chartFormat>
    <chartFormat chart="5" format="49">
      <pivotArea type="data" outline="0" fieldPosition="0">
        <references count="2">
          <reference field="4294967294" count="1" selected="0">
            <x v="0"/>
          </reference>
          <reference field="20" count="1" selected="0">
            <x v="5"/>
          </reference>
        </references>
      </pivotArea>
    </chartFormat>
    <chartFormat chart="5" format="50">
      <pivotArea type="data" outline="0" fieldPosition="0">
        <references count="2">
          <reference field="4294967294" count="1" selected="0">
            <x v="0"/>
          </reference>
          <reference field="20" count="1" selected="0">
            <x v="8"/>
          </reference>
        </references>
      </pivotArea>
    </chartFormat>
    <chartFormat chart="5" format="51">
      <pivotArea type="data" outline="0" fieldPosition="0">
        <references count="2">
          <reference field="4294967294" count="1" selected="0">
            <x v="0"/>
          </reference>
          <reference field="20" count="1" selected="0">
            <x v="12"/>
          </reference>
        </references>
      </pivotArea>
    </chartFormat>
    <chartFormat chart="0" format="14">
      <pivotArea type="data" outline="0" fieldPosition="0">
        <references count="2">
          <reference field="4294967294" count="1" selected="0">
            <x v="0"/>
          </reference>
          <reference field="20" count="1" selected="0">
            <x v="1"/>
          </reference>
        </references>
      </pivotArea>
    </chartFormat>
    <chartFormat chart="0" format="15">
      <pivotArea type="data" outline="0" fieldPosition="0">
        <references count="2">
          <reference field="4294967294" count="1" selected="0">
            <x v="0"/>
          </reference>
          <reference field="20" count="1" selected="0">
            <x v="2"/>
          </reference>
        </references>
      </pivotArea>
    </chartFormat>
    <chartFormat chart="0" format="16">
      <pivotArea type="data" outline="0" fieldPosition="0">
        <references count="2">
          <reference field="4294967294" count="1" selected="0">
            <x v="0"/>
          </reference>
          <reference field="20" count="1" selected="0">
            <x v="3"/>
          </reference>
        </references>
      </pivotArea>
    </chartFormat>
    <chartFormat chart="0" format="17">
      <pivotArea type="data" outline="0" fieldPosition="0">
        <references count="2">
          <reference field="4294967294" count="1" selected="0">
            <x v="0"/>
          </reference>
          <reference field="20" count="1" selected="0">
            <x v="4"/>
          </reference>
        </references>
      </pivotArea>
    </chartFormat>
    <chartFormat chart="0" format="18">
      <pivotArea type="data" outline="0" fieldPosition="0">
        <references count="2">
          <reference field="4294967294" count="1" selected="0">
            <x v="0"/>
          </reference>
          <reference field="20" count="1" selected="0">
            <x v="5"/>
          </reference>
        </references>
      </pivotArea>
    </chartFormat>
    <chartFormat chart="0" format="19">
      <pivotArea type="data" outline="0" fieldPosition="0">
        <references count="2">
          <reference field="4294967294" count="1" selected="0">
            <x v="0"/>
          </reference>
          <reference field="20" count="1" selected="0">
            <x v="6"/>
          </reference>
        </references>
      </pivotArea>
    </chartFormat>
    <chartFormat chart="0" format="20">
      <pivotArea type="data" outline="0" fieldPosition="0">
        <references count="2">
          <reference field="4294967294" count="1" selected="0">
            <x v="0"/>
          </reference>
          <reference field="20" count="1" selected="0">
            <x v="7"/>
          </reference>
        </references>
      </pivotArea>
    </chartFormat>
    <chartFormat chart="0" format="21">
      <pivotArea type="data" outline="0" fieldPosition="0">
        <references count="2">
          <reference field="4294967294" count="1" selected="0">
            <x v="0"/>
          </reference>
          <reference field="20" count="1" selected="0">
            <x v="8"/>
          </reference>
        </references>
      </pivotArea>
    </chartFormat>
    <chartFormat chart="0" format="22">
      <pivotArea type="data" outline="0" fieldPosition="0">
        <references count="2">
          <reference field="4294967294" count="1" selected="0">
            <x v="0"/>
          </reference>
          <reference field="20" count="1" selected="0">
            <x v="9"/>
          </reference>
        </references>
      </pivotArea>
    </chartFormat>
    <chartFormat chart="0" format="23">
      <pivotArea type="data" outline="0" fieldPosition="0">
        <references count="2">
          <reference field="4294967294" count="1" selected="0">
            <x v="0"/>
          </reference>
          <reference field="20" count="1" selected="0">
            <x v="10"/>
          </reference>
        </references>
      </pivotArea>
    </chartFormat>
    <chartFormat chart="0" format="24">
      <pivotArea type="data" outline="0" fieldPosition="0">
        <references count="2">
          <reference field="4294967294" count="1" selected="0">
            <x v="0"/>
          </reference>
          <reference field="20" count="1" selected="0">
            <x v="11"/>
          </reference>
        </references>
      </pivotArea>
    </chartFormat>
    <chartFormat chart="0" format="25">
      <pivotArea type="data" outline="0" fieldPosition="0">
        <references count="2">
          <reference field="4294967294" count="1" selected="0">
            <x v="0"/>
          </reference>
          <reference field="20" count="1" selected="0">
            <x v="1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5ED226-E45F-4CC4-BE5C-28C069E810C3}" name="Sale Quantity %(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4"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pivotField showAll="0"/>
    <pivotField showAll="0"/>
    <pivotField showAll="0"/>
    <pivotField showAll="0"/>
    <pivotField showAll="0"/>
    <pivotField showAll="0"/>
    <pivotField numFmtId="9"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s>
  <rowFields count="1">
    <field x="20"/>
  </rowFields>
  <rowItems count="13">
    <i>
      <x v="1"/>
    </i>
    <i>
      <x v="2"/>
    </i>
    <i>
      <x v="3"/>
    </i>
    <i>
      <x v="4"/>
    </i>
    <i>
      <x v="5"/>
    </i>
    <i>
      <x v="6"/>
    </i>
    <i>
      <x v="7"/>
    </i>
    <i>
      <x v="8"/>
    </i>
    <i>
      <x v="9"/>
    </i>
    <i>
      <x v="10"/>
    </i>
    <i>
      <x v="11"/>
    </i>
    <i>
      <x v="12"/>
    </i>
    <i t="grand">
      <x/>
    </i>
  </rowItems>
  <colItems count="1">
    <i/>
  </colItems>
  <dataFields count="1">
    <dataField name="% difference" fld="4" showDataAs="percentDiff" baseField="20" baseItem="1" numFmtId="10"/>
  </dataFields>
  <chartFormats count="13">
    <chartFormat chart="0" format="3"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0" count="1" selected="0">
            <x v="4"/>
          </reference>
        </references>
      </pivotArea>
    </chartFormat>
    <chartFormat chart="3" format="11">
      <pivotArea type="data" outline="0" fieldPosition="0">
        <references count="2">
          <reference field="4294967294" count="1" selected="0">
            <x v="0"/>
          </reference>
          <reference field="20" count="1" selected="0">
            <x v="7"/>
          </reference>
        </references>
      </pivotArea>
    </chartFormat>
    <chartFormat chart="3" format="12">
      <pivotArea type="data" outline="0" fieldPosition="0">
        <references count="2">
          <reference field="4294967294" count="1" selected="0">
            <x v="0"/>
          </reference>
          <reference field="20" count="1" selected="0">
            <x v="5"/>
          </reference>
        </references>
      </pivotArea>
    </chartFormat>
    <chartFormat chart="3" format="13">
      <pivotArea type="data" outline="0" fieldPosition="0">
        <references count="2">
          <reference field="4294967294" count="1" selected="0">
            <x v="0"/>
          </reference>
          <reference field="20" count="1" selected="0">
            <x v="8"/>
          </reference>
        </references>
      </pivotArea>
    </chartFormat>
    <chartFormat chart="3" format="14">
      <pivotArea type="data" outline="0" fieldPosition="0">
        <references count="2">
          <reference field="4294967294" count="1" selected="0">
            <x v="0"/>
          </reference>
          <reference field="20" count="1" selected="0">
            <x v="9"/>
          </reference>
        </references>
      </pivotArea>
    </chartFormat>
    <chartFormat chart="3" format="15">
      <pivotArea type="data" outline="0" fieldPosition="0">
        <references count="2">
          <reference field="4294967294" count="1" selected="0">
            <x v="0"/>
          </reference>
          <reference field="20" count="1" selected="0">
            <x v="12"/>
          </reference>
        </references>
      </pivotArea>
    </chartFormat>
    <chartFormat chart="3" format="16">
      <pivotArea type="data" outline="0" fieldPosition="0">
        <references count="2">
          <reference field="4294967294" count="1" selected="0">
            <x v="0"/>
          </reference>
          <reference field="20" count="1" selected="0">
            <x v="11"/>
          </reference>
        </references>
      </pivotArea>
    </chartFormat>
    <chartFormat chart="3" format="17">
      <pivotArea type="data" outline="0" fieldPosition="0">
        <references count="2">
          <reference field="4294967294" count="1" selected="0">
            <x v="0"/>
          </reference>
          <reference field="20" count="1" selected="0">
            <x v="10"/>
          </reference>
        </references>
      </pivotArea>
    </chartFormat>
    <chartFormat chart="3" format="18">
      <pivotArea type="data" outline="0" fieldPosition="0">
        <references count="2">
          <reference field="4294967294" count="1" selected="0">
            <x v="0"/>
          </reference>
          <reference field="20" count="1" selected="0">
            <x v="3"/>
          </reference>
        </references>
      </pivotArea>
    </chartFormat>
    <chartFormat chart="0" format="4">
      <pivotArea type="data" outline="0" fieldPosition="0">
        <references count="2">
          <reference field="4294967294" count="1" selected="0">
            <x v="0"/>
          </reference>
          <reference field="20" count="1" selected="0">
            <x v="3"/>
          </reference>
        </references>
      </pivotArea>
    </chartFormat>
    <chartFormat chart="0" format="5">
      <pivotArea type="data" outline="0" fieldPosition="0">
        <references count="2">
          <reference field="4294967294" count="1" selected="0">
            <x v="0"/>
          </reference>
          <reference field="20"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AB5F2B-5FFA-4321-82E4-21292B0029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2:B166"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dataField="1" showAll="0"/>
    <pivotField numFmtId="9" showAll="0"/>
    <pivotField showAll="0"/>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7"/>
  </rowFields>
  <rowItems count="4">
    <i>
      <x/>
    </i>
    <i>
      <x v="1"/>
    </i>
    <i>
      <x v="2"/>
    </i>
    <i t="grand">
      <x/>
    </i>
  </rowItems>
  <colItems count="1">
    <i/>
  </colItems>
  <dataFields count="1">
    <dataField name="Sum of Profit" fld="17" baseField="0" baseItem="0" numFmtId="165"/>
  </dataFields>
  <formats count="1">
    <format dxfId="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AC5FAA-F31B-431A-9242-D1923C010B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2:B157"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pivotField dataField="1" showAll="0"/>
    <pivotField numFmtId="9" showAll="0"/>
    <pivotField showAll="0"/>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9"/>
  </rowFields>
  <rowItems count="5">
    <i>
      <x/>
    </i>
    <i>
      <x v="1"/>
    </i>
    <i>
      <x v="2"/>
    </i>
    <i>
      <x v="3"/>
    </i>
    <i t="grand">
      <x/>
    </i>
  </rowItems>
  <colItems count="1">
    <i/>
  </colItems>
  <dataFields count="1">
    <dataField name="Sum of Profit" fld="17" baseField="0" baseItem="0" numFmtId="165"/>
  </dataFields>
  <formats count="1">
    <format dxfId="2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81246A-666F-4129-8F17-572D16A47B45}" name="Profit mergin (10)" cacheId="1" applyNumberFormats="0" applyBorderFormats="0" applyFontFormats="0" applyPatternFormats="0" applyAlignmentFormats="0" applyWidthHeightFormats="1" dataCaption="Values" tag="434217e9-a98a-4572-a996-ff789ca60c2c" updatedVersion="8" minRefreshableVersion="3" useAutoFormatting="1" itemPrintTitles="1" createdVersion="5" indent="0" outline="1" outlineData="1" multipleFieldFilters="0" chartFormat="5">
  <location ref="B3:D8" firstHeaderRow="0"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Profit margin " fld="1" subtotal="count" baseField="0" baseItem="0"/>
    <dataField name="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 margi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7"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E9C0D-603D-444F-A856-4FC3A9449E6D}" name="YOY change in customer frequency(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0:B25" firstHeaderRow="1" firstDataRow="1" firstDataCol="1" rowPageCount="1" colPageCount="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dataField="1" showAll="0"/>
    <pivotField showAll="0"/>
    <pivotField axis="axisPage" showAll="0">
      <items count="4">
        <item x="1"/>
        <item x="2"/>
        <item x="0"/>
        <item t="default"/>
      </items>
    </pivotField>
    <pivotField showAll="0"/>
    <pivotField showAll="0">
      <items count="5">
        <item x="2"/>
        <item x="1"/>
        <item x="3"/>
        <item x="0"/>
        <item t="default"/>
      </items>
    </pivotField>
    <pivotField showAll="0"/>
    <pivotField showAll="0"/>
    <pivotField showAll="0"/>
    <pivotField showAll="0"/>
    <pivotField showAll="0"/>
    <pivotField showAll="0"/>
    <pivotField showAll="0"/>
    <pivotField showAll="0"/>
    <pivotField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 dragToRow="0" dragToCol="0" dragToPage="0" showAll="0" defaultSubtotal="0"/>
  </pivotFields>
  <rowFields count="1">
    <field x="22"/>
  </rowFields>
  <rowItems count="5">
    <i>
      <x v="1"/>
    </i>
    <i>
      <x v="2"/>
    </i>
    <i>
      <x v="3"/>
    </i>
    <i>
      <x v="4"/>
    </i>
    <i t="grand">
      <x/>
    </i>
  </rowItems>
  <colItems count="1">
    <i/>
  </colItems>
  <pageFields count="1">
    <pageField fld="7" hier="-1"/>
  </pageFields>
  <dataFields count="1">
    <dataField name="% Difference" fld="5" subtotal="count" showDataAs="percentDiff" baseField="22" baseItem="1" numFmtId="1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2" count="1" selected="0">
            <x v="4"/>
          </reference>
        </references>
      </pivotArea>
    </chartFormat>
    <chartFormat chart="3" format="2">
      <pivotArea type="data" outline="0" fieldPosition="0">
        <references count="2">
          <reference field="4294967294" count="1" selected="0">
            <x v="0"/>
          </reference>
          <reference field="22" count="1" selected="0">
            <x v="2"/>
          </reference>
        </references>
      </pivotArea>
    </chartFormat>
    <chartFormat chart="3" format="3">
      <pivotArea type="data" outline="0" fieldPosition="0">
        <references count="2">
          <reference field="4294967294" count="1" selected="0">
            <x v="0"/>
          </reference>
          <reference field="22"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2" count="1" selected="0">
            <x v="2"/>
          </reference>
        </references>
      </pivotArea>
    </chartFormat>
    <chartFormat chart="6" format="10">
      <pivotArea type="data" outline="0" fieldPosition="0">
        <references count="2">
          <reference field="4294967294" count="1" selected="0">
            <x v="0"/>
          </reference>
          <reference field="22" count="1" selected="0">
            <x v="3"/>
          </reference>
        </references>
      </pivotArea>
    </chartFormat>
    <chartFormat chart="6" format="11">
      <pivotArea type="data" outline="0" fieldPosition="0">
        <references count="2">
          <reference field="4294967294" count="1" selected="0">
            <x v="0"/>
          </reference>
          <reference field="22" count="1" selected="0">
            <x v="4"/>
          </reference>
        </references>
      </pivotArea>
    </chartFormat>
    <chartFormat chart="6" format="12">
      <pivotArea type="data" outline="0" fieldPosition="0">
        <references count="2">
          <reference field="4294967294" count="1" selected="0">
            <x v="0"/>
          </reference>
          <reference field="2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DA098-F50C-49BC-8496-34CAC3BD625B}" name="Total Sales(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2:B86"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5">
        <item x="2"/>
        <item x="1"/>
        <item x="3"/>
        <item x="0"/>
        <item t="default"/>
      </items>
    </pivotField>
    <pivotField showAll="0"/>
    <pivotField showAll="0"/>
    <pivotField showAll="0"/>
    <pivotField showAll="0"/>
    <pivotField showAll="0"/>
    <pivotField dataField="1" showAll="0"/>
    <pivotField showAll="0"/>
    <pivotField showAll="0"/>
    <pivotField numFmtId="9" showAll="0"/>
    <pivotField showAll="0"/>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7"/>
  </rowFields>
  <rowItems count="4">
    <i>
      <x/>
    </i>
    <i>
      <x v="1"/>
    </i>
    <i>
      <x v="2"/>
    </i>
    <i t="grand">
      <x/>
    </i>
  </rowItems>
  <colItems count="1">
    <i/>
  </colItems>
  <dataFields count="1">
    <dataField name="Sum of Sales" fld="15" baseField="0" baseItem="0" numFmtId="165"/>
  </dataFields>
  <formats count="1">
    <format dxfId="2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46E946-828F-4B93-B20C-0B8D40D80EB9}" name="Total Ordes(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2:B96" firstHeaderRow="1" firstDataRow="1" firstDataCol="1"/>
  <pivotFields count="24">
    <pivotField dataField="1"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5">
        <item x="2"/>
        <item x="1"/>
        <item x="3"/>
        <item x="0"/>
        <item t="default"/>
      </items>
    </pivotField>
    <pivotField showAll="0"/>
    <pivotField showAll="0"/>
    <pivotField showAll="0"/>
    <pivotField showAll="0"/>
    <pivotField showAll="0"/>
    <pivotField showAll="0"/>
    <pivotField showAll="0"/>
    <pivotField showAll="0"/>
    <pivotField numFmtId="9" showAll="0"/>
    <pivotField showAll="0"/>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7"/>
  </rowFields>
  <rowItems count="4">
    <i>
      <x/>
    </i>
    <i>
      <x v="1"/>
    </i>
    <i>
      <x v="2"/>
    </i>
    <i t="grand">
      <x/>
    </i>
  </rowItems>
  <colItems count="1">
    <i/>
  </colItems>
  <dataFields count="1">
    <dataField name="Count of Orde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258DAA-3759-480E-93AA-BF4817421EB9}" name="Percentage of sales by coffeetyp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4:E120" firstHeaderRow="1" firstDataRow="2"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axis="axisRow" showAll="0">
      <items count="5">
        <item x="2"/>
        <item x="1"/>
        <item x="3"/>
        <item x="0"/>
        <item t="default"/>
      </items>
    </pivotField>
    <pivotField showAll="0"/>
    <pivotField axis="axisCol" showAll="0">
      <items count="4">
        <item x="2"/>
        <item x="1"/>
        <item x="0"/>
        <item t="default"/>
      </items>
    </pivotField>
    <pivotField showAll="0"/>
    <pivotField showAll="0"/>
    <pivotField showAll="0"/>
    <pivotField dataField="1" showAll="0"/>
    <pivotField showAll="0"/>
    <pivotField showAll="0"/>
    <pivotField numFmtId="9" showAll="0"/>
    <pivotField showAll="0"/>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9"/>
  </rowFields>
  <rowItems count="5">
    <i>
      <x/>
    </i>
    <i>
      <x v="1"/>
    </i>
    <i>
      <x v="2"/>
    </i>
    <i>
      <x v="3"/>
    </i>
    <i t="grand">
      <x/>
    </i>
  </rowItems>
  <colFields count="1">
    <field x="11"/>
  </colFields>
  <colItems count="4">
    <i>
      <x/>
    </i>
    <i>
      <x v="1"/>
    </i>
    <i>
      <x v="2"/>
    </i>
    <i t="grand">
      <x/>
    </i>
  </colItems>
  <dataFields count="1">
    <dataField name="Sum of Sales" fld="15" showDataAs="percentOfRow" baseField="0" baseItem="0" numFmtId="10"/>
  </dataFields>
  <formats count="2">
    <format dxfId="22">
      <pivotArea outline="0" collapsedLevelsAreSubtotals="1" fieldPosition="0"/>
    </format>
    <format dxfId="21">
      <pivotArea outline="0" fieldPosition="0">
        <references count="1">
          <reference field="4294967294" count="1">
            <x v="0"/>
          </reference>
        </references>
      </pivotArea>
    </format>
  </formats>
  <chartFormats count="2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4" format="6" series="1">
      <pivotArea type="data" outline="0" fieldPosition="0">
        <references count="2">
          <reference field="4294967294" count="1" selected="0">
            <x v="0"/>
          </reference>
          <reference field="11" count="1" selected="0">
            <x v="0"/>
          </reference>
        </references>
      </pivotArea>
    </chartFormat>
    <chartFormat chart="4" format="7" series="1">
      <pivotArea type="data" outline="0" fieldPosition="0">
        <references count="2">
          <reference field="4294967294" count="1" selected="0">
            <x v="0"/>
          </reference>
          <reference field="11" count="1" selected="0">
            <x v="1"/>
          </reference>
        </references>
      </pivotArea>
    </chartFormat>
    <chartFormat chart="4" format="8" series="1">
      <pivotArea type="data" outline="0" fieldPosition="0">
        <references count="2">
          <reference field="4294967294" count="1" selected="0">
            <x v="0"/>
          </reference>
          <reference field="11" count="1" selected="0">
            <x v="2"/>
          </reference>
        </references>
      </pivotArea>
    </chartFormat>
    <chartFormat chart="4" format="9">
      <pivotArea type="data" outline="0" fieldPosition="0">
        <references count="3">
          <reference field="4294967294" count="1" selected="0">
            <x v="0"/>
          </reference>
          <reference field="9" count="1" selected="0">
            <x v="0"/>
          </reference>
          <reference field="11" count="1" selected="0">
            <x v="1"/>
          </reference>
        </references>
      </pivotArea>
    </chartFormat>
    <chartFormat chart="4" format="10">
      <pivotArea type="data" outline="0" fieldPosition="0">
        <references count="3">
          <reference field="4294967294" count="1" selected="0">
            <x v="0"/>
          </reference>
          <reference field="9" count="1" selected="0">
            <x v="0"/>
          </reference>
          <reference field="11" count="1" selected="0">
            <x v="2"/>
          </reference>
        </references>
      </pivotArea>
    </chartFormat>
    <chartFormat chart="4" format="11">
      <pivotArea type="data" outline="0" fieldPosition="0">
        <references count="3">
          <reference field="4294967294" count="1" selected="0">
            <x v="0"/>
          </reference>
          <reference field="9" count="1" selected="0">
            <x v="1"/>
          </reference>
          <reference field="11" count="1" selected="0">
            <x v="2"/>
          </reference>
        </references>
      </pivotArea>
    </chartFormat>
    <chartFormat chart="4" format="12">
      <pivotArea type="data" outline="0" fieldPosition="0">
        <references count="3">
          <reference field="4294967294" count="1" selected="0">
            <x v="0"/>
          </reference>
          <reference field="9" count="1" selected="0">
            <x v="1"/>
          </reference>
          <reference field="11" count="1" selected="0">
            <x v="1"/>
          </reference>
        </references>
      </pivotArea>
    </chartFormat>
    <chartFormat chart="4" format="13">
      <pivotArea type="data" outline="0" fieldPosition="0">
        <references count="3">
          <reference field="4294967294" count="1" selected="0">
            <x v="0"/>
          </reference>
          <reference field="9" count="1" selected="0">
            <x v="2"/>
          </reference>
          <reference field="11" count="1" selected="0">
            <x v="2"/>
          </reference>
        </references>
      </pivotArea>
    </chartFormat>
    <chartFormat chart="4" format="14">
      <pivotArea type="data" outline="0" fieldPosition="0">
        <references count="3">
          <reference field="4294967294" count="1" selected="0">
            <x v="0"/>
          </reference>
          <reference field="9" count="1" selected="0">
            <x v="3"/>
          </reference>
          <reference field="11" count="1" selected="0">
            <x v="1"/>
          </reference>
        </references>
      </pivotArea>
    </chartFormat>
    <chartFormat chart="4" format="15">
      <pivotArea type="data" outline="0" fieldPosition="0">
        <references count="3">
          <reference field="4294967294" count="1" selected="0">
            <x v="0"/>
          </reference>
          <reference field="9" count="1" selected="0">
            <x v="3"/>
          </reference>
          <reference field="11" count="1" selected="0">
            <x v="2"/>
          </reference>
        </references>
      </pivotArea>
    </chartFormat>
    <chartFormat chart="0" format="3"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15FFB3-FAFD-472B-9CDF-94FD4AD0AFFF}" name="Coffe type wise Loyalty Crad holder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4:B69"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pivotField axis="axisRow" showAll="0">
      <items count="5">
        <item x="3"/>
        <item x="1"/>
        <item x="0"/>
        <item x="2"/>
        <item t="default"/>
      </items>
    </pivotField>
    <pivotField showAll="0"/>
    <pivotField showAll="0"/>
    <pivotField dataField="1" showAll="0"/>
    <pivotField showAll="0"/>
    <pivotField showAll="0"/>
    <pivotField numFmtId="9"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12"/>
  </rowFields>
  <rowItems count="5">
    <i>
      <x/>
    </i>
    <i>
      <x v="1"/>
    </i>
    <i>
      <x v="2"/>
    </i>
    <i>
      <x v="3"/>
    </i>
    <i t="grand">
      <x/>
    </i>
  </rowItems>
  <colItems count="1">
    <i/>
  </colItems>
  <dataFields count="1">
    <dataField name="Sum of Sales" fld="15" baseField="0" baseItem="0" numFmtId="165"/>
  </dataFields>
  <formats count="3">
    <format dxfId="25">
      <pivotArea collapsedLevelsAreSubtotals="1" fieldPosition="0">
        <references count="1">
          <reference field="12" count="0"/>
        </references>
      </pivotArea>
    </format>
    <format dxfId="24">
      <pivotArea grandRow="1" outline="0" collapsedLevelsAreSubtotals="1" fieldPosition="0"/>
    </format>
    <format dxfId="23">
      <pivotArea outline="0" collapsedLevelsAreSubtotals="1" fieldPosition="0"/>
    </format>
  </formats>
  <chartFormats count="10">
    <chartFormat chart="12" format="2"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2" count="1" selected="0">
            <x v="1"/>
          </reference>
        </references>
      </pivotArea>
    </chartFormat>
    <chartFormat chart="12" format="4">
      <pivotArea type="data" outline="0" fieldPosition="0">
        <references count="2">
          <reference field="4294967294" count="1" selected="0">
            <x v="0"/>
          </reference>
          <reference field="12" count="1" selected="0">
            <x v="0"/>
          </reference>
        </references>
      </pivotArea>
    </chartFormat>
    <chartFormat chart="12" format="5">
      <pivotArea type="data" outline="0" fieldPosition="0">
        <references count="2">
          <reference field="4294967294" count="1" selected="0">
            <x v="0"/>
          </reference>
          <reference field="12" count="1" selected="0">
            <x v="2"/>
          </reference>
        </references>
      </pivotArea>
    </chartFormat>
    <chartFormat chart="12" format="6">
      <pivotArea type="data" outline="0" fieldPosition="0">
        <references count="2">
          <reference field="4294967294" count="1" selected="0">
            <x v="0"/>
          </reference>
          <reference field="12" count="1" selected="0">
            <x v="3"/>
          </reference>
        </references>
      </pivotArea>
    </chartFormat>
    <chartFormat chart="15" format="7">
      <pivotArea type="data" outline="0" fieldPosition="0">
        <references count="2">
          <reference field="4294967294" count="1" selected="0">
            <x v="0"/>
          </reference>
          <reference field="12" count="1" selected="0">
            <x v="0"/>
          </reference>
        </references>
      </pivotArea>
    </chartFormat>
    <chartFormat chart="15" format="8">
      <pivotArea type="data" outline="0" fieldPosition="0">
        <references count="2">
          <reference field="4294967294" count="1" selected="0">
            <x v="0"/>
          </reference>
          <reference field="12" count="1" selected="0">
            <x v="1"/>
          </reference>
        </references>
      </pivotArea>
    </chartFormat>
    <chartFormat chart="15" format="9">
      <pivotArea type="data" outline="0" fieldPosition="0">
        <references count="2">
          <reference field="4294967294" count="1" selected="0">
            <x v="0"/>
          </reference>
          <reference field="12" count="1" selected="0">
            <x v="2"/>
          </reference>
        </references>
      </pivotArea>
    </chartFormat>
    <chartFormat chart="15" format="10">
      <pivotArea type="data" outline="0" fieldPosition="0">
        <references count="2">
          <reference field="4294967294" count="1" selected="0">
            <x v="0"/>
          </reference>
          <reference field="12"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BAE7C3-0BC5-4EE6-AEFE-AD7CB6018178}" name="Quantity(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2:B107"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pivotField showAll="0"/>
    <pivotField showAll="0"/>
    <pivotField showAll="0"/>
    <pivotField showAll="0"/>
    <pivotField showAll="0"/>
    <pivotField showAll="0"/>
    <pivotField numFmtId="9" showAll="0"/>
    <pivotField showAll="0"/>
    <pivotField showAll="0" defaultSubtotal="0"/>
    <pivotField showAll="0" defaultSubtotal="0"/>
    <pivotField axis="axisRow" showAll="0" defaultSubtotal="0">
      <items count="6">
        <item x="0"/>
        <item x="1"/>
        <item x="2"/>
        <item x="3"/>
        <item x="4"/>
        <item x="5"/>
      </items>
    </pivotField>
    <pivotField dragToRow="0" dragToCol="0" dragToPage="0" showAll="0" defaultSubtotal="0"/>
  </pivotFields>
  <rowFields count="1">
    <field x="22"/>
  </rowFields>
  <rowItems count="5">
    <i>
      <x v="1"/>
    </i>
    <i>
      <x v="2"/>
    </i>
    <i>
      <x v="3"/>
    </i>
    <i>
      <x v="4"/>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8D8824-3845-41B7-8CC9-504619B65CCB}" name="GROSS PROFIT(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2:B57"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9" showAll="0"/>
    <pivotField showAll="0"/>
    <pivotField showAll="0" defaultSubtotal="0"/>
    <pivotField showAll="0" defaultSubtotal="0"/>
    <pivotField showAll="0" defaultSubtotal="0">
      <items count="6">
        <item x="0"/>
        <item x="1"/>
        <item x="2"/>
        <item x="3"/>
        <item x="4"/>
        <item x="5"/>
      </items>
    </pivotField>
    <pivotField dragToRow="0" dragToCol="0" dragToPage="0" showAll="0" defaultSubtotal="0"/>
  </pivotFields>
  <rowFields count="1">
    <field x="9"/>
  </rowFields>
  <rowItems count="5">
    <i>
      <x v="2"/>
    </i>
    <i>
      <x v="1"/>
    </i>
    <i>
      <x/>
    </i>
    <i>
      <x v="3"/>
    </i>
    <i t="grand">
      <x/>
    </i>
  </rowItems>
  <colItems count="1">
    <i/>
  </colItems>
  <dataFields count="1">
    <dataField name="Sum of Gross Profit" fld="18" baseField="0" baseItem="0" numFmtId="164"/>
  </dataFields>
  <formats count="1">
    <format dxfId="26">
      <pivotArea outline="0" collapsedLevelsAreSubtotals="1" fieldPosition="0"/>
    </format>
  </formats>
  <chartFormats count="16">
    <chartFormat chart="6"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3"/>
          </reference>
        </references>
      </pivotArea>
    </chartFormat>
    <chartFormat chart="6" format="4">
      <pivotArea type="data" outline="0" fieldPosition="0">
        <references count="2">
          <reference field="4294967294" count="1" selected="0">
            <x v="0"/>
          </reference>
          <reference field="9" count="1" selected="0">
            <x v="0"/>
          </reference>
        </references>
      </pivotArea>
    </chartFormat>
    <chartFormat chart="6" format="5">
      <pivotArea type="data" outline="0" fieldPosition="0">
        <references count="2">
          <reference field="4294967294" count="1" selected="0">
            <x v="0"/>
          </reference>
          <reference field="9" count="1" selected="0">
            <x v="1"/>
          </reference>
        </references>
      </pivotArea>
    </chartFormat>
    <chartFormat chart="6" format="6">
      <pivotArea type="data" outline="0" fieldPosition="0">
        <references count="2">
          <reference field="4294967294" count="1" selected="0">
            <x v="0"/>
          </reference>
          <reference field="9" count="1" selected="0">
            <x v="2"/>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9" count="1" selected="0">
            <x v="2"/>
          </reference>
        </references>
      </pivotArea>
    </chartFormat>
    <chartFormat chart="18" format="9">
      <pivotArea type="data" outline="0" fieldPosition="0">
        <references count="2">
          <reference field="4294967294" count="1" selected="0">
            <x v="0"/>
          </reference>
          <reference field="9" count="1" selected="0">
            <x v="1"/>
          </reference>
        </references>
      </pivotArea>
    </chartFormat>
    <chartFormat chart="18" format="10">
      <pivotArea type="data" outline="0" fieldPosition="0">
        <references count="2">
          <reference field="4294967294" count="1" selected="0">
            <x v="0"/>
          </reference>
          <reference field="9" count="1" selected="0">
            <x v="0"/>
          </reference>
        </references>
      </pivotArea>
    </chartFormat>
    <chartFormat chart="18" format="11">
      <pivotArea type="data" outline="0" fieldPosition="0">
        <references count="2">
          <reference field="4294967294" count="1" selected="0">
            <x v="0"/>
          </reference>
          <reference field="9" count="1" selected="0">
            <x v="3"/>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9" count="1" selected="0">
            <x v="2"/>
          </reference>
        </references>
      </pivotArea>
    </chartFormat>
    <chartFormat chart="19" format="14">
      <pivotArea type="data" outline="0" fieldPosition="0">
        <references count="2">
          <reference field="4294967294" count="1" selected="0">
            <x v="0"/>
          </reference>
          <reference field="9" count="1" selected="0">
            <x v="1"/>
          </reference>
        </references>
      </pivotArea>
    </chartFormat>
    <chartFormat chart="19" format="15">
      <pivotArea type="data" outline="0" fieldPosition="0">
        <references count="2">
          <reference field="4294967294" count="1" selected="0">
            <x v="0"/>
          </reference>
          <reference field="9" count="1" selected="0">
            <x v="0"/>
          </reference>
        </references>
      </pivotArea>
    </chartFormat>
    <chartFormat chart="19" format="16">
      <pivotArea type="data" outline="0" fieldPosition="0">
        <references count="2">
          <reference field="4294967294" count="1" selected="0">
            <x v="0"/>
          </reference>
          <reference field="9"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DD22C2-7F33-4DD5-B463-D4BA45C871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32:C137" firstHeaderRow="1" firstDataRow="1" firstDataCol="1"/>
  <pivotFields count="24">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axis="axisRow" showAll="0">
      <items count="5">
        <item x="2"/>
        <item x="1"/>
        <item x="3"/>
        <item x="0"/>
        <item t="default"/>
      </items>
    </pivotField>
    <pivotField showAll="0">
      <items count="4">
        <item x="2"/>
        <item x="1"/>
        <item x="0"/>
        <item t="default"/>
      </items>
    </pivotField>
    <pivotField showAll="0"/>
    <pivotField showAll="0"/>
    <pivotField showAll="0"/>
    <pivotField showAll="0"/>
    <pivotField showAll="0"/>
    <pivotField showAll="0"/>
    <pivotField showAll="0"/>
    <pivotField numFmtId="9" showAll="0"/>
    <pivotField showAll="0"/>
    <pivotField showAll="0" defaultSubtotal="0"/>
    <pivotField showAll="0" defaultSubtotal="0"/>
    <pivotField showAll="0" defaultSubtotal="0">
      <items count="6">
        <item x="0"/>
        <item x="1"/>
        <item x="2"/>
        <item x="3"/>
        <item x="4"/>
        <item x="5"/>
      </items>
    </pivotField>
    <pivotField dataField="1" dragToRow="0" dragToCol="0" dragToPage="0" showAll="0" defaultSubtotal="0"/>
  </pivotFields>
  <rowFields count="1">
    <field x="9"/>
  </rowFields>
  <rowItems count="5">
    <i>
      <x/>
    </i>
    <i>
      <x v="1"/>
    </i>
    <i>
      <x v="2"/>
    </i>
    <i>
      <x v="3"/>
    </i>
    <i t="grand">
      <x/>
    </i>
  </rowItems>
  <colItems count="1">
    <i/>
  </colItems>
  <dataFields count="1">
    <dataField name="Sum of profit margin" fld="2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79B57D8-61EE-4A33-8A1C-4309F0BB9836}" sourceName="Country">
  <pivotTables>
    <pivotTable tabId="18" name="Coffe type wise Loyalty Crad holder (5)"/>
    <pivotTable tabId="18" name="GROSS PROFIT(4)"/>
    <pivotTable tabId="18" name="MOM SALES(3)"/>
    <pivotTable tabId="18" name="Percentage of sales by coffeetype(9)"/>
    <pivotTable tabId="18" name="PivotTable11"/>
    <pivotTable tabId="18" name="Quantity(8)"/>
    <pivotTable tabId="18" name="Sale Quantity %(1)"/>
    <pivotTable tabId="18" name="Total Ordes(7)"/>
    <pivotTable tabId="18" name="Total Sales(6)"/>
    <pivotTable tabId="18" name="YOY change in customer frequency(2)"/>
  </pivotTables>
  <data>
    <tabular pivotCacheId="85755007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fullname" xr10:uid="{F2416B4E-2936-4BC5-B171-74E5491C69C9}" sourceName="Coffee fullname">
  <pivotTables>
    <pivotTable tabId="18" name="Coffe type wise Loyalty Crad holder (5)"/>
    <pivotTable tabId="18" name="GROSS PROFIT(4)"/>
    <pivotTable tabId="18" name="MOM SALES(3)"/>
    <pivotTable tabId="18" name="Percentage of sales by coffeetype(9)"/>
    <pivotTable tabId="18" name="PivotTable11"/>
    <pivotTable tabId="18" name="Quantity(8)"/>
    <pivotTable tabId="18" name="Sale Quantity %(1)"/>
    <pivotTable tabId="18" name="Total Ordes(7)"/>
    <pivotTable tabId="18" name="Total Sales(6)"/>
    <pivotTable tabId="18" name="YOY change in customer frequency(2)"/>
  </pivotTables>
  <data>
    <tabular pivotCacheId="85755007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957D61D-2BEC-45B9-9999-1A6FEEDFFC37}" sourceName="Years (Order Date)">
  <pivotTables>
    <pivotTable tabId="18" name="Coffe type wise Loyalty Crad holder (5)"/>
    <pivotTable tabId="18" name="GROSS PROFIT(4)"/>
    <pivotTable tabId="18" name="MOM SALES(3)"/>
    <pivotTable tabId="18" name="Percentage of sales by coffeetype(9)"/>
    <pivotTable tabId="18" name="PivotTable11"/>
    <pivotTable tabId="18" name="Quantity(8)"/>
    <pivotTable tabId="18" name="Sale Quantity %(1)"/>
    <pivotTable tabId="18" name="Total Ordes(7)"/>
    <pivotTable tabId="18" name="Total Sales(6)"/>
    <pivotTable tabId="18" name="YOY change in customer frequency(2)"/>
  </pivotTables>
  <data>
    <tabular pivotCacheId="85755007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D6AAA17D-06CA-4AFB-8F83-426E40D1212C}" cache="Slicer_Country" caption="Country" style="Slicer Style 2" rowHeight="310896"/>
  <slicer name="Coffee fullname 2" xr10:uid="{5702B8B4-7151-41EF-BECA-91FD20B04BE4}" cache="Slicer_Coffee_fullname" caption="Coffee fullname" style="Slicer Style 2" rowHeight="374904"/>
  <slicer name="Years (Order Date) 2" xr10:uid="{97471BE6-5261-4F8B-B2BC-E7121CBC478F}" cache="Slicer_Years__Order_Date" caption="Years" style="Slicer Style 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2589E27-E2AF-4EE2-B3F2-FC2BFB8D3874}" cache="Slicer_Country" caption="Country" style="Slicer Style 2" rowHeight="241300"/>
  <slicer name="Country 1" xr10:uid="{342444D6-C002-4B9C-8582-103756AF7898}" cache="Slicer_Country" caption="Country" style="Slicer Style 2" rowHeight="241300"/>
  <slicer name="Coffee fullname" xr10:uid="{DFC65DF7-965E-4C31-B039-02DA4E16963A}" cache="Slicer_Coffee_fullname" caption="Coffee fullname" style="Slicer Style 2" rowHeight="241300"/>
  <slicer name="Coffee fullname 1" xr10:uid="{3658B4CD-FEDA-4C44-B32E-276C914F9555}" cache="Slicer_Coffee_fullname" caption="Coffee fullname" style="Slicer Style 2" rowHeight="241300"/>
  <slicer name="Years (Order Date)" xr10:uid="{537AB52A-BA48-4B1E-819C-3E57B250B074}" cache="Slicer_Years__Order_Date" caption="Years (Order Date)" style="Slicer Style 2" rowHeight="241300"/>
  <slicer name="Years (Order Date) 1" xr10:uid="{C9A35739-28C0-45AC-9871-1120C5E7884F}" cache="Slicer_Years__Order_Date" caption="Years (Order Date)"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A7B7D4-BEA3-41DD-BBF4-D285AFAADA01}" name="Table14" displayName="Table14" ref="A1:T1001" totalsRowShown="0" headerRowDxfId="18">
  <autoFilter ref="A1:T1001" xr:uid="{D7DA8191-9E5C-4C0E-829A-B108DEC393E8}"/>
  <tableColumns count="20">
    <tableColumn id="1" xr3:uid="{F6BBCB76-375B-49DF-9903-79B897C66E86}" name="Order ID" dataDxfId="17"/>
    <tableColumn id="2" xr3:uid="{81E20952-D835-4F9D-A87B-B4295B5A8A9A}" name="Order Date" dataDxfId="16"/>
    <tableColumn id="3" xr3:uid="{76BDDD3C-B272-4930-A77C-103F4C02A3C4}" name="Customer ID" dataDxfId="15"/>
    <tableColumn id="4" xr3:uid="{A4BA8AAE-EBD3-4BC0-9D9E-CAC6808F1FFE}" name="Product ID"/>
    <tableColumn id="5" xr3:uid="{63CDB51F-4967-4CA4-811D-912A92367D7A}" name="Quantity" dataDxfId="14"/>
    <tableColumn id="6" xr3:uid="{10EF844E-7E57-43DB-B3A2-5C2226CCE0AC}" name="Customer Name" dataDxfId="13">
      <calculatedColumnFormula>_xlfn.XLOOKUP(C2,customers!$A$1:$A$1001,customers!$B$1:$B$1001,,0)</calculatedColumnFormula>
    </tableColumn>
    <tableColumn id="7" xr3:uid="{21EAB617-2A0E-4D77-9CC1-6115C7D06982}" name="Email" dataDxfId="12">
      <calculatedColumnFormula>IF(_xlfn.XLOOKUP(C2,customers!$A$1:$A$1001,customers!$C$1:$C$1001,,0)=0,"-",_xlfn.XLOOKUP(C2,customers!$A$1:$A$1001,customers!$C$1:$C$1001,,0))</calculatedColumnFormula>
    </tableColumn>
    <tableColumn id="8" xr3:uid="{28A8DD03-967B-4A70-8C6A-2FB751F9FFDA}" name="Country" dataDxfId="11">
      <calculatedColumnFormula>_xlfn.XLOOKUP(C2,customers!$A$1:$A$1001,customers!$G$1:$G$1001,,0)</calculatedColumnFormula>
    </tableColumn>
    <tableColumn id="9" xr3:uid="{6628D1E1-B1CC-4FA4-989A-6D417338FF30}" name="Coffee Type">
      <calculatedColumnFormula>INDEX(products!$A$1:$I$49,MATCH('Conditional Fomating'!$D2,products!$A$1:$A$49,0),MATCH('Conditional Fomating'!I$1,products!$A$1:$D$1,0))</calculatedColumnFormula>
    </tableColumn>
    <tableColumn id="10" xr3:uid="{7355D098-71F1-4074-832A-C6F4BB968E81}" name="Coffee fullname">
      <calculatedColumnFormula>IF(I2="Rob","Robusta",IF(I2="Exc","Excelsa",IF(I2="Ara","Arabica",IF(I2="Lib","Liberica",""))))</calculatedColumnFormula>
    </tableColumn>
    <tableColumn id="11" xr3:uid="{22278B9D-E2BF-43A7-AAD8-A763D3387522}" name="Roast Type">
      <calculatedColumnFormula>INDEX(products!$A$1:$I$49,MATCH('Conditional Fomating'!$D2,products!$A$1:$A$49,0),MATCH('Conditional Fomating'!K$1,products!$A$1:$D$1,0))</calculatedColumnFormula>
    </tableColumn>
    <tableColumn id="12" xr3:uid="{4063B4BB-C5E3-436D-B60C-1F6931E8B9CE}" name="Roast Type Fullname">
      <calculatedColumnFormula>IF(K2="M","Medium",IF(K2="L","Light",IF(K2="D","Dark","")))</calculatedColumnFormula>
    </tableColumn>
    <tableColumn id="13" xr3:uid="{0EA941C6-BB92-4DA9-BC95-1B26397C6B80}" name="Size">
      <calculatedColumnFormula>INDEX(products!$A$1:$I$49,MATCH('Conditional Fomating'!$D2,products!$A$1:$A$49,0),MATCH('Conditional Fomating'!M$1,products!$A$1:$D$1,0))</calculatedColumnFormula>
    </tableColumn>
    <tableColumn id="14" xr3:uid="{E324F61B-CF22-4CC7-8DF0-E999CA2FC3B1}" name="Unit Price">
      <calculatedColumnFormula>_xlfn.XLOOKUP(D2,products!$A$2:$A$49,products!$E$2:$E$49)</calculatedColumnFormula>
    </tableColumn>
    <tableColumn id="15" xr3:uid="{5331604C-3811-45D9-AFBB-8EB4BD091C08}" name="Cost Price">
      <calculatedColumnFormula>_xlfn.XLOOKUP(D2,products!$A$2:$A$49,products!$H$2:$H$49)</calculatedColumnFormula>
    </tableColumn>
    <tableColumn id="16" xr3:uid="{D28DBA94-C5D5-4091-BD31-EA17C2AAA4CC}" name="Sales">
      <calculatedColumnFormula>N2*E2</calculatedColumnFormula>
    </tableColumn>
    <tableColumn id="17" xr3:uid="{57C3F1A2-A4E1-482E-A0A1-94D2CBED1224}" name="COGs">
      <calculatedColumnFormula>O2*E2</calculatedColumnFormula>
    </tableColumn>
    <tableColumn id="18" xr3:uid="{464058E1-8A68-4909-BC43-7A7CFF70A11B}" name="Profit">
      <calculatedColumnFormula>P2-Q2</calculatedColumnFormula>
    </tableColumn>
    <tableColumn id="19" xr3:uid="{D0130981-5C32-41E7-893D-2C4707D4EDF9}" name="Gross Profit" dataDxfId="10" dataCellStyle="Percent">
      <calculatedColumnFormula>R2/P2</calculatedColumnFormula>
    </tableColumn>
    <tableColumn id="20" xr3:uid="{D77A1454-335C-4DB9-B3B7-FA88A32E3228}" name="Loyalty Card">
      <calculatedColumnFormula>_xlfn.XLOOKUP(C2,customers!$A$1:$A$1001,customers!$I$1:$I$1001,,0)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DA8191-9E5C-4C0E-829A-B108DEC393E8}" name="Table1" displayName="Table1" ref="A1:T1001" totalsRowShown="0" headerRowDxfId="9">
  <autoFilter ref="A1:T1001" xr:uid="{D7DA8191-9E5C-4C0E-829A-B108DEC393E8}"/>
  <tableColumns count="20">
    <tableColumn id="1" xr3:uid="{D150F621-8447-4E46-8568-FD211B2D3E09}" name="Order ID" dataDxfId="8"/>
    <tableColumn id="2" xr3:uid="{BDF3BFAD-3C3E-476E-BA85-4A23F3CA0E47}" name="Order Date" dataDxfId="7"/>
    <tableColumn id="3" xr3:uid="{3152DC0D-DFED-45B1-9E28-E9A7CC9C90F2}" name="Customer ID" dataDxfId="6"/>
    <tableColumn id="4" xr3:uid="{360A4030-EE72-4D0B-A698-3ED1D97E2219}" name="Product ID"/>
    <tableColumn id="5" xr3:uid="{0A07F56E-5ECB-4447-B925-DF5A59C7AF1F}" name="Quantity" dataDxfId="5"/>
    <tableColumn id="6" xr3:uid="{30F40FA2-B534-482B-A122-0BD57C5AD46A}" name="Customer Name" dataDxfId="4">
      <calculatedColumnFormula>_xlfn.XLOOKUP(C2,customers!$A$1:$A$1001,customers!$B$1:$B$1001,,0)</calculatedColumnFormula>
    </tableColumn>
    <tableColumn id="7" xr3:uid="{473014D0-25C7-4CA4-803C-573C1FE42CFC}" name="Email" dataDxfId="3">
      <calculatedColumnFormula>IF(_xlfn.XLOOKUP(C2,customers!$A$1:$A$1001,customers!$C$1:$C$1001,,0)=0,"-",_xlfn.XLOOKUP(C2,customers!$A$1:$A$1001,customers!$C$1:$C$1001,,0))</calculatedColumnFormula>
    </tableColumn>
    <tableColumn id="8" xr3:uid="{7B9E85B5-BCB5-41BD-ADA3-8D4C99B36C70}" name="Country" dataDxfId="2">
      <calculatedColumnFormula>_xlfn.XLOOKUP(C2,customers!$A$1:$A$1001,customers!$G$1:$G$1001,,0)</calculatedColumnFormula>
    </tableColumn>
    <tableColumn id="9" xr3:uid="{0FDFD368-AA17-4D8A-9A37-463019F4E19B}" name="Coffee Type">
      <calculatedColumnFormula>INDEX(products!$A$1:$I$49,MATCH(orders!$D2,products!$A$1:$A$49,0),MATCH(orders!I$1,products!$A$1:$D$1,0))</calculatedColumnFormula>
    </tableColumn>
    <tableColumn id="10" xr3:uid="{B90EB0ED-50E2-4ABD-89DE-8AAA1AEAA4C0}" name="Coffee fullname">
      <calculatedColumnFormula>IF(I2="Rob","Robusta",IF(I2="Exc","Excelsa",IF(I2="Ara","Arabica",IF(I2="Lib","Liberica",""))))</calculatedColumnFormula>
    </tableColumn>
    <tableColumn id="11" xr3:uid="{23F3014C-1EEE-4D02-85B3-6540FE93CE87}" name="Roast Type">
      <calculatedColumnFormula>INDEX(products!$A$1:$I$49,MATCH(orders!$D2,products!$A$1:$A$49,0),MATCH(orders!K$1,products!$A$1:$D$1,0))</calculatedColumnFormula>
    </tableColumn>
    <tableColumn id="12" xr3:uid="{8827F5A2-8793-45C5-BBAD-DC6023255921}" name="Roast Type Fullname">
      <calculatedColumnFormula>IF(K2="M","Medium",IF(K2="L","Light",IF(K2="D","Dark","")))</calculatedColumnFormula>
    </tableColumn>
    <tableColumn id="13" xr3:uid="{B7AAA46D-A8AD-4FB6-A94E-FBA30CE905FD}" name="Size">
      <calculatedColumnFormula>INDEX(products!$A$1:$I$49,MATCH(orders!$D2,products!$A$1:$A$49,0),MATCH(orders!M$1,products!$A$1:$D$1,0))</calculatedColumnFormula>
    </tableColumn>
    <tableColumn id="14" xr3:uid="{C80396D6-D116-4571-9558-F969FA7A4022}" name="Unit Price">
      <calculatedColumnFormula>_xlfn.XLOOKUP(D2,products!$A$2:$A$49,products!$E$2:$E$49)</calculatedColumnFormula>
    </tableColumn>
    <tableColumn id="15" xr3:uid="{F36364C8-096A-41F9-9FB9-A09E4A2CD89C}" name="Cost Price">
      <calculatedColumnFormula>_xlfn.XLOOKUP(D2,products!$A$2:$A$49,products!$H$2:$H$49)</calculatedColumnFormula>
    </tableColumn>
    <tableColumn id="16" xr3:uid="{524200D8-0A0C-444D-A540-4DABEC06A18E}" name="Sales">
      <calculatedColumnFormula>N2*E2</calculatedColumnFormula>
    </tableColumn>
    <tableColumn id="17" xr3:uid="{D00A0390-9762-41FE-9E10-BF3C296A0FCD}" name="COGs">
      <calculatedColumnFormula>O2*E2</calculatedColumnFormula>
    </tableColumn>
    <tableColumn id="18" xr3:uid="{A48216EF-A416-4DA6-A9CA-62286A1781DD}" name="Profit">
      <calculatedColumnFormula>P2-Q2</calculatedColumnFormula>
    </tableColumn>
    <tableColumn id="19" xr3:uid="{1F6E87A4-A47E-4F48-B633-9B84DA0FD01B}" name="Gross Profit" dataDxfId="1" dataCellStyle="Percent">
      <calculatedColumnFormula>R2/P2</calculatedColumnFormula>
    </tableColumn>
    <tableColumn id="20" xr3:uid="{038B7F44-68C8-451B-AC8A-FD6C56B74DAD}" name="Loyalty Card">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Custom 1">
      <a:dk1>
        <a:srgbClr val="833C0B"/>
      </a:dk1>
      <a:lt1>
        <a:srgbClr val="F7CBAC"/>
      </a:lt1>
      <a:dk2>
        <a:srgbClr val="C55A11"/>
      </a:dk2>
      <a:lt2>
        <a:srgbClr val="F4B183"/>
      </a:lt2>
      <a:accent1>
        <a:srgbClr val="ED7D31"/>
      </a:accent1>
      <a:accent2>
        <a:srgbClr val="ED7D31"/>
      </a:accent2>
      <a:accent3>
        <a:srgbClr val="ED7D31"/>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64331-4861-4CBE-A125-6BC478B8CDE0}">
  <sheetPr>
    <tabColor theme="0" tint="-9.9978637043366805E-2"/>
  </sheetPr>
  <dimension ref="AD18"/>
  <sheetViews>
    <sheetView showGridLines="0" zoomScale="70" zoomScaleNormal="70" workbookViewId="0">
      <selection activeCell="M39" sqref="M39"/>
    </sheetView>
  </sheetViews>
  <sheetFormatPr defaultRowHeight="15" x14ac:dyDescent="0.25"/>
  <sheetData>
    <row r="18" spans="30:30" x14ac:dyDescent="0.25">
      <c r="AD18" t="s">
        <v>6225</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FFFF00"/>
  </sheetPr>
  <dimension ref="A1:H49"/>
  <sheetViews>
    <sheetView workbookViewId="0">
      <selection activeCell="E2" sqref="E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8" x14ac:dyDescent="0.25">
      <c r="A1" t="s">
        <v>11</v>
      </c>
      <c r="B1" t="s">
        <v>9</v>
      </c>
      <c r="C1" t="s">
        <v>10</v>
      </c>
      <c r="D1" t="s">
        <v>12</v>
      </c>
      <c r="E1" t="s">
        <v>13</v>
      </c>
      <c r="F1" t="s">
        <v>17</v>
      </c>
      <c r="G1" t="s">
        <v>16</v>
      </c>
      <c r="H1" t="s">
        <v>6199</v>
      </c>
    </row>
    <row r="2" spans="1:8" x14ac:dyDescent="0.25">
      <c r="A2" t="s">
        <v>6167</v>
      </c>
      <c r="B2" t="s">
        <v>6193</v>
      </c>
      <c r="C2" t="s">
        <v>6186</v>
      </c>
      <c r="D2" s="1">
        <v>0.2</v>
      </c>
      <c r="E2">
        <v>3.8849999999999998</v>
      </c>
      <c r="F2">
        <v>1.9424999999999999</v>
      </c>
      <c r="G2">
        <v>0.34964999999999996</v>
      </c>
      <c r="H2">
        <f>E2-G2</f>
        <v>3.5353499999999998</v>
      </c>
    </row>
    <row r="3" spans="1:8" x14ac:dyDescent="0.25">
      <c r="A3" t="s">
        <v>6180</v>
      </c>
      <c r="B3" t="s">
        <v>6193</v>
      </c>
      <c r="C3" t="s">
        <v>6186</v>
      </c>
      <c r="D3" s="1">
        <v>0.5</v>
      </c>
      <c r="E3">
        <v>7.77</v>
      </c>
      <c r="F3">
        <v>1.5539999999999998</v>
      </c>
      <c r="G3">
        <v>0.69929999999999992</v>
      </c>
      <c r="H3">
        <f t="shared" ref="H3:H49" si="0">E3-G3</f>
        <v>7.0706999999999995</v>
      </c>
    </row>
    <row r="4" spans="1:8" x14ac:dyDescent="0.25">
      <c r="A4" t="s">
        <v>6140</v>
      </c>
      <c r="B4" t="s">
        <v>6193</v>
      </c>
      <c r="C4" t="s">
        <v>6186</v>
      </c>
      <c r="D4" s="1">
        <v>1</v>
      </c>
      <c r="E4">
        <v>12.95</v>
      </c>
      <c r="F4">
        <v>1.2949999999999999</v>
      </c>
      <c r="G4">
        <v>1.1655</v>
      </c>
      <c r="H4">
        <f t="shared" si="0"/>
        <v>11.7845</v>
      </c>
    </row>
    <row r="5" spans="1:8" x14ac:dyDescent="0.25">
      <c r="A5" t="s">
        <v>6182</v>
      </c>
      <c r="B5" t="s">
        <v>6193</v>
      </c>
      <c r="C5" t="s">
        <v>6186</v>
      </c>
      <c r="D5" s="1">
        <v>2.5</v>
      </c>
      <c r="E5">
        <v>29.784999999999997</v>
      </c>
      <c r="F5">
        <v>1.1913999999999998</v>
      </c>
      <c r="G5">
        <v>2.6806499999999995</v>
      </c>
      <c r="H5">
        <f t="shared" si="0"/>
        <v>27.104349999999997</v>
      </c>
    </row>
    <row r="6" spans="1:8" x14ac:dyDescent="0.25">
      <c r="A6" t="s">
        <v>6152</v>
      </c>
      <c r="B6" t="s">
        <v>6193</v>
      </c>
      <c r="C6" t="s">
        <v>6188</v>
      </c>
      <c r="D6" s="1">
        <v>0.2</v>
      </c>
      <c r="E6">
        <v>3.375</v>
      </c>
      <c r="F6">
        <v>1.6875</v>
      </c>
      <c r="G6">
        <v>0.30374999999999996</v>
      </c>
      <c r="H6">
        <f t="shared" si="0"/>
        <v>3.07125</v>
      </c>
    </row>
    <row r="7" spans="1:8" x14ac:dyDescent="0.25">
      <c r="A7" t="s">
        <v>6157</v>
      </c>
      <c r="B7" t="s">
        <v>6193</v>
      </c>
      <c r="C7" t="s">
        <v>6188</v>
      </c>
      <c r="D7" s="1">
        <v>0.5</v>
      </c>
      <c r="E7">
        <v>6.75</v>
      </c>
      <c r="F7">
        <v>1.35</v>
      </c>
      <c r="G7">
        <v>0.60749999999999993</v>
      </c>
      <c r="H7">
        <f t="shared" si="0"/>
        <v>6.1425000000000001</v>
      </c>
    </row>
    <row r="8" spans="1:8" x14ac:dyDescent="0.25">
      <c r="A8" t="s">
        <v>6155</v>
      </c>
      <c r="B8" t="s">
        <v>6193</v>
      </c>
      <c r="C8" t="s">
        <v>6188</v>
      </c>
      <c r="D8" s="1">
        <v>1</v>
      </c>
      <c r="E8">
        <v>11.25</v>
      </c>
      <c r="F8">
        <v>1.125</v>
      </c>
      <c r="G8">
        <v>1.0125</v>
      </c>
      <c r="H8">
        <f t="shared" si="0"/>
        <v>10.237500000000001</v>
      </c>
    </row>
    <row r="9" spans="1:8" x14ac:dyDescent="0.25">
      <c r="A9" t="s">
        <v>6175</v>
      </c>
      <c r="B9" t="s">
        <v>6193</v>
      </c>
      <c r="C9" t="s">
        <v>6188</v>
      </c>
      <c r="D9" s="1">
        <v>2.5</v>
      </c>
      <c r="E9">
        <v>25.874999999999996</v>
      </c>
      <c r="F9">
        <v>1.0349999999999999</v>
      </c>
      <c r="G9">
        <v>2.3287499999999994</v>
      </c>
      <c r="H9">
        <f t="shared" si="0"/>
        <v>23.546249999999997</v>
      </c>
    </row>
    <row r="10" spans="1:8" x14ac:dyDescent="0.25">
      <c r="A10" t="s">
        <v>6154</v>
      </c>
      <c r="B10" t="s">
        <v>6193</v>
      </c>
      <c r="C10" t="s">
        <v>6187</v>
      </c>
      <c r="D10" s="1">
        <v>0.2</v>
      </c>
      <c r="E10">
        <v>2.9849999999999999</v>
      </c>
      <c r="F10">
        <v>1.4924999999999999</v>
      </c>
      <c r="G10">
        <v>0.26865</v>
      </c>
      <c r="H10">
        <f t="shared" si="0"/>
        <v>2.7163499999999998</v>
      </c>
    </row>
    <row r="11" spans="1:8" x14ac:dyDescent="0.25">
      <c r="A11" t="s">
        <v>6158</v>
      </c>
      <c r="B11" t="s">
        <v>6193</v>
      </c>
      <c r="C11" t="s">
        <v>6187</v>
      </c>
      <c r="D11" s="1">
        <v>0.5</v>
      </c>
      <c r="E11">
        <v>5.97</v>
      </c>
      <c r="F11">
        <v>1.194</v>
      </c>
      <c r="G11">
        <v>0.5373</v>
      </c>
      <c r="H11">
        <f t="shared" si="0"/>
        <v>5.4326999999999996</v>
      </c>
    </row>
    <row r="12" spans="1:8" x14ac:dyDescent="0.25">
      <c r="A12" t="s">
        <v>6147</v>
      </c>
      <c r="B12" t="s">
        <v>6193</v>
      </c>
      <c r="C12" t="s">
        <v>6187</v>
      </c>
      <c r="D12" s="1">
        <v>1</v>
      </c>
      <c r="E12">
        <v>9.9499999999999993</v>
      </c>
      <c r="F12">
        <v>0.99499999999999988</v>
      </c>
      <c r="G12">
        <v>0.89549999999999985</v>
      </c>
      <c r="H12">
        <f t="shared" si="0"/>
        <v>9.0544999999999991</v>
      </c>
    </row>
    <row r="13" spans="1:8" x14ac:dyDescent="0.25">
      <c r="A13" t="s">
        <v>6168</v>
      </c>
      <c r="B13" t="s">
        <v>6193</v>
      </c>
      <c r="C13" t="s">
        <v>6187</v>
      </c>
      <c r="D13" s="1">
        <v>2.5</v>
      </c>
      <c r="E13">
        <v>22.884999999999998</v>
      </c>
      <c r="F13">
        <v>0.91539999999999988</v>
      </c>
      <c r="G13">
        <v>2.0596499999999995</v>
      </c>
      <c r="H13">
        <f t="shared" si="0"/>
        <v>20.82535</v>
      </c>
    </row>
    <row r="14" spans="1:8" x14ac:dyDescent="0.25">
      <c r="A14" t="s">
        <v>6178</v>
      </c>
      <c r="B14" t="s">
        <v>6192</v>
      </c>
      <c r="C14" t="s">
        <v>6186</v>
      </c>
      <c r="D14" s="1">
        <v>0.2</v>
      </c>
      <c r="E14">
        <v>3.5849999999999995</v>
      </c>
      <c r="F14">
        <v>1.7924999999999998</v>
      </c>
      <c r="G14">
        <v>0.21509999999999996</v>
      </c>
      <c r="H14">
        <f t="shared" si="0"/>
        <v>3.3698999999999995</v>
      </c>
    </row>
    <row r="15" spans="1:8" x14ac:dyDescent="0.25">
      <c r="A15" t="s">
        <v>6173</v>
      </c>
      <c r="B15" t="s">
        <v>6192</v>
      </c>
      <c r="C15" t="s">
        <v>6186</v>
      </c>
      <c r="D15" s="1">
        <v>0.5</v>
      </c>
      <c r="E15">
        <v>7.169999999999999</v>
      </c>
      <c r="F15">
        <v>1.4339999999999997</v>
      </c>
      <c r="G15">
        <v>0.43019999999999992</v>
      </c>
      <c r="H15">
        <f t="shared" si="0"/>
        <v>6.7397999999999989</v>
      </c>
    </row>
    <row r="16" spans="1:8" x14ac:dyDescent="0.25">
      <c r="A16" t="s">
        <v>6179</v>
      </c>
      <c r="B16" t="s">
        <v>6192</v>
      </c>
      <c r="C16" t="s">
        <v>6186</v>
      </c>
      <c r="D16" s="1">
        <v>1</v>
      </c>
      <c r="E16">
        <v>11.95</v>
      </c>
      <c r="F16">
        <v>1.1949999999999998</v>
      </c>
      <c r="G16">
        <v>0.71699999999999997</v>
      </c>
      <c r="H16">
        <f t="shared" si="0"/>
        <v>11.232999999999999</v>
      </c>
    </row>
    <row r="17" spans="1:8" x14ac:dyDescent="0.25">
      <c r="A17" t="s">
        <v>6142</v>
      </c>
      <c r="B17" t="s">
        <v>6192</v>
      </c>
      <c r="C17" t="s">
        <v>6186</v>
      </c>
      <c r="D17" s="1">
        <v>2.5</v>
      </c>
      <c r="E17">
        <v>27.484999999999996</v>
      </c>
      <c r="F17">
        <v>1.0993999999999999</v>
      </c>
      <c r="G17">
        <v>1.6490999999999998</v>
      </c>
      <c r="H17">
        <f t="shared" si="0"/>
        <v>25.835899999999995</v>
      </c>
    </row>
    <row r="18" spans="1:8" x14ac:dyDescent="0.25">
      <c r="A18" t="s">
        <v>6174</v>
      </c>
      <c r="B18" t="s">
        <v>6192</v>
      </c>
      <c r="C18" t="s">
        <v>6188</v>
      </c>
      <c r="D18" s="1">
        <v>0.2</v>
      </c>
      <c r="E18">
        <v>2.9849999999999999</v>
      </c>
      <c r="F18">
        <v>1.4924999999999999</v>
      </c>
      <c r="G18">
        <v>0.17909999999999998</v>
      </c>
      <c r="H18">
        <f t="shared" si="0"/>
        <v>2.8058999999999998</v>
      </c>
    </row>
    <row r="19" spans="1:8" x14ac:dyDescent="0.25">
      <c r="A19" t="s">
        <v>6146</v>
      </c>
      <c r="B19" t="s">
        <v>6192</v>
      </c>
      <c r="C19" t="s">
        <v>6188</v>
      </c>
      <c r="D19" s="1">
        <v>0.5</v>
      </c>
      <c r="E19">
        <v>5.97</v>
      </c>
      <c r="F19">
        <v>1.194</v>
      </c>
      <c r="G19">
        <v>0.35819999999999996</v>
      </c>
      <c r="H19">
        <f t="shared" si="0"/>
        <v>5.6117999999999997</v>
      </c>
    </row>
    <row r="20" spans="1:8" x14ac:dyDescent="0.25">
      <c r="A20" t="s">
        <v>6138</v>
      </c>
      <c r="B20" t="s">
        <v>6192</v>
      </c>
      <c r="C20" t="s">
        <v>6188</v>
      </c>
      <c r="D20" s="1">
        <v>1</v>
      </c>
      <c r="E20">
        <v>9.9499999999999993</v>
      </c>
      <c r="F20">
        <v>0.99499999999999988</v>
      </c>
      <c r="G20">
        <v>0.59699999999999998</v>
      </c>
      <c r="H20">
        <f t="shared" si="0"/>
        <v>9.3529999999999998</v>
      </c>
    </row>
    <row r="21" spans="1:8" x14ac:dyDescent="0.25">
      <c r="A21" t="s">
        <v>6151</v>
      </c>
      <c r="B21" t="s">
        <v>6192</v>
      </c>
      <c r="C21" t="s">
        <v>6188</v>
      </c>
      <c r="D21" s="1">
        <v>2.5</v>
      </c>
      <c r="E21">
        <v>22.884999999999998</v>
      </c>
      <c r="F21">
        <v>0.91539999999999988</v>
      </c>
      <c r="G21">
        <v>1.3730999999999998</v>
      </c>
      <c r="H21">
        <f t="shared" si="0"/>
        <v>21.511899999999997</v>
      </c>
    </row>
    <row r="22" spans="1:8" x14ac:dyDescent="0.25">
      <c r="A22" t="s">
        <v>6163</v>
      </c>
      <c r="B22" t="s">
        <v>6192</v>
      </c>
      <c r="C22" t="s">
        <v>6187</v>
      </c>
      <c r="D22" s="1">
        <v>0.2</v>
      </c>
      <c r="E22">
        <v>2.6849999999999996</v>
      </c>
      <c r="F22">
        <v>1.3424999999999998</v>
      </c>
      <c r="G22">
        <v>0.16109999999999997</v>
      </c>
      <c r="H22">
        <f t="shared" si="0"/>
        <v>2.5238999999999998</v>
      </c>
    </row>
    <row r="23" spans="1:8" x14ac:dyDescent="0.25">
      <c r="A23" t="s">
        <v>6172</v>
      </c>
      <c r="B23" t="s">
        <v>6192</v>
      </c>
      <c r="C23" t="s">
        <v>6187</v>
      </c>
      <c r="D23" s="1">
        <v>0.5</v>
      </c>
      <c r="E23">
        <v>5.3699999999999992</v>
      </c>
      <c r="F23">
        <v>1.0739999999999998</v>
      </c>
      <c r="G23">
        <v>0.32219999999999993</v>
      </c>
      <c r="H23">
        <f t="shared" si="0"/>
        <v>5.0477999999999996</v>
      </c>
    </row>
    <row r="24" spans="1:8" x14ac:dyDescent="0.25">
      <c r="A24" t="s">
        <v>6177</v>
      </c>
      <c r="B24" t="s">
        <v>6192</v>
      </c>
      <c r="C24" t="s">
        <v>6187</v>
      </c>
      <c r="D24" s="1">
        <v>1</v>
      </c>
      <c r="E24">
        <v>8.9499999999999993</v>
      </c>
      <c r="F24">
        <v>0.89499999999999991</v>
      </c>
      <c r="G24">
        <v>0.53699999999999992</v>
      </c>
      <c r="H24">
        <f t="shared" si="0"/>
        <v>8.4130000000000003</v>
      </c>
    </row>
    <row r="25" spans="1:8" x14ac:dyDescent="0.25">
      <c r="A25" t="s">
        <v>6149</v>
      </c>
      <c r="B25" t="s">
        <v>6192</v>
      </c>
      <c r="C25" t="s">
        <v>6187</v>
      </c>
      <c r="D25" s="1">
        <v>2.5</v>
      </c>
      <c r="E25">
        <v>20.584999999999997</v>
      </c>
      <c r="F25">
        <v>0.82339999999999991</v>
      </c>
      <c r="G25">
        <v>1.2350999999999999</v>
      </c>
      <c r="H25">
        <f t="shared" si="0"/>
        <v>19.349899999999998</v>
      </c>
    </row>
    <row r="26" spans="1:8" x14ac:dyDescent="0.25">
      <c r="A26" t="s">
        <v>6145</v>
      </c>
      <c r="B26" t="s">
        <v>6195</v>
      </c>
      <c r="C26" t="s">
        <v>6186</v>
      </c>
      <c r="D26" s="1">
        <v>0.2</v>
      </c>
      <c r="E26">
        <v>4.7549999999999999</v>
      </c>
      <c r="F26">
        <v>2.3774999999999999</v>
      </c>
      <c r="G26">
        <v>0.61814999999999998</v>
      </c>
      <c r="H26">
        <f t="shared" si="0"/>
        <v>4.1368499999999999</v>
      </c>
    </row>
    <row r="27" spans="1:8" x14ac:dyDescent="0.25">
      <c r="A27" t="s">
        <v>6161</v>
      </c>
      <c r="B27" t="s">
        <v>6195</v>
      </c>
      <c r="C27" t="s">
        <v>6186</v>
      </c>
      <c r="D27" s="1">
        <v>0.5</v>
      </c>
      <c r="E27">
        <v>9.51</v>
      </c>
      <c r="F27">
        <v>1.9019999999999999</v>
      </c>
      <c r="G27">
        <v>1.2363</v>
      </c>
      <c r="H27">
        <f t="shared" si="0"/>
        <v>8.2736999999999998</v>
      </c>
    </row>
    <row r="28" spans="1:8" x14ac:dyDescent="0.25">
      <c r="A28" t="s">
        <v>6170</v>
      </c>
      <c r="B28" t="s">
        <v>6195</v>
      </c>
      <c r="C28" t="s">
        <v>6186</v>
      </c>
      <c r="D28" s="1">
        <v>1</v>
      </c>
      <c r="E28">
        <v>15.85</v>
      </c>
      <c r="F28">
        <v>1.585</v>
      </c>
      <c r="G28">
        <v>2.0605000000000002</v>
      </c>
      <c r="H28">
        <f t="shared" si="0"/>
        <v>13.7895</v>
      </c>
    </row>
    <row r="29" spans="1:8" x14ac:dyDescent="0.25">
      <c r="A29" t="s">
        <v>6164</v>
      </c>
      <c r="B29" t="s">
        <v>6195</v>
      </c>
      <c r="C29" t="s">
        <v>6186</v>
      </c>
      <c r="D29" s="1">
        <v>2.5</v>
      </c>
      <c r="E29">
        <v>36.454999999999998</v>
      </c>
      <c r="F29">
        <v>1.4581999999999999</v>
      </c>
      <c r="G29">
        <v>4.7391499999999995</v>
      </c>
      <c r="H29">
        <f t="shared" si="0"/>
        <v>31.71585</v>
      </c>
    </row>
    <row r="30" spans="1:8" x14ac:dyDescent="0.25">
      <c r="A30" t="s">
        <v>6159</v>
      </c>
      <c r="B30" t="s">
        <v>6195</v>
      </c>
      <c r="C30" t="s">
        <v>6188</v>
      </c>
      <c r="D30" s="1">
        <v>0.2</v>
      </c>
      <c r="E30">
        <v>4.3650000000000002</v>
      </c>
      <c r="F30">
        <v>2.1825000000000001</v>
      </c>
      <c r="G30">
        <v>0.56745000000000001</v>
      </c>
      <c r="H30">
        <f t="shared" si="0"/>
        <v>3.7975500000000002</v>
      </c>
    </row>
    <row r="31" spans="1:8" x14ac:dyDescent="0.25">
      <c r="A31" t="s">
        <v>6160</v>
      </c>
      <c r="B31" t="s">
        <v>6195</v>
      </c>
      <c r="C31" t="s">
        <v>6188</v>
      </c>
      <c r="D31" s="1">
        <v>0.5</v>
      </c>
      <c r="E31">
        <v>8.73</v>
      </c>
      <c r="F31">
        <v>1.746</v>
      </c>
      <c r="G31">
        <v>1.1349</v>
      </c>
      <c r="H31">
        <f t="shared" si="0"/>
        <v>7.5951000000000004</v>
      </c>
    </row>
    <row r="32" spans="1:8" x14ac:dyDescent="0.25">
      <c r="A32" t="s">
        <v>6162</v>
      </c>
      <c r="B32" t="s">
        <v>6195</v>
      </c>
      <c r="C32" t="s">
        <v>6188</v>
      </c>
      <c r="D32" s="1">
        <v>1</v>
      </c>
      <c r="E32">
        <v>14.55</v>
      </c>
      <c r="F32">
        <v>1.4550000000000001</v>
      </c>
      <c r="G32">
        <v>1.8915000000000002</v>
      </c>
      <c r="H32">
        <f t="shared" si="0"/>
        <v>12.6585</v>
      </c>
    </row>
    <row r="33" spans="1:8" x14ac:dyDescent="0.25">
      <c r="A33" t="s">
        <v>6181</v>
      </c>
      <c r="B33" t="s">
        <v>6195</v>
      </c>
      <c r="C33" t="s">
        <v>6188</v>
      </c>
      <c r="D33" s="1">
        <v>2.5</v>
      </c>
      <c r="E33">
        <v>33.464999999999996</v>
      </c>
      <c r="F33">
        <v>1.3385999999999998</v>
      </c>
      <c r="G33">
        <v>4.3504499999999995</v>
      </c>
      <c r="H33">
        <f t="shared" si="0"/>
        <v>29.114549999999998</v>
      </c>
    </row>
    <row r="34" spans="1:8" x14ac:dyDescent="0.25">
      <c r="A34" t="s">
        <v>6150</v>
      </c>
      <c r="B34" t="s">
        <v>6195</v>
      </c>
      <c r="C34" t="s">
        <v>6187</v>
      </c>
      <c r="D34" s="1">
        <v>0.2</v>
      </c>
      <c r="E34">
        <v>3.8849999999999998</v>
      </c>
      <c r="F34">
        <v>1.9424999999999999</v>
      </c>
      <c r="G34">
        <v>0.50505</v>
      </c>
      <c r="H34">
        <f t="shared" si="0"/>
        <v>3.37995</v>
      </c>
    </row>
    <row r="35" spans="1:8" x14ac:dyDescent="0.25">
      <c r="A35" t="s">
        <v>6169</v>
      </c>
      <c r="B35" t="s">
        <v>6195</v>
      </c>
      <c r="C35" t="s">
        <v>6187</v>
      </c>
      <c r="D35" s="1">
        <v>0.5</v>
      </c>
      <c r="E35">
        <v>7.77</v>
      </c>
      <c r="F35">
        <v>1.5539999999999998</v>
      </c>
      <c r="G35">
        <v>1.0101</v>
      </c>
      <c r="H35">
        <f t="shared" si="0"/>
        <v>6.7599</v>
      </c>
    </row>
    <row r="36" spans="1:8" x14ac:dyDescent="0.25">
      <c r="A36" t="s">
        <v>6143</v>
      </c>
      <c r="B36" t="s">
        <v>6195</v>
      </c>
      <c r="C36" t="s">
        <v>6187</v>
      </c>
      <c r="D36" s="1">
        <v>1</v>
      </c>
      <c r="E36">
        <v>12.95</v>
      </c>
      <c r="F36">
        <v>1.2949999999999999</v>
      </c>
      <c r="G36">
        <v>1.6835</v>
      </c>
      <c r="H36">
        <f t="shared" si="0"/>
        <v>11.266499999999999</v>
      </c>
    </row>
    <row r="37" spans="1:8" x14ac:dyDescent="0.25">
      <c r="A37" t="s">
        <v>6165</v>
      </c>
      <c r="B37" t="s">
        <v>6195</v>
      </c>
      <c r="C37" t="s">
        <v>6187</v>
      </c>
      <c r="D37" s="1">
        <v>2.5</v>
      </c>
      <c r="E37">
        <v>29.784999999999997</v>
      </c>
      <c r="F37">
        <v>1.1913999999999998</v>
      </c>
      <c r="G37">
        <v>3.8720499999999998</v>
      </c>
      <c r="H37">
        <f t="shared" si="0"/>
        <v>25.912949999999995</v>
      </c>
    </row>
    <row r="38" spans="1:8" x14ac:dyDescent="0.25">
      <c r="A38" t="s">
        <v>6184</v>
      </c>
      <c r="B38" t="s">
        <v>6194</v>
      </c>
      <c r="C38" t="s">
        <v>6186</v>
      </c>
      <c r="D38" s="1">
        <v>0.2</v>
      </c>
      <c r="E38">
        <v>4.4550000000000001</v>
      </c>
      <c r="F38">
        <v>2.2275</v>
      </c>
      <c r="G38">
        <v>0.49004999999999999</v>
      </c>
      <c r="H38">
        <f t="shared" si="0"/>
        <v>3.96495</v>
      </c>
    </row>
    <row r="39" spans="1:8" x14ac:dyDescent="0.25">
      <c r="A39" t="s">
        <v>6176</v>
      </c>
      <c r="B39" t="s">
        <v>6194</v>
      </c>
      <c r="C39" t="s">
        <v>6186</v>
      </c>
      <c r="D39" s="1">
        <v>0.5</v>
      </c>
      <c r="E39">
        <v>8.91</v>
      </c>
      <c r="F39">
        <v>1.782</v>
      </c>
      <c r="G39">
        <v>0.98009999999999997</v>
      </c>
      <c r="H39">
        <f t="shared" si="0"/>
        <v>7.9298999999999999</v>
      </c>
    </row>
    <row r="40" spans="1:8" x14ac:dyDescent="0.25">
      <c r="A40" t="s">
        <v>6171</v>
      </c>
      <c r="B40" t="s">
        <v>6194</v>
      </c>
      <c r="C40" t="s">
        <v>6186</v>
      </c>
      <c r="D40" s="1">
        <v>1</v>
      </c>
      <c r="E40">
        <v>14.85</v>
      </c>
      <c r="F40">
        <v>1.4849999999999999</v>
      </c>
      <c r="G40">
        <v>1.6335</v>
      </c>
      <c r="H40">
        <f t="shared" si="0"/>
        <v>13.2165</v>
      </c>
    </row>
    <row r="41" spans="1:8" x14ac:dyDescent="0.25">
      <c r="A41" t="s">
        <v>6148</v>
      </c>
      <c r="B41" t="s">
        <v>6194</v>
      </c>
      <c r="C41" t="s">
        <v>6186</v>
      </c>
      <c r="D41" s="1">
        <v>2.5</v>
      </c>
      <c r="E41">
        <v>34.154999999999994</v>
      </c>
      <c r="F41">
        <v>1.3661999999999999</v>
      </c>
      <c r="G41">
        <v>3.7570499999999996</v>
      </c>
      <c r="H41">
        <f t="shared" si="0"/>
        <v>30.397949999999994</v>
      </c>
    </row>
    <row r="42" spans="1:8" x14ac:dyDescent="0.25">
      <c r="A42" t="s">
        <v>6156</v>
      </c>
      <c r="B42" t="s">
        <v>6194</v>
      </c>
      <c r="C42" t="s">
        <v>6188</v>
      </c>
      <c r="D42" s="1">
        <v>0.2</v>
      </c>
      <c r="E42">
        <v>4.125</v>
      </c>
      <c r="F42">
        <v>2.0625</v>
      </c>
      <c r="G42">
        <v>0.45374999999999999</v>
      </c>
      <c r="H42">
        <f t="shared" si="0"/>
        <v>3.6712500000000001</v>
      </c>
    </row>
    <row r="43" spans="1:8" x14ac:dyDescent="0.25">
      <c r="A43" t="s">
        <v>6139</v>
      </c>
      <c r="B43" t="s">
        <v>6194</v>
      </c>
      <c r="C43" t="s">
        <v>6188</v>
      </c>
      <c r="D43" s="1">
        <v>0.5</v>
      </c>
      <c r="E43">
        <v>8.25</v>
      </c>
      <c r="F43">
        <v>1.65</v>
      </c>
      <c r="G43">
        <v>0.90749999999999997</v>
      </c>
      <c r="H43">
        <f t="shared" si="0"/>
        <v>7.3425000000000002</v>
      </c>
    </row>
    <row r="44" spans="1:8" x14ac:dyDescent="0.25">
      <c r="A44" t="s">
        <v>6141</v>
      </c>
      <c r="B44" t="s">
        <v>6194</v>
      </c>
      <c r="C44" t="s">
        <v>6188</v>
      </c>
      <c r="D44" s="1">
        <v>1</v>
      </c>
      <c r="E44">
        <v>13.75</v>
      </c>
      <c r="F44">
        <v>1.375</v>
      </c>
      <c r="G44">
        <v>1.5125</v>
      </c>
      <c r="H44">
        <f t="shared" si="0"/>
        <v>12.237500000000001</v>
      </c>
    </row>
    <row r="45" spans="1:8" x14ac:dyDescent="0.25">
      <c r="A45" t="s">
        <v>6166</v>
      </c>
      <c r="B45" t="s">
        <v>6194</v>
      </c>
      <c r="C45" t="s">
        <v>6188</v>
      </c>
      <c r="D45" s="1">
        <v>2.5</v>
      </c>
      <c r="E45">
        <v>31.624999999999996</v>
      </c>
      <c r="F45">
        <v>1.2649999999999999</v>
      </c>
      <c r="G45">
        <v>3.4787499999999998</v>
      </c>
      <c r="H45">
        <f t="shared" si="0"/>
        <v>28.146249999999995</v>
      </c>
    </row>
    <row r="46" spans="1:8" x14ac:dyDescent="0.25">
      <c r="A46" t="s">
        <v>6153</v>
      </c>
      <c r="B46" t="s">
        <v>6194</v>
      </c>
      <c r="C46" t="s">
        <v>6187</v>
      </c>
      <c r="D46" s="1">
        <v>0.2</v>
      </c>
      <c r="E46">
        <v>3.645</v>
      </c>
      <c r="F46">
        <v>1.8225</v>
      </c>
      <c r="G46">
        <v>0.40095000000000003</v>
      </c>
      <c r="H46">
        <f t="shared" si="0"/>
        <v>3.2440500000000001</v>
      </c>
    </row>
    <row r="47" spans="1:8" x14ac:dyDescent="0.25">
      <c r="A47" t="s">
        <v>6144</v>
      </c>
      <c r="B47" t="s">
        <v>6194</v>
      </c>
      <c r="C47" t="s">
        <v>6187</v>
      </c>
      <c r="D47" s="1">
        <v>0.5</v>
      </c>
      <c r="E47">
        <v>7.29</v>
      </c>
      <c r="F47">
        <v>1.458</v>
      </c>
      <c r="G47">
        <v>0.80190000000000006</v>
      </c>
      <c r="H47">
        <f t="shared" si="0"/>
        <v>6.4881000000000002</v>
      </c>
    </row>
    <row r="48" spans="1:8" x14ac:dyDescent="0.25">
      <c r="A48" t="s">
        <v>6183</v>
      </c>
      <c r="B48" t="s">
        <v>6194</v>
      </c>
      <c r="C48" t="s">
        <v>6187</v>
      </c>
      <c r="D48" s="1">
        <v>1</v>
      </c>
      <c r="E48">
        <v>12.15</v>
      </c>
      <c r="F48">
        <v>1.2150000000000001</v>
      </c>
      <c r="G48">
        <v>1.3365</v>
      </c>
      <c r="H48">
        <f t="shared" si="0"/>
        <v>10.813500000000001</v>
      </c>
    </row>
    <row r="49" spans="1:8" x14ac:dyDescent="0.25">
      <c r="A49" t="s">
        <v>6185</v>
      </c>
      <c r="B49" t="s">
        <v>6194</v>
      </c>
      <c r="C49" t="s">
        <v>6187</v>
      </c>
      <c r="D49" s="1">
        <v>2.5</v>
      </c>
      <c r="E49">
        <v>27.945</v>
      </c>
      <c r="F49">
        <v>1.1177999999999999</v>
      </c>
      <c r="G49">
        <v>3.07395</v>
      </c>
      <c r="H49">
        <f t="shared" si="0"/>
        <v>24.87105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6D820-9310-4D60-9378-C729CFA08694}">
  <sheetPr>
    <tabColor theme="9" tint="0.39997558519241921"/>
  </sheetPr>
  <dimension ref="A1:E166"/>
  <sheetViews>
    <sheetView topLeftCell="A106" zoomScaleNormal="100" workbookViewId="0">
      <selection activeCell="C124" sqref="C124"/>
    </sheetView>
  </sheetViews>
  <sheetFormatPr defaultRowHeight="15" x14ac:dyDescent="0.25"/>
  <cols>
    <col min="1" max="1" width="15.42578125" bestFit="1" customWidth="1"/>
    <col min="2" max="2" width="12.5703125" bestFit="1" customWidth="1"/>
    <col min="3" max="3" width="19.42578125" bestFit="1" customWidth="1"/>
    <col min="4" max="4" width="12.42578125" customWidth="1"/>
    <col min="5" max="6" width="11.28515625" bestFit="1" customWidth="1"/>
    <col min="7" max="7" width="12.140625" bestFit="1" customWidth="1"/>
    <col min="8" max="8" width="23.28515625" bestFit="1" customWidth="1"/>
    <col min="9" max="9" width="17.28515625" bestFit="1" customWidth="1"/>
  </cols>
  <sheetData>
    <row r="1" spans="1:2" x14ac:dyDescent="0.25">
      <c r="A1" s="5" t="s">
        <v>6201</v>
      </c>
      <c r="B1" t="s">
        <v>6244</v>
      </c>
    </row>
    <row r="2" spans="1:2" x14ac:dyDescent="0.25">
      <c r="A2" s="6" t="s">
        <v>6211</v>
      </c>
      <c r="B2" s="8"/>
    </row>
    <row r="3" spans="1:2" x14ac:dyDescent="0.25">
      <c r="A3" s="6" t="s">
        <v>6212</v>
      </c>
      <c r="B3" s="8">
        <v>0.132013201320132</v>
      </c>
    </row>
    <row r="4" spans="1:2" x14ac:dyDescent="0.25">
      <c r="A4" s="6" t="s">
        <v>6213</v>
      </c>
      <c r="B4" s="8">
        <v>0.31353135313531355</v>
      </c>
    </row>
    <row r="5" spans="1:2" x14ac:dyDescent="0.25">
      <c r="A5" s="6" t="s">
        <v>6214</v>
      </c>
      <c r="B5" s="8">
        <v>-3.3003300330033004E-3</v>
      </c>
    </row>
    <row r="6" spans="1:2" x14ac:dyDescent="0.25">
      <c r="A6" s="6" t="s">
        <v>6215</v>
      </c>
      <c r="B6" s="8">
        <v>-0.10561056105610561</v>
      </c>
    </row>
    <row r="7" spans="1:2" x14ac:dyDescent="0.25">
      <c r="A7" s="6" t="s">
        <v>6216</v>
      </c>
      <c r="B7" s="8">
        <v>0.10891089108910891</v>
      </c>
    </row>
    <row r="8" spans="1:2" x14ac:dyDescent="0.25">
      <c r="A8" s="6" t="s">
        <v>6217</v>
      </c>
      <c r="B8" s="8">
        <v>5.6105610561056105E-2</v>
      </c>
    </row>
    <row r="9" spans="1:2" x14ac:dyDescent="0.25">
      <c r="A9" s="6" t="s">
        <v>6218</v>
      </c>
      <c r="B9" s="8">
        <v>-0.28712871287128711</v>
      </c>
    </row>
    <row r="10" spans="1:2" x14ac:dyDescent="0.25">
      <c r="A10" s="6" t="s">
        <v>6219</v>
      </c>
      <c r="B10" s="8">
        <v>-9.9009900990099015E-2</v>
      </c>
    </row>
    <row r="11" spans="1:2" x14ac:dyDescent="0.25">
      <c r="A11" s="6" t="s">
        <v>6220</v>
      </c>
      <c r="B11" s="8">
        <v>-3.9603960396039604E-2</v>
      </c>
    </row>
    <row r="12" spans="1:2" x14ac:dyDescent="0.25">
      <c r="A12" s="6" t="s">
        <v>6221</v>
      </c>
      <c r="B12" s="8">
        <v>-0.19141914191419143</v>
      </c>
    </row>
    <row r="13" spans="1:2" x14ac:dyDescent="0.25">
      <c r="A13" s="6" t="s">
        <v>6222</v>
      </c>
      <c r="B13" s="8">
        <v>-0.16501650165016502</v>
      </c>
    </row>
    <row r="14" spans="1:2" x14ac:dyDescent="0.25">
      <c r="A14" s="6" t="s">
        <v>6202</v>
      </c>
      <c r="B14" s="8"/>
    </row>
    <row r="18" spans="1:2" x14ac:dyDescent="0.25">
      <c r="A18" s="5" t="s">
        <v>7</v>
      </c>
      <c r="B18" t="s">
        <v>6209</v>
      </c>
    </row>
    <row r="20" spans="1:2" x14ac:dyDescent="0.25">
      <c r="A20" s="5" t="s">
        <v>6201</v>
      </c>
      <c r="B20" t="s">
        <v>6210</v>
      </c>
    </row>
    <row r="21" spans="1:2" x14ac:dyDescent="0.25">
      <c r="A21" s="6" t="s">
        <v>6203</v>
      </c>
      <c r="B21" s="8"/>
    </row>
    <row r="22" spans="1:2" x14ac:dyDescent="0.25">
      <c r="A22" s="6" t="s">
        <v>6204</v>
      </c>
      <c r="B22" s="8">
        <v>1.5444015444015444E-2</v>
      </c>
    </row>
    <row r="23" spans="1:2" x14ac:dyDescent="0.25">
      <c r="A23" s="6" t="s">
        <v>6205</v>
      </c>
      <c r="B23" s="8">
        <v>0.20463320463320464</v>
      </c>
    </row>
    <row r="24" spans="1:2" x14ac:dyDescent="0.25">
      <c r="A24" s="6" t="s">
        <v>6206</v>
      </c>
      <c r="B24" s="8">
        <v>-0.35907335907335908</v>
      </c>
    </row>
    <row r="25" spans="1:2" x14ac:dyDescent="0.25">
      <c r="A25" s="6" t="s">
        <v>6202</v>
      </c>
      <c r="B25" s="8"/>
    </row>
    <row r="32" spans="1:2" x14ac:dyDescent="0.25">
      <c r="A32" s="5" t="s">
        <v>6201</v>
      </c>
      <c r="B32" t="s">
        <v>6223</v>
      </c>
    </row>
    <row r="33" spans="1:2" x14ac:dyDescent="0.25">
      <c r="A33" s="6" t="s">
        <v>6211</v>
      </c>
      <c r="B33" s="8"/>
    </row>
    <row r="34" spans="1:2" x14ac:dyDescent="0.25">
      <c r="A34" s="6" t="s">
        <v>6212</v>
      </c>
      <c r="B34" s="8">
        <v>0.18131991259008259</v>
      </c>
    </row>
    <row r="35" spans="1:2" x14ac:dyDescent="0.25">
      <c r="A35" s="6" t="s">
        <v>6213</v>
      </c>
      <c r="B35" s="8">
        <v>0.36903428027410529</v>
      </c>
    </row>
    <row r="36" spans="1:2" x14ac:dyDescent="0.25">
      <c r="A36" s="6" t="s">
        <v>6214</v>
      </c>
      <c r="B36" s="8">
        <v>0.2059813847135408</v>
      </c>
    </row>
    <row r="37" spans="1:2" x14ac:dyDescent="0.25">
      <c r="A37" s="6" t="s">
        <v>6215</v>
      </c>
      <c r="B37" s="8">
        <v>-7.2809720713609971E-2</v>
      </c>
    </row>
    <row r="38" spans="1:2" x14ac:dyDescent="0.25">
      <c r="A38" s="6" t="s">
        <v>6216</v>
      </c>
      <c r="B38" s="8">
        <v>0.38252686598906344</v>
      </c>
    </row>
    <row r="39" spans="1:2" x14ac:dyDescent="0.25">
      <c r="A39" s="6" t="s">
        <v>6217</v>
      </c>
      <c r="B39" s="8">
        <v>0.13698978171785298</v>
      </c>
    </row>
    <row r="40" spans="1:2" x14ac:dyDescent="0.25">
      <c r="A40" s="6" t="s">
        <v>6218</v>
      </c>
      <c r="B40" s="8">
        <v>-0.3357474304424593</v>
      </c>
    </row>
    <row r="41" spans="1:2" x14ac:dyDescent="0.25">
      <c r="A41" s="6" t="s">
        <v>6219</v>
      </c>
      <c r="B41" s="8">
        <v>3.7284811599084304E-2</v>
      </c>
    </row>
    <row r="42" spans="1:2" x14ac:dyDescent="0.25">
      <c r="A42" s="6" t="s">
        <v>6220</v>
      </c>
      <c r="B42" s="8">
        <v>8.4795042013568203E-2</v>
      </c>
    </row>
    <row r="43" spans="1:2" x14ac:dyDescent="0.25">
      <c r="A43" s="6" t="s">
        <v>6221</v>
      </c>
      <c r="B43" s="8">
        <v>1.2958762901312322E-2</v>
      </c>
    </row>
    <row r="44" spans="1:2" x14ac:dyDescent="0.25">
      <c r="A44" s="6" t="s">
        <v>6222</v>
      </c>
      <c r="B44" s="8">
        <v>-0.11800481582399273</v>
      </c>
    </row>
    <row r="45" spans="1:2" x14ac:dyDescent="0.25">
      <c r="A45" s="6" t="s">
        <v>6202</v>
      </c>
      <c r="B45" s="8"/>
    </row>
    <row r="52" spans="1:2" x14ac:dyDescent="0.25">
      <c r="A52" s="5" t="s">
        <v>6201</v>
      </c>
      <c r="B52" t="s">
        <v>6230</v>
      </c>
    </row>
    <row r="53" spans="1:2" x14ac:dyDescent="0.25">
      <c r="A53" s="6" t="s">
        <v>6228</v>
      </c>
      <c r="B53" s="1">
        <v>32.239999999999924</v>
      </c>
    </row>
    <row r="54" spans="1:2" x14ac:dyDescent="0.25">
      <c r="A54" s="6" t="s">
        <v>6227</v>
      </c>
      <c r="B54" s="1">
        <v>27.169999999999906</v>
      </c>
    </row>
    <row r="55" spans="1:2" x14ac:dyDescent="0.25">
      <c r="A55" s="6" t="s">
        <v>6226</v>
      </c>
      <c r="B55" s="1">
        <v>23.759999999999966</v>
      </c>
    </row>
    <row r="56" spans="1:2" x14ac:dyDescent="0.25">
      <c r="A56" s="6" t="s">
        <v>6229</v>
      </c>
      <c r="B56" s="1">
        <v>14.460000000000042</v>
      </c>
    </row>
    <row r="57" spans="1:2" x14ac:dyDescent="0.25">
      <c r="A57" s="6" t="s">
        <v>6202</v>
      </c>
      <c r="B57" s="1">
        <v>97.629999999999825</v>
      </c>
    </row>
    <row r="64" spans="1:2" x14ac:dyDescent="0.25">
      <c r="A64" s="5" t="s">
        <v>6201</v>
      </c>
      <c r="B64" t="s">
        <v>6223</v>
      </c>
    </row>
    <row r="65" spans="1:2" x14ac:dyDescent="0.25">
      <c r="A65" s="6">
        <v>0.2</v>
      </c>
      <c r="B65" s="30">
        <v>3307.9499999999994</v>
      </c>
    </row>
    <row r="66" spans="1:2" x14ac:dyDescent="0.25">
      <c r="A66" s="6">
        <v>0.5</v>
      </c>
      <c r="B66" s="30">
        <v>7029.9900000000043</v>
      </c>
    </row>
    <row r="67" spans="1:2" x14ac:dyDescent="0.25">
      <c r="A67" s="6">
        <v>1</v>
      </c>
      <c r="B67" s="30">
        <v>11010.750000000005</v>
      </c>
    </row>
    <row r="68" spans="1:2" x14ac:dyDescent="0.25">
      <c r="A68" s="6">
        <v>2.5</v>
      </c>
      <c r="B68" s="30">
        <v>23785.56499999997</v>
      </c>
    </row>
    <row r="69" spans="1:2" x14ac:dyDescent="0.25">
      <c r="A69" s="6" t="s">
        <v>6202</v>
      </c>
      <c r="B69" s="30">
        <v>45134.254999999976</v>
      </c>
    </row>
    <row r="82" spans="1:3" x14ac:dyDescent="0.25">
      <c r="A82" s="5" t="s">
        <v>6201</v>
      </c>
      <c r="B82" t="s">
        <v>6223</v>
      </c>
    </row>
    <row r="83" spans="1:3" x14ac:dyDescent="0.25">
      <c r="A83" s="6" t="s">
        <v>318</v>
      </c>
      <c r="B83" s="30">
        <v>6696.8649999999989</v>
      </c>
      <c r="C83" s="9">
        <f>GETPIVOTDATA("Sales",$A$82,"Country","Ireland")</f>
        <v>6696.8649999999989</v>
      </c>
    </row>
    <row r="84" spans="1:3" x14ac:dyDescent="0.25">
      <c r="A84" s="6" t="s">
        <v>28</v>
      </c>
      <c r="B84" s="30">
        <v>2798.5050000000001</v>
      </c>
      <c r="C84" s="9">
        <f>GETPIVOTDATA("Sales",$A$82,"Country","United Kingdom")</f>
        <v>2798.5050000000001</v>
      </c>
    </row>
    <row r="85" spans="1:3" x14ac:dyDescent="0.25">
      <c r="A85" s="6" t="s">
        <v>19</v>
      </c>
      <c r="B85" s="30">
        <v>35638.88499999998</v>
      </c>
      <c r="C85" s="9">
        <f>GETPIVOTDATA("Sales",$A$82,"Country","United States")</f>
        <v>35638.88499999998</v>
      </c>
    </row>
    <row r="86" spans="1:3" x14ac:dyDescent="0.25">
      <c r="A86" s="6" t="s">
        <v>6202</v>
      </c>
      <c r="B86" s="30">
        <v>45134.254999999976</v>
      </c>
      <c r="C86" s="9">
        <f>GETPIVOTDATA("Sales",$A$82)</f>
        <v>45134.254999999976</v>
      </c>
    </row>
    <row r="92" spans="1:3" x14ac:dyDescent="0.25">
      <c r="A92" s="5" t="s">
        <v>6201</v>
      </c>
      <c r="B92" t="s">
        <v>6224</v>
      </c>
    </row>
    <row r="93" spans="1:3" x14ac:dyDescent="0.25">
      <c r="A93" s="6" t="s">
        <v>318</v>
      </c>
      <c r="B93" s="7">
        <v>153</v>
      </c>
      <c r="C93">
        <f>GETPIVOTDATA("Order ID",$A$92,"Country","Ireland")</f>
        <v>153</v>
      </c>
    </row>
    <row r="94" spans="1:3" x14ac:dyDescent="0.25">
      <c r="A94" s="6" t="s">
        <v>28</v>
      </c>
      <c r="B94" s="7">
        <v>73</v>
      </c>
      <c r="C94">
        <f>GETPIVOTDATA("Order ID",$A$92,"Country","United Kingdom")</f>
        <v>73</v>
      </c>
    </row>
    <row r="95" spans="1:3" x14ac:dyDescent="0.25">
      <c r="A95" s="6" t="s">
        <v>19</v>
      </c>
      <c r="B95" s="7">
        <v>774</v>
      </c>
      <c r="C95">
        <f>GETPIVOTDATA("Order ID",$A$92,"Country","United States")</f>
        <v>774</v>
      </c>
    </row>
    <row r="96" spans="1:3" x14ac:dyDescent="0.25">
      <c r="A96" s="6" t="s">
        <v>6202</v>
      </c>
      <c r="B96" s="7">
        <v>1000</v>
      </c>
      <c r="C96">
        <f>GETPIVOTDATA("Order ID",$A$92)</f>
        <v>1000</v>
      </c>
    </row>
    <row r="102" spans="1:3" x14ac:dyDescent="0.25">
      <c r="A102" s="5" t="s">
        <v>6201</v>
      </c>
      <c r="B102" t="s">
        <v>6207</v>
      </c>
    </row>
    <row r="103" spans="1:3" x14ac:dyDescent="0.25">
      <c r="A103" s="6" t="s">
        <v>6203</v>
      </c>
      <c r="B103" s="7">
        <v>914</v>
      </c>
      <c r="C103">
        <f>GETPIVOTDATA("Quantity",$A$102,"Years (Order Date)",2019)</f>
        <v>914</v>
      </c>
    </row>
    <row r="104" spans="1:3" x14ac:dyDescent="0.25">
      <c r="A104" s="6" t="s">
        <v>6204</v>
      </c>
      <c r="B104" s="7">
        <v>951</v>
      </c>
      <c r="C104">
        <f>GETPIVOTDATA("Quantity",$A$102,"Years (Order Date)",2020)</f>
        <v>951</v>
      </c>
    </row>
    <row r="105" spans="1:3" x14ac:dyDescent="0.25">
      <c r="A105" s="6" t="s">
        <v>6205</v>
      </c>
      <c r="B105" s="7">
        <v>1143</v>
      </c>
      <c r="C105">
        <f>GETPIVOTDATA("Quantity",$A$102,"Years (Order Date)",2021)</f>
        <v>1143</v>
      </c>
    </row>
    <row r="106" spans="1:3" x14ac:dyDescent="0.25">
      <c r="A106" s="6" t="s">
        <v>6206</v>
      </c>
      <c r="B106" s="7">
        <v>543</v>
      </c>
      <c r="C106">
        <f>GETPIVOTDATA("Quantity",$A$102,"Years (Order Date)",2022)</f>
        <v>543</v>
      </c>
    </row>
    <row r="107" spans="1:3" x14ac:dyDescent="0.25">
      <c r="A107" s="6" t="s">
        <v>6202</v>
      </c>
      <c r="B107" s="7">
        <v>3551</v>
      </c>
      <c r="C107">
        <f>GETPIVOTDATA("Quantity",$A$102)</f>
        <v>3551</v>
      </c>
    </row>
    <row r="114" spans="1:5" x14ac:dyDescent="0.25">
      <c r="A114" s="5" t="s">
        <v>6223</v>
      </c>
      <c r="B114" s="5" t="s">
        <v>6208</v>
      </c>
    </row>
    <row r="115" spans="1:5" x14ac:dyDescent="0.25">
      <c r="A115" s="5" t="s">
        <v>6201</v>
      </c>
      <c r="B115" t="s">
        <v>6231</v>
      </c>
      <c r="C115" t="s">
        <v>6232</v>
      </c>
      <c r="D115" t="s">
        <v>6233</v>
      </c>
      <c r="E115" t="s">
        <v>6202</v>
      </c>
    </row>
    <row r="116" spans="1:5" x14ac:dyDescent="0.25">
      <c r="A116" s="6" t="s">
        <v>6226</v>
      </c>
      <c r="B116" s="8">
        <v>0.25896981729609436</v>
      </c>
      <c r="C116" s="8">
        <v>0.35960927884151711</v>
      </c>
      <c r="D116" s="8">
        <v>0.38142090386238853</v>
      </c>
      <c r="E116" s="8">
        <v>1</v>
      </c>
    </row>
    <row r="117" spans="1:5" x14ac:dyDescent="0.25">
      <c r="A117" s="6" t="s">
        <v>6227</v>
      </c>
      <c r="B117" s="8">
        <v>0.27851393254263623</v>
      </c>
      <c r="C117" s="8">
        <v>0.38975934551340591</v>
      </c>
      <c r="D117" s="8">
        <v>0.33172672194395786</v>
      </c>
      <c r="E117" s="8">
        <v>1</v>
      </c>
    </row>
    <row r="118" spans="1:5" x14ac:dyDescent="0.25">
      <c r="A118" s="6" t="s">
        <v>6228</v>
      </c>
      <c r="B118" s="8">
        <v>0.33980915167692249</v>
      </c>
      <c r="C118" s="8">
        <v>0.37882500316283091</v>
      </c>
      <c r="D118" s="8">
        <v>0.28136584516024676</v>
      </c>
      <c r="E118" s="8">
        <v>1</v>
      </c>
    </row>
    <row r="119" spans="1:5" x14ac:dyDescent="0.25">
      <c r="A119" s="6" t="s">
        <v>6229</v>
      </c>
      <c r="B119" s="8">
        <v>0.28961233148015403</v>
      </c>
      <c r="C119" s="8">
        <v>0.41747559339029655</v>
      </c>
      <c r="D119" s="8">
        <v>0.29291207512954942</v>
      </c>
      <c r="E119" s="8">
        <v>1</v>
      </c>
    </row>
    <row r="120" spans="1:5" x14ac:dyDescent="0.25">
      <c r="A120" s="6" t="s">
        <v>6202</v>
      </c>
      <c r="B120" s="8">
        <v>0.29200249344981977</v>
      </c>
      <c r="C120" s="8">
        <v>0.3845076206530938</v>
      </c>
      <c r="D120" s="8">
        <v>0.32348988589708638</v>
      </c>
      <c r="E120" s="8">
        <v>1</v>
      </c>
    </row>
    <row r="132" spans="2:4" x14ac:dyDescent="0.25">
      <c r="B132" s="5" t="s">
        <v>6201</v>
      </c>
      <c r="C132" t="s">
        <v>6245</v>
      </c>
      <c r="D132" t="s">
        <v>6246</v>
      </c>
    </row>
    <row r="133" spans="2:4" x14ac:dyDescent="0.25">
      <c r="B133" s="6" t="s">
        <v>6226</v>
      </c>
      <c r="C133" s="7">
        <v>8.9999999999999947</v>
      </c>
      <c r="D133" s="4">
        <f>GETPIVOTDATA("profit margin",$B$132,"Coffee fullname","Arabica")%</f>
        <v>8.9999999999999941E-2</v>
      </c>
    </row>
    <row r="134" spans="2:4" x14ac:dyDescent="0.25">
      <c r="B134" s="6" t="s">
        <v>6227</v>
      </c>
      <c r="C134" s="7">
        <v>10.999999999999998</v>
      </c>
      <c r="D134" s="4">
        <f>GETPIVOTDATA("profit margin",$B$132,"Coffee fullname","Excelsa")%</f>
        <v>0.10999999999999999</v>
      </c>
    </row>
    <row r="135" spans="2:4" x14ac:dyDescent="0.25">
      <c r="B135" s="6" t="s">
        <v>6228</v>
      </c>
      <c r="C135" s="7">
        <v>13.000000000000018</v>
      </c>
      <c r="D135" s="4">
        <f>GETPIVOTDATA("profit margin",$B$132,"Coffee fullname","Liberica")%</f>
        <v>0.13000000000000017</v>
      </c>
    </row>
    <row r="136" spans="2:4" x14ac:dyDescent="0.25">
      <c r="B136" s="6" t="s">
        <v>6229</v>
      </c>
      <c r="C136" s="7">
        <v>6</v>
      </c>
      <c r="D136" s="4">
        <f>GETPIVOTDATA("profit margin",$B$132,"Coffee fullname","Robusta")%</f>
        <v>0.06</v>
      </c>
    </row>
    <row r="137" spans="2:4" x14ac:dyDescent="0.25">
      <c r="B137" s="6" t="s">
        <v>6202</v>
      </c>
      <c r="C137" s="7">
        <v>10.015048215595888</v>
      </c>
      <c r="D137" s="29">
        <f>GETPIVOTDATA("profit margin",$B$132)%</f>
        <v>0.10015048215595888</v>
      </c>
    </row>
    <row r="152" spans="1:2" x14ac:dyDescent="0.25">
      <c r="A152" s="5" t="s">
        <v>6201</v>
      </c>
      <c r="B152" t="s">
        <v>6247</v>
      </c>
    </row>
    <row r="153" spans="1:2" x14ac:dyDescent="0.25">
      <c r="A153" s="6" t="s">
        <v>6226</v>
      </c>
      <c r="B153" s="30">
        <v>1059.1645499999993</v>
      </c>
    </row>
    <row r="154" spans="1:2" x14ac:dyDescent="0.25">
      <c r="A154" s="6" t="s">
        <v>6227</v>
      </c>
      <c r="B154" s="30">
        <v>1353.7083999999993</v>
      </c>
    </row>
    <row r="155" spans="1:2" x14ac:dyDescent="0.25">
      <c r="A155" s="6" t="s">
        <v>6228</v>
      </c>
      <c r="B155" s="30">
        <v>1567.0297500000013</v>
      </c>
    </row>
    <row r="156" spans="1:2" x14ac:dyDescent="0.25">
      <c r="A156" s="6" t="s">
        <v>6229</v>
      </c>
      <c r="B156" s="30">
        <v>540.31470000000058</v>
      </c>
    </row>
    <row r="157" spans="1:2" x14ac:dyDescent="0.25">
      <c r="A157" s="6" t="s">
        <v>6202</v>
      </c>
      <c r="B157" s="30">
        <v>4520.2174000000005</v>
      </c>
    </row>
    <row r="162" spans="1:2" x14ac:dyDescent="0.25">
      <c r="A162" s="5" t="s">
        <v>6201</v>
      </c>
      <c r="B162" t="s">
        <v>6247</v>
      </c>
    </row>
    <row r="163" spans="1:2" x14ac:dyDescent="0.25">
      <c r="A163" s="6" t="s">
        <v>318</v>
      </c>
      <c r="B163" s="30">
        <v>670.94949999999994</v>
      </c>
    </row>
    <row r="164" spans="1:2" x14ac:dyDescent="0.25">
      <c r="A164" s="6" t="s">
        <v>28</v>
      </c>
      <c r="B164" s="30">
        <v>284.8048500000001</v>
      </c>
    </row>
    <row r="165" spans="1:2" x14ac:dyDescent="0.25">
      <c r="A165" s="6" t="s">
        <v>19</v>
      </c>
      <c r="B165" s="30">
        <v>3564.4630499999967</v>
      </c>
    </row>
    <row r="166" spans="1:2" x14ac:dyDescent="0.25">
      <c r="A166" s="6" t="s">
        <v>6202</v>
      </c>
      <c r="B166" s="30">
        <v>4520.2173999999968</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B8BEA-6C6B-4D20-A50B-BD4E5A3C81FF}">
  <sheetPr>
    <tabColor rgb="FF00B0F0"/>
  </sheetPr>
  <dimension ref="B3:E25"/>
  <sheetViews>
    <sheetView workbookViewId="0">
      <selection activeCell="K12" sqref="K12"/>
    </sheetView>
  </sheetViews>
  <sheetFormatPr defaultRowHeight="15" x14ac:dyDescent="0.25"/>
  <cols>
    <col min="2" max="2" width="13.140625" bestFit="1" customWidth="1"/>
    <col min="3" max="4" width="19.42578125" bestFit="1" customWidth="1"/>
    <col min="5" max="5" width="13.140625" bestFit="1" customWidth="1"/>
  </cols>
  <sheetData>
    <row r="3" spans="2:5" x14ac:dyDescent="0.25">
      <c r="B3" s="5" t="s">
        <v>6201</v>
      </c>
      <c r="C3" t="s">
        <v>6234</v>
      </c>
      <c r="D3" t="s">
        <v>6235</v>
      </c>
    </row>
    <row r="4" spans="2:5" x14ac:dyDescent="0.25">
      <c r="B4" s="6" t="s">
        <v>6226</v>
      </c>
      <c r="C4" s="10">
        <v>8.9999999999999955E-2</v>
      </c>
      <c r="D4" s="7">
        <v>0</v>
      </c>
      <c r="E4" s="29">
        <f>GETPIVOTDATA("[Measures].[measure 1KPI]",$B$3,"[Table1].[Coffee fullname]","[Table1].[Coffee fullname].&amp;[Arabica]")</f>
        <v>8.9999999999999955E-2</v>
      </c>
    </row>
    <row r="5" spans="2:5" x14ac:dyDescent="0.25">
      <c r="B5" s="6" t="s">
        <v>6227</v>
      </c>
      <c r="C5" s="10">
        <v>0.10999999999999999</v>
      </c>
      <c r="D5" s="7">
        <v>1</v>
      </c>
      <c r="E5" s="29">
        <f>GETPIVOTDATA("[Measures].[measure 1KPI]",$B$3,"[Table1].[Coffee fullname]","[Table1].[Coffee fullname].&amp;[Excelsa]")</f>
        <v>0.10999999999999999</v>
      </c>
    </row>
    <row r="6" spans="2:5" x14ac:dyDescent="0.25">
      <c r="B6" s="6" t="s">
        <v>6228</v>
      </c>
      <c r="C6" s="10">
        <v>0.13000000000000017</v>
      </c>
      <c r="D6" s="7">
        <v>1</v>
      </c>
      <c r="E6" s="29">
        <f>GETPIVOTDATA("[Measures].[measure 1KPI]",$B$3,"[Table1].[Coffee fullname]","[Table1].[Coffee fullname].&amp;[Liberica]")</f>
        <v>0.13000000000000017</v>
      </c>
    </row>
    <row r="7" spans="2:5" x14ac:dyDescent="0.25">
      <c r="B7" s="6" t="s">
        <v>6229</v>
      </c>
      <c r="C7" s="10">
        <v>0.06</v>
      </c>
      <c r="D7" s="7">
        <v>-1</v>
      </c>
      <c r="E7" s="29">
        <f>GETPIVOTDATA("[Measures].[measure 1KPI]",$B$3,"[Table1].[Coffee fullname]","[Table1].[Coffee fullname].&amp;[Robusta]")</f>
        <v>0.06</v>
      </c>
    </row>
    <row r="8" spans="2:5" x14ac:dyDescent="0.25">
      <c r="B8" s="6" t="s">
        <v>6202</v>
      </c>
      <c r="C8" s="10">
        <v>0.10015048215595902</v>
      </c>
      <c r="D8" s="7">
        <v>1</v>
      </c>
      <c r="E8" s="29">
        <f>GETPIVOTDATA("[Measures].[measure 1KPI]",$B$3)</f>
        <v>0.10015048215595902</v>
      </c>
    </row>
    <row r="21" spans="4:4" x14ac:dyDescent="0.25">
      <c r="D21" s="4"/>
    </row>
    <row r="22" spans="4:4" x14ac:dyDescent="0.25">
      <c r="D22" s="4"/>
    </row>
    <row r="23" spans="4:4" x14ac:dyDescent="0.25">
      <c r="D23" s="4"/>
    </row>
    <row r="24" spans="4:4" x14ac:dyDescent="0.25">
      <c r="D24" s="4"/>
    </row>
    <row r="25" spans="4:4" x14ac:dyDescent="0.25">
      <c r="D25" s="4"/>
    </row>
  </sheetData>
  <conditionalFormatting pivot="1" sqref="D4:D8">
    <cfRule type="iconSet" priority="1">
      <iconSet showValue="0">
        <cfvo type="num" val="-1"/>
        <cfvo type="num" val="-0.5"/>
        <cfvo type="num" val="0.5"/>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B753D-AA1A-420C-B364-BDA4E8512432}">
  <sheetPr>
    <tabColor rgb="FFFFFF00"/>
  </sheetPr>
  <dimension ref="A1:T1001"/>
  <sheetViews>
    <sheetView tabSelected="1" topLeftCell="K1" zoomScaleNormal="100" workbookViewId="0">
      <selection activeCell="S1" sqref="S1:S1048576"/>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6.7109375" customWidth="1"/>
    <col min="11" max="11" width="12.42578125" customWidth="1"/>
    <col min="12" max="12" width="21" customWidth="1"/>
    <col min="13" max="13" width="7.5703125" customWidth="1"/>
    <col min="14" max="14" width="11.28515625" customWidth="1"/>
    <col min="15" max="15" width="11.42578125" customWidth="1"/>
    <col min="19" max="19" width="13" customWidth="1"/>
    <col min="20" max="20" width="13.42578125" customWidth="1"/>
  </cols>
  <sheetData>
    <row r="1" spans="1:20" x14ac:dyDescent="0.25">
      <c r="A1" s="2" t="s">
        <v>0</v>
      </c>
      <c r="B1" s="2" t="s">
        <v>1</v>
      </c>
      <c r="C1" s="2" t="s">
        <v>3</v>
      </c>
      <c r="D1" s="2" t="s">
        <v>11</v>
      </c>
      <c r="E1" s="2" t="s">
        <v>14</v>
      </c>
      <c r="F1" s="2" t="s">
        <v>4</v>
      </c>
      <c r="G1" s="2" t="s">
        <v>2</v>
      </c>
      <c r="H1" s="2" t="s">
        <v>7</v>
      </c>
      <c r="I1" s="2" t="s">
        <v>9</v>
      </c>
      <c r="J1" s="2" t="s">
        <v>6197</v>
      </c>
      <c r="K1" s="2" t="s">
        <v>10</v>
      </c>
      <c r="L1" s="2" t="s">
        <v>6198</v>
      </c>
      <c r="M1" s="2" t="s">
        <v>12</v>
      </c>
      <c r="N1" s="2" t="s">
        <v>13</v>
      </c>
      <c r="O1" s="2" t="s">
        <v>6199</v>
      </c>
      <c r="P1" s="2" t="s">
        <v>15</v>
      </c>
      <c r="Q1" s="2" t="s">
        <v>6200</v>
      </c>
      <c r="R1" s="2" t="s">
        <v>16</v>
      </c>
      <c r="S1" s="2" t="s">
        <v>6196</v>
      </c>
      <c r="T1" s="2" t="s">
        <v>6189</v>
      </c>
    </row>
    <row r="2" spans="1:20"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INDEX(products!$A$1:$I$49,MATCH('Conditional Fomating'!$D2,products!$A$1:$A$49,0),MATCH('Conditional Fomating'!I$1,products!$A$1:$D$1,0))</f>
        <v>Rob</v>
      </c>
      <c r="J2" t="str">
        <f>IF(I2="Rob","Robusta",IF(I2="Exc","Excelsa",IF(I2="Ara","Arabica",IF(I2="Lib","Liberica",""))))</f>
        <v>Robusta</v>
      </c>
      <c r="K2" t="str">
        <f>INDEX(products!$A$1:$I$49,MATCH('Conditional Fomating'!$D2,products!$A$1:$A$49,0),MATCH('Conditional Fomating'!K$1,products!$A$1:$D$1,0))</f>
        <v>M</v>
      </c>
      <c r="L2" t="str">
        <f>IF(K2="M","Medium",IF(K2="L","Light",IF(K2="D","Dark","")))</f>
        <v>Medium</v>
      </c>
      <c r="M2">
        <f>INDEX(products!$A$1:$I$49,MATCH('Conditional Fomating'!$D2,products!$A$1:$A$49,0),MATCH('Conditional Fomating'!M$1,products!$A$1:$D$1,0))</f>
        <v>1</v>
      </c>
      <c r="N2">
        <f>_xlfn.XLOOKUP(D2,products!$A$2:$A$49,products!$E$2:$E$49)</f>
        <v>9.9499999999999993</v>
      </c>
      <c r="O2">
        <f>_xlfn.XLOOKUP(D2,products!$A$2:$A$49,products!$H$2:$H$49)</f>
        <v>9.3529999999999998</v>
      </c>
      <c r="P2">
        <f>N2*E2</f>
        <v>19.899999999999999</v>
      </c>
      <c r="Q2">
        <f>O2*E2</f>
        <v>18.706</v>
      </c>
      <c r="R2">
        <f>P2-Q2</f>
        <v>1.1939999999999991</v>
      </c>
      <c r="S2" s="4">
        <f>R2/P2</f>
        <v>5.9999999999999956E-2</v>
      </c>
      <c r="T2" t="str">
        <f>_xlfn.XLOOKUP(C2,customers!$A$1:$A$1001,customers!$I$1:$I$1001,,0)</f>
        <v>Yes</v>
      </c>
    </row>
    <row r="3" spans="1:20"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INDEX(products!$A$1:$I$49,MATCH('Conditional Fomating'!$D3,products!$A$1:$A$49,0),MATCH('Conditional Fomating'!I$1,products!$A$1:$D$1,0))</f>
        <v>Exc</v>
      </c>
      <c r="J3" t="str">
        <f t="shared" ref="J3:J66" si="0">IF(I3="Rob","Robusta",IF(I3="Exc","Excelsa",IF(I3="Ara","Arabica",IF(I3="Lib","Liberica",""))))</f>
        <v>Excelsa</v>
      </c>
      <c r="K3" t="str">
        <f>INDEX(products!$A$1:$I$49,MATCH('Conditional Fomating'!$D3,products!$A$1:$A$49,0),MATCH('Conditional Fomating'!K$1,products!$A$1:$D$1,0))</f>
        <v>M</v>
      </c>
      <c r="L3" t="str">
        <f t="shared" ref="L3:L66" si="1">IF(K3="M","Medium",IF(K3="L","Light",IF(K3="D","Dark","")))</f>
        <v>Medium</v>
      </c>
      <c r="M3">
        <f>INDEX(products!$A$1:$I$49,MATCH('Conditional Fomating'!$D3,products!$A$1:$A$49,0),MATCH('Conditional Fomating'!M$1,products!$A$1:$D$1,0))</f>
        <v>0.5</v>
      </c>
      <c r="N3">
        <f>_xlfn.XLOOKUP(D3,products!$A$2:$A$49,products!$E$2:$E$49)</f>
        <v>8.25</v>
      </c>
      <c r="O3">
        <f>_xlfn.XLOOKUP(D3,products!$A$2:$A$49,products!$H$2:$H$49)</f>
        <v>7.3425000000000002</v>
      </c>
      <c r="P3">
        <f t="shared" ref="P3:P66" si="2">N3*E3</f>
        <v>41.25</v>
      </c>
      <c r="Q3">
        <f t="shared" ref="Q3:Q66" si="3">O3*E3</f>
        <v>36.712499999999999</v>
      </c>
      <c r="R3">
        <f t="shared" ref="R3:R66" si="4">P3-Q3</f>
        <v>4.5375000000000014</v>
      </c>
      <c r="S3" s="4">
        <f t="shared" ref="S3:S66" si="5">R3/P3</f>
        <v>0.11000000000000003</v>
      </c>
      <c r="T3" t="str">
        <f>_xlfn.XLOOKUP(C3,customers!$A$1:$A$1001,customers!$I$1:$I$1001,,0)</f>
        <v>Yes</v>
      </c>
    </row>
    <row r="4" spans="1:20"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INDEX(products!$A$1:$I$49,MATCH('Conditional Fomating'!$D4,products!$A$1:$A$49,0),MATCH('Conditional Fomating'!I$1,products!$A$1:$D$1,0))</f>
        <v>Ara</v>
      </c>
      <c r="J4" t="str">
        <f t="shared" si="0"/>
        <v>Arabica</v>
      </c>
      <c r="K4" t="str">
        <f>INDEX(products!$A$1:$I$49,MATCH('Conditional Fomating'!$D4,products!$A$1:$A$49,0),MATCH('Conditional Fomating'!K$1,products!$A$1:$D$1,0))</f>
        <v>L</v>
      </c>
      <c r="L4" t="str">
        <f t="shared" si="1"/>
        <v>Light</v>
      </c>
      <c r="M4">
        <f>INDEX(products!$A$1:$I$49,MATCH('Conditional Fomating'!$D4,products!$A$1:$A$49,0),MATCH('Conditional Fomating'!M$1,products!$A$1:$D$1,0))</f>
        <v>1</v>
      </c>
      <c r="N4">
        <f>_xlfn.XLOOKUP(D4,products!$A$2:$A$49,products!$E$2:$E$49)</f>
        <v>12.95</v>
      </c>
      <c r="O4">
        <f>_xlfn.XLOOKUP(D4,products!$A$2:$A$49,products!$H$2:$H$49)</f>
        <v>11.7845</v>
      </c>
      <c r="P4">
        <f t="shared" si="2"/>
        <v>12.95</v>
      </c>
      <c r="Q4">
        <f t="shared" si="3"/>
        <v>11.7845</v>
      </c>
      <c r="R4">
        <f t="shared" si="4"/>
        <v>1.1654999999999998</v>
      </c>
      <c r="S4" s="4">
        <f t="shared" si="5"/>
        <v>8.9999999999999983E-2</v>
      </c>
      <c r="T4" t="str">
        <f>_xlfn.XLOOKUP(C4,customers!$A$1:$A$1001,customers!$I$1:$I$1001,,0)</f>
        <v>Yes</v>
      </c>
    </row>
    <row r="5" spans="1:20"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v>
      </c>
      <c r="H5" s="2" t="str">
        <f>_xlfn.XLOOKUP(C5,customers!$A$1:$A$1001,customers!$G$1:$G$1001,,0)</f>
        <v>Ireland</v>
      </c>
      <c r="I5" t="str">
        <f>INDEX(products!$A$1:$I$49,MATCH('Conditional Fomating'!$D5,products!$A$1:$A$49,0),MATCH('Conditional Fomating'!I$1,products!$A$1:$D$1,0))</f>
        <v>Exc</v>
      </c>
      <c r="J5" t="str">
        <f t="shared" si="0"/>
        <v>Excelsa</v>
      </c>
      <c r="K5" t="str">
        <f>INDEX(products!$A$1:$I$49,MATCH('Conditional Fomating'!$D5,products!$A$1:$A$49,0),MATCH('Conditional Fomating'!K$1,products!$A$1:$D$1,0))</f>
        <v>M</v>
      </c>
      <c r="L5" t="str">
        <f t="shared" si="1"/>
        <v>Medium</v>
      </c>
      <c r="M5">
        <f>INDEX(products!$A$1:$I$49,MATCH('Conditional Fomating'!$D5,products!$A$1:$A$49,0),MATCH('Conditional Fomating'!M$1,products!$A$1:$D$1,0))</f>
        <v>1</v>
      </c>
      <c r="N5">
        <f>_xlfn.XLOOKUP(D5,products!$A$2:$A$49,products!$E$2:$E$49)</f>
        <v>13.75</v>
      </c>
      <c r="O5">
        <f>_xlfn.XLOOKUP(D5,products!$A$2:$A$49,products!$H$2:$H$49)</f>
        <v>12.237500000000001</v>
      </c>
      <c r="P5">
        <f t="shared" si="2"/>
        <v>27.5</v>
      </c>
      <c r="Q5">
        <f t="shared" si="3"/>
        <v>24.475000000000001</v>
      </c>
      <c r="R5">
        <f t="shared" si="4"/>
        <v>3.0249999999999986</v>
      </c>
      <c r="S5" s="4">
        <f t="shared" si="5"/>
        <v>0.10999999999999995</v>
      </c>
      <c r="T5" t="str">
        <f>_xlfn.XLOOKUP(C5,customers!$A$1:$A$1001,customers!$I$1:$I$1001,,0)</f>
        <v>No</v>
      </c>
    </row>
    <row r="6" spans="1:20"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v>
      </c>
      <c r="H6" s="2" t="str">
        <f>_xlfn.XLOOKUP(C6,customers!$A$1:$A$1001,customers!$G$1:$G$1001,,0)</f>
        <v>Ireland</v>
      </c>
      <c r="I6" t="str">
        <f>INDEX(products!$A$1:$I$49,MATCH('Conditional Fomating'!$D6,products!$A$1:$A$49,0),MATCH('Conditional Fomating'!I$1,products!$A$1:$D$1,0))</f>
        <v>Rob</v>
      </c>
      <c r="J6" t="str">
        <f t="shared" si="0"/>
        <v>Robusta</v>
      </c>
      <c r="K6" t="str">
        <f>INDEX(products!$A$1:$I$49,MATCH('Conditional Fomating'!$D6,products!$A$1:$A$49,0),MATCH('Conditional Fomating'!K$1,products!$A$1:$D$1,0))</f>
        <v>L</v>
      </c>
      <c r="L6" t="str">
        <f t="shared" si="1"/>
        <v>Light</v>
      </c>
      <c r="M6">
        <f>INDEX(products!$A$1:$I$49,MATCH('Conditional Fomating'!$D6,products!$A$1:$A$49,0),MATCH('Conditional Fomating'!M$1,products!$A$1:$D$1,0))</f>
        <v>2.5</v>
      </c>
      <c r="N6">
        <f>_xlfn.XLOOKUP(D6,products!$A$2:$A$49,products!$E$2:$E$49)</f>
        <v>27.484999999999996</v>
      </c>
      <c r="O6">
        <f>_xlfn.XLOOKUP(D6,products!$A$2:$A$49,products!$H$2:$H$49)</f>
        <v>25.835899999999995</v>
      </c>
      <c r="P6">
        <f t="shared" si="2"/>
        <v>54.969999999999992</v>
      </c>
      <c r="Q6">
        <f t="shared" si="3"/>
        <v>51.67179999999999</v>
      </c>
      <c r="R6">
        <f t="shared" si="4"/>
        <v>3.2982000000000014</v>
      </c>
      <c r="S6" s="4">
        <f t="shared" si="5"/>
        <v>6.0000000000000032E-2</v>
      </c>
      <c r="T6" t="str">
        <f>_xlfn.XLOOKUP(C6,customers!$A$1:$A$1001,customers!$I$1:$I$1001,,0)</f>
        <v>No</v>
      </c>
    </row>
    <row r="7" spans="1:20"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v>
      </c>
      <c r="H7" s="2" t="str">
        <f>_xlfn.XLOOKUP(C7,customers!$A$1:$A$1001,customers!$G$1:$G$1001,,0)</f>
        <v>United States</v>
      </c>
      <c r="I7" t="str">
        <f>INDEX(products!$A$1:$I$49,MATCH('Conditional Fomating'!$D7,products!$A$1:$A$49,0),MATCH('Conditional Fomating'!I$1,products!$A$1:$D$1,0))</f>
        <v>Lib</v>
      </c>
      <c r="J7" t="str">
        <f t="shared" si="0"/>
        <v>Liberica</v>
      </c>
      <c r="K7" t="str">
        <f>INDEX(products!$A$1:$I$49,MATCH('Conditional Fomating'!$D7,products!$A$1:$A$49,0),MATCH('Conditional Fomating'!K$1,products!$A$1:$D$1,0))</f>
        <v>D</v>
      </c>
      <c r="L7" t="str">
        <f t="shared" si="1"/>
        <v>Dark</v>
      </c>
      <c r="M7">
        <f>INDEX(products!$A$1:$I$49,MATCH('Conditional Fomating'!$D7,products!$A$1:$A$49,0),MATCH('Conditional Fomating'!M$1,products!$A$1:$D$1,0))</f>
        <v>1</v>
      </c>
      <c r="N7">
        <f>_xlfn.XLOOKUP(D7,products!$A$2:$A$49,products!$E$2:$E$49)</f>
        <v>12.95</v>
      </c>
      <c r="O7">
        <f>_xlfn.XLOOKUP(D7,products!$A$2:$A$49,products!$H$2:$H$49)</f>
        <v>11.266499999999999</v>
      </c>
      <c r="P7">
        <f t="shared" si="2"/>
        <v>38.849999999999994</v>
      </c>
      <c r="Q7">
        <f t="shared" si="3"/>
        <v>33.799499999999995</v>
      </c>
      <c r="R7">
        <f t="shared" si="4"/>
        <v>5.0504999999999995</v>
      </c>
      <c r="S7" s="4">
        <f t="shared" si="5"/>
        <v>0.13</v>
      </c>
      <c r="T7" t="str">
        <f>_xlfn.XLOOKUP(C7,customers!$A$1:$A$1001,customers!$I$1:$I$1001,,0)</f>
        <v>No</v>
      </c>
    </row>
    <row r="8" spans="1:20"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INDEX(products!$A$1:$I$49,MATCH('Conditional Fomating'!$D8,products!$A$1:$A$49,0),MATCH('Conditional Fomating'!I$1,products!$A$1:$D$1,0))</f>
        <v>Exc</v>
      </c>
      <c r="J8" t="str">
        <f t="shared" si="0"/>
        <v>Excelsa</v>
      </c>
      <c r="K8" t="str">
        <f>INDEX(products!$A$1:$I$49,MATCH('Conditional Fomating'!$D8,products!$A$1:$A$49,0),MATCH('Conditional Fomating'!K$1,products!$A$1:$D$1,0))</f>
        <v>D</v>
      </c>
      <c r="L8" t="str">
        <f t="shared" si="1"/>
        <v>Dark</v>
      </c>
      <c r="M8">
        <f>INDEX(products!$A$1:$I$49,MATCH('Conditional Fomating'!$D8,products!$A$1:$A$49,0),MATCH('Conditional Fomating'!M$1,products!$A$1:$D$1,0))</f>
        <v>0.5</v>
      </c>
      <c r="N8">
        <f>_xlfn.XLOOKUP(D8,products!$A$2:$A$49,products!$E$2:$E$49)</f>
        <v>7.29</v>
      </c>
      <c r="O8">
        <f>_xlfn.XLOOKUP(D8,products!$A$2:$A$49,products!$H$2:$H$49)</f>
        <v>6.4881000000000002</v>
      </c>
      <c r="P8">
        <f t="shared" si="2"/>
        <v>21.87</v>
      </c>
      <c r="Q8">
        <f t="shared" si="3"/>
        <v>19.464300000000001</v>
      </c>
      <c r="R8">
        <f t="shared" si="4"/>
        <v>2.4056999999999995</v>
      </c>
      <c r="S8" s="4">
        <f t="shared" si="5"/>
        <v>0.10999999999999997</v>
      </c>
      <c r="T8" t="str">
        <f>_xlfn.XLOOKUP(C8,customers!$A$1:$A$1001,customers!$I$1:$I$1001,,0)</f>
        <v>Yes</v>
      </c>
    </row>
    <row r="9" spans="1:20"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v>
      </c>
      <c r="H9" s="2" t="str">
        <f>_xlfn.XLOOKUP(C9,customers!$A$1:$A$1001,customers!$G$1:$G$1001,,0)</f>
        <v>Ireland</v>
      </c>
      <c r="I9" t="str">
        <f>INDEX(products!$A$1:$I$49,MATCH('Conditional Fomating'!$D9,products!$A$1:$A$49,0),MATCH('Conditional Fomating'!I$1,products!$A$1:$D$1,0))</f>
        <v>Lib</v>
      </c>
      <c r="J9" t="str">
        <f t="shared" si="0"/>
        <v>Liberica</v>
      </c>
      <c r="K9" t="str">
        <f>INDEX(products!$A$1:$I$49,MATCH('Conditional Fomating'!$D9,products!$A$1:$A$49,0),MATCH('Conditional Fomating'!K$1,products!$A$1:$D$1,0))</f>
        <v>L</v>
      </c>
      <c r="L9" t="str">
        <f t="shared" si="1"/>
        <v>Light</v>
      </c>
      <c r="M9">
        <f>INDEX(products!$A$1:$I$49,MATCH('Conditional Fomating'!$D9,products!$A$1:$A$49,0),MATCH('Conditional Fomating'!M$1,products!$A$1:$D$1,0))</f>
        <v>0.2</v>
      </c>
      <c r="N9">
        <f>_xlfn.XLOOKUP(D9,products!$A$2:$A$49,products!$E$2:$E$49)</f>
        <v>4.7549999999999999</v>
      </c>
      <c r="O9">
        <f>_xlfn.XLOOKUP(D9,products!$A$2:$A$49,products!$H$2:$H$49)</f>
        <v>4.1368499999999999</v>
      </c>
      <c r="P9">
        <f t="shared" si="2"/>
        <v>4.7549999999999999</v>
      </c>
      <c r="Q9">
        <f t="shared" si="3"/>
        <v>4.1368499999999999</v>
      </c>
      <c r="R9">
        <f t="shared" si="4"/>
        <v>0.61814999999999998</v>
      </c>
      <c r="S9" s="4">
        <f t="shared" si="5"/>
        <v>0.13</v>
      </c>
      <c r="T9" t="str">
        <f>_xlfn.XLOOKUP(C9,customers!$A$1:$A$1001,customers!$I$1:$I$1001,,0)</f>
        <v>Yes</v>
      </c>
    </row>
    <row r="10" spans="1:20"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INDEX(products!$A$1:$I$49,MATCH('Conditional Fomating'!$D10,products!$A$1:$A$49,0),MATCH('Conditional Fomating'!I$1,products!$A$1:$D$1,0))</f>
        <v>Rob</v>
      </c>
      <c r="J10" t="str">
        <f t="shared" si="0"/>
        <v>Robusta</v>
      </c>
      <c r="K10" t="str">
        <f>INDEX(products!$A$1:$I$49,MATCH('Conditional Fomating'!$D10,products!$A$1:$A$49,0),MATCH('Conditional Fomating'!K$1,products!$A$1:$D$1,0))</f>
        <v>M</v>
      </c>
      <c r="L10" t="str">
        <f t="shared" si="1"/>
        <v>Medium</v>
      </c>
      <c r="M10">
        <f>INDEX(products!$A$1:$I$49,MATCH('Conditional Fomating'!$D10,products!$A$1:$A$49,0),MATCH('Conditional Fomating'!M$1,products!$A$1:$D$1,0))</f>
        <v>0.5</v>
      </c>
      <c r="N10">
        <f>_xlfn.XLOOKUP(D10,products!$A$2:$A$49,products!$E$2:$E$49)</f>
        <v>5.97</v>
      </c>
      <c r="O10">
        <f>_xlfn.XLOOKUP(D10,products!$A$2:$A$49,products!$H$2:$H$49)</f>
        <v>5.6117999999999997</v>
      </c>
      <c r="P10">
        <f t="shared" si="2"/>
        <v>17.91</v>
      </c>
      <c r="Q10">
        <f t="shared" si="3"/>
        <v>16.8354</v>
      </c>
      <c r="R10">
        <f t="shared" si="4"/>
        <v>1.0746000000000002</v>
      </c>
      <c r="S10" s="4">
        <f t="shared" si="5"/>
        <v>6.0000000000000012E-2</v>
      </c>
      <c r="T10" t="str">
        <f>_xlfn.XLOOKUP(C10,customers!$A$1:$A$1001,customers!$I$1:$I$1001,,0)</f>
        <v>No</v>
      </c>
    </row>
    <row r="11" spans="1:20"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INDEX(products!$A$1:$I$49,MATCH('Conditional Fomating'!$D11,products!$A$1:$A$49,0),MATCH('Conditional Fomating'!I$1,products!$A$1:$D$1,0))</f>
        <v>Rob</v>
      </c>
      <c r="J11" t="str">
        <f t="shared" si="0"/>
        <v>Robusta</v>
      </c>
      <c r="K11" t="str">
        <f>INDEX(products!$A$1:$I$49,MATCH('Conditional Fomating'!$D11,products!$A$1:$A$49,0),MATCH('Conditional Fomating'!K$1,products!$A$1:$D$1,0))</f>
        <v>M</v>
      </c>
      <c r="L11" t="str">
        <f t="shared" si="1"/>
        <v>Medium</v>
      </c>
      <c r="M11">
        <f>INDEX(products!$A$1:$I$49,MATCH('Conditional Fomating'!$D11,products!$A$1:$A$49,0),MATCH('Conditional Fomating'!M$1,products!$A$1:$D$1,0))</f>
        <v>0.5</v>
      </c>
      <c r="N11">
        <f>_xlfn.XLOOKUP(D11,products!$A$2:$A$49,products!$E$2:$E$49)</f>
        <v>5.97</v>
      </c>
      <c r="O11">
        <f>_xlfn.XLOOKUP(D11,products!$A$2:$A$49,products!$H$2:$H$49)</f>
        <v>5.6117999999999997</v>
      </c>
      <c r="P11">
        <f t="shared" si="2"/>
        <v>5.97</v>
      </c>
      <c r="Q11">
        <f t="shared" si="3"/>
        <v>5.6117999999999997</v>
      </c>
      <c r="R11">
        <f t="shared" si="4"/>
        <v>0.35820000000000007</v>
      </c>
      <c r="S11" s="4">
        <f t="shared" si="5"/>
        <v>6.0000000000000012E-2</v>
      </c>
      <c r="T11" t="str">
        <f>_xlfn.XLOOKUP(C11,customers!$A$1:$A$1001,customers!$I$1:$I$1001,,0)</f>
        <v>No</v>
      </c>
    </row>
    <row r="12" spans="1:20"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INDEX(products!$A$1:$I$49,MATCH('Conditional Fomating'!$D12,products!$A$1:$A$49,0),MATCH('Conditional Fomating'!I$1,products!$A$1:$D$1,0))</f>
        <v>Ara</v>
      </c>
      <c r="J12" t="str">
        <f t="shared" si="0"/>
        <v>Arabica</v>
      </c>
      <c r="K12" t="str">
        <f>INDEX(products!$A$1:$I$49,MATCH('Conditional Fomating'!$D12,products!$A$1:$A$49,0),MATCH('Conditional Fomating'!K$1,products!$A$1:$D$1,0))</f>
        <v>D</v>
      </c>
      <c r="L12" t="str">
        <f t="shared" si="1"/>
        <v>Dark</v>
      </c>
      <c r="M12">
        <f>INDEX(products!$A$1:$I$49,MATCH('Conditional Fomating'!$D12,products!$A$1:$A$49,0),MATCH('Conditional Fomating'!M$1,products!$A$1:$D$1,0))</f>
        <v>1</v>
      </c>
      <c r="N12">
        <f>_xlfn.XLOOKUP(D12,products!$A$2:$A$49,products!$E$2:$E$49)</f>
        <v>9.9499999999999993</v>
      </c>
      <c r="O12">
        <f>_xlfn.XLOOKUP(D12,products!$A$2:$A$49,products!$H$2:$H$49)</f>
        <v>9.0544999999999991</v>
      </c>
      <c r="P12">
        <f t="shared" si="2"/>
        <v>39.799999999999997</v>
      </c>
      <c r="Q12">
        <f t="shared" si="3"/>
        <v>36.217999999999996</v>
      </c>
      <c r="R12">
        <f t="shared" si="4"/>
        <v>3.5820000000000007</v>
      </c>
      <c r="S12" s="4">
        <f t="shared" si="5"/>
        <v>9.0000000000000024E-2</v>
      </c>
      <c r="T12" t="str">
        <f>_xlfn.XLOOKUP(C12,customers!$A$1:$A$1001,customers!$I$1:$I$1001,,0)</f>
        <v>No</v>
      </c>
    </row>
    <row r="13" spans="1:20"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INDEX(products!$A$1:$I$49,MATCH('Conditional Fomating'!$D13,products!$A$1:$A$49,0),MATCH('Conditional Fomating'!I$1,products!$A$1:$D$1,0))</f>
        <v>Exc</v>
      </c>
      <c r="J13" t="str">
        <f t="shared" si="0"/>
        <v>Excelsa</v>
      </c>
      <c r="K13" t="str">
        <f>INDEX(products!$A$1:$I$49,MATCH('Conditional Fomating'!$D13,products!$A$1:$A$49,0),MATCH('Conditional Fomating'!K$1,products!$A$1:$D$1,0))</f>
        <v>L</v>
      </c>
      <c r="L13" t="str">
        <f t="shared" si="1"/>
        <v>Light</v>
      </c>
      <c r="M13">
        <f>INDEX(products!$A$1:$I$49,MATCH('Conditional Fomating'!$D13,products!$A$1:$A$49,0),MATCH('Conditional Fomating'!M$1,products!$A$1:$D$1,0))</f>
        <v>2.5</v>
      </c>
      <c r="N13">
        <f>_xlfn.XLOOKUP(D13,products!$A$2:$A$49,products!$E$2:$E$49)</f>
        <v>34.154999999999994</v>
      </c>
      <c r="O13">
        <f>_xlfn.XLOOKUP(D13,products!$A$2:$A$49,products!$H$2:$H$49)</f>
        <v>30.397949999999994</v>
      </c>
      <c r="P13">
        <f t="shared" si="2"/>
        <v>170.77499999999998</v>
      </c>
      <c r="Q13">
        <f t="shared" si="3"/>
        <v>151.98974999999996</v>
      </c>
      <c r="R13">
        <f t="shared" si="4"/>
        <v>18.785250000000019</v>
      </c>
      <c r="S13" s="4">
        <f t="shared" si="5"/>
        <v>0.11000000000000013</v>
      </c>
      <c r="T13" t="str">
        <f>_xlfn.XLOOKUP(C13,customers!$A$1:$A$1001,customers!$I$1:$I$1001,,0)</f>
        <v>Yes</v>
      </c>
    </row>
    <row r="14" spans="1:20"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INDEX(products!$A$1:$I$49,MATCH('Conditional Fomating'!$D14,products!$A$1:$A$49,0),MATCH('Conditional Fomating'!I$1,products!$A$1:$D$1,0))</f>
        <v>Rob</v>
      </c>
      <c r="J14" t="str">
        <f t="shared" si="0"/>
        <v>Robusta</v>
      </c>
      <c r="K14" t="str">
        <f>INDEX(products!$A$1:$I$49,MATCH('Conditional Fomating'!$D14,products!$A$1:$A$49,0),MATCH('Conditional Fomating'!K$1,products!$A$1:$D$1,0))</f>
        <v>M</v>
      </c>
      <c r="L14" t="str">
        <f t="shared" si="1"/>
        <v>Medium</v>
      </c>
      <c r="M14">
        <f>INDEX(products!$A$1:$I$49,MATCH('Conditional Fomating'!$D14,products!$A$1:$A$49,0),MATCH('Conditional Fomating'!M$1,products!$A$1:$D$1,0))</f>
        <v>1</v>
      </c>
      <c r="N14">
        <f>_xlfn.XLOOKUP(D14,products!$A$2:$A$49,products!$E$2:$E$49)</f>
        <v>9.9499999999999993</v>
      </c>
      <c r="O14">
        <f>_xlfn.XLOOKUP(D14,products!$A$2:$A$49,products!$H$2:$H$49)</f>
        <v>9.3529999999999998</v>
      </c>
      <c r="P14">
        <f t="shared" si="2"/>
        <v>49.75</v>
      </c>
      <c r="Q14">
        <f t="shared" si="3"/>
        <v>46.765000000000001</v>
      </c>
      <c r="R14">
        <f t="shared" si="4"/>
        <v>2.9849999999999994</v>
      </c>
      <c r="S14" s="4">
        <f t="shared" si="5"/>
        <v>5.9999999999999991E-2</v>
      </c>
      <c r="T14" t="str">
        <f>_xlfn.XLOOKUP(C14,customers!$A$1:$A$1001,customers!$I$1:$I$1001,,0)</f>
        <v>No</v>
      </c>
    </row>
    <row r="15" spans="1:20"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INDEX(products!$A$1:$I$49,MATCH('Conditional Fomating'!$D15,products!$A$1:$A$49,0),MATCH('Conditional Fomating'!I$1,products!$A$1:$D$1,0))</f>
        <v>Rob</v>
      </c>
      <c r="J15" t="str">
        <f t="shared" si="0"/>
        <v>Robusta</v>
      </c>
      <c r="K15" t="str">
        <f>INDEX(products!$A$1:$I$49,MATCH('Conditional Fomating'!$D15,products!$A$1:$A$49,0),MATCH('Conditional Fomating'!K$1,products!$A$1:$D$1,0))</f>
        <v>D</v>
      </c>
      <c r="L15" t="str">
        <f t="shared" si="1"/>
        <v>Dark</v>
      </c>
      <c r="M15">
        <f>INDEX(products!$A$1:$I$49,MATCH('Conditional Fomating'!$D15,products!$A$1:$A$49,0),MATCH('Conditional Fomating'!M$1,products!$A$1:$D$1,0))</f>
        <v>2.5</v>
      </c>
      <c r="N15">
        <f>_xlfn.XLOOKUP(D15,products!$A$2:$A$49,products!$E$2:$E$49)</f>
        <v>20.584999999999997</v>
      </c>
      <c r="O15">
        <f>_xlfn.XLOOKUP(D15,products!$A$2:$A$49,products!$H$2:$H$49)</f>
        <v>19.349899999999998</v>
      </c>
      <c r="P15">
        <f t="shared" si="2"/>
        <v>41.169999999999995</v>
      </c>
      <c r="Q15">
        <f t="shared" si="3"/>
        <v>38.699799999999996</v>
      </c>
      <c r="R15">
        <f t="shared" si="4"/>
        <v>2.4701999999999984</v>
      </c>
      <c r="S15" s="4">
        <f t="shared" si="5"/>
        <v>5.999999999999997E-2</v>
      </c>
      <c r="T15" t="str">
        <f>_xlfn.XLOOKUP(C15,customers!$A$1:$A$1001,customers!$I$1:$I$1001,,0)</f>
        <v>No</v>
      </c>
    </row>
    <row r="16" spans="1:20"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INDEX(products!$A$1:$I$49,MATCH('Conditional Fomating'!$D16,products!$A$1:$A$49,0),MATCH('Conditional Fomating'!I$1,products!$A$1:$D$1,0))</f>
        <v>Lib</v>
      </c>
      <c r="J16" t="str">
        <f t="shared" si="0"/>
        <v>Liberica</v>
      </c>
      <c r="K16" t="str">
        <f>INDEX(products!$A$1:$I$49,MATCH('Conditional Fomating'!$D16,products!$A$1:$A$49,0),MATCH('Conditional Fomating'!K$1,products!$A$1:$D$1,0))</f>
        <v>D</v>
      </c>
      <c r="L16" t="str">
        <f t="shared" si="1"/>
        <v>Dark</v>
      </c>
      <c r="M16">
        <f>INDEX(products!$A$1:$I$49,MATCH('Conditional Fomating'!$D16,products!$A$1:$A$49,0),MATCH('Conditional Fomating'!M$1,products!$A$1:$D$1,0))</f>
        <v>0.2</v>
      </c>
      <c r="N16">
        <f>_xlfn.XLOOKUP(D16,products!$A$2:$A$49,products!$E$2:$E$49)</f>
        <v>3.8849999999999998</v>
      </c>
      <c r="O16">
        <f>_xlfn.XLOOKUP(D16,products!$A$2:$A$49,products!$H$2:$H$49)</f>
        <v>3.37995</v>
      </c>
      <c r="P16">
        <f t="shared" si="2"/>
        <v>11.654999999999999</v>
      </c>
      <c r="Q16">
        <f t="shared" si="3"/>
        <v>10.139849999999999</v>
      </c>
      <c r="R16">
        <f t="shared" si="4"/>
        <v>1.5151500000000002</v>
      </c>
      <c r="S16" s="4">
        <f t="shared" si="5"/>
        <v>0.13000000000000003</v>
      </c>
      <c r="T16" t="str">
        <f>_xlfn.XLOOKUP(C16,customers!$A$1:$A$1001,customers!$I$1:$I$1001,,0)</f>
        <v>Yes</v>
      </c>
    </row>
    <row r="17" spans="1:20"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INDEX(products!$A$1:$I$49,MATCH('Conditional Fomating'!$D17,products!$A$1:$A$49,0),MATCH('Conditional Fomating'!I$1,products!$A$1:$D$1,0))</f>
        <v>Rob</v>
      </c>
      <c r="J17" t="str">
        <f t="shared" si="0"/>
        <v>Robusta</v>
      </c>
      <c r="K17" t="str">
        <f>INDEX(products!$A$1:$I$49,MATCH('Conditional Fomating'!$D17,products!$A$1:$A$49,0),MATCH('Conditional Fomating'!K$1,products!$A$1:$D$1,0))</f>
        <v>M</v>
      </c>
      <c r="L17" t="str">
        <f t="shared" si="1"/>
        <v>Medium</v>
      </c>
      <c r="M17">
        <f>INDEX(products!$A$1:$I$49,MATCH('Conditional Fomating'!$D17,products!$A$1:$A$49,0),MATCH('Conditional Fomating'!M$1,products!$A$1:$D$1,0))</f>
        <v>2.5</v>
      </c>
      <c r="N17">
        <f>_xlfn.XLOOKUP(D17,products!$A$2:$A$49,products!$E$2:$E$49)</f>
        <v>22.884999999999998</v>
      </c>
      <c r="O17">
        <f>_xlfn.XLOOKUP(D17,products!$A$2:$A$49,products!$H$2:$H$49)</f>
        <v>21.511899999999997</v>
      </c>
      <c r="P17">
        <f t="shared" si="2"/>
        <v>114.42499999999998</v>
      </c>
      <c r="Q17">
        <f t="shared" si="3"/>
        <v>107.55949999999999</v>
      </c>
      <c r="R17">
        <f t="shared" si="4"/>
        <v>6.8654999999999973</v>
      </c>
      <c r="S17" s="4">
        <f t="shared" si="5"/>
        <v>5.9999999999999984E-2</v>
      </c>
      <c r="T17" t="str">
        <f>_xlfn.XLOOKUP(C17,customers!$A$1:$A$1001,customers!$I$1:$I$1001,,0)</f>
        <v>No</v>
      </c>
    </row>
    <row r="18" spans="1:20"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INDEX(products!$A$1:$I$49,MATCH('Conditional Fomating'!$D18,products!$A$1:$A$49,0),MATCH('Conditional Fomating'!I$1,products!$A$1:$D$1,0))</f>
        <v>Ara</v>
      </c>
      <c r="J18" t="str">
        <f t="shared" si="0"/>
        <v>Arabica</v>
      </c>
      <c r="K18" t="str">
        <f>INDEX(products!$A$1:$I$49,MATCH('Conditional Fomating'!$D18,products!$A$1:$A$49,0),MATCH('Conditional Fomating'!K$1,products!$A$1:$D$1,0))</f>
        <v>M</v>
      </c>
      <c r="L18" t="str">
        <f t="shared" si="1"/>
        <v>Medium</v>
      </c>
      <c r="M18">
        <f>INDEX(products!$A$1:$I$49,MATCH('Conditional Fomating'!$D18,products!$A$1:$A$49,0),MATCH('Conditional Fomating'!M$1,products!$A$1:$D$1,0))</f>
        <v>0.2</v>
      </c>
      <c r="N18">
        <f>_xlfn.XLOOKUP(D18,products!$A$2:$A$49,products!$E$2:$E$49)</f>
        <v>3.375</v>
      </c>
      <c r="O18">
        <f>_xlfn.XLOOKUP(D18,products!$A$2:$A$49,products!$H$2:$H$49)</f>
        <v>3.07125</v>
      </c>
      <c r="P18">
        <f t="shared" si="2"/>
        <v>20.25</v>
      </c>
      <c r="Q18">
        <f t="shared" si="3"/>
        <v>18.427500000000002</v>
      </c>
      <c r="R18">
        <f t="shared" si="4"/>
        <v>1.822499999999998</v>
      </c>
      <c r="S18" s="4">
        <f t="shared" si="5"/>
        <v>8.99999999999999E-2</v>
      </c>
      <c r="T18" t="str">
        <f>_xlfn.XLOOKUP(C18,customers!$A$1:$A$1001,customers!$I$1:$I$1001,,0)</f>
        <v>No</v>
      </c>
    </row>
    <row r="19" spans="1:20"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INDEX(products!$A$1:$I$49,MATCH('Conditional Fomating'!$D19,products!$A$1:$A$49,0),MATCH('Conditional Fomating'!I$1,products!$A$1:$D$1,0))</f>
        <v>Ara</v>
      </c>
      <c r="J19" t="str">
        <f t="shared" si="0"/>
        <v>Arabica</v>
      </c>
      <c r="K19" t="str">
        <f>INDEX(products!$A$1:$I$49,MATCH('Conditional Fomating'!$D19,products!$A$1:$A$49,0),MATCH('Conditional Fomating'!K$1,products!$A$1:$D$1,0))</f>
        <v>L</v>
      </c>
      <c r="L19" t="str">
        <f t="shared" si="1"/>
        <v>Light</v>
      </c>
      <c r="M19">
        <f>INDEX(products!$A$1:$I$49,MATCH('Conditional Fomating'!$D19,products!$A$1:$A$49,0),MATCH('Conditional Fomating'!M$1,products!$A$1:$D$1,0))</f>
        <v>1</v>
      </c>
      <c r="N19">
        <f>_xlfn.XLOOKUP(D19,products!$A$2:$A$49,products!$E$2:$E$49)</f>
        <v>12.95</v>
      </c>
      <c r="O19">
        <f>_xlfn.XLOOKUP(D19,products!$A$2:$A$49,products!$H$2:$H$49)</f>
        <v>11.7845</v>
      </c>
      <c r="P19">
        <f t="shared" si="2"/>
        <v>77.699999999999989</v>
      </c>
      <c r="Q19">
        <f t="shared" si="3"/>
        <v>70.706999999999994</v>
      </c>
      <c r="R19">
        <f t="shared" si="4"/>
        <v>6.992999999999995</v>
      </c>
      <c r="S19" s="4">
        <f t="shared" si="5"/>
        <v>8.9999999999999955E-2</v>
      </c>
      <c r="T19" t="str">
        <f>_xlfn.XLOOKUP(C19,customers!$A$1:$A$1001,customers!$I$1:$I$1001,,0)</f>
        <v>No</v>
      </c>
    </row>
    <row r="20" spans="1:20"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INDEX(products!$A$1:$I$49,MATCH('Conditional Fomating'!$D20,products!$A$1:$A$49,0),MATCH('Conditional Fomating'!I$1,products!$A$1:$D$1,0))</f>
        <v>Rob</v>
      </c>
      <c r="J20" t="str">
        <f t="shared" si="0"/>
        <v>Robusta</v>
      </c>
      <c r="K20" t="str">
        <f>INDEX(products!$A$1:$I$49,MATCH('Conditional Fomating'!$D20,products!$A$1:$A$49,0),MATCH('Conditional Fomating'!K$1,products!$A$1:$D$1,0))</f>
        <v>D</v>
      </c>
      <c r="L20" t="str">
        <f t="shared" si="1"/>
        <v>Dark</v>
      </c>
      <c r="M20">
        <f>INDEX(products!$A$1:$I$49,MATCH('Conditional Fomating'!$D20,products!$A$1:$A$49,0),MATCH('Conditional Fomating'!M$1,products!$A$1:$D$1,0))</f>
        <v>2.5</v>
      </c>
      <c r="N20">
        <f>_xlfn.XLOOKUP(D20,products!$A$2:$A$49,products!$E$2:$E$49)</f>
        <v>20.584999999999997</v>
      </c>
      <c r="O20">
        <f>_xlfn.XLOOKUP(D20,products!$A$2:$A$49,products!$H$2:$H$49)</f>
        <v>19.349899999999998</v>
      </c>
      <c r="P20">
        <f t="shared" si="2"/>
        <v>82.339999999999989</v>
      </c>
      <c r="Q20">
        <f t="shared" si="3"/>
        <v>77.399599999999992</v>
      </c>
      <c r="R20">
        <f t="shared" si="4"/>
        <v>4.9403999999999968</v>
      </c>
      <c r="S20" s="4">
        <f t="shared" si="5"/>
        <v>5.999999999999997E-2</v>
      </c>
      <c r="T20" t="str">
        <f>_xlfn.XLOOKUP(C20,customers!$A$1:$A$1001,customers!$I$1:$I$1001,,0)</f>
        <v>Yes</v>
      </c>
    </row>
    <row r="21" spans="1:20"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INDEX(products!$A$1:$I$49,MATCH('Conditional Fomating'!$D21,products!$A$1:$A$49,0),MATCH('Conditional Fomating'!I$1,products!$A$1:$D$1,0))</f>
        <v>Ara</v>
      </c>
      <c r="J21" t="str">
        <f t="shared" si="0"/>
        <v>Arabica</v>
      </c>
      <c r="K21" t="str">
        <f>INDEX(products!$A$1:$I$49,MATCH('Conditional Fomating'!$D21,products!$A$1:$A$49,0),MATCH('Conditional Fomating'!K$1,products!$A$1:$D$1,0))</f>
        <v>M</v>
      </c>
      <c r="L21" t="str">
        <f t="shared" si="1"/>
        <v>Medium</v>
      </c>
      <c r="M21">
        <f>INDEX(products!$A$1:$I$49,MATCH('Conditional Fomating'!$D21,products!$A$1:$A$49,0),MATCH('Conditional Fomating'!M$1,products!$A$1:$D$1,0))</f>
        <v>0.2</v>
      </c>
      <c r="N21">
        <f>_xlfn.XLOOKUP(D21,products!$A$2:$A$49,products!$E$2:$E$49)</f>
        <v>3.375</v>
      </c>
      <c r="O21">
        <f>_xlfn.XLOOKUP(D21,products!$A$2:$A$49,products!$H$2:$H$49)</f>
        <v>3.07125</v>
      </c>
      <c r="P21">
        <f t="shared" si="2"/>
        <v>16.875</v>
      </c>
      <c r="Q21">
        <f t="shared" si="3"/>
        <v>15.356249999999999</v>
      </c>
      <c r="R21">
        <f t="shared" si="4"/>
        <v>1.5187500000000007</v>
      </c>
      <c r="S21" s="4">
        <f t="shared" si="5"/>
        <v>9.0000000000000038E-2</v>
      </c>
      <c r="T21" t="str">
        <f>_xlfn.XLOOKUP(C21,customers!$A$1:$A$1001,customers!$I$1:$I$1001,,0)</f>
        <v>Yes</v>
      </c>
    </row>
    <row r="22" spans="1:20"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INDEX(products!$A$1:$I$49,MATCH('Conditional Fomating'!$D22,products!$A$1:$A$49,0),MATCH('Conditional Fomating'!I$1,products!$A$1:$D$1,0))</f>
        <v>Exc</v>
      </c>
      <c r="J22" t="str">
        <f t="shared" si="0"/>
        <v>Excelsa</v>
      </c>
      <c r="K22" t="str">
        <f>INDEX(products!$A$1:$I$49,MATCH('Conditional Fomating'!$D22,products!$A$1:$A$49,0),MATCH('Conditional Fomating'!K$1,products!$A$1:$D$1,0))</f>
        <v>D</v>
      </c>
      <c r="L22" t="str">
        <f t="shared" si="1"/>
        <v>Dark</v>
      </c>
      <c r="M22">
        <f>INDEX(products!$A$1:$I$49,MATCH('Conditional Fomating'!$D22,products!$A$1:$A$49,0),MATCH('Conditional Fomating'!M$1,products!$A$1:$D$1,0))</f>
        <v>0.2</v>
      </c>
      <c r="N22">
        <f>_xlfn.XLOOKUP(D22,products!$A$2:$A$49,products!$E$2:$E$49)</f>
        <v>3.645</v>
      </c>
      <c r="O22">
        <f>_xlfn.XLOOKUP(D22,products!$A$2:$A$49,products!$H$2:$H$49)</f>
        <v>3.2440500000000001</v>
      </c>
      <c r="P22">
        <f t="shared" si="2"/>
        <v>14.58</v>
      </c>
      <c r="Q22">
        <f t="shared" si="3"/>
        <v>12.9762</v>
      </c>
      <c r="R22">
        <f t="shared" si="4"/>
        <v>1.6037999999999997</v>
      </c>
      <c r="S22" s="4">
        <f t="shared" si="5"/>
        <v>0.10999999999999997</v>
      </c>
      <c r="T22" t="str">
        <f>_xlfn.XLOOKUP(C22,customers!$A$1:$A$1001,customers!$I$1:$I$1001,,0)</f>
        <v>Yes</v>
      </c>
    </row>
    <row r="23" spans="1:20"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INDEX(products!$A$1:$I$49,MATCH('Conditional Fomating'!$D23,products!$A$1:$A$49,0),MATCH('Conditional Fomating'!I$1,products!$A$1:$D$1,0))</f>
        <v>Ara</v>
      </c>
      <c r="J23" t="str">
        <f t="shared" si="0"/>
        <v>Arabica</v>
      </c>
      <c r="K23" t="str">
        <f>INDEX(products!$A$1:$I$49,MATCH('Conditional Fomating'!$D23,products!$A$1:$A$49,0),MATCH('Conditional Fomating'!K$1,products!$A$1:$D$1,0))</f>
        <v>D</v>
      </c>
      <c r="L23" t="str">
        <f t="shared" si="1"/>
        <v>Dark</v>
      </c>
      <c r="M23">
        <f>INDEX(products!$A$1:$I$49,MATCH('Conditional Fomating'!$D23,products!$A$1:$A$49,0),MATCH('Conditional Fomating'!M$1,products!$A$1:$D$1,0))</f>
        <v>0.2</v>
      </c>
      <c r="N23">
        <f>_xlfn.XLOOKUP(D23,products!$A$2:$A$49,products!$E$2:$E$49)</f>
        <v>2.9849999999999999</v>
      </c>
      <c r="O23">
        <f>_xlfn.XLOOKUP(D23,products!$A$2:$A$49,products!$H$2:$H$49)</f>
        <v>2.7163499999999998</v>
      </c>
      <c r="P23">
        <f t="shared" si="2"/>
        <v>17.91</v>
      </c>
      <c r="Q23">
        <f t="shared" si="3"/>
        <v>16.298099999999998</v>
      </c>
      <c r="R23">
        <f t="shared" si="4"/>
        <v>1.6119000000000021</v>
      </c>
      <c r="S23" s="4">
        <f t="shared" si="5"/>
        <v>9.0000000000000122E-2</v>
      </c>
      <c r="T23" t="str">
        <f>_xlfn.XLOOKUP(C23,customers!$A$1:$A$1001,customers!$I$1:$I$1001,,0)</f>
        <v>No</v>
      </c>
    </row>
    <row r="24" spans="1:20"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INDEX(products!$A$1:$I$49,MATCH('Conditional Fomating'!$D24,products!$A$1:$A$49,0),MATCH('Conditional Fomating'!I$1,products!$A$1:$D$1,0))</f>
        <v>Rob</v>
      </c>
      <c r="J24" t="str">
        <f t="shared" si="0"/>
        <v>Robusta</v>
      </c>
      <c r="K24" t="str">
        <f>INDEX(products!$A$1:$I$49,MATCH('Conditional Fomating'!$D24,products!$A$1:$A$49,0),MATCH('Conditional Fomating'!K$1,products!$A$1:$D$1,0))</f>
        <v>M</v>
      </c>
      <c r="L24" t="str">
        <f t="shared" si="1"/>
        <v>Medium</v>
      </c>
      <c r="M24">
        <f>INDEX(products!$A$1:$I$49,MATCH('Conditional Fomating'!$D24,products!$A$1:$A$49,0),MATCH('Conditional Fomating'!M$1,products!$A$1:$D$1,0))</f>
        <v>2.5</v>
      </c>
      <c r="N24">
        <f>_xlfn.XLOOKUP(D24,products!$A$2:$A$49,products!$E$2:$E$49)</f>
        <v>22.884999999999998</v>
      </c>
      <c r="O24">
        <f>_xlfn.XLOOKUP(D24,products!$A$2:$A$49,products!$H$2:$H$49)</f>
        <v>21.511899999999997</v>
      </c>
      <c r="P24">
        <f t="shared" si="2"/>
        <v>91.539999999999992</v>
      </c>
      <c r="Q24">
        <f t="shared" si="3"/>
        <v>86.047599999999989</v>
      </c>
      <c r="R24">
        <f t="shared" si="4"/>
        <v>5.4924000000000035</v>
      </c>
      <c r="S24" s="4">
        <f t="shared" si="5"/>
        <v>6.0000000000000046E-2</v>
      </c>
      <c r="T24" t="str">
        <f>_xlfn.XLOOKUP(C24,customers!$A$1:$A$1001,customers!$I$1:$I$1001,,0)</f>
        <v>Yes</v>
      </c>
    </row>
    <row r="25" spans="1:20"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INDEX(products!$A$1:$I$49,MATCH('Conditional Fomating'!$D25,products!$A$1:$A$49,0),MATCH('Conditional Fomating'!I$1,products!$A$1:$D$1,0))</f>
        <v>Ara</v>
      </c>
      <c r="J25" t="str">
        <f t="shared" si="0"/>
        <v>Arabica</v>
      </c>
      <c r="K25" t="str">
        <f>INDEX(products!$A$1:$I$49,MATCH('Conditional Fomating'!$D25,products!$A$1:$A$49,0),MATCH('Conditional Fomating'!K$1,products!$A$1:$D$1,0))</f>
        <v>D</v>
      </c>
      <c r="L25" t="str">
        <f t="shared" si="1"/>
        <v>Dark</v>
      </c>
      <c r="M25">
        <f>INDEX(products!$A$1:$I$49,MATCH('Conditional Fomating'!$D25,products!$A$1:$A$49,0),MATCH('Conditional Fomating'!M$1,products!$A$1:$D$1,0))</f>
        <v>0.2</v>
      </c>
      <c r="N25">
        <f>_xlfn.XLOOKUP(D25,products!$A$2:$A$49,products!$E$2:$E$49)</f>
        <v>2.9849999999999999</v>
      </c>
      <c r="O25">
        <f>_xlfn.XLOOKUP(D25,products!$A$2:$A$49,products!$H$2:$H$49)</f>
        <v>2.7163499999999998</v>
      </c>
      <c r="P25">
        <f t="shared" si="2"/>
        <v>11.94</v>
      </c>
      <c r="Q25">
        <f t="shared" si="3"/>
        <v>10.865399999999999</v>
      </c>
      <c r="R25">
        <f t="shared" si="4"/>
        <v>1.0746000000000002</v>
      </c>
      <c r="S25" s="4">
        <f t="shared" si="5"/>
        <v>9.0000000000000024E-2</v>
      </c>
      <c r="T25" t="str">
        <f>_xlfn.XLOOKUP(C25,customers!$A$1:$A$1001,customers!$I$1:$I$1001,,0)</f>
        <v>Yes</v>
      </c>
    </row>
    <row r="26" spans="1:20"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INDEX(products!$A$1:$I$49,MATCH('Conditional Fomating'!$D26,products!$A$1:$A$49,0),MATCH('Conditional Fomating'!I$1,products!$A$1:$D$1,0))</f>
        <v>Ara</v>
      </c>
      <c r="J26" t="str">
        <f t="shared" si="0"/>
        <v>Arabica</v>
      </c>
      <c r="K26" t="str">
        <f>INDEX(products!$A$1:$I$49,MATCH('Conditional Fomating'!$D26,products!$A$1:$A$49,0),MATCH('Conditional Fomating'!K$1,products!$A$1:$D$1,0))</f>
        <v>M</v>
      </c>
      <c r="L26" t="str">
        <f t="shared" si="1"/>
        <v>Medium</v>
      </c>
      <c r="M26">
        <f>INDEX(products!$A$1:$I$49,MATCH('Conditional Fomating'!$D26,products!$A$1:$A$49,0),MATCH('Conditional Fomating'!M$1,products!$A$1:$D$1,0))</f>
        <v>1</v>
      </c>
      <c r="N26">
        <f>_xlfn.XLOOKUP(D26,products!$A$2:$A$49,products!$E$2:$E$49)</f>
        <v>11.25</v>
      </c>
      <c r="O26">
        <f>_xlfn.XLOOKUP(D26,products!$A$2:$A$49,products!$H$2:$H$49)</f>
        <v>10.237500000000001</v>
      </c>
      <c r="P26">
        <f t="shared" si="2"/>
        <v>11.25</v>
      </c>
      <c r="Q26">
        <f t="shared" si="3"/>
        <v>10.237500000000001</v>
      </c>
      <c r="R26">
        <f t="shared" si="4"/>
        <v>1.0124999999999993</v>
      </c>
      <c r="S26" s="4">
        <f t="shared" si="5"/>
        <v>8.9999999999999941E-2</v>
      </c>
      <c r="T26" t="str">
        <f>_xlfn.XLOOKUP(C26,customers!$A$1:$A$1001,customers!$I$1:$I$1001,,0)</f>
        <v>No</v>
      </c>
    </row>
    <row r="27" spans="1:20"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v>
      </c>
      <c r="H27" s="2" t="str">
        <f>_xlfn.XLOOKUP(C27,customers!$A$1:$A$1001,customers!$G$1:$G$1001,,0)</f>
        <v>United States</v>
      </c>
      <c r="I27" t="str">
        <f>INDEX(products!$A$1:$I$49,MATCH('Conditional Fomating'!$D27,products!$A$1:$A$49,0),MATCH('Conditional Fomating'!I$1,products!$A$1:$D$1,0))</f>
        <v>Exc</v>
      </c>
      <c r="J27" t="str">
        <f t="shared" si="0"/>
        <v>Excelsa</v>
      </c>
      <c r="K27" t="str">
        <f>INDEX(products!$A$1:$I$49,MATCH('Conditional Fomating'!$D27,products!$A$1:$A$49,0),MATCH('Conditional Fomating'!K$1,products!$A$1:$D$1,0))</f>
        <v>M</v>
      </c>
      <c r="L27" t="str">
        <f t="shared" si="1"/>
        <v>Medium</v>
      </c>
      <c r="M27">
        <f>INDEX(products!$A$1:$I$49,MATCH('Conditional Fomating'!$D27,products!$A$1:$A$49,0),MATCH('Conditional Fomating'!M$1,products!$A$1:$D$1,0))</f>
        <v>0.2</v>
      </c>
      <c r="N27">
        <f>_xlfn.XLOOKUP(D27,products!$A$2:$A$49,products!$E$2:$E$49)</f>
        <v>4.125</v>
      </c>
      <c r="O27">
        <f>_xlfn.XLOOKUP(D27,products!$A$2:$A$49,products!$H$2:$H$49)</f>
        <v>3.6712500000000001</v>
      </c>
      <c r="P27">
        <f t="shared" si="2"/>
        <v>12.375</v>
      </c>
      <c r="Q27">
        <f t="shared" si="3"/>
        <v>11.01375</v>
      </c>
      <c r="R27">
        <f t="shared" si="4"/>
        <v>1.3612500000000001</v>
      </c>
      <c r="S27" s="4">
        <f t="shared" si="5"/>
        <v>0.11</v>
      </c>
      <c r="T27" t="str">
        <f>_xlfn.XLOOKUP(C27,customers!$A$1:$A$1001,customers!$I$1:$I$1001,,0)</f>
        <v>Yes</v>
      </c>
    </row>
    <row r="28" spans="1:20"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INDEX(products!$A$1:$I$49,MATCH('Conditional Fomating'!$D28,products!$A$1:$A$49,0),MATCH('Conditional Fomating'!I$1,products!$A$1:$D$1,0))</f>
        <v>Ara</v>
      </c>
      <c r="J28" t="str">
        <f t="shared" si="0"/>
        <v>Arabica</v>
      </c>
      <c r="K28" t="str">
        <f>INDEX(products!$A$1:$I$49,MATCH('Conditional Fomating'!$D28,products!$A$1:$A$49,0),MATCH('Conditional Fomating'!K$1,products!$A$1:$D$1,0))</f>
        <v>M</v>
      </c>
      <c r="L28" t="str">
        <f t="shared" si="1"/>
        <v>Medium</v>
      </c>
      <c r="M28">
        <f>INDEX(products!$A$1:$I$49,MATCH('Conditional Fomating'!$D28,products!$A$1:$A$49,0),MATCH('Conditional Fomating'!M$1,products!$A$1:$D$1,0))</f>
        <v>0.5</v>
      </c>
      <c r="N28">
        <f>_xlfn.XLOOKUP(D28,products!$A$2:$A$49,products!$E$2:$E$49)</f>
        <v>6.75</v>
      </c>
      <c r="O28">
        <f>_xlfn.XLOOKUP(D28,products!$A$2:$A$49,products!$H$2:$H$49)</f>
        <v>6.1425000000000001</v>
      </c>
      <c r="P28">
        <f t="shared" si="2"/>
        <v>27</v>
      </c>
      <c r="Q28">
        <f t="shared" si="3"/>
        <v>24.57</v>
      </c>
      <c r="R28">
        <f t="shared" si="4"/>
        <v>2.4299999999999997</v>
      </c>
      <c r="S28" s="4">
        <f t="shared" si="5"/>
        <v>8.9999999999999983E-2</v>
      </c>
      <c r="T28" t="str">
        <f>_xlfn.XLOOKUP(C28,customers!$A$1:$A$1001,customers!$I$1:$I$1001,,0)</f>
        <v>Yes</v>
      </c>
    </row>
    <row r="29" spans="1:20"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INDEX(products!$A$1:$I$49,MATCH('Conditional Fomating'!$D29,products!$A$1:$A$49,0),MATCH('Conditional Fomating'!I$1,products!$A$1:$D$1,0))</f>
        <v>Ara</v>
      </c>
      <c r="J29" t="str">
        <f t="shared" si="0"/>
        <v>Arabica</v>
      </c>
      <c r="K29" t="str">
        <f>INDEX(products!$A$1:$I$49,MATCH('Conditional Fomating'!$D29,products!$A$1:$A$49,0),MATCH('Conditional Fomating'!K$1,products!$A$1:$D$1,0))</f>
        <v>M</v>
      </c>
      <c r="L29" t="str">
        <f t="shared" si="1"/>
        <v>Medium</v>
      </c>
      <c r="M29">
        <f>INDEX(products!$A$1:$I$49,MATCH('Conditional Fomating'!$D29,products!$A$1:$A$49,0),MATCH('Conditional Fomating'!M$1,products!$A$1:$D$1,0))</f>
        <v>0.2</v>
      </c>
      <c r="N29">
        <f>_xlfn.XLOOKUP(D29,products!$A$2:$A$49,products!$E$2:$E$49)</f>
        <v>3.375</v>
      </c>
      <c r="O29">
        <f>_xlfn.XLOOKUP(D29,products!$A$2:$A$49,products!$H$2:$H$49)</f>
        <v>3.07125</v>
      </c>
      <c r="P29">
        <f t="shared" si="2"/>
        <v>16.875</v>
      </c>
      <c r="Q29">
        <f t="shared" si="3"/>
        <v>15.356249999999999</v>
      </c>
      <c r="R29">
        <f t="shared" si="4"/>
        <v>1.5187500000000007</v>
      </c>
      <c r="S29" s="4">
        <f t="shared" si="5"/>
        <v>9.0000000000000038E-2</v>
      </c>
      <c r="T29" t="str">
        <f>_xlfn.XLOOKUP(C29,customers!$A$1:$A$1001,customers!$I$1:$I$1001,,0)</f>
        <v>No</v>
      </c>
    </row>
    <row r="30" spans="1:20"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INDEX(products!$A$1:$I$49,MATCH('Conditional Fomating'!$D30,products!$A$1:$A$49,0),MATCH('Conditional Fomating'!I$1,products!$A$1:$D$1,0))</f>
        <v>Ara</v>
      </c>
      <c r="J30" t="str">
        <f t="shared" si="0"/>
        <v>Arabica</v>
      </c>
      <c r="K30" t="str">
        <f>INDEX(products!$A$1:$I$49,MATCH('Conditional Fomating'!$D30,products!$A$1:$A$49,0),MATCH('Conditional Fomating'!K$1,products!$A$1:$D$1,0))</f>
        <v>D</v>
      </c>
      <c r="L30" t="str">
        <f t="shared" si="1"/>
        <v>Dark</v>
      </c>
      <c r="M30">
        <f>INDEX(products!$A$1:$I$49,MATCH('Conditional Fomating'!$D30,products!$A$1:$A$49,0),MATCH('Conditional Fomating'!M$1,products!$A$1:$D$1,0))</f>
        <v>0.5</v>
      </c>
      <c r="N30">
        <f>_xlfn.XLOOKUP(D30,products!$A$2:$A$49,products!$E$2:$E$49)</f>
        <v>5.97</v>
      </c>
      <c r="O30">
        <f>_xlfn.XLOOKUP(D30,products!$A$2:$A$49,products!$H$2:$H$49)</f>
        <v>5.4326999999999996</v>
      </c>
      <c r="P30">
        <f t="shared" si="2"/>
        <v>17.91</v>
      </c>
      <c r="Q30">
        <f t="shared" si="3"/>
        <v>16.298099999999998</v>
      </c>
      <c r="R30">
        <f t="shared" si="4"/>
        <v>1.6119000000000021</v>
      </c>
      <c r="S30" s="4">
        <f t="shared" si="5"/>
        <v>9.0000000000000122E-2</v>
      </c>
      <c r="T30" t="str">
        <f>_xlfn.XLOOKUP(C30,customers!$A$1:$A$1001,customers!$I$1:$I$1001,,0)</f>
        <v>No</v>
      </c>
    </row>
    <row r="31" spans="1:20"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INDEX(products!$A$1:$I$49,MATCH('Conditional Fomating'!$D31,products!$A$1:$A$49,0),MATCH('Conditional Fomating'!I$1,products!$A$1:$D$1,0))</f>
        <v>Ara</v>
      </c>
      <c r="J31" t="str">
        <f t="shared" si="0"/>
        <v>Arabica</v>
      </c>
      <c r="K31" t="str">
        <f>INDEX(products!$A$1:$I$49,MATCH('Conditional Fomating'!$D31,products!$A$1:$A$49,0),MATCH('Conditional Fomating'!K$1,products!$A$1:$D$1,0))</f>
        <v>D</v>
      </c>
      <c r="L31" t="str">
        <f t="shared" si="1"/>
        <v>Dark</v>
      </c>
      <c r="M31">
        <f>INDEX(products!$A$1:$I$49,MATCH('Conditional Fomating'!$D31,products!$A$1:$A$49,0),MATCH('Conditional Fomating'!M$1,products!$A$1:$D$1,0))</f>
        <v>1</v>
      </c>
      <c r="N31">
        <f>_xlfn.XLOOKUP(D31,products!$A$2:$A$49,products!$E$2:$E$49)</f>
        <v>9.9499999999999993</v>
      </c>
      <c r="O31">
        <f>_xlfn.XLOOKUP(D31,products!$A$2:$A$49,products!$H$2:$H$49)</f>
        <v>9.0544999999999991</v>
      </c>
      <c r="P31">
        <f t="shared" si="2"/>
        <v>39.799999999999997</v>
      </c>
      <c r="Q31">
        <f t="shared" si="3"/>
        <v>36.217999999999996</v>
      </c>
      <c r="R31">
        <f t="shared" si="4"/>
        <v>3.5820000000000007</v>
      </c>
      <c r="S31" s="4">
        <f t="shared" si="5"/>
        <v>9.0000000000000024E-2</v>
      </c>
      <c r="T31" t="str">
        <f>_xlfn.XLOOKUP(C31,customers!$A$1:$A$1001,customers!$I$1:$I$1001,,0)</f>
        <v>Yes</v>
      </c>
    </row>
    <row r="32" spans="1:20"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v>
      </c>
      <c r="H32" s="2" t="str">
        <f>_xlfn.XLOOKUP(C32,customers!$A$1:$A$1001,customers!$G$1:$G$1001,,0)</f>
        <v>United States</v>
      </c>
      <c r="I32" t="str">
        <f>INDEX(products!$A$1:$I$49,MATCH('Conditional Fomating'!$D32,products!$A$1:$A$49,0),MATCH('Conditional Fomating'!I$1,products!$A$1:$D$1,0))</f>
        <v>Lib</v>
      </c>
      <c r="J32" t="str">
        <f t="shared" si="0"/>
        <v>Liberica</v>
      </c>
      <c r="K32" t="str">
        <f>INDEX(products!$A$1:$I$49,MATCH('Conditional Fomating'!$D32,products!$A$1:$A$49,0),MATCH('Conditional Fomating'!K$1,products!$A$1:$D$1,0))</f>
        <v>M</v>
      </c>
      <c r="L32" t="str">
        <f t="shared" si="1"/>
        <v>Medium</v>
      </c>
      <c r="M32">
        <f>INDEX(products!$A$1:$I$49,MATCH('Conditional Fomating'!$D32,products!$A$1:$A$49,0),MATCH('Conditional Fomating'!M$1,products!$A$1:$D$1,0))</f>
        <v>0.2</v>
      </c>
      <c r="N32">
        <f>_xlfn.XLOOKUP(D32,products!$A$2:$A$49,products!$E$2:$E$49)</f>
        <v>4.3650000000000002</v>
      </c>
      <c r="O32">
        <f>_xlfn.XLOOKUP(D32,products!$A$2:$A$49,products!$H$2:$H$49)</f>
        <v>3.7975500000000002</v>
      </c>
      <c r="P32">
        <f t="shared" si="2"/>
        <v>21.825000000000003</v>
      </c>
      <c r="Q32">
        <f t="shared" si="3"/>
        <v>18.987750000000002</v>
      </c>
      <c r="R32">
        <f t="shared" si="4"/>
        <v>2.8372500000000009</v>
      </c>
      <c r="S32" s="4">
        <f t="shared" si="5"/>
        <v>0.13000000000000003</v>
      </c>
      <c r="T32" t="str">
        <f>_xlfn.XLOOKUP(C32,customers!$A$1:$A$1001,customers!$I$1:$I$1001,,0)</f>
        <v>No</v>
      </c>
    </row>
    <row r="33" spans="1:20"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v>
      </c>
      <c r="H33" s="2" t="str">
        <f>_xlfn.XLOOKUP(C33,customers!$A$1:$A$1001,customers!$G$1:$G$1001,,0)</f>
        <v>United States</v>
      </c>
      <c r="I33" t="str">
        <f>INDEX(products!$A$1:$I$49,MATCH('Conditional Fomating'!$D33,products!$A$1:$A$49,0),MATCH('Conditional Fomating'!I$1,products!$A$1:$D$1,0))</f>
        <v>Ara</v>
      </c>
      <c r="J33" t="str">
        <f t="shared" si="0"/>
        <v>Arabica</v>
      </c>
      <c r="K33" t="str">
        <f>INDEX(products!$A$1:$I$49,MATCH('Conditional Fomating'!$D33,products!$A$1:$A$49,0),MATCH('Conditional Fomating'!K$1,products!$A$1:$D$1,0))</f>
        <v>D</v>
      </c>
      <c r="L33" t="str">
        <f t="shared" si="1"/>
        <v>Dark</v>
      </c>
      <c r="M33">
        <f>INDEX(products!$A$1:$I$49,MATCH('Conditional Fomating'!$D33,products!$A$1:$A$49,0),MATCH('Conditional Fomating'!M$1,products!$A$1:$D$1,0))</f>
        <v>0.5</v>
      </c>
      <c r="N33">
        <f>_xlfn.XLOOKUP(D33,products!$A$2:$A$49,products!$E$2:$E$49)</f>
        <v>5.97</v>
      </c>
      <c r="O33">
        <f>_xlfn.XLOOKUP(D33,products!$A$2:$A$49,products!$H$2:$H$49)</f>
        <v>5.4326999999999996</v>
      </c>
      <c r="P33">
        <f t="shared" si="2"/>
        <v>35.82</v>
      </c>
      <c r="Q33">
        <f t="shared" si="3"/>
        <v>32.596199999999996</v>
      </c>
      <c r="R33">
        <f t="shared" si="4"/>
        <v>3.2238000000000042</v>
      </c>
      <c r="S33" s="4">
        <f t="shared" si="5"/>
        <v>9.0000000000000122E-2</v>
      </c>
      <c r="T33" t="str">
        <f>_xlfn.XLOOKUP(C33,customers!$A$1:$A$1001,customers!$I$1:$I$1001,,0)</f>
        <v>No</v>
      </c>
    </row>
    <row r="34" spans="1:20"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v>
      </c>
      <c r="H34" s="2" t="str">
        <f>_xlfn.XLOOKUP(C34,customers!$A$1:$A$1001,customers!$G$1:$G$1001,,0)</f>
        <v>United States</v>
      </c>
      <c r="I34" t="str">
        <f>INDEX(products!$A$1:$I$49,MATCH('Conditional Fomating'!$D34,products!$A$1:$A$49,0),MATCH('Conditional Fomating'!I$1,products!$A$1:$D$1,0))</f>
        <v>Lib</v>
      </c>
      <c r="J34" t="str">
        <f t="shared" si="0"/>
        <v>Liberica</v>
      </c>
      <c r="K34" t="str">
        <f>INDEX(products!$A$1:$I$49,MATCH('Conditional Fomating'!$D34,products!$A$1:$A$49,0),MATCH('Conditional Fomating'!K$1,products!$A$1:$D$1,0))</f>
        <v>M</v>
      </c>
      <c r="L34" t="str">
        <f t="shared" si="1"/>
        <v>Medium</v>
      </c>
      <c r="M34">
        <f>INDEX(products!$A$1:$I$49,MATCH('Conditional Fomating'!$D34,products!$A$1:$A$49,0),MATCH('Conditional Fomating'!M$1,products!$A$1:$D$1,0))</f>
        <v>0.5</v>
      </c>
      <c r="N34">
        <f>_xlfn.XLOOKUP(D34,products!$A$2:$A$49,products!$E$2:$E$49)</f>
        <v>8.73</v>
      </c>
      <c r="O34">
        <f>_xlfn.XLOOKUP(D34,products!$A$2:$A$49,products!$H$2:$H$49)</f>
        <v>7.5951000000000004</v>
      </c>
      <c r="P34">
        <f t="shared" si="2"/>
        <v>52.38</v>
      </c>
      <c r="Q34">
        <f t="shared" si="3"/>
        <v>45.570599999999999</v>
      </c>
      <c r="R34">
        <f t="shared" si="4"/>
        <v>6.8094000000000037</v>
      </c>
      <c r="S34" s="4">
        <f t="shared" si="5"/>
        <v>0.13000000000000006</v>
      </c>
      <c r="T34" t="str">
        <f>_xlfn.XLOOKUP(C34,customers!$A$1:$A$1001,customers!$I$1:$I$1001,,0)</f>
        <v>No</v>
      </c>
    </row>
    <row r="35" spans="1:20"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INDEX(products!$A$1:$I$49,MATCH('Conditional Fomating'!$D35,products!$A$1:$A$49,0),MATCH('Conditional Fomating'!I$1,products!$A$1:$D$1,0))</f>
        <v>Lib</v>
      </c>
      <c r="J35" t="str">
        <f t="shared" si="0"/>
        <v>Liberica</v>
      </c>
      <c r="K35" t="str">
        <f>INDEX(products!$A$1:$I$49,MATCH('Conditional Fomating'!$D35,products!$A$1:$A$49,0),MATCH('Conditional Fomating'!K$1,products!$A$1:$D$1,0))</f>
        <v>L</v>
      </c>
      <c r="L35" t="str">
        <f t="shared" si="1"/>
        <v>Light</v>
      </c>
      <c r="M35">
        <f>INDEX(products!$A$1:$I$49,MATCH('Conditional Fomating'!$D35,products!$A$1:$A$49,0),MATCH('Conditional Fomating'!M$1,products!$A$1:$D$1,0))</f>
        <v>0.2</v>
      </c>
      <c r="N35">
        <f>_xlfn.XLOOKUP(D35,products!$A$2:$A$49,products!$E$2:$E$49)</f>
        <v>4.7549999999999999</v>
      </c>
      <c r="O35">
        <f>_xlfn.XLOOKUP(D35,products!$A$2:$A$49,products!$H$2:$H$49)</f>
        <v>4.1368499999999999</v>
      </c>
      <c r="P35">
        <f t="shared" si="2"/>
        <v>23.774999999999999</v>
      </c>
      <c r="Q35">
        <f t="shared" si="3"/>
        <v>20.684249999999999</v>
      </c>
      <c r="R35">
        <f t="shared" si="4"/>
        <v>3.0907499999999999</v>
      </c>
      <c r="S35" s="4">
        <f t="shared" si="5"/>
        <v>0.13</v>
      </c>
      <c r="T35" t="str">
        <f>_xlfn.XLOOKUP(C35,customers!$A$1:$A$1001,customers!$I$1:$I$1001,,0)</f>
        <v>No</v>
      </c>
    </row>
    <row r="36" spans="1:20"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INDEX(products!$A$1:$I$49,MATCH('Conditional Fomating'!$D36,products!$A$1:$A$49,0),MATCH('Conditional Fomating'!I$1,products!$A$1:$D$1,0))</f>
        <v>Lib</v>
      </c>
      <c r="J36" t="str">
        <f t="shared" si="0"/>
        <v>Liberica</v>
      </c>
      <c r="K36" t="str">
        <f>INDEX(products!$A$1:$I$49,MATCH('Conditional Fomating'!$D36,products!$A$1:$A$49,0),MATCH('Conditional Fomating'!K$1,products!$A$1:$D$1,0))</f>
        <v>L</v>
      </c>
      <c r="L36" t="str">
        <f t="shared" si="1"/>
        <v>Light</v>
      </c>
      <c r="M36">
        <f>INDEX(products!$A$1:$I$49,MATCH('Conditional Fomating'!$D36,products!$A$1:$A$49,0),MATCH('Conditional Fomating'!M$1,products!$A$1:$D$1,0))</f>
        <v>0.5</v>
      </c>
      <c r="N36">
        <f>_xlfn.XLOOKUP(D36,products!$A$2:$A$49,products!$E$2:$E$49)</f>
        <v>9.51</v>
      </c>
      <c r="O36">
        <f>_xlfn.XLOOKUP(D36,products!$A$2:$A$49,products!$H$2:$H$49)</f>
        <v>8.2736999999999998</v>
      </c>
      <c r="P36">
        <f t="shared" si="2"/>
        <v>57.06</v>
      </c>
      <c r="Q36">
        <f t="shared" si="3"/>
        <v>49.642200000000003</v>
      </c>
      <c r="R36">
        <f t="shared" si="4"/>
        <v>7.4177999999999997</v>
      </c>
      <c r="S36" s="4">
        <f t="shared" si="5"/>
        <v>0.12999999999999998</v>
      </c>
      <c r="T36" t="str">
        <f>_xlfn.XLOOKUP(C36,customers!$A$1:$A$1001,customers!$I$1:$I$1001,,0)</f>
        <v>Yes</v>
      </c>
    </row>
    <row r="37" spans="1:20"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INDEX(products!$A$1:$I$49,MATCH('Conditional Fomating'!$D37,products!$A$1:$A$49,0),MATCH('Conditional Fomating'!I$1,products!$A$1:$D$1,0))</f>
        <v>Ara</v>
      </c>
      <c r="J37" t="str">
        <f t="shared" si="0"/>
        <v>Arabica</v>
      </c>
      <c r="K37" t="str">
        <f>INDEX(products!$A$1:$I$49,MATCH('Conditional Fomating'!$D37,products!$A$1:$A$49,0),MATCH('Conditional Fomating'!K$1,products!$A$1:$D$1,0))</f>
        <v>D</v>
      </c>
      <c r="L37" t="str">
        <f t="shared" si="1"/>
        <v>Dark</v>
      </c>
      <c r="M37">
        <f>INDEX(products!$A$1:$I$49,MATCH('Conditional Fomating'!$D37,products!$A$1:$A$49,0),MATCH('Conditional Fomating'!M$1,products!$A$1:$D$1,0))</f>
        <v>0.5</v>
      </c>
      <c r="N37">
        <f>_xlfn.XLOOKUP(D37,products!$A$2:$A$49,products!$E$2:$E$49)</f>
        <v>5.97</v>
      </c>
      <c r="O37">
        <f>_xlfn.XLOOKUP(D37,products!$A$2:$A$49,products!$H$2:$H$49)</f>
        <v>5.4326999999999996</v>
      </c>
      <c r="P37">
        <f t="shared" si="2"/>
        <v>35.82</v>
      </c>
      <c r="Q37">
        <f t="shared" si="3"/>
        <v>32.596199999999996</v>
      </c>
      <c r="R37">
        <f t="shared" si="4"/>
        <v>3.2238000000000042</v>
      </c>
      <c r="S37" s="4">
        <f t="shared" si="5"/>
        <v>9.0000000000000122E-2</v>
      </c>
      <c r="T37" t="str">
        <f>_xlfn.XLOOKUP(C37,customers!$A$1:$A$1001,customers!$I$1:$I$1001,,0)</f>
        <v>No</v>
      </c>
    </row>
    <row r="38" spans="1:20"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INDEX(products!$A$1:$I$49,MATCH('Conditional Fomating'!$D38,products!$A$1:$A$49,0),MATCH('Conditional Fomating'!I$1,products!$A$1:$D$1,0))</f>
        <v>Lib</v>
      </c>
      <c r="J38" t="str">
        <f t="shared" si="0"/>
        <v>Liberica</v>
      </c>
      <c r="K38" t="str">
        <f>INDEX(products!$A$1:$I$49,MATCH('Conditional Fomating'!$D38,products!$A$1:$A$49,0),MATCH('Conditional Fomating'!K$1,products!$A$1:$D$1,0))</f>
        <v>M</v>
      </c>
      <c r="L38" t="str">
        <f t="shared" si="1"/>
        <v>Medium</v>
      </c>
      <c r="M38">
        <f>INDEX(products!$A$1:$I$49,MATCH('Conditional Fomating'!$D38,products!$A$1:$A$49,0),MATCH('Conditional Fomating'!M$1,products!$A$1:$D$1,0))</f>
        <v>0.2</v>
      </c>
      <c r="N38">
        <f>_xlfn.XLOOKUP(D38,products!$A$2:$A$49,products!$E$2:$E$49)</f>
        <v>4.3650000000000002</v>
      </c>
      <c r="O38">
        <f>_xlfn.XLOOKUP(D38,products!$A$2:$A$49,products!$H$2:$H$49)</f>
        <v>3.7975500000000002</v>
      </c>
      <c r="P38">
        <f t="shared" si="2"/>
        <v>8.73</v>
      </c>
      <c r="Q38">
        <f t="shared" si="3"/>
        <v>7.5951000000000004</v>
      </c>
      <c r="R38">
        <f t="shared" si="4"/>
        <v>1.1349</v>
      </c>
      <c r="S38" s="4">
        <f t="shared" si="5"/>
        <v>0.13</v>
      </c>
      <c r="T38" t="str">
        <f>_xlfn.XLOOKUP(C38,customers!$A$1:$A$1001,customers!$I$1:$I$1001,,0)</f>
        <v>No</v>
      </c>
    </row>
    <row r="39" spans="1:20"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INDEX(products!$A$1:$I$49,MATCH('Conditional Fomating'!$D39,products!$A$1:$A$49,0),MATCH('Conditional Fomating'!I$1,products!$A$1:$D$1,0))</f>
        <v>Lib</v>
      </c>
      <c r="J39" t="str">
        <f t="shared" si="0"/>
        <v>Liberica</v>
      </c>
      <c r="K39" t="str">
        <f>INDEX(products!$A$1:$I$49,MATCH('Conditional Fomating'!$D39,products!$A$1:$A$49,0),MATCH('Conditional Fomating'!K$1,products!$A$1:$D$1,0))</f>
        <v>L</v>
      </c>
      <c r="L39" t="str">
        <f t="shared" si="1"/>
        <v>Light</v>
      </c>
      <c r="M39">
        <f>INDEX(products!$A$1:$I$49,MATCH('Conditional Fomating'!$D39,products!$A$1:$A$49,0),MATCH('Conditional Fomating'!M$1,products!$A$1:$D$1,0))</f>
        <v>0.5</v>
      </c>
      <c r="N39">
        <f>_xlfn.XLOOKUP(D39,products!$A$2:$A$49,products!$E$2:$E$49)</f>
        <v>9.51</v>
      </c>
      <c r="O39">
        <f>_xlfn.XLOOKUP(D39,products!$A$2:$A$49,products!$H$2:$H$49)</f>
        <v>8.2736999999999998</v>
      </c>
      <c r="P39">
        <f t="shared" si="2"/>
        <v>28.53</v>
      </c>
      <c r="Q39">
        <f t="shared" si="3"/>
        <v>24.821100000000001</v>
      </c>
      <c r="R39">
        <f t="shared" si="4"/>
        <v>3.7088999999999999</v>
      </c>
      <c r="S39" s="4">
        <f t="shared" si="5"/>
        <v>0.12999999999999998</v>
      </c>
      <c r="T39" t="str">
        <f>_xlfn.XLOOKUP(C39,customers!$A$1:$A$1001,customers!$I$1:$I$1001,,0)</f>
        <v>No</v>
      </c>
    </row>
    <row r="40" spans="1:20"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INDEX(products!$A$1:$I$49,MATCH('Conditional Fomating'!$D40,products!$A$1:$A$49,0),MATCH('Conditional Fomating'!I$1,products!$A$1:$D$1,0))</f>
        <v>Rob</v>
      </c>
      <c r="J40" t="str">
        <f t="shared" si="0"/>
        <v>Robusta</v>
      </c>
      <c r="K40" t="str">
        <f>INDEX(products!$A$1:$I$49,MATCH('Conditional Fomating'!$D40,products!$A$1:$A$49,0),MATCH('Conditional Fomating'!K$1,products!$A$1:$D$1,0))</f>
        <v>M</v>
      </c>
      <c r="L40" t="str">
        <f t="shared" si="1"/>
        <v>Medium</v>
      </c>
      <c r="M40">
        <f>INDEX(products!$A$1:$I$49,MATCH('Conditional Fomating'!$D40,products!$A$1:$A$49,0),MATCH('Conditional Fomating'!M$1,products!$A$1:$D$1,0))</f>
        <v>2.5</v>
      </c>
      <c r="N40">
        <f>_xlfn.XLOOKUP(D40,products!$A$2:$A$49,products!$E$2:$E$49)</f>
        <v>22.884999999999998</v>
      </c>
      <c r="O40">
        <f>_xlfn.XLOOKUP(D40,products!$A$2:$A$49,products!$H$2:$H$49)</f>
        <v>21.511899999999997</v>
      </c>
      <c r="P40">
        <f t="shared" si="2"/>
        <v>114.42499999999998</v>
      </c>
      <c r="Q40">
        <f t="shared" si="3"/>
        <v>107.55949999999999</v>
      </c>
      <c r="R40">
        <f t="shared" si="4"/>
        <v>6.8654999999999973</v>
      </c>
      <c r="S40" s="4">
        <f t="shared" si="5"/>
        <v>5.9999999999999984E-2</v>
      </c>
      <c r="T40" t="str">
        <f>_xlfn.XLOOKUP(C40,customers!$A$1:$A$1001,customers!$I$1:$I$1001,,0)</f>
        <v>No</v>
      </c>
    </row>
    <row r="41" spans="1:20"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v>
      </c>
      <c r="H41" s="2" t="str">
        <f>_xlfn.XLOOKUP(C41,customers!$A$1:$A$1001,customers!$G$1:$G$1001,,0)</f>
        <v>United States</v>
      </c>
      <c r="I41" t="str">
        <f>INDEX(products!$A$1:$I$49,MATCH('Conditional Fomating'!$D41,products!$A$1:$A$49,0),MATCH('Conditional Fomating'!I$1,products!$A$1:$D$1,0))</f>
        <v>Rob</v>
      </c>
      <c r="J41" t="str">
        <f t="shared" si="0"/>
        <v>Robusta</v>
      </c>
      <c r="K41" t="str">
        <f>INDEX(products!$A$1:$I$49,MATCH('Conditional Fomating'!$D41,products!$A$1:$A$49,0),MATCH('Conditional Fomating'!K$1,products!$A$1:$D$1,0))</f>
        <v>M</v>
      </c>
      <c r="L41" t="str">
        <f t="shared" si="1"/>
        <v>Medium</v>
      </c>
      <c r="M41">
        <f>INDEX(products!$A$1:$I$49,MATCH('Conditional Fomating'!$D41,products!$A$1:$A$49,0),MATCH('Conditional Fomating'!M$1,products!$A$1:$D$1,0))</f>
        <v>1</v>
      </c>
      <c r="N41">
        <f>_xlfn.XLOOKUP(D41,products!$A$2:$A$49,products!$E$2:$E$49)</f>
        <v>9.9499999999999993</v>
      </c>
      <c r="O41">
        <f>_xlfn.XLOOKUP(D41,products!$A$2:$A$49,products!$H$2:$H$49)</f>
        <v>9.3529999999999998</v>
      </c>
      <c r="P41">
        <f t="shared" si="2"/>
        <v>59.699999999999996</v>
      </c>
      <c r="Q41">
        <f t="shared" si="3"/>
        <v>56.117999999999995</v>
      </c>
      <c r="R41">
        <f t="shared" si="4"/>
        <v>3.5820000000000007</v>
      </c>
      <c r="S41" s="4">
        <f t="shared" si="5"/>
        <v>6.0000000000000019E-2</v>
      </c>
      <c r="T41" t="str">
        <f>_xlfn.XLOOKUP(C41,customers!$A$1:$A$1001,customers!$I$1:$I$1001,,0)</f>
        <v>Yes</v>
      </c>
    </row>
    <row r="42" spans="1:20"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v>
      </c>
      <c r="H42" s="2" t="str">
        <f>_xlfn.XLOOKUP(C42,customers!$A$1:$A$1001,customers!$G$1:$G$1001,,0)</f>
        <v>United States</v>
      </c>
      <c r="I42" t="str">
        <f>INDEX(products!$A$1:$I$49,MATCH('Conditional Fomating'!$D42,products!$A$1:$A$49,0),MATCH('Conditional Fomating'!I$1,products!$A$1:$D$1,0))</f>
        <v>Lib</v>
      </c>
      <c r="J42" t="str">
        <f t="shared" si="0"/>
        <v>Liberica</v>
      </c>
      <c r="K42" t="str">
        <f>INDEX(products!$A$1:$I$49,MATCH('Conditional Fomating'!$D42,products!$A$1:$A$49,0),MATCH('Conditional Fomating'!K$1,products!$A$1:$D$1,0))</f>
        <v>M</v>
      </c>
      <c r="L42" t="str">
        <f t="shared" si="1"/>
        <v>Medium</v>
      </c>
      <c r="M42">
        <f>INDEX(products!$A$1:$I$49,MATCH('Conditional Fomating'!$D42,products!$A$1:$A$49,0),MATCH('Conditional Fomating'!M$1,products!$A$1:$D$1,0))</f>
        <v>1</v>
      </c>
      <c r="N42">
        <f>_xlfn.XLOOKUP(D42,products!$A$2:$A$49,products!$E$2:$E$49)</f>
        <v>14.55</v>
      </c>
      <c r="O42">
        <f>_xlfn.XLOOKUP(D42,products!$A$2:$A$49,products!$H$2:$H$49)</f>
        <v>12.6585</v>
      </c>
      <c r="P42">
        <f t="shared" si="2"/>
        <v>43.650000000000006</v>
      </c>
      <c r="Q42">
        <f t="shared" si="3"/>
        <v>37.975499999999997</v>
      </c>
      <c r="R42">
        <f t="shared" si="4"/>
        <v>5.674500000000009</v>
      </c>
      <c r="S42" s="4">
        <f t="shared" si="5"/>
        <v>0.1300000000000002</v>
      </c>
      <c r="T42" t="str">
        <f>_xlfn.XLOOKUP(C42,customers!$A$1:$A$1001,customers!$I$1:$I$1001,,0)</f>
        <v>No</v>
      </c>
    </row>
    <row r="43" spans="1:20"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INDEX(products!$A$1:$I$49,MATCH('Conditional Fomating'!$D43,products!$A$1:$A$49,0),MATCH('Conditional Fomating'!I$1,products!$A$1:$D$1,0))</f>
        <v>Exc</v>
      </c>
      <c r="J43" t="str">
        <f t="shared" si="0"/>
        <v>Excelsa</v>
      </c>
      <c r="K43" t="str">
        <f>INDEX(products!$A$1:$I$49,MATCH('Conditional Fomating'!$D43,products!$A$1:$A$49,0),MATCH('Conditional Fomating'!K$1,products!$A$1:$D$1,0))</f>
        <v>D</v>
      </c>
      <c r="L43" t="str">
        <f t="shared" si="1"/>
        <v>Dark</v>
      </c>
      <c r="M43">
        <f>INDEX(products!$A$1:$I$49,MATCH('Conditional Fomating'!$D43,products!$A$1:$A$49,0),MATCH('Conditional Fomating'!M$1,products!$A$1:$D$1,0))</f>
        <v>0.2</v>
      </c>
      <c r="N43">
        <f>_xlfn.XLOOKUP(D43,products!$A$2:$A$49,products!$E$2:$E$49)</f>
        <v>3.645</v>
      </c>
      <c r="O43">
        <f>_xlfn.XLOOKUP(D43,products!$A$2:$A$49,products!$H$2:$H$49)</f>
        <v>3.2440500000000001</v>
      </c>
      <c r="P43">
        <f t="shared" si="2"/>
        <v>7.29</v>
      </c>
      <c r="Q43">
        <f t="shared" si="3"/>
        <v>6.4881000000000002</v>
      </c>
      <c r="R43">
        <f t="shared" si="4"/>
        <v>0.80189999999999984</v>
      </c>
      <c r="S43" s="4">
        <f t="shared" si="5"/>
        <v>0.10999999999999997</v>
      </c>
      <c r="T43" t="str">
        <f>_xlfn.XLOOKUP(C43,customers!$A$1:$A$1001,customers!$I$1:$I$1001,,0)</f>
        <v>Yes</v>
      </c>
    </row>
    <row r="44" spans="1:20"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INDEX(products!$A$1:$I$49,MATCH('Conditional Fomating'!$D44,products!$A$1:$A$49,0),MATCH('Conditional Fomating'!I$1,products!$A$1:$D$1,0))</f>
        <v>Rob</v>
      </c>
      <c r="J44" t="str">
        <f t="shared" si="0"/>
        <v>Robusta</v>
      </c>
      <c r="K44" t="str">
        <f>INDEX(products!$A$1:$I$49,MATCH('Conditional Fomating'!$D44,products!$A$1:$A$49,0),MATCH('Conditional Fomating'!K$1,products!$A$1:$D$1,0))</f>
        <v>D</v>
      </c>
      <c r="L44" t="str">
        <f t="shared" si="1"/>
        <v>Dark</v>
      </c>
      <c r="M44">
        <f>INDEX(products!$A$1:$I$49,MATCH('Conditional Fomating'!$D44,products!$A$1:$A$49,0),MATCH('Conditional Fomating'!M$1,products!$A$1:$D$1,0))</f>
        <v>0.2</v>
      </c>
      <c r="N44">
        <f>_xlfn.XLOOKUP(D44,products!$A$2:$A$49,products!$E$2:$E$49)</f>
        <v>2.6849999999999996</v>
      </c>
      <c r="O44">
        <f>_xlfn.XLOOKUP(D44,products!$A$2:$A$49,products!$H$2:$H$49)</f>
        <v>2.5238999999999998</v>
      </c>
      <c r="P44">
        <f t="shared" si="2"/>
        <v>8.0549999999999997</v>
      </c>
      <c r="Q44">
        <f t="shared" si="3"/>
        <v>7.5716999999999999</v>
      </c>
      <c r="R44">
        <f t="shared" si="4"/>
        <v>0.48329999999999984</v>
      </c>
      <c r="S44" s="4">
        <f t="shared" si="5"/>
        <v>5.9999999999999984E-2</v>
      </c>
      <c r="T44" t="str">
        <f>_xlfn.XLOOKUP(C44,customers!$A$1:$A$1001,customers!$I$1:$I$1001,,0)</f>
        <v>Yes</v>
      </c>
    </row>
    <row r="45" spans="1:20"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v>
      </c>
      <c r="H45" s="2" t="str">
        <f>_xlfn.XLOOKUP(C45,customers!$A$1:$A$1001,customers!$G$1:$G$1001,,0)</f>
        <v>United States</v>
      </c>
      <c r="I45" t="str">
        <f>INDEX(products!$A$1:$I$49,MATCH('Conditional Fomating'!$D45,products!$A$1:$A$49,0),MATCH('Conditional Fomating'!I$1,products!$A$1:$D$1,0))</f>
        <v>Lib</v>
      </c>
      <c r="J45" t="str">
        <f t="shared" si="0"/>
        <v>Liberica</v>
      </c>
      <c r="K45" t="str">
        <f>INDEX(products!$A$1:$I$49,MATCH('Conditional Fomating'!$D45,products!$A$1:$A$49,0),MATCH('Conditional Fomating'!K$1,products!$A$1:$D$1,0))</f>
        <v>L</v>
      </c>
      <c r="L45" t="str">
        <f t="shared" si="1"/>
        <v>Light</v>
      </c>
      <c r="M45">
        <f>INDEX(products!$A$1:$I$49,MATCH('Conditional Fomating'!$D45,products!$A$1:$A$49,0),MATCH('Conditional Fomating'!M$1,products!$A$1:$D$1,0))</f>
        <v>2.5</v>
      </c>
      <c r="N45">
        <f>_xlfn.XLOOKUP(D45,products!$A$2:$A$49,products!$E$2:$E$49)</f>
        <v>36.454999999999998</v>
      </c>
      <c r="O45">
        <f>_xlfn.XLOOKUP(D45,products!$A$2:$A$49,products!$H$2:$H$49)</f>
        <v>31.71585</v>
      </c>
      <c r="P45">
        <f t="shared" si="2"/>
        <v>72.91</v>
      </c>
      <c r="Q45">
        <f t="shared" si="3"/>
        <v>63.431699999999999</v>
      </c>
      <c r="R45">
        <f t="shared" si="4"/>
        <v>9.4782999999999973</v>
      </c>
      <c r="S45" s="4">
        <f t="shared" si="5"/>
        <v>0.12999999999999998</v>
      </c>
      <c r="T45" t="str">
        <f>_xlfn.XLOOKUP(C45,customers!$A$1:$A$1001,customers!$I$1:$I$1001,,0)</f>
        <v>No</v>
      </c>
    </row>
    <row r="46" spans="1:20"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INDEX(products!$A$1:$I$49,MATCH('Conditional Fomating'!$D46,products!$A$1:$A$49,0),MATCH('Conditional Fomating'!I$1,products!$A$1:$D$1,0))</f>
        <v>Exc</v>
      </c>
      <c r="J46" t="str">
        <f t="shared" si="0"/>
        <v>Excelsa</v>
      </c>
      <c r="K46" t="str">
        <f>INDEX(products!$A$1:$I$49,MATCH('Conditional Fomating'!$D46,products!$A$1:$A$49,0),MATCH('Conditional Fomating'!K$1,products!$A$1:$D$1,0))</f>
        <v>M</v>
      </c>
      <c r="L46" t="str">
        <f t="shared" si="1"/>
        <v>Medium</v>
      </c>
      <c r="M46">
        <f>INDEX(products!$A$1:$I$49,MATCH('Conditional Fomating'!$D46,products!$A$1:$A$49,0),MATCH('Conditional Fomating'!M$1,products!$A$1:$D$1,0))</f>
        <v>0.5</v>
      </c>
      <c r="N46">
        <f>_xlfn.XLOOKUP(D46,products!$A$2:$A$49,products!$E$2:$E$49)</f>
        <v>8.25</v>
      </c>
      <c r="O46">
        <f>_xlfn.XLOOKUP(D46,products!$A$2:$A$49,products!$H$2:$H$49)</f>
        <v>7.3425000000000002</v>
      </c>
      <c r="P46">
        <f t="shared" si="2"/>
        <v>16.5</v>
      </c>
      <c r="Q46">
        <f t="shared" si="3"/>
        <v>14.685</v>
      </c>
      <c r="R46">
        <f t="shared" si="4"/>
        <v>1.8149999999999995</v>
      </c>
      <c r="S46" s="4">
        <f t="shared" si="5"/>
        <v>0.10999999999999997</v>
      </c>
      <c r="T46" t="str">
        <f>_xlfn.XLOOKUP(C46,customers!$A$1:$A$1001,customers!$I$1:$I$1001,,0)</f>
        <v>Yes</v>
      </c>
    </row>
    <row r="47" spans="1:20"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INDEX(products!$A$1:$I$49,MATCH('Conditional Fomating'!$D47,products!$A$1:$A$49,0),MATCH('Conditional Fomating'!I$1,products!$A$1:$D$1,0))</f>
        <v>Lib</v>
      </c>
      <c r="J47" t="str">
        <f t="shared" si="0"/>
        <v>Liberica</v>
      </c>
      <c r="K47" t="str">
        <f>INDEX(products!$A$1:$I$49,MATCH('Conditional Fomating'!$D47,products!$A$1:$A$49,0),MATCH('Conditional Fomating'!K$1,products!$A$1:$D$1,0))</f>
        <v>D</v>
      </c>
      <c r="L47" t="str">
        <f t="shared" si="1"/>
        <v>Dark</v>
      </c>
      <c r="M47">
        <f>INDEX(products!$A$1:$I$49,MATCH('Conditional Fomating'!$D47,products!$A$1:$A$49,0),MATCH('Conditional Fomating'!M$1,products!$A$1:$D$1,0))</f>
        <v>2.5</v>
      </c>
      <c r="N47">
        <f>_xlfn.XLOOKUP(D47,products!$A$2:$A$49,products!$E$2:$E$49)</f>
        <v>29.784999999999997</v>
      </c>
      <c r="O47">
        <f>_xlfn.XLOOKUP(D47,products!$A$2:$A$49,products!$H$2:$H$49)</f>
        <v>25.912949999999995</v>
      </c>
      <c r="P47">
        <f t="shared" si="2"/>
        <v>178.70999999999998</v>
      </c>
      <c r="Q47">
        <f t="shared" si="3"/>
        <v>155.47769999999997</v>
      </c>
      <c r="R47">
        <f t="shared" si="4"/>
        <v>23.232300000000009</v>
      </c>
      <c r="S47" s="4">
        <f t="shared" si="5"/>
        <v>0.13000000000000006</v>
      </c>
      <c r="T47" t="str">
        <f>_xlfn.XLOOKUP(C47,customers!$A$1:$A$1001,customers!$I$1:$I$1001,,0)</f>
        <v>No</v>
      </c>
    </row>
    <row r="48" spans="1:20"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v>
      </c>
      <c r="H48" s="2" t="str">
        <f>_xlfn.XLOOKUP(C48,customers!$A$1:$A$1001,customers!$G$1:$G$1001,,0)</f>
        <v>United States</v>
      </c>
      <c r="I48" t="str">
        <f>INDEX(products!$A$1:$I$49,MATCH('Conditional Fomating'!$D48,products!$A$1:$A$49,0),MATCH('Conditional Fomating'!I$1,products!$A$1:$D$1,0))</f>
        <v>Exc</v>
      </c>
      <c r="J48" t="str">
        <f t="shared" si="0"/>
        <v>Excelsa</v>
      </c>
      <c r="K48" t="str">
        <f>INDEX(products!$A$1:$I$49,MATCH('Conditional Fomating'!$D48,products!$A$1:$A$49,0),MATCH('Conditional Fomating'!K$1,products!$A$1:$D$1,0))</f>
        <v>M</v>
      </c>
      <c r="L48" t="str">
        <f t="shared" si="1"/>
        <v>Medium</v>
      </c>
      <c r="M48">
        <f>INDEX(products!$A$1:$I$49,MATCH('Conditional Fomating'!$D48,products!$A$1:$A$49,0),MATCH('Conditional Fomating'!M$1,products!$A$1:$D$1,0))</f>
        <v>2.5</v>
      </c>
      <c r="N48">
        <f>_xlfn.XLOOKUP(D48,products!$A$2:$A$49,products!$E$2:$E$49)</f>
        <v>31.624999999999996</v>
      </c>
      <c r="O48">
        <f>_xlfn.XLOOKUP(D48,products!$A$2:$A$49,products!$H$2:$H$49)</f>
        <v>28.146249999999995</v>
      </c>
      <c r="P48">
        <f t="shared" si="2"/>
        <v>63.249999999999993</v>
      </c>
      <c r="Q48">
        <f t="shared" si="3"/>
        <v>56.29249999999999</v>
      </c>
      <c r="R48">
        <f t="shared" si="4"/>
        <v>6.9575000000000031</v>
      </c>
      <c r="S48" s="4">
        <f t="shared" si="5"/>
        <v>0.11000000000000006</v>
      </c>
      <c r="T48" t="str">
        <f>_xlfn.XLOOKUP(C48,customers!$A$1:$A$1001,customers!$I$1:$I$1001,,0)</f>
        <v>Yes</v>
      </c>
    </row>
    <row r="49" spans="1:20"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INDEX(products!$A$1:$I$49,MATCH('Conditional Fomating'!$D49,products!$A$1:$A$49,0),MATCH('Conditional Fomating'!I$1,products!$A$1:$D$1,0))</f>
        <v>Ara</v>
      </c>
      <c r="J49" t="str">
        <f t="shared" si="0"/>
        <v>Arabica</v>
      </c>
      <c r="K49" t="str">
        <f>INDEX(products!$A$1:$I$49,MATCH('Conditional Fomating'!$D49,products!$A$1:$A$49,0),MATCH('Conditional Fomating'!K$1,products!$A$1:$D$1,0))</f>
        <v>L</v>
      </c>
      <c r="L49" t="str">
        <f t="shared" si="1"/>
        <v>Light</v>
      </c>
      <c r="M49">
        <f>INDEX(products!$A$1:$I$49,MATCH('Conditional Fomating'!$D49,products!$A$1:$A$49,0),MATCH('Conditional Fomating'!M$1,products!$A$1:$D$1,0))</f>
        <v>0.2</v>
      </c>
      <c r="N49">
        <f>_xlfn.XLOOKUP(D49,products!$A$2:$A$49,products!$E$2:$E$49)</f>
        <v>3.8849999999999998</v>
      </c>
      <c r="O49">
        <f>_xlfn.XLOOKUP(D49,products!$A$2:$A$49,products!$H$2:$H$49)</f>
        <v>3.5353499999999998</v>
      </c>
      <c r="P49">
        <f t="shared" si="2"/>
        <v>7.77</v>
      </c>
      <c r="Q49">
        <f t="shared" si="3"/>
        <v>7.0706999999999995</v>
      </c>
      <c r="R49">
        <f t="shared" si="4"/>
        <v>0.69930000000000003</v>
      </c>
      <c r="S49" s="4">
        <f t="shared" si="5"/>
        <v>9.0000000000000011E-2</v>
      </c>
      <c r="T49" t="str">
        <f>_xlfn.XLOOKUP(C49,customers!$A$1:$A$1001,customers!$I$1:$I$1001,,0)</f>
        <v>Yes</v>
      </c>
    </row>
    <row r="50" spans="1:20"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INDEX(products!$A$1:$I$49,MATCH('Conditional Fomating'!$D50,products!$A$1:$A$49,0),MATCH('Conditional Fomating'!I$1,products!$A$1:$D$1,0))</f>
        <v>Ara</v>
      </c>
      <c r="J50" t="str">
        <f t="shared" si="0"/>
        <v>Arabica</v>
      </c>
      <c r="K50" t="str">
        <f>INDEX(products!$A$1:$I$49,MATCH('Conditional Fomating'!$D50,products!$A$1:$A$49,0),MATCH('Conditional Fomating'!K$1,products!$A$1:$D$1,0))</f>
        <v>D</v>
      </c>
      <c r="L50" t="str">
        <f t="shared" si="1"/>
        <v>Dark</v>
      </c>
      <c r="M50">
        <f>INDEX(products!$A$1:$I$49,MATCH('Conditional Fomating'!$D50,products!$A$1:$A$49,0),MATCH('Conditional Fomating'!M$1,products!$A$1:$D$1,0))</f>
        <v>2.5</v>
      </c>
      <c r="N50">
        <f>_xlfn.XLOOKUP(D50,products!$A$2:$A$49,products!$E$2:$E$49)</f>
        <v>22.884999999999998</v>
      </c>
      <c r="O50">
        <f>_xlfn.XLOOKUP(D50,products!$A$2:$A$49,products!$H$2:$H$49)</f>
        <v>20.82535</v>
      </c>
      <c r="P50">
        <f t="shared" si="2"/>
        <v>91.539999999999992</v>
      </c>
      <c r="Q50">
        <f t="shared" si="3"/>
        <v>83.301400000000001</v>
      </c>
      <c r="R50">
        <f t="shared" si="4"/>
        <v>8.238599999999991</v>
      </c>
      <c r="S50" s="4">
        <f t="shared" si="5"/>
        <v>8.9999999999999913E-2</v>
      </c>
      <c r="T50" t="str">
        <f>_xlfn.XLOOKUP(C50,customers!$A$1:$A$1001,customers!$I$1:$I$1001,,0)</f>
        <v>No</v>
      </c>
    </row>
    <row r="51" spans="1:20"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INDEX(products!$A$1:$I$49,MATCH('Conditional Fomating'!$D51,products!$A$1:$A$49,0),MATCH('Conditional Fomating'!I$1,products!$A$1:$D$1,0))</f>
        <v>Ara</v>
      </c>
      <c r="J51" t="str">
        <f t="shared" si="0"/>
        <v>Arabica</v>
      </c>
      <c r="K51" t="str">
        <f>INDEX(products!$A$1:$I$49,MATCH('Conditional Fomating'!$D51,products!$A$1:$A$49,0),MATCH('Conditional Fomating'!K$1,products!$A$1:$D$1,0))</f>
        <v>L</v>
      </c>
      <c r="L51" t="str">
        <f t="shared" si="1"/>
        <v>Light</v>
      </c>
      <c r="M51">
        <f>INDEX(products!$A$1:$I$49,MATCH('Conditional Fomating'!$D51,products!$A$1:$A$49,0),MATCH('Conditional Fomating'!M$1,products!$A$1:$D$1,0))</f>
        <v>1</v>
      </c>
      <c r="N51">
        <f>_xlfn.XLOOKUP(D51,products!$A$2:$A$49,products!$E$2:$E$49)</f>
        <v>12.95</v>
      </c>
      <c r="O51">
        <f>_xlfn.XLOOKUP(D51,products!$A$2:$A$49,products!$H$2:$H$49)</f>
        <v>11.7845</v>
      </c>
      <c r="P51">
        <f t="shared" si="2"/>
        <v>38.849999999999994</v>
      </c>
      <c r="Q51">
        <f t="shared" si="3"/>
        <v>35.353499999999997</v>
      </c>
      <c r="R51">
        <f t="shared" si="4"/>
        <v>3.4964999999999975</v>
      </c>
      <c r="S51" s="4">
        <f t="shared" si="5"/>
        <v>8.9999999999999955E-2</v>
      </c>
      <c r="T51" t="str">
        <f>_xlfn.XLOOKUP(C51,customers!$A$1:$A$1001,customers!$I$1:$I$1001,,0)</f>
        <v>No</v>
      </c>
    </row>
    <row r="52" spans="1:20"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INDEX(products!$A$1:$I$49,MATCH('Conditional Fomating'!$D52,products!$A$1:$A$49,0),MATCH('Conditional Fomating'!I$1,products!$A$1:$D$1,0))</f>
        <v>Lib</v>
      </c>
      <c r="J52" t="str">
        <f t="shared" si="0"/>
        <v>Liberica</v>
      </c>
      <c r="K52" t="str">
        <f>INDEX(products!$A$1:$I$49,MATCH('Conditional Fomating'!$D52,products!$A$1:$A$49,0),MATCH('Conditional Fomating'!K$1,products!$A$1:$D$1,0))</f>
        <v>D</v>
      </c>
      <c r="L52" t="str">
        <f t="shared" si="1"/>
        <v>Dark</v>
      </c>
      <c r="M52">
        <f>INDEX(products!$A$1:$I$49,MATCH('Conditional Fomating'!$D52,products!$A$1:$A$49,0),MATCH('Conditional Fomating'!M$1,products!$A$1:$D$1,0))</f>
        <v>0.5</v>
      </c>
      <c r="N52">
        <f>_xlfn.XLOOKUP(D52,products!$A$2:$A$49,products!$E$2:$E$49)</f>
        <v>7.77</v>
      </c>
      <c r="O52">
        <f>_xlfn.XLOOKUP(D52,products!$A$2:$A$49,products!$H$2:$H$49)</f>
        <v>6.7599</v>
      </c>
      <c r="P52">
        <f t="shared" si="2"/>
        <v>15.54</v>
      </c>
      <c r="Q52">
        <f t="shared" si="3"/>
        <v>13.5198</v>
      </c>
      <c r="R52">
        <f t="shared" si="4"/>
        <v>2.0201999999999991</v>
      </c>
      <c r="S52" s="4">
        <f t="shared" si="5"/>
        <v>0.12999999999999995</v>
      </c>
      <c r="T52" t="str">
        <f>_xlfn.XLOOKUP(C52,customers!$A$1:$A$1001,customers!$I$1:$I$1001,,0)</f>
        <v>No</v>
      </c>
    </row>
    <row r="53" spans="1:20"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INDEX(products!$A$1:$I$49,MATCH('Conditional Fomating'!$D53,products!$A$1:$A$49,0),MATCH('Conditional Fomating'!I$1,products!$A$1:$D$1,0))</f>
        <v>Lib</v>
      </c>
      <c r="J53" t="str">
        <f t="shared" si="0"/>
        <v>Liberica</v>
      </c>
      <c r="K53" t="str">
        <f>INDEX(products!$A$1:$I$49,MATCH('Conditional Fomating'!$D53,products!$A$1:$A$49,0),MATCH('Conditional Fomating'!K$1,products!$A$1:$D$1,0))</f>
        <v>L</v>
      </c>
      <c r="L53" t="str">
        <f t="shared" si="1"/>
        <v>Light</v>
      </c>
      <c r="M53">
        <f>INDEX(products!$A$1:$I$49,MATCH('Conditional Fomating'!$D53,products!$A$1:$A$49,0),MATCH('Conditional Fomating'!M$1,products!$A$1:$D$1,0))</f>
        <v>2.5</v>
      </c>
      <c r="N53">
        <f>_xlfn.XLOOKUP(D53,products!$A$2:$A$49,products!$E$2:$E$49)</f>
        <v>36.454999999999998</v>
      </c>
      <c r="O53">
        <f>_xlfn.XLOOKUP(D53,products!$A$2:$A$49,products!$H$2:$H$49)</f>
        <v>31.71585</v>
      </c>
      <c r="P53">
        <f t="shared" si="2"/>
        <v>145.82</v>
      </c>
      <c r="Q53">
        <f t="shared" si="3"/>
        <v>126.8634</v>
      </c>
      <c r="R53">
        <f t="shared" si="4"/>
        <v>18.956599999999995</v>
      </c>
      <c r="S53" s="4">
        <f t="shared" si="5"/>
        <v>0.12999999999999998</v>
      </c>
      <c r="T53" t="str">
        <f>_xlfn.XLOOKUP(C53,customers!$A$1:$A$1001,customers!$I$1:$I$1001,,0)</f>
        <v>Yes</v>
      </c>
    </row>
    <row r="54" spans="1:20"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INDEX(products!$A$1:$I$49,MATCH('Conditional Fomating'!$D54,products!$A$1:$A$49,0),MATCH('Conditional Fomating'!I$1,products!$A$1:$D$1,0))</f>
        <v>Rob</v>
      </c>
      <c r="J54" t="str">
        <f t="shared" si="0"/>
        <v>Robusta</v>
      </c>
      <c r="K54" t="str">
        <f>INDEX(products!$A$1:$I$49,MATCH('Conditional Fomating'!$D54,products!$A$1:$A$49,0),MATCH('Conditional Fomating'!K$1,products!$A$1:$D$1,0))</f>
        <v>M</v>
      </c>
      <c r="L54" t="str">
        <f t="shared" si="1"/>
        <v>Medium</v>
      </c>
      <c r="M54">
        <f>INDEX(products!$A$1:$I$49,MATCH('Conditional Fomating'!$D54,products!$A$1:$A$49,0),MATCH('Conditional Fomating'!M$1,products!$A$1:$D$1,0))</f>
        <v>0.5</v>
      </c>
      <c r="N54">
        <f>_xlfn.XLOOKUP(D54,products!$A$2:$A$49,products!$E$2:$E$49)</f>
        <v>5.97</v>
      </c>
      <c r="O54">
        <f>_xlfn.XLOOKUP(D54,products!$A$2:$A$49,products!$H$2:$H$49)</f>
        <v>5.6117999999999997</v>
      </c>
      <c r="P54">
        <f t="shared" si="2"/>
        <v>29.849999999999998</v>
      </c>
      <c r="Q54">
        <f t="shared" si="3"/>
        <v>28.058999999999997</v>
      </c>
      <c r="R54">
        <f t="shared" si="4"/>
        <v>1.7910000000000004</v>
      </c>
      <c r="S54" s="4">
        <f t="shared" si="5"/>
        <v>6.0000000000000019E-2</v>
      </c>
      <c r="T54" t="str">
        <f>_xlfn.XLOOKUP(C54,customers!$A$1:$A$1001,customers!$I$1:$I$1001,,0)</f>
        <v>No</v>
      </c>
    </row>
    <row r="55" spans="1:20"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INDEX(products!$A$1:$I$49,MATCH('Conditional Fomating'!$D55,products!$A$1:$A$49,0),MATCH('Conditional Fomating'!I$1,products!$A$1:$D$1,0))</f>
        <v>Lib</v>
      </c>
      <c r="J55" t="str">
        <f t="shared" si="0"/>
        <v>Liberica</v>
      </c>
      <c r="K55" t="str">
        <f>INDEX(products!$A$1:$I$49,MATCH('Conditional Fomating'!$D55,products!$A$1:$A$49,0),MATCH('Conditional Fomating'!K$1,products!$A$1:$D$1,0))</f>
        <v>L</v>
      </c>
      <c r="L55" t="str">
        <f t="shared" si="1"/>
        <v>Light</v>
      </c>
      <c r="M55">
        <f>INDEX(products!$A$1:$I$49,MATCH('Conditional Fomating'!$D55,products!$A$1:$A$49,0),MATCH('Conditional Fomating'!M$1,products!$A$1:$D$1,0))</f>
        <v>2.5</v>
      </c>
      <c r="N55">
        <f>_xlfn.XLOOKUP(D55,products!$A$2:$A$49,products!$E$2:$E$49)</f>
        <v>36.454999999999998</v>
      </c>
      <c r="O55">
        <f>_xlfn.XLOOKUP(D55,products!$A$2:$A$49,products!$H$2:$H$49)</f>
        <v>31.71585</v>
      </c>
      <c r="P55">
        <f t="shared" si="2"/>
        <v>72.91</v>
      </c>
      <c r="Q55">
        <f t="shared" si="3"/>
        <v>63.431699999999999</v>
      </c>
      <c r="R55">
        <f t="shared" si="4"/>
        <v>9.4782999999999973</v>
      </c>
      <c r="S55" s="4">
        <f t="shared" si="5"/>
        <v>0.12999999999999998</v>
      </c>
      <c r="T55" t="str">
        <f>_xlfn.XLOOKUP(C55,customers!$A$1:$A$1001,customers!$I$1:$I$1001,,0)</f>
        <v>No</v>
      </c>
    </row>
    <row r="56" spans="1:20"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INDEX(products!$A$1:$I$49,MATCH('Conditional Fomating'!$D56,products!$A$1:$A$49,0),MATCH('Conditional Fomating'!I$1,products!$A$1:$D$1,0))</f>
        <v>Lib</v>
      </c>
      <c r="J56" t="str">
        <f t="shared" si="0"/>
        <v>Liberica</v>
      </c>
      <c r="K56" t="str">
        <f>INDEX(products!$A$1:$I$49,MATCH('Conditional Fomating'!$D56,products!$A$1:$A$49,0),MATCH('Conditional Fomating'!K$1,products!$A$1:$D$1,0))</f>
        <v>M</v>
      </c>
      <c r="L56" t="str">
        <f t="shared" si="1"/>
        <v>Medium</v>
      </c>
      <c r="M56">
        <f>INDEX(products!$A$1:$I$49,MATCH('Conditional Fomating'!$D56,products!$A$1:$A$49,0),MATCH('Conditional Fomating'!M$1,products!$A$1:$D$1,0))</f>
        <v>1</v>
      </c>
      <c r="N56">
        <f>_xlfn.XLOOKUP(D56,products!$A$2:$A$49,products!$E$2:$E$49)</f>
        <v>14.55</v>
      </c>
      <c r="O56">
        <f>_xlfn.XLOOKUP(D56,products!$A$2:$A$49,products!$H$2:$H$49)</f>
        <v>12.6585</v>
      </c>
      <c r="P56">
        <f t="shared" si="2"/>
        <v>72.75</v>
      </c>
      <c r="Q56">
        <f t="shared" si="3"/>
        <v>63.292500000000004</v>
      </c>
      <c r="R56">
        <f t="shared" si="4"/>
        <v>9.457499999999996</v>
      </c>
      <c r="S56" s="4">
        <f t="shared" si="5"/>
        <v>0.12999999999999995</v>
      </c>
      <c r="T56" t="str">
        <f>_xlfn.XLOOKUP(C56,customers!$A$1:$A$1001,customers!$I$1:$I$1001,,0)</f>
        <v>No</v>
      </c>
    </row>
    <row r="57" spans="1:20"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v>
      </c>
      <c r="H57" s="2" t="str">
        <f>_xlfn.XLOOKUP(C57,customers!$A$1:$A$1001,customers!$G$1:$G$1001,,0)</f>
        <v>United States</v>
      </c>
      <c r="I57" t="str">
        <f>INDEX(products!$A$1:$I$49,MATCH('Conditional Fomating'!$D57,products!$A$1:$A$49,0),MATCH('Conditional Fomating'!I$1,products!$A$1:$D$1,0))</f>
        <v>Lib</v>
      </c>
      <c r="J57" t="str">
        <f t="shared" si="0"/>
        <v>Liberica</v>
      </c>
      <c r="K57" t="str">
        <f>INDEX(products!$A$1:$I$49,MATCH('Conditional Fomating'!$D57,products!$A$1:$A$49,0),MATCH('Conditional Fomating'!K$1,products!$A$1:$D$1,0))</f>
        <v>L</v>
      </c>
      <c r="L57" t="str">
        <f t="shared" si="1"/>
        <v>Light</v>
      </c>
      <c r="M57">
        <f>INDEX(products!$A$1:$I$49,MATCH('Conditional Fomating'!$D57,products!$A$1:$A$49,0),MATCH('Conditional Fomating'!M$1,products!$A$1:$D$1,0))</f>
        <v>1</v>
      </c>
      <c r="N57">
        <f>_xlfn.XLOOKUP(D57,products!$A$2:$A$49,products!$E$2:$E$49)</f>
        <v>15.85</v>
      </c>
      <c r="O57">
        <f>_xlfn.XLOOKUP(D57,products!$A$2:$A$49,products!$H$2:$H$49)</f>
        <v>13.7895</v>
      </c>
      <c r="P57">
        <f t="shared" si="2"/>
        <v>47.55</v>
      </c>
      <c r="Q57">
        <f t="shared" si="3"/>
        <v>41.368499999999997</v>
      </c>
      <c r="R57">
        <f t="shared" si="4"/>
        <v>6.1814999999999998</v>
      </c>
      <c r="S57" s="4">
        <f t="shared" si="5"/>
        <v>0.13</v>
      </c>
      <c r="T57" t="str">
        <f>_xlfn.XLOOKUP(C57,customers!$A$1:$A$1001,customers!$I$1:$I$1001,,0)</f>
        <v>No</v>
      </c>
    </row>
    <row r="58" spans="1:20"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INDEX(products!$A$1:$I$49,MATCH('Conditional Fomating'!$D58,products!$A$1:$A$49,0),MATCH('Conditional Fomating'!I$1,products!$A$1:$D$1,0))</f>
        <v>Exc</v>
      </c>
      <c r="J58" t="str">
        <f t="shared" si="0"/>
        <v>Excelsa</v>
      </c>
      <c r="K58" t="str">
        <f>INDEX(products!$A$1:$I$49,MATCH('Conditional Fomating'!$D58,products!$A$1:$A$49,0),MATCH('Conditional Fomating'!K$1,products!$A$1:$D$1,0))</f>
        <v>D</v>
      </c>
      <c r="L58" t="str">
        <f t="shared" si="1"/>
        <v>Dark</v>
      </c>
      <c r="M58">
        <f>INDEX(products!$A$1:$I$49,MATCH('Conditional Fomating'!$D58,products!$A$1:$A$49,0),MATCH('Conditional Fomating'!M$1,products!$A$1:$D$1,0))</f>
        <v>0.2</v>
      </c>
      <c r="N58">
        <f>_xlfn.XLOOKUP(D58,products!$A$2:$A$49,products!$E$2:$E$49)</f>
        <v>3.645</v>
      </c>
      <c r="O58">
        <f>_xlfn.XLOOKUP(D58,products!$A$2:$A$49,products!$H$2:$H$49)</f>
        <v>3.2440500000000001</v>
      </c>
      <c r="P58">
        <f t="shared" si="2"/>
        <v>10.935</v>
      </c>
      <c r="Q58">
        <f t="shared" si="3"/>
        <v>9.7321500000000007</v>
      </c>
      <c r="R58">
        <f t="shared" si="4"/>
        <v>1.2028499999999998</v>
      </c>
      <c r="S58" s="4">
        <f t="shared" si="5"/>
        <v>0.10999999999999997</v>
      </c>
      <c r="T58" t="str">
        <f>_xlfn.XLOOKUP(C58,customers!$A$1:$A$1001,customers!$I$1:$I$1001,,0)</f>
        <v>Yes</v>
      </c>
    </row>
    <row r="59" spans="1:20"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INDEX(products!$A$1:$I$49,MATCH('Conditional Fomating'!$D59,products!$A$1:$A$49,0),MATCH('Conditional Fomating'!I$1,products!$A$1:$D$1,0))</f>
        <v>Exc</v>
      </c>
      <c r="J59" t="str">
        <f t="shared" si="0"/>
        <v>Excelsa</v>
      </c>
      <c r="K59" t="str">
        <f>INDEX(products!$A$1:$I$49,MATCH('Conditional Fomating'!$D59,products!$A$1:$A$49,0),MATCH('Conditional Fomating'!K$1,products!$A$1:$D$1,0))</f>
        <v>L</v>
      </c>
      <c r="L59" t="str">
        <f t="shared" si="1"/>
        <v>Light</v>
      </c>
      <c r="M59">
        <f>INDEX(products!$A$1:$I$49,MATCH('Conditional Fomating'!$D59,products!$A$1:$A$49,0),MATCH('Conditional Fomating'!M$1,products!$A$1:$D$1,0))</f>
        <v>1</v>
      </c>
      <c r="N59">
        <f>_xlfn.XLOOKUP(D59,products!$A$2:$A$49,products!$E$2:$E$49)</f>
        <v>14.85</v>
      </c>
      <c r="O59">
        <f>_xlfn.XLOOKUP(D59,products!$A$2:$A$49,products!$H$2:$H$49)</f>
        <v>13.2165</v>
      </c>
      <c r="P59">
        <f t="shared" si="2"/>
        <v>59.4</v>
      </c>
      <c r="Q59">
        <f t="shared" si="3"/>
        <v>52.866</v>
      </c>
      <c r="R59">
        <f t="shared" si="4"/>
        <v>6.5339999999999989</v>
      </c>
      <c r="S59" s="4">
        <f t="shared" si="5"/>
        <v>0.10999999999999999</v>
      </c>
      <c r="T59" t="str">
        <f>_xlfn.XLOOKUP(C59,customers!$A$1:$A$1001,customers!$I$1:$I$1001,,0)</f>
        <v>No</v>
      </c>
    </row>
    <row r="60" spans="1:20"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v>
      </c>
      <c r="H60" s="2" t="str">
        <f>_xlfn.XLOOKUP(C60,customers!$A$1:$A$1001,customers!$G$1:$G$1001,,0)</f>
        <v>United States</v>
      </c>
      <c r="I60" t="str">
        <f>INDEX(products!$A$1:$I$49,MATCH('Conditional Fomating'!$D60,products!$A$1:$A$49,0),MATCH('Conditional Fomating'!I$1,products!$A$1:$D$1,0))</f>
        <v>Lib</v>
      </c>
      <c r="J60" t="str">
        <f t="shared" si="0"/>
        <v>Liberica</v>
      </c>
      <c r="K60" t="str">
        <f>INDEX(products!$A$1:$I$49,MATCH('Conditional Fomating'!$D60,products!$A$1:$A$49,0),MATCH('Conditional Fomating'!K$1,products!$A$1:$D$1,0))</f>
        <v>D</v>
      </c>
      <c r="L60" t="str">
        <f t="shared" si="1"/>
        <v>Dark</v>
      </c>
      <c r="M60">
        <f>INDEX(products!$A$1:$I$49,MATCH('Conditional Fomating'!$D60,products!$A$1:$A$49,0),MATCH('Conditional Fomating'!M$1,products!$A$1:$D$1,0))</f>
        <v>2.5</v>
      </c>
      <c r="N60">
        <f>_xlfn.XLOOKUP(D60,products!$A$2:$A$49,products!$E$2:$E$49)</f>
        <v>29.784999999999997</v>
      </c>
      <c r="O60">
        <f>_xlfn.XLOOKUP(D60,products!$A$2:$A$49,products!$H$2:$H$49)</f>
        <v>25.912949999999995</v>
      </c>
      <c r="P60">
        <f t="shared" si="2"/>
        <v>89.35499999999999</v>
      </c>
      <c r="Q60">
        <f t="shared" si="3"/>
        <v>77.738849999999985</v>
      </c>
      <c r="R60">
        <f t="shared" si="4"/>
        <v>11.616150000000005</v>
      </c>
      <c r="S60" s="4">
        <f t="shared" si="5"/>
        <v>0.13000000000000006</v>
      </c>
      <c r="T60" t="str">
        <f>_xlfn.XLOOKUP(C60,customers!$A$1:$A$1001,customers!$I$1:$I$1001,,0)</f>
        <v>Yes</v>
      </c>
    </row>
    <row r="61" spans="1:20"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INDEX(products!$A$1:$I$49,MATCH('Conditional Fomating'!$D61,products!$A$1:$A$49,0),MATCH('Conditional Fomating'!I$1,products!$A$1:$D$1,0))</f>
        <v>Lib</v>
      </c>
      <c r="J61" t="str">
        <f t="shared" si="0"/>
        <v>Liberica</v>
      </c>
      <c r="K61" t="str">
        <f>INDEX(products!$A$1:$I$49,MATCH('Conditional Fomating'!$D61,products!$A$1:$A$49,0),MATCH('Conditional Fomating'!K$1,products!$A$1:$D$1,0))</f>
        <v>M</v>
      </c>
      <c r="L61" t="str">
        <f t="shared" si="1"/>
        <v>Medium</v>
      </c>
      <c r="M61">
        <f>INDEX(products!$A$1:$I$49,MATCH('Conditional Fomating'!$D61,products!$A$1:$A$49,0),MATCH('Conditional Fomating'!M$1,products!$A$1:$D$1,0))</f>
        <v>0.5</v>
      </c>
      <c r="N61">
        <f>_xlfn.XLOOKUP(D61,products!$A$2:$A$49,products!$E$2:$E$49)</f>
        <v>8.73</v>
      </c>
      <c r="O61">
        <f>_xlfn.XLOOKUP(D61,products!$A$2:$A$49,products!$H$2:$H$49)</f>
        <v>7.5951000000000004</v>
      </c>
      <c r="P61">
        <f t="shared" si="2"/>
        <v>26.19</v>
      </c>
      <c r="Q61">
        <f t="shared" si="3"/>
        <v>22.785299999999999</v>
      </c>
      <c r="R61">
        <f t="shared" si="4"/>
        <v>3.4047000000000018</v>
      </c>
      <c r="S61" s="4">
        <f t="shared" si="5"/>
        <v>0.13000000000000006</v>
      </c>
      <c r="T61" t="str">
        <f>_xlfn.XLOOKUP(C61,customers!$A$1:$A$1001,customers!$I$1:$I$1001,,0)</f>
        <v>Yes</v>
      </c>
    </row>
    <row r="62" spans="1:20"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INDEX(products!$A$1:$I$49,MATCH('Conditional Fomating'!$D62,products!$A$1:$A$49,0),MATCH('Conditional Fomating'!I$1,products!$A$1:$D$1,0))</f>
        <v>Ara</v>
      </c>
      <c r="J62" t="str">
        <f t="shared" si="0"/>
        <v>Arabica</v>
      </c>
      <c r="K62" t="str">
        <f>INDEX(products!$A$1:$I$49,MATCH('Conditional Fomating'!$D62,products!$A$1:$A$49,0),MATCH('Conditional Fomating'!K$1,products!$A$1:$D$1,0))</f>
        <v>D</v>
      </c>
      <c r="L62" t="str">
        <f t="shared" si="1"/>
        <v>Dark</v>
      </c>
      <c r="M62">
        <f>INDEX(products!$A$1:$I$49,MATCH('Conditional Fomating'!$D62,products!$A$1:$A$49,0),MATCH('Conditional Fomating'!M$1,products!$A$1:$D$1,0))</f>
        <v>2.5</v>
      </c>
      <c r="N62">
        <f>_xlfn.XLOOKUP(D62,products!$A$2:$A$49,products!$E$2:$E$49)</f>
        <v>22.884999999999998</v>
      </c>
      <c r="O62">
        <f>_xlfn.XLOOKUP(D62,products!$A$2:$A$49,products!$H$2:$H$49)</f>
        <v>20.82535</v>
      </c>
      <c r="P62">
        <f t="shared" si="2"/>
        <v>114.42499999999998</v>
      </c>
      <c r="Q62">
        <f t="shared" si="3"/>
        <v>104.12675</v>
      </c>
      <c r="R62">
        <f t="shared" si="4"/>
        <v>10.298249999999982</v>
      </c>
      <c r="S62" s="4">
        <f t="shared" si="5"/>
        <v>8.9999999999999858E-2</v>
      </c>
      <c r="T62" t="str">
        <f>_xlfn.XLOOKUP(C62,customers!$A$1:$A$1001,customers!$I$1:$I$1001,,0)</f>
        <v>No</v>
      </c>
    </row>
    <row r="63" spans="1:20"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v>
      </c>
      <c r="H63" s="2" t="str">
        <f>_xlfn.XLOOKUP(C63,customers!$A$1:$A$1001,customers!$G$1:$G$1001,,0)</f>
        <v>United Kingdom</v>
      </c>
      <c r="I63" t="str">
        <f>INDEX(products!$A$1:$I$49,MATCH('Conditional Fomating'!$D63,products!$A$1:$A$49,0),MATCH('Conditional Fomating'!I$1,products!$A$1:$D$1,0))</f>
        <v>Rob</v>
      </c>
      <c r="J63" t="str">
        <f t="shared" si="0"/>
        <v>Robusta</v>
      </c>
      <c r="K63" t="str">
        <f>INDEX(products!$A$1:$I$49,MATCH('Conditional Fomating'!$D63,products!$A$1:$A$49,0),MATCH('Conditional Fomating'!K$1,products!$A$1:$D$1,0))</f>
        <v>D</v>
      </c>
      <c r="L63" t="str">
        <f t="shared" si="1"/>
        <v>Dark</v>
      </c>
      <c r="M63">
        <f>INDEX(products!$A$1:$I$49,MATCH('Conditional Fomating'!$D63,products!$A$1:$A$49,0),MATCH('Conditional Fomating'!M$1,products!$A$1:$D$1,0))</f>
        <v>0.5</v>
      </c>
      <c r="N63">
        <f>_xlfn.XLOOKUP(D63,products!$A$2:$A$49,products!$E$2:$E$49)</f>
        <v>5.3699999999999992</v>
      </c>
      <c r="O63">
        <f>_xlfn.XLOOKUP(D63,products!$A$2:$A$49,products!$H$2:$H$49)</f>
        <v>5.0477999999999996</v>
      </c>
      <c r="P63">
        <f t="shared" si="2"/>
        <v>26.849999999999994</v>
      </c>
      <c r="Q63">
        <f t="shared" si="3"/>
        <v>25.238999999999997</v>
      </c>
      <c r="R63">
        <f t="shared" si="4"/>
        <v>1.6109999999999971</v>
      </c>
      <c r="S63" s="4">
        <f t="shared" si="5"/>
        <v>5.9999999999999908E-2</v>
      </c>
      <c r="T63" t="str">
        <f>_xlfn.XLOOKUP(C63,customers!$A$1:$A$1001,customers!$I$1:$I$1001,,0)</f>
        <v>Yes</v>
      </c>
    </row>
    <row r="64" spans="1:20"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v>
      </c>
      <c r="H64" s="2" t="str">
        <f>_xlfn.XLOOKUP(C64,customers!$A$1:$A$1001,customers!$G$1:$G$1001,,0)</f>
        <v>United States</v>
      </c>
      <c r="I64" t="str">
        <f>INDEX(products!$A$1:$I$49,MATCH('Conditional Fomating'!$D64,products!$A$1:$A$49,0),MATCH('Conditional Fomating'!I$1,products!$A$1:$D$1,0))</f>
        <v>Lib</v>
      </c>
      <c r="J64" t="str">
        <f t="shared" si="0"/>
        <v>Liberica</v>
      </c>
      <c r="K64" t="str">
        <f>INDEX(products!$A$1:$I$49,MATCH('Conditional Fomating'!$D64,products!$A$1:$A$49,0),MATCH('Conditional Fomating'!K$1,products!$A$1:$D$1,0))</f>
        <v>L</v>
      </c>
      <c r="L64" t="str">
        <f t="shared" si="1"/>
        <v>Light</v>
      </c>
      <c r="M64">
        <f>INDEX(products!$A$1:$I$49,MATCH('Conditional Fomating'!$D64,products!$A$1:$A$49,0),MATCH('Conditional Fomating'!M$1,products!$A$1:$D$1,0))</f>
        <v>0.2</v>
      </c>
      <c r="N64">
        <f>_xlfn.XLOOKUP(D64,products!$A$2:$A$49,products!$E$2:$E$49)</f>
        <v>4.7549999999999999</v>
      </c>
      <c r="O64">
        <f>_xlfn.XLOOKUP(D64,products!$A$2:$A$49,products!$H$2:$H$49)</f>
        <v>4.1368499999999999</v>
      </c>
      <c r="P64">
        <f t="shared" si="2"/>
        <v>23.774999999999999</v>
      </c>
      <c r="Q64">
        <f t="shared" si="3"/>
        <v>20.684249999999999</v>
      </c>
      <c r="R64">
        <f t="shared" si="4"/>
        <v>3.0907499999999999</v>
      </c>
      <c r="S64" s="4">
        <f t="shared" si="5"/>
        <v>0.13</v>
      </c>
      <c r="T64" t="str">
        <f>_xlfn.XLOOKUP(C64,customers!$A$1:$A$1001,customers!$I$1:$I$1001,,0)</f>
        <v>Yes</v>
      </c>
    </row>
    <row r="65" spans="1:20"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INDEX(products!$A$1:$I$49,MATCH('Conditional Fomating'!$D65,products!$A$1:$A$49,0),MATCH('Conditional Fomating'!I$1,products!$A$1:$D$1,0))</f>
        <v>Ara</v>
      </c>
      <c r="J65" t="str">
        <f t="shared" si="0"/>
        <v>Arabica</v>
      </c>
      <c r="K65" t="str">
        <f>INDEX(products!$A$1:$I$49,MATCH('Conditional Fomating'!$D65,products!$A$1:$A$49,0),MATCH('Conditional Fomating'!K$1,products!$A$1:$D$1,0))</f>
        <v>M</v>
      </c>
      <c r="L65" t="str">
        <f t="shared" si="1"/>
        <v>Medium</v>
      </c>
      <c r="M65">
        <f>INDEX(products!$A$1:$I$49,MATCH('Conditional Fomating'!$D65,products!$A$1:$A$49,0),MATCH('Conditional Fomating'!M$1,products!$A$1:$D$1,0))</f>
        <v>0.5</v>
      </c>
      <c r="N65">
        <f>_xlfn.XLOOKUP(D65,products!$A$2:$A$49,products!$E$2:$E$49)</f>
        <v>6.75</v>
      </c>
      <c r="O65">
        <f>_xlfn.XLOOKUP(D65,products!$A$2:$A$49,products!$H$2:$H$49)</f>
        <v>6.1425000000000001</v>
      </c>
      <c r="P65">
        <f t="shared" si="2"/>
        <v>6.75</v>
      </c>
      <c r="Q65">
        <f t="shared" si="3"/>
        <v>6.1425000000000001</v>
      </c>
      <c r="R65">
        <f t="shared" si="4"/>
        <v>0.60749999999999993</v>
      </c>
      <c r="S65" s="4">
        <f t="shared" si="5"/>
        <v>8.9999999999999983E-2</v>
      </c>
      <c r="T65" t="str">
        <f>_xlfn.XLOOKUP(C65,customers!$A$1:$A$1001,customers!$I$1:$I$1001,,0)</f>
        <v>No</v>
      </c>
    </row>
    <row r="66" spans="1:20"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v>
      </c>
      <c r="H66" s="2" t="str">
        <f>_xlfn.XLOOKUP(C66,customers!$A$1:$A$1001,customers!$G$1:$G$1001,,0)</f>
        <v>United States</v>
      </c>
      <c r="I66" t="str">
        <f>INDEX(products!$A$1:$I$49,MATCH('Conditional Fomating'!$D66,products!$A$1:$A$49,0),MATCH('Conditional Fomating'!I$1,products!$A$1:$D$1,0))</f>
        <v>Rob</v>
      </c>
      <c r="J66" t="str">
        <f t="shared" si="0"/>
        <v>Robusta</v>
      </c>
      <c r="K66" t="str">
        <f>INDEX(products!$A$1:$I$49,MATCH('Conditional Fomating'!$D66,products!$A$1:$A$49,0),MATCH('Conditional Fomating'!K$1,products!$A$1:$D$1,0))</f>
        <v>M</v>
      </c>
      <c r="L66" t="str">
        <f t="shared" si="1"/>
        <v>Medium</v>
      </c>
      <c r="M66">
        <f>INDEX(products!$A$1:$I$49,MATCH('Conditional Fomating'!$D66,products!$A$1:$A$49,0),MATCH('Conditional Fomating'!M$1,products!$A$1:$D$1,0))</f>
        <v>0.5</v>
      </c>
      <c r="N66">
        <f>_xlfn.XLOOKUP(D66,products!$A$2:$A$49,products!$E$2:$E$49)</f>
        <v>5.97</v>
      </c>
      <c r="O66">
        <f>_xlfn.XLOOKUP(D66,products!$A$2:$A$49,products!$H$2:$H$49)</f>
        <v>5.6117999999999997</v>
      </c>
      <c r="P66">
        <f t="shared" si="2"/>
        <v>35.82</v>
      </c>
      <c r="Q66">
        <f t="shared" si="3"/>
        <v>33.6708</v>
      </c>
      <c r="R66">
        <f t="shared" si="4"/>
        <v>2.1492000000000004</v>
      </c>
      <c r="S66" s="4">
        <f t="shared" si="5"/>
        <v>6.0000000000000012E-2</v>
      </c>
      <c r="T66" t="str">
        <f>_xlfn.XLOOKUP(C66,customers!$A$1:$A$1001,customers!$I$1:$I$1001,,0)</f>
        <v>Yes</v>
      </c>
    </row>
    <row r="67" spans="1:20"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INDEX(products!$A$1:$I$49,MATCH('Conditional Fomating'!$D67,products!$A$1:$A$49,0),MATCH('Conditional Fomating'!I$1,products!$A$1:$D$1,0))</f>
        <v>Rob</v>
      </c>
      <c r="J67" t="str">
        <f t="shared" ref="J67:J130" si="6">IF(I67="Rob","Robusta",IF(I67="Exc","Excelsa",IF(I67="Ara","Arabica",IF(I67="Lib","Liberica",""))))</f>
        <v>Robusta</v>
      </c>
      <c r="K67" t="str">
        <f>INDEX(products!$A$1:$I$49,MATCH('Conditional Fomating'!$D67,products!$A$1:$A$49,0),MATCH('Conditional Fomating'!K$1,products!$A$1:$D$1,0))</f>
        <v>D</v>
      </c>
      <c r="L67" t="str">
        <f t="shared" ref="L67:L130" si="7">IF(K67="M","Medium",IF(K67="L","Light",IF(K67="D","Dark","")))</f>
        <v>Dark</v>
      </c>
      <c r="M67">
        <f>INDEX(products!$A$1:$I$49,MATCH('Conditional Fomating'!$D67,products!$A$1:$A$49,0),MATCH('Conditional Fomating'!M$1,products!$A$1:$D$1,0))</f>
        <v>2.5</v>
      </c>
      <c r="N67">
        <f>_xlfn.XLOOKUP(D67,products!$A$2:$A$49,products!$E$2:$E$49)</f>
        <v>20.584999999999997</v>
      </c>
      <c r="O67">
        <f>_xlfn.XLOOKUP(D67,products!$A$2:$A$49,products!$H$2:$H$49)</f>
        <v>19.349899999999998</v>
      </c>
      <c r="P67">
        <f t="shared" ref="P67:P130" si="8">N67*E67</f>
        <v>82.339999999999989</v>
      </c>
      <c r="Q67">
        <f t="shared" ref="Q67:Q130" si="9">O67*E67</f>
        <v>77.399599999999992</v>
      </c>
      <c r="R67">
        <f t="shared" ref="R67:R130" si="10">P67-Q67</f>
        <v>4.9403999999999968</v>
      </c>
      <c r="S67" s="4">
        <f t="shared" ref="S67:S130" si="11">R67/P67</f>
        <v>5.999999999999997E-2</v>
      </c>
      <c r="T67" t="str">
        <f>_xlfn.XLOOKUP(C67,customers!$A$1:$A$1001,customers!$I$1:$I$1001,,0)</f>
        <v>Yes</v>
      </c>
    </row>
    <row r="68" spans="1:20"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INDEX(products!$A$1:$I$49,MATCH('Conditional Fomating'!$D68,products!$A$1:$A$49,0),MATCH('Conditional Fomating'!I$1,products!$A$1:$D$1,0))</f>
        <v>Rob</v>
      </c>
      <c r="J68" t="str">
        <f t="shared" si="6"/>
        <v>Robusta</v>
      </c>
      <c r="K68" t="str">
        <f>INDEX(products!$A$1:$I$49,MATCH('Conditional Fomating'!$D68,products!$A$1:$A$49,0),MATCH('Conditional Fomating'!K$1,products!$A$1:$D$1,0))</f>
        <v>L</v>
      </c>
      <c r="L68" t="str">
        <f t="shared" si="7"/>
        <v>Light</v>
      </c>
      <c r="M68">
        <f>INDEX(products!$A$1:$I$49,MATCH('Conditional Fomating'!$D68,products!$A$1:$A$49,0),MATCH('Conditional Fomating'!M$1,products!$A$1:$D$1,0))</f>
        <v>0.5</v>
      </c>
      <c r="N68">
        <f>_xlfn.XLOOKUP(D68,products!$A$2:$A$49,products!$E$2:$E$49)</f>
        <v>7.169999999999999</v>
      </c>
      <c r="O68">
        <f>_xlfn.XLOOKUP(D68,products!$A$2:$A$49,products!$H$2:$H$49)</f>
        <v>6.7397999999999989</v>
      </c>
      <c r="P68">
        <f t="shared" si="8"/>
        <v>7.169999999999999</v>
      </c>
      <c r="Q68">
        <f t="shared" si="9"/>
        <v>6.7397999999999989</v>
      </c>
      <c r="R68">
        <f t="shared" si="10"/>
        <v>0.43020000000000014</v>
      </c>
      <c r="S68" s="4">
        <f t="shared" si="11"/>
        <v>6.0000000000000026E-2</v>
      </c>
      <c r="T68" t="str">
        <f>_xlfn.XLOOKUP(C68,customers!$A$1:$A$1001,customers!$I$1:$I$1001,,0)</f>
        <v>Yes</v>
      </c>
    </row>
    <row r="69" spans="1:20"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INDEX(products!$A$1:$I$49,MATCH('Conditional Fomating'!$D69,products!$A$1:$A$49,0),MATCH('Conditional Fomating'!I$1,products!$A$1:$D$1,0))</f>
        <v>Lib</v>
      </c>
      <c r="J69" t="str">
        <f t="shared" si="6"/>
        <v>Liberica</v>
      </c>
      <c r="K69" t="str">
        <f>INDEX(products!$A$1:$I$49,MATCH('Conditional Fomating'!$D69,products!$A$1:$A$49,0),MATCH('Conditional Fomating'!K$1,products!$A$1:$D$1,0))</f>
        <v>L</v>
      </c>
      <c r="L69" t="str">
        <f t="shared" si="7"/>
        <v>Light</v>
      </c>
      <c r="M69">
        <f>INDEX(products!$A$1:$I$49,MATCH('Conditional Fomating'!$D69,products!$A$1:$A$49,0),MATCH('Conditional Fomating'!M$1,products!$A$1:$D$1,0))</f>
        <v>0.2</v>
      </c>
      <c r="N69">
        <f>_xlfn.XLOOKUP(D69,products!$A$2:$A$49,products!$E$2:$E$49)</f>
        <v>4.7549999999999999</v>
      </c>
      <c r="O69">
        <f>_xlfn.XLOOKUP(D69,products!$A$2:$A$49,products!$H$2:$H$49)</f>
        <v>4.1368499999999999</v>
      </c>
      <c r="P69">
        <f t="shared" si="8"/>
        <v>9.51</v>
      </c>
      <c r="Q69">
        <f t="shared" si="9"/>
        <v>8.2736999999999998</v>
      </c>
      <c r="R69">
        <f t="shared" si="10"/>
        <v>1.2363</v>
      </c>
      <c r="S69" s="4">
        <f t="shared" si="11"/>
        <v>0.13</v>
      </c>
      <c r="T69" t="str">
        <f>_xlfn.XLOOKUP(C69,customers!$A$1:$A$1001,customers!$I$1:$I$1001,,0)</f>
        <v>No</v>
      </c>
    </row>
    <row r="70" spans="1:20"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INDEX(products!$A$1:$I$49,MATCH('Conditional Fomating'!$D70,products!$A$1:$A$49,0),MATCH('Conditional Fomating'!I$1,products!$A$1:$D$1,0))</f>
        <v>Rob</v>
      </c>
      <c r="J70" t="str">
        <f t="shared" si="6"/>
        <v>Robusta</v>
      </c>
      <c r="K70" t="str">
        <f>INDEX(products!$A$1:$I$49,MATCH('Conditional Fomating'!$D70,products!$A$1:$A$49,0),MATCH('Conditional Fomating'!K$1,products!$A$1:$D$1,0))</f>
        <v>M</v>
      </c>
      <c r="L70" t="str">
        <f t="shared" si="7"/>
        <v>Medium</v>
      </c>
      <c r="M70">
        <f>INDEX(products!$A$1:$I$49,MATCH('Conditional Fomating'!$D70,products!$A$1:$A$49,0),MATCH('Conditional Fomating'!M$1,products!$A$1:$D$1,0))</f>
        <v>0.2</v>
      </c>
      <c r="N70">
        <f>_xlfn.XLOOKUP(D70,products!$A$2:$A$49,products!$E$2:$E$49)</f>
        <v>2.9849999999999999</v>
      </c>
      <c r="O70">
        <f>_xlfn.XLOOKUP(D70,products!$A$2:$A$49,products!$H$2:$H$49)</f>
        <v>2.8058999999999998</v>
      </c>
      <c r="P70">
        <f t="shared" si="8"/>
        <v>2.9849999999999999</v>
      </c>
      <c r="Q70">
        <f t="shared" si="9"/>
        <v>2.8058999999999998</v>
      </c>
      <c r="R70">
        <f t="shared" si="10"/>
        <v>0.17910000000000004</v>
      </c>
      <c r="S70" s="4">
        <f t="shared" si="11"/>
        <v>6.0000000000000012E-2</v>
      </c>
      <c r="T70" t="str">
        <f>_xlfn.XLOOKUP(C70,customers!$A$1:$A$1001,customers!$I$1:$I$1001,,0)</f>
        <v>No</v>
      </c>
    </row>
    <row r="71" spans="1:20"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INDEX(products!$A$1:$I$49,MATCH('Conditional Fomating'!$D71,products!$A$1:$A$49,0),MATCH('Conditional Fomating'!I$1,products!$A$1:$D$1,0))</f>
        <v>Rob</v>
      </c>
      <c r="J71" t="str">
        <f t="shared" si="6"/>
        <v>Robusta</v>
      </c>
      <c r="K71" t="str">
        <f>INDEX(products!$A$1:$I$49,MATCH('Conditional Fomating'!$D71,products!$A$1:$A$49,0),MATCH('Conditional Fomating'!K$1,products!$A$1:$D$1,0))</f>
        <v>M</v>
      </c>
      <c r="L71" t="str">
        <f t="shared" si="7"/>
        <v>Medium</v>
      </c>
      <c r="M71">
        <f>INDEX(products!$A$1:$I$49,MATCH('Conditional Fomating'!$D71,products!$A$1:$A$49,0),MATCH('Conditional Fomating'!M$1,products!$A$1:$D$1,0))</f>
        <v>1</v>
      </c>
      <c r="N71">
        <f>_xlfn.XLOOKUP(D71,products!$A$2:$A$49,products!$E$2:$E$49)</f>
        <v>9.9499999999999993</v>
      </c>
      <c r="O71">
        <f>_xlfn.XLOOKUP(D71,products!$A$2:$A$49,products!$H$2:$H$49)</f>
        <v>9.3529999999999998</v>
      </c>
      <c r="P71">
        <f t="shared" si="8"/>
        <v>59.699999999999996</v>
      </c>
      <c r="Q71">
        <f t="shared" si="9"/>
        <v>56.117999999999995</v>
      </c>
      <c r="R71">
        <f t="shared" si="10"/>
        <v>3.5820000000000007</v>
      </c>
      <c r="S71" s="4">
        <f t="shared" si="11"/>
        <v>6.0000000000000019E-2</v>
      </c>
      <c r="T71" t="str">
        <f>_xlfn.XLOOKUP(C71,customers!$A$1:$A$1001,customers!$I$1:$I$1001,,0)</f>
        <v>Yes</v>
      </c>
    </row>
    <row r="72" spans="1:20"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INDEX(products!$A$1:$I$49,MATCH('Conditional Fomating'!$D72,products!$A$1:$A$49,0),MATCH('Conditional Fomating'!I$1,products!$A$1:$D$1,0))</f>
        <v>Exc</v>
      </c>
      <c r="J72" t="str">
        <f t="shared" si="6"/>
        <v>Excelsa</v>
      </c>
      <c r="K72" t="str">
        <f>INDEX(products!$A$1:$I$49,MATCH('Conditional Fomating'!$D72,products!$A$1:$A$49,0),MATCH('Conditional Fomating'!K$1,products!$A$1:$D$1,0))</f>
        <v>L</v>
      </c>
      <c r="L72" t="str">
        <f t="shared" si="7"/>
        <v>Light</v>
      </c>
      <c r="M72">
        <f>INDEX(products!$A$1:$I$49,MATCH('Conditional Fomating'!$D72,products!$A$1:$A$49,0),MATCH('Conditional Fomating'!M$1,products!$A$1:$D$1,0))</f>
        <v>2.5</v>
      </c>
      <c r="N72">
        <f>_xlfn.XLOOKUP(D72,products!$A$2:$A$49,products!$E$2:$E$49)</f>
        <v>34.154999999999994</v>
      </c>
      <c r="O72">
        <f>_xlfn.XLOOKUP(D72,products!$A$2:$A$49,products!$H$2:$H$49)</f>
        <v>30.397949999999994</v>
      </c>
      <c r="P72">
        <f t="shared" si="8"/>
        <v>136.61999999999998</v>
      </c>
      <c r="Q72">
        <f t="shared" si="9"/>
        <v>121.59179999999998</v>
      </c>
      <c r="R72">
        <f t="shared" si="10"/>
        <v>15.028199999999998</v>
      </c>
      <c r="S72" s="4">
        <f t="shared" si="11"/>
        <v>0.11</v>
      </c>
      <c r="T72" t="str">
        <f>_xlfn.XLOOKUP(C72,customers!$A$1:$A$1001,customers!$I$1:$I$1001,,0)</f>
        <v>No</v>
      </c>
    </row>
    <row r="73" spans="1:20"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INDEX(products!$A$1:$I$49,MATCH('Conditional Fomating'!$D73,products!$A$1:$A$49,0),MATCH('Conditional Fomating'!I$1,products!$A$1:$D$1,0))</f>
        <v>Lib</v>
      </c>
      <c r="J73" t="str">
        <f t="shared" si="6"/>
        <v>Liberica</v>
      </c>
      <c r="K73" t="str">
        <f>INDEX(products!$A$1:$I$49,MATCH('Conditional Fomating'!$D73,products!$A$1:$A$49,0),MATCH('Conditional Fomating'!K$1,products!$A$1:$D$1,0))</f>
        <v>L</v>
      </c>
      <c r="L73" t="str">
        <f t="shared" si="7"/>
        <v>Light</v>
      </c>
      <c r="M73">
        <f>INDEX(products!$A$1:$I$49,MATCH('Conditional Fomating'!$D73,products!$A$1:$A$49,0),MATCH('Conditional Fomating'!M$1,products!$A$1:$D$1,0))</f>
        <v>0.2</v>
      </c>
      <c r="N73">
        <f>_xlfn.XLOOKUP(D73,products!$A$2:$A$49,products!$E$2:$E$49)</f>
        <v>4.7549999999999999</v>
      </c>
      <c r="O73">
        <f>_xlfn.XLOOKUP(D73,products!$A$2:$A$49,products!$H$2:$H$49)</f>
        <v>4.1368499999999999</v>
      </c>
      <c r="P73">
        <f t="shared" si="8"/>
        <v>9.51</v>
      </c>
      <c r="Q73">
        <f t="shared" si="9"/>
        <v>8.2736999999999998</v>
      </c>
      <c r="R73">
        <f t="shared" si="10"/>
        <v>1.2363</v>
      </c>
      <c r="S73" s="4">
        <f t="shared" si="11"/>
        <v>0.13</v>
      </c>
      <c r="T73" t="str">
        <f>_xlfn.XLOOKUP(C73,customers!$A$1:$A$1001,customers!$I$1:$I$1001,,0)</f>
        <v>No</v>
      </c>
    </row>
    <row r="74" spans="1:20"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v>
      </c>
      <c r="H74" s="2" t="str">
        <f>_xlfn.XLOOKUP(C74,customers!$A$1:$A$1001,customers!$G$1:$G$1001,,0)</f>
        <v>United States</v>
      </c>
      <c r="I74" t="str">
        <f>INDEX(products!$A$1:$I$49,MATCH('Conditional Fomating'!$D74,products!$A$1:$A$49,0),MATCH('Conditional Fomating'!I$1,products!$A$1:$D$1,0))</f>
        <v>Ara</v>
      </c>
      <c r="J74" t="str">
        <f t="shared" si="6"/>
        <v>Arabica</v>
      </c>
      <c r="K74" t="str">
        <f>INDEX(products!$A$1:$I$49,MATCH('Conditional Fomating'!$D74,products!$A$1:$A$49,0),MATCH('Conditional Fomating'!K$1,products!$A$1:$D$1,0))</f>
        <v>M</v>
      </c>
      <c r="L74" t="str">
        <f t="shared" si="7"/>
        <v>Medium</v>
      </c>
      <c r="M74">
        <f>INDEX(products!$A$1:$I$49,MATCH('Conditional Fomating'!$D74,products!$A$1:$A$49,0),MATCH('Conditional Fomating'!M$1,products!$A$1:$D$1,0))</f>
        <v>2.5</v>
      </c>
      <c r="N74">
        <f>_xlfn.XLOOKUP(D74,products!$A$2:$A$49,products!$E$2:$E$49)</f>
        <v>25.874999999999996</v>
      </c>
      <c r="O74">
        <f>_xlfn.XLOOKUP(D74,products!$A$2:$A$49,products!$H$2:$H$49)</f>
        <v>23.546249999999997</v>
      </c>
      <c r="P74">
        <f t="shared" si="8"/>
        <v>77.624999999999986</v>
      </c>
      <c r="Q74">
        <f t="shared" si="9"/>
        <v>70.638749999999987</v>
      </c>
      <c r="R74">
        <f t="shared" si="10"/>
        <v>6.9862499999999983</v>
      </c>
      <c r="S74" s="4">
        <f t="shared" si="11"/>
        <v>0.09</v>
      </c>
      <c r="T74" t="str">
        <f>_xlfn.XLOOKUP(C74,customers!$A$1:$A$1001,customers!$I$1:$I$1001,,0)</f>
        <v>No</v>
      </c>
    </row>
    <row r="75" spans="1:20"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v>
      </c>
      <c r="H75" s="2" t="str">
        <f>_xlfn.XLOOKUP(C75,customers!$A$1:$A$1001,customers!$G$1:$G$1001,,0)</f>
        <v>United States</v>
      </c>
      <c r="I75" t="str">
        <f>INDEX(products!$A$1:$I$49,MATCH('Conditional Fomating'!$D75,products!$A$1:$A$49,0),MATCH('Conditional Fomating'!I$1,products!$A$1:$D$1,0))</f>
        <v>Lib</v>
      </c>
      <c r="J75" t="str">
        <f t="shared" si="6"/>
        <v>Liberica</v>
      </c>
      <c r="K75" t="str">
        <f>INDEX(products!$A$1:$I$49,MATCH('Conditional Fomating'!$D75,products!$A$1:$A$49,0),MATCH('Conditional Fomating'!K$1,products!$A$1:$D$1,0))</f>
        <v>M</v>
      </c>
      <c r="L75" t="str">
        <f t="shared" si="7"/>
        <v>Medium</v>
      </c>
      <c r="M75">
        <f>INDEX(products!$A$1:$I$49,MATCH('Conditional Fomating'!$D75,products!$A$1:$A$49,0),MATCH('Conditional Fomating'!M$1,products!$A$1:$D$1,0))</f>
        <v>0.2</v>
      </c>
      <c r="N75">
        <f>_xlfn.XLOOKUP(D75,products!$A$2:$A$49,products!$E$2:$E$49)</f>
        <v>4.3650000000000002</v>
      </c>
      <c r="O75">
        <f>_xlfn.XLOOKUP(D75,products!$A$2:$A$49,products!$H$2:$H$49)</f>
        <v>3.7975500000000002</v>
      </c>
      <c r="P75">
        <f t="shared" si="8"/>
        <v>21.825000000000003</v>
      </c>
      <c r="Q75">
        <f t="shared" si="9"/>
        <v>18.987750000000002</v>
      </c>
      <c r="R75">
        <f t="shared" si="10"/>
        <v>2.8372500000000009</v>
      </c>
      <c r="S75" s="4">
        <f t="shared" si="11"/>
        <v>0.13000000000000003</v>
      </c>
      <c r="T75" t="str">
        <f>_xlfn.XLOOKUP(C75,customers!$A$1:$A$1001,customers!$I$1:$I$1001,,0)</f>
        <v>Yes</v>
      </c>
    </row>
    <row r="76" spans="1:20"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INDEX(products!$A$1:$I$49,MATCH('Conditional Fomating'!$D76,products!$A$1:$A$49,0),MATCH('Conditional Fomating'!I$1,products!$A$1:$D$1,0))</f>
        <v>Exc</v>
      </c>
      <c r="J76" t="str">
        <f t="shared" si="6"/>
        <v>Excelsa</v>
      </c>
      <c r="K76" t="str">
        <f>INDEX(products!$A$1:$I$49,MATCH('Conditional Fomating'!$D76,products!$A$1:$A$49,0),MATCH('Conditional Fomating'!K$1,products!$A$1:$D$1,0))</f>
        <v>L</v>
      </c>
      <c r="L76" t="str">
        <f t="shared" si="7"/>
        <v>Light</v>
      </c>
      <c r="M76">
        <f>INDEX(products!$A$1:$I$49,MATCH('Conditional Fomating'!$D76,products!$A$1:$A$49,0),MATCH('Conditional Fomating'!M$1,products!$A$1:$D$1,0))</f>
        <v>0.5</v>
      </c>
      <c r="N76">
        <f>_xlfn.XLOOKUP(D76,products!$A$2:$A$49,products!$E$2:$E$49)</f>
        <v>8.91</v>
      </c>
      <c r="O76">
        <f>_xlfn.XLOOKUP(D76,products!$A$2:$A$49,products!$H$2:$H$49)</f>
        <v>7.9298999999999999</v>
      </c>
      <c r="P76">
        <f t="shared" si="8"/>
        <v>17.82</v>
      </c>
      <c r="Q76">
        <f t="shared" si="9"/>
        <v>15.8598</v>
      </c>
      <c r="R76">
        <f t="shared" si="10"/>
        <v>1.9602000000000004</v>
      </c>
      <c r="S76" s="4">
        <f t="shared" si="11"/>
        <v>0.11000000000000001</v>
      </c>
      <c r="T76" t="str">
        <f>_xlfn.XLOOKUP(C76,customers!$A$1:$A$1001,customers!$I$1:$I$1001,,0)</f>
        <v>Yes</v>
      </c>
    </row>
    <row r="77" spans="1:20"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INDEX(products!$A$1:$I$49,MATCH('Conditional Fomating'!$D77,products!$A$1:$A$49,0),MATCH('Conditional Fomating'!I$1,products!$A$1:$D$1,0))</f>
        <v>Rob</v>
      </c>
      <c r="J77" t="str">
        <f t="shared" si="6"/>
        <v>Robusta</v>
      </c>
      <c r="K77" t="str">
        <f>INDEX(products!$A$1:$I$49,MATCH('Conditional Fomating'!$D77,products!$A$1:$A$49,0),MATCH('Conditional Fomating'!K$1,products!$A$1:$D$1,0))</f>
        <v>D</v>
      </c>
      <c r="L77" t="str">
        <f t="shared" si="7"/>
        <v>Dark</v>
      </c>
      <c r="M77">
        <f>INDEX(products!$A$1:$I$49,MATCH('Conditional Fomating'!$D77,products!$A$1:$A$49,0),MATCH('Conditional Fomating'!M$1,products!$A$1:$D$1,0))</f>
        <v>1</v>
      </c>
      <c r="N77">
        <f>_xlfn.XLOOKUP(D77,products!$A$2:$A$49,products!$E$2:$E$49)</f>
        <v>8.9499999999999993</v>
      </c>
      <c r="O77">
        <f>_xlfn.XLOOKUP(D77,products!$A$2:$A$49,products!$H$2:$H$49)</f>
        <v>8.4130000000000003</v>
      </c>
      <c r="P77">
        <f t="shared" si="8"/>
        <v>53.699999999999996</v>
      </c>
      <c r="Q77">
        <f t="shared" si="9"/>
        <v>50.478000000000002</v>
      </c>
      <c r="R77">
        <f t="shared" si="10"/>
        <v>3.2219999999999942</v>
      </c>
      <c r="S77" s="4">
        <f t="shared" si="11"/>
        <v>5.9999999999999894E-2</v>
      </c>
      <c r="T77" t="str">
        <f>_xlfn.XLOOKUP(C77,customers!$A$1:$A$1001,customers!$I$1:$I$1001,,0)</f>
        <v>Yes</v>
      </c>
    </row>
    <row r="78" spans="1:20"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v>
      </c>
      <c r="H78" s="2" t="str">
        <f>_xlfn.XLOOKUP(C78,customers!$A$1:$A$1001,customers!$G$1:$G$1001,,0)</f>
        <v>Ireland</v>
      </c>
      <c r="I78" t="str">
        <f>INDEX(products!$A$1:$I$49,MATCH('Conditional Fomating'!$D78,products!$A$1:$A$49,0),MATCH('Conditional Fomating'!I$1,products!$A$1:$D$1,0))</f>
        <v>Rob</v>
      </c>
      <c r="J78" t="str">
        <f t="shared" si="6"/>
        <v>Robusta</v>
      </c>
      <c r="K78" t="str">
        <f>INDEX(products!$A$1:$I$49,MATCH('Conditional Fomating'!$D78,products!$A$1:$A$49,0),MATCH('Conditional Fomating'!K$1,products!$A$1:$D$1,0))</f>
        <v>L</v>
      </c>
      <c r="L78" t="str">
        <f t="shared" si="7"/>
        <v>Light</v>
      </c>
      <c r="M78">
        <f>INDEX(products!$A$1:$I$49,MATCH('Conditional Fomating'!$D78,products!$A$1:$A$49,0),MATCH('Conditional Fomating'!M$1,products!$A$1:$D$1,0))</f>
        <v>0.2</v>
      </c>
      <c r="N78">
        <f>_xlfn.XLOOKUP(D78,products!$A$2:$A$49,products!$E$2:$E$49)</f>
        <v>3.5849999999999995</v>
      </c>
      <c r="O78">
        <f>_xlfn.XLOOKUP(D78,products!$A$2:$A$49,products!$H$2:$H$49)</f>
        <v>3.3698999999999995</v>
      </c>
      <c r="P78">
        <f t="shared" si="8"/>
        <v>3.5849999999999995</v>
      </c>
      <c r="Q78">
        <f t="shared" si="9"/>
        <v>3.3698999999999995</v>
      </c>
      <c r="R78">
        <f t="shared" si="10"/>
        <v>0.21510000000000007</v>
      </c>
      <c r="S78" s="4">
        <f t="shared" si="11"/>
        <v>6.0000000000000026E-2</v>
      </c>
      <c r="T78" t="str">
        <f>_xlfn.XLOOKUP(C78,customers!$A$1:$A$1001,customers!$I$1:$I$1001,,0)</f>
        <v>Yes</v>
      </c>
    </row>
    <row r="79" spans="1:20"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INDEX(products!$A$1:$I$49,MATCH('Conditional Fomating'!$D79,products!$A$1:$A$49,0),MATCH('Conditional Fomating'!I$1,products!$A$1:$D$1,0))</f>
        <v>Exc</v>
      </c>
      <c r="J79" t="str">
        <f t="shared" si="6"/>
        <v>Excelsa</v>
      </c>
      <c r="K79" t="str">
        <f>INDEX(products!$A$1:$I$49,MATCH('Conditional Fomating'!$D79,products!$A$1:$A$49,0),MATCH('Conditional Fomating'!K$1,products!$A$1:$D$1,0))</f>
        <v>D</v>
      </c>
      <c r="L79" t="str">
        <f t="shared" si="7"/>
        <v>Dark</v>
      </c>
      <c r="M79">
        <f>INDEX(products!$A$1:$I$49,MATCH('Conditional Fomating'!$D79,products!$A$1:$A$49,0),MATCH('Conditional Fomating'!M$1,products!$A$1:$D$1,0))</f>
        <v>0.2</v>
      </c>
      <c r="N79">
        <f>_xlfn.XLOOKUP(D79,products!$A$2:$A$49,products!$E$2:$E$49)</f>
        <v>3.645</v>
      </c>
      <c r="O79">
        <f>_xlfn.XLOOKUP(D79,products!$A$2:$A$49,products!$H$2:$H$49)</f>
        <v>3.2440500000000001</v>
      </c>
      <c r="P79">
        <f t="shared" si="8"/>
        <v>7.29</v>
      </c>
      <c r="Q79">
        <f t="shared" si="9"/>
        <v>6.4881000000000002</v>
      </c>
      <c r="R79">
        <f t="shared" si="10"/>
        <v>0.80189999999999984</v>
      </c>
      <c r="S79" s="4">
        <f t="shared" si="11"/>
        <v>0.10999999999999997</v>
      </c>
      <c r="T79" t="str">
        <f>_xlfn.XLOOKUP(C79,customers!$A$1:$A$1001,customers!$I$1:$I$1001,,0)</f>
        <v>No</v>
      </c>
    </row>
    <row r="80" spans="1:20"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INDEX(products!$A$1:$I$49,MATCH('Conditional Fomating'!$D80,products!$A$1:$A$49,0),MATCH('Conditional Fomating'!I$1,products!$A$1:$D$1,0))</f>
        <v>Ara</v>
      </c>
      <c r="J80" t="str">
        <f t="shared" si="6"/>
        <v>Arabica</v>
      </c>
      <c r="K80" t="str">
        <f>INDEX(products!$A$1:$I$49,MATCH('Conditional Fomating'!$D80,products!$A$1:$A$49,0),MATCH('Conditional Fomating'!K$1,products!$A$1:$D$1,0))</f>
        <v>M</v>
      </c>
      <c r="L80" t="str">
        <f t="shared" si="7"/>
        <v>Medium</v>
      </c>
      <c r="M80">
        <f>INDEX(products!$A$1:$I$49,MATCH('Conditional Fomating'!$D80,products!$A$1:$A$49,0),MATCH('Conditional Fomating'!M$1,products!$A$1:$D$1,0))</f>
        <v>0.5</v>
      </c>
      <c r="N80">
        <f>_xlfn.XLOOKUP(D80,products!$A$2:$A$49,products!$E$2:$E$49)</f>
        <v>6.75</v>
      </c>
      <c r="O80">
        <f>_xlfn.XLOOKUP(D80,products!$A$2:$A$49,products!$H$2:$H$49)</f>
        <v>6.1425000000000001</v>
      </c>
      <c r="P80">
        <f t="shared" si="8"/>
        <v>40.5</v>
      </c>
      <c r="Q80">
        <f t="shared" si="9"/>
        <v>36.855000000000004</v>
      </c>
      <c r="R80">
        <f t="shared" si="10"/>
        <v>3.644999999999996</v>
      </c>
      <c r="S80" s="4">
        <f t="shared" si="11"/>
        <v>8.99999999999999E-2</v>
      </c>
      <c r="T80" t="str">
        <f>_xlfn.XLOOKUP(C80,customers!$A$1:$A$1001,customers!$I$1:$I$1001,,0)</f>
        <v>Yes</v>
      </c>
    </row>
    <row r="81" spans="1:20"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INDEX(products!$A$1:$I$49,MATCH('Conditional Fomating'!$D81,products!$A$1:$A$49,0),MATCH('Conditional Fomating'!I$1,products!$A$1:$D$1,0))</f>
        <v>Rob</v>
      </c>
      <c r="J81" t="str">
        <f t="shared" si="6"/>
        <v>Robusta</v>
      </c>
      <c r="K81" t="str">
        <f>INDEX(products!$A$1:$I$49,MATCH('Conditional Fomating'!$D81,products!$A$1:$A$49,0),MATCH('Conditional Fomating'!K$1,products!$A$1:$D$1,0))</f>
        <v>L</v>
      </c>
      <c r="L81" t="str">
        <f t="shared" si="7"/>
        <v>Light</v>
      </c>
      <c r="M81">
        <f>INDEX(products!$A$1:$I$49,MATCH('Conditional Fomating'!$D81,products!$A$1:$A$49,0),MATCH('Conditional Fomating'!M$1,products!$A$1:$D$1,0))</f>
        <v>1</v>
      </c>
      <c r="N81">
        <f>_xlfn.XLOOKUP(D81,products!$A$2:$A$49,products!$E$2:$E$49)</f>
        <v>11.95</v>
      </c>
      <c r="O81">
        <f>_xlfn.XLOOKUP(D81,products!$A$2:$A$49,products!$H$2:$H$49)</f>
        <v>11.232999999999999</v>
      </c>
      <c r="P81">
        <f t="shared" si="8"/>
        <v>47.8</v>
      </c>
      <c r="Q81">
        <f t="shared" si="9"/>
        <v>44.931999999999995</v>
      </c>
      <c r="R81">
        <f t="shared" si="10"/>
        <v>2.8680000000000021</v>
      </c>
      <c r="S81" s="4">
        <f t="shared" si="11"/>
        <v>6.0000000000000046E-2</v>
      </c>
      <c r="T81" t="str">
        <f>_xlfn.XLOOKUP(C81,customers!$A$1:$A$1001,customers!$I$1:$I$1001,,0)</f>
        <v>No</v>
      </c>
    </row>
    <row r="82" spans="1:20"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INDEX(products!$A$1:$I$49,MATCH('Conditional Fomating'!$D82,products!$A$1:$A$49,0),MATCH('Conditional Fomating'!I$1,products!$A$1:$D$1,0))</f>
        <v>Ara</v>
      </c>
      <c r="J82" t="str">
        <f t="shared" si="6"/>
        <v>Arabica</v>
      </c>
      <c r="K82" t="str">
        <f>INDEX(products!$A$1:$I$49,MATCH('Conditional Fomating'!$D82,products!$A$1:$A$49,0),MATCH('Conditional Fomating'!K$1,products!$A$1:$D$1,0))</f>
        <v>L</v>
      </c>
      <c r="L82" t="str">
        <f t="shared" si="7"/>
        <v>Light</v>
      </c>
      <c r="M82">
        <f>INDEX(products!$A$1:$I$49,MATCH('Conditional Fomating'!$D82,products!$A$1:$A$49,0),MATCH('Conditional Fomating'!M$1,products!$A$1:$D$1,0))</f>
        <v>0.5</v>
      </c>
      <c r="N82">
        <f>_xlfn.XLOOKUP(D82,products!$A$2:$A$49,products!$E$2:$E$49)</f>
        <v>7.77</v>
      </c>
      <c r="O82">
        <f>_xlfn.XLOOKUP(D82,products!$A$2:$A$49,products!$H$2:$H$49)</f>
        <v>7.0706999999999995</v>
      </c>
      <c r="P82">
        <f t="shared" si="8"/>
        <v>38.849999999999994</v>
      </c>
      <c r="Q82">
        <f t="shared" si="9"/>
        <v>35.353499999999997</v>
      </c>
      <c r="R82">
        <f t="shared" si="10"/>
        <v>3.4964999999999975</v>
      </c>
      <c r="S82" s="4">
        <f t="shared" si="11"/>
        <v>8.9999999999999955E-2</v>
      </c>
      <c r="T82" t="str">
        <f>_xlfn.XLOOKUP(C82,customers!$A$1:$A$1001,customers!$I$1:$I$1001,,0)</f>
        <v>Yes</v>
      </c>
    </row>
    <row r="83" spans="1:20"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INDEX(products!$A$1:$I$49,MATCH('Conditional Fomating'!$D83,products!$A$1:$A$49,0),MATCH('Conditional Fomating'!I$1,products!$A$1:$D$1,0))</f>
        <v>Lib</v>
      </c>
      <c r="J83" t="str">
        <f t="shared" si="6"/>
        <v>Liberica</v>
      </c>
      <c r="K83" t="str">
        <f>INDEX(products!$A$1:$I$49,MATCH('Conditional Fomating'!$D83,products!$A$1:$A$49,0),MATCH('Conditional Fomating'!K$1,products!$A$1:$D$1,0))</f>
        <v>L</v>
      </c>
      <c r="L83" t="str">
        <f t="shared" si="7"/>
        <v>Light</v>
      </c>
      <c r="M83">
        <f>INDEX(products!$A$1:$I$49,MATCH('Conditional Fomating'!$D83,products!$A$1:$A$49,0),MATCH('Conditional Fomating'!M$1,products!$A$1:$D$1,0))</f>
        <v>2.5</v>
      </c>
      <c r="N83">
        <f>_xlfn.XLOOKUP(D83,products!$A$2:$A$49,products!$E$2:$E$49)</f>
        <v>36.454999999999998</v>
      </c>
      <c r="O83">
        <f>_xlfn.XLOOKUP(D83,products!$A$2:$A$49,products!$H$2:$H$49)</f>
        <v>31.71585</v>
      </c>
      <c r="P83">
        <f t="shared" si="8"/>
        <v>109.36499999999999</v>
      </c>
      <c r="Q83">
        <f t="shared" si="9"/>
        <v>95.147549999999995</v>
      </c>
      <c r="R83">
        <f t="shared" si="10"/>
        <v>14.217449999999999</v>
      </c>
      <c r="S83" s="4">
        <f t="shared" si="11"/>
        <v>0.13</v>
      </c>
      <c r="T83" t="str">
        <f>_xlfn.XLOOKUP(C83,customers!$A$1:$A$1001,customers!$I$1:$I$1001,,0)</f>
        <v>Yes</v>
      </c>
    </row>
    <row r="84" spans="1:20"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INDEX(products!$A$1:$I$49,MATCH('Conditional Fomating'!$D84,products!$A$1:$A$49,0),MATCH('Conditional Fomating'!I$1,products!$A$1:$D$1,0))</f>
        <v>Lib</v>
      </c>
      <c r="J84" t="str">
        <f t="shared" si="6"/>
        <v>Liberica</v>
      </c>
      <c r="K84" t="str">
        <f>INDEX(products!$A$1:$I$49,MATCH('Conditional Fomating'!$D84,products!$A$1:$A$49,0),MATCH('Conditional Fomating'!K$1,products!$A$1:$D$1,0))</f>
        <v>M</v>
      </c>
      <c r="L84" t="str">
        <f t="shared" si="7"/>
        <v>Medium</v>
      </c>
      <c r="M84">
        <f>INDEX(products!$A$1:$I$49,MATCH('Conditional Fomating'!$D84,products!$A$1:$A$49,0),MATCH('Conditional Fomating'!M$1,products!$A$1:$D$1,0))</f>
        <v>2.5</v>
      </c>
      <c r="N84">
        <f>_xlfn.XLOOKUP(D84,products!$A$2:$A$49,products!$E$2:$E$49)</f>
        <v>33.464999999999996</v>
      </c>
      <c r="O84">
        <f>_xlfn.XLOOKUP(D84,products!$A$2:$A$49,products!$H$2:$H$49)</f>
        <v>29.114549999999998</v>
      </c>
      <c r="P84">
        <f t="shared" si="8"/>
        <v>100.39499999999998</v>
      </c>
      <c r="Q84">
        <f t="shared" si="9"/>
        <v>87.343649999999997</v>
      </c>
      <c r="R84">
        <f t="shared" si="10"/>
        <v>13.051349999999985</v>
      </c>
      <c r="S84" s="4">
        <f t="shared" si="11"/>
        <v>0.12999999999999987</v>
      </c>
      <c r="T84" t="str">
        <f>_xlfn.XLOOKUP(C84,customers!$A$1:$A$1001,customers!$I$1:$I$1001,,0)</f>
        <v>Yes</v>
      </c>
    </row>
    <row r="85" spans="1:20"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v>
      </c>
      <c r="H85" s="2" t="str">
        <f>_xlfn.XLOOKUP(C85,customers!$A$1:$A$1001,customers!$G$1:$G$1001,,0)</f>
        <v>United States</v>
      </c>
      <c r="I85" t="str">
        <f>INDEX(products!$A$1:$I$49,MATCH('Conditional Fomating'!$D85,products!$A$1:$A$49,0),MATCH('Conditional Fomating'!I$1,products!$A$1:$D$1,0))</f>
        <v>Rob</v>
      </c>
      <c r="J85" t="str">
        <f t="shared" si="6"/>
        <v>Robusta</v>
      </c>
      <c r="K85" t="str">
        <f>INDEX(products!$A$1:$I$49,MATCH('Conditional Fomating'!$D85,products!$A$1:$A$49,0),MATCH('Conditional Fomating'!K$1,products!$A$1:$D$1,0))</f>
        <v>D</v>
      </c>
      <c r="L85" t="str">
        <f t="shared" si="7"/>
        <v>Dark</v>
      </c>
      <c r="M85">
        <f>INDEX(products!$A$1:$I$49,MATCH('Conditional Fomating'!$D85,products!$A$1:$A$49,0),MATCH('Conditional Fomating'!M$1,products!$A$1:$D$1,0))</f>
        <v>2.5</v>
      </c>
      <c r="N85">
        <f>_xlfn.XLOOKUP(D85,products!$A$2:$A$49,products!$E$2:$E$49)</f>
        <v>20.584999999999997</v>
      </c>
      <c r="O85">
        <f>_xlfn.XLOOKUP(D85,products!$A$2:$A$49,products!$H$2:$H$49)</f>
        <v>19.349899999999998</v>
      </c>
      <c r="P85">
        <f t="shared" si="8"/>
        <v>82.339999999999989</v>
      </c>
      <c r="Q85">
        <f t="shared" si="9"/>
        <v>77.399599999999992</v>
      </c>
      <c r="R85">
        <f t="shared" si="10"/>
        <v>4.9403999999999968</v>
      </c>
      <c r="S85" s="4">
        <f t="shared" si="11"/>
        <v>5.999999999999997E-2</v>
      </c>
      <c r="T85" t="str">
        <f>_xlfn.XLOOKUP(C85,customers!$A$1:$A$1001,customers!$I$1:$I$1001,,0)</f>
        <v>Yes</v>
      </c>
    </row>
    <row r="86" spans="1:20"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INDEX(products!$A$1:$I$49,MATCH('Conditional Fomating'!$D86,products!$A$1:$A$49,0),MATCH('Conditional Fomating'!I$1,products!$A$1:$D$1,0))</f>
        <v>Lib</v>
      </c>
      <c r="J86" t="str">
        <f t="shared" si="6"/>
        <v>Liberica</v>
      </c>
      <c r="K86" t="str">
        <f>INDEX(products!$A$1:$I$49,MATCH('Conditional Fomating'!$D86,products!$A$1:$A$49,0),MATCH('Conditional Fomating'!K$1,products!$A$1:$D$1,0))</f>
        <v>L</v>
      </c>
      <c r="L86" t="str">
        <f t="shared" si="7"/>
        <v>Light</v>
      </c>
      <c r="M86">
        <f>INDEX(products!$A$1:$I$49,MATCH('Conditional Fomating'!$D86,products!$A$1:$A$49,0),MATCH('Conditional Fomating'!M$1,products!$A$1:$D$1,0))</f>
        <v>0.5</v>
      </c>
      <c r="N86">
        <f>_xlfn.XLOOKUP(D86,products!$A$2:$A$49,products!$E$2:$E$49)</f>
        <v>9.51</v>
      </c>
      <c r="O86">
        <f>_xlfn.XLOOKUP(D86,products!$A$2:$A$49,products!$H$2:$H$49)</f>
        <v>8.2736999999999998</v>
      </c>
      <c r="P86">
        <f t="shared" si="8"/>
        <v>9.51</v>
      </c>
      <c r="Q86">
        <f t="shared" si="9"/>
        <v>8.2736999999999998</v>
      </c>
      <c r="R86">
        <f t="shared" si="10"/>
        <v>1.2363</v>
      </c>
      <c r="S86" s="4">
        <f t="shared" si="11"/>
        <v>0.13</v>
      </c>
      <c r="T86" t="str">
        <f>_xlfn.XLOOKUP(C86,customers!$A$1:$A$1001,customers!$I$1:$I$1001,,0)</f>
        <v>No</v>
      </c>
    </row>
    <row r="87" spans="1:20"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INDEX(products!$A$1:$I$49,MATCH('Conditional Fomating'!$D87,products!$A$1:$A$49,0),MATCH('Conditional Fomating'!I$1,products!$A$1:$D$1,0))</f>
        <v>Ara</v>
      </c>
      <c r="J87" t="str">
        <f t="shared" si="6"/>
        <v>Arabica</v>
      </c>
      <c r="K87" t="str">
        <f>INDEX(products!$A$1:$I$49,MATCH('Conditional Fomating'!$D87,products!$A$1:$A$49,0),MATCH('Conditional Fomating'!K$1,products!$A$1:$D$1,0))</f>
        <v>L</v>
      </c>
      <c r="L87" t="str">
        <f t="shared" si="7"/>
        <v>Light</v>
      </c>
      <c r="M87">
        <f>INDEX(products!$A$1:$I$49,MATCH('Conditional Fomating'!$D87,products!$A$1:$A$49,0),MATCH('Conditional Fomating'!M$1,products!$A$1:$D$1,0))</f>
        <v>2.5</v>
      </c>
      <c r="N87">
        <f>_xlfn.XLOOKUP(D87,products!$A$2:$A$49,products!$E$2:$E$49)</f>
        <v>29.784999999999997</v>
      </c>
      <c r="O87">
        <f>_xlfn.XLOOKUP(D87,products!$A$2:$A$49,products!$H$2:$H$49)</f>
        <v>27.104349999999997</v>
      </c>
      <c r="P87">
        <f t="shared" si="8"/>
        <v>89.35499999999999</v>
      </c>
      <c r="Q87">
        <f t="shared" si="9"/>
        <v>81.31304999999999</v>
      </c>
      <c r="R87">
        <f t="shared" si="10"/>
        <v>8.0419499999999999</v>
      </c>
      <c r="S87" s="4">
        <f t="shared" si="11"/>
        <v>9.0000000000000011E-2</v>
      </c>
      <c r="T87" t="str">
        <f>_xlfn.XLOOKUP(C87,customers!$A$1:$A$1001,customers!$I$1:$I$1001,,0)</f>
        <v>No</v>
      </c>
    </row>
    <row r="88" spans="1:20"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INDEX(products!$A$1:$I$49,MATCH('Conditional Fomating'!$D88,products!$A$1:$A$49,0),MATCH('Conditional Fomating'!I$1,products!$A$1:$D$1,0))</f>
        <v>Ara</v>
      </c>
      <c r="J88" t="str">
        <f t="shared" si="6"/>
        <v>Arabica</v>
      </c>
      <c r="K88" t="str">
        <f>INDEX(products!$A$1:$I$49,MATCH('Conditional Fomating'!$D88,products!$A$1:$A$49,0),MATCH('Conditional Fomating'!K$1,products!$A$1:$D$1,0))</f>
        <v>D</v>
      </c>
      <c r="L88" t="str">
        <f t="shared" si="7"/>
        <v>Dark</v>
      </c>
      <c r="M88">
        <f>INDEX(products!$A$1:$I$49,MATCH('Conditional Fomating'!$D88,products!$A$1:$A$49,0),MATCH('Conditional Fomating'!M$1,products!$A$1:$D$1,0))</f>
        <v>0.2</v>
      </c>
      <c r="N88">
        <f>_xlfn.XLOOKUP(D88,products!$A$2:$A$49,products!$E$2:$E$49)</f>
        <v>2.9849999999999999</v>
      </c>
      <c r="O88">
        <f>_xlfn.XLOOKUP(D88,products!$A$2:$A$49,products!$H$2:$H$49)</f>
        <v>2.7163499999999998</v>
      </c>
      <c r="P88">
        <f t="shared" si="8"/>
        <v>11.94</v>
      </c>
      <c r="Q88">
        <f t="shared" si="9"/>
        <v>10.865399999999999</v>
      </c>
      <c r="R88">
        <f t="shared" si="10"/>
        <v>1.0746000000000002</v>
      </c>
      <c r="S88" s="4">
        <f t="shared" si="11"/>
        <v>9.0000000000000024E-2</v>
      </c>
      <c r="T88" t="str">
        <f>_xlfn.XLOOKUP(C88,customers!$A$1:$A$1001,customers!$I$1:$I$1001,,0)</f>
        <v>No</v>
      </c>
    </row>
    <row r="89" spans="1:20"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INDEX(products!$A$1:$I$49,MATCH('Conditional Fomating'!$D89,products!$A$1:$A$49,0),MATCH('Conditional Fomating'!I$1,products!$A$1:$D$1,0))</f>
        <v>Ara</v>
      </c>
      <c r="J89" t="str">
        <f t="shared" si="6"/>
        <v>Arabica</v>
      </c>
      <c r="K89" t="str">
        <f>INDEX(products!$A$1:$I$49,MATCH('Conditional Fomating'!$D89,products!$A$1:$A$49,0),MATCH('Conditional Fomating'!K$1,products!$A$1:$D$1,0))</f>
        <v>M</v>
      </c>
      <c r="L89" t="str">
        <f t="shared" si="7"/>
        <v>Medium</v>
      </c>
      <c r="M89">
        <f>INDEX(products!$A$1:$I$49,MATCH('Conditional Fomating'!$D89,products!$A$1:$A$49,0),MATCH('Conditional Fomating'!M$1,products!$A$1:$D$1,0))</f>
        <v>1</v>
      </c>
      <c r="N89">
        <f>_xlfn.XLOOKUP(D89,products!$A$2:$A$49,products!$E$2:$E$49)</f>
        <v>11.25</v>
      </c>
      <c r="O89">
        <f>_xlfn.XLOOKUP(D89,products!$A$2:$A$49,products!$H$2:$H$49)</f>
        <v>10.237500000000001</v>
      </c>
      <c r="P89">
        <f t="shared" si="8"/>
        <v>33.75</v>
      </c>
      <c r="Q89">
        <f t="shared" si="9"/>
        <v>30.712500000000002</v>
      </c>
      <c r="R89">
        <f t="shared" si="10"/>
        <v>3.0374999999999979</v>
      </c>
      <c r="S89" s="4">
        <f t="shared" si="11"/>
        <v>8.9999999999999941E-2</v>
      </c>
      <c r="T89" t="str">
        <f>_xlfn.XLOOKUP(C89,customers!$A$1:$A$1001,customers!$I$1:$I$1001,,0)</f>
        <v>No</v>
      </c>
    </row>
    <row r="90" spans="1:20"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INDEX(products!$A$1:$I$49,MATCH('Conditional Fomating'!$D90,products!$A$1:$A$49,0),MATCH('Conditional Fomating'!I$1,products!$A$1:$D$1,0))</f>
        <v>Rob</v>
      </c>
      <c r="J90" t="str">
        <f t="shared" si="6"/>
        <v>Robusta</v>
      </c>
      <c r="K90" t="str">
        <f>INDEX(products!$A$1:$I$49,MATCH('Conditional Fomating'!$D90,products!$A$1:$A$49,0),MATCH('Conditional Fomating'!K$1,products!$A$1:$D$1,0))</f>
        <v>L</v>
      </c>
      <c r="L90" t="str">
        <f t="shared" si="7"/>
        <v>Light</v>
      </c>
      <c r="M90">
        <f>INDEX(products!$A$1:$I$49,MATCH('Conditional Fomating'!$D90,products!$A$1:$A$49,0),MATCH('Conditional Fomating'!M$1,products!$A$1:$D$1,0))</f>
        <v>1</v>
      </c>
      <c r="N90">
        <f>_xlfn.XLOOKUP(D90,products!$A$2:$A$49,products!$E$2:$E$49)</f>
        <v>11.95</v>
      </c>
      <c r="O90">
        <f>_xlfn.XLOOKUP(D90,products!$A$2:$A$49,products!$H$2:$H$49)</f>
        <v>11.232999999999999</v>
      </c>
      <c r="P90">
        <f t="shared" si="8"/>
        <v>35.849999999999994</v>
      </c>
      <c r="Q90">
        <f t="shared" si="9"/>
        <v>33.698999999999998</v>
      </c>
      <c r="R90">
        <f t="shared" si="10"/>
        <v>2.1509999999999962</v>
      </c>
      <c r="S90" s="4">
        <f t="shared" si="11"/>
        <v>5.9999999999999908E-2</v>
      </c>
      <c r="T90" t="str">
        <f>_xlfn.XLOOKUP(C90,customers!$A$1:$A$1001,customers!$I$1:$I$1001,,0)</f>
        <v>No</v>
      </c>
    </row>
    <row r="91" spans="1:20"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INDEX(products!$A$1:$I$49,MATCH('Conditional Fomating'!$D91,products!$A$1:$A$49,0),MATCH('Conditional Fomating'!I$1,products!$A$1:$D$1,0))</f>
        <v>Ara</v>
      </c>
      <c r="J91" t="str">
        <f t="shared" si="6"/>
        <v>Arabica</v>
      </c>
      <c r="K91" t="str">
        <f>INDEX(products!$A$1:$I$49,MATCH('Conditional Fomating'!$D91,products!$A$1:$A$49,0),MATCH('Conditional Fomating'!K$1,products!$A$1:$D$1,0))</f>
        <v>L</v>
      </c>
      <c r="L91" t="str">
        <f t="shared" si="7"/>
        <v>Light</v>
      </c>
      <c r="M91">
        <f>INDEX(products!$A$1:$I$49,MATCH('Conditional Fomating'!$D91,products!$A$1:$A$49,0),MATCH('Conditional Fomating'!M$1,products!$A$1:$D$1,0))</f>
        <v>1</v>
      </c>
      <c r="N91">
        <f>_xlfn.XLOOKUP(D91,products!$A$2:$A$49,products!$E$2:$E$49)</f>
        <v>12.95</v>
      </c>
      <c r="O91">
        <f>_xlfn.XLOOKUP(D91,products!$A$2:$A$49,products!$H$2:$H$49)</f>
        <v>11.7845</v>
      </c>
      <c r="P91">
        <f t="shared" si="8"/>
        <v>77.699999999999989</v>
      </c>
      <c r="Q91">
        <f t="shared" si="9"/>
        <v>70.706999999999994</v>
      </c>
      <c r="R91">
        <f t="shared" si="10"/>
        <v>6.992999999999995</v>
      </c>
      <c r="S91" s="4">
        <f t="shared" si="11"/>
        <v>8.9999999999999955E-2</v>
      </c>
      <c r="T91" t="str">
        <f>_xlfn.XLOOKUP(C91,customers!$A$1:$A$1001,customers!$I$1:$I$1001,,0)</f>
        <v>No</v>
      </c>
    </row>
    <row r="92" spans="1:20"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v>
      </c>
      <c r="H92" s="2" t="str">
        <f>_xlfn.XLOOKUP(C92,customers!$A$1:$A$1001,customers!$G$1:$G$1001,,0)</f>
        <v>Ireland</v>
      </c>
      <c r="I92" t="str">
        <f>INDEX(products!$A$1:$I$49,MATCH('Conditional Fomating'!$D92,products!$A$1:$A$49,0),MATCH('Conditional Fomating'!I$1,products!$A$1:$D$1,0))</f>
        <v>Ara</v>
      </c>
      <c r="J92" t="str">
        <f t="shared" si="6"/>
        <v>Arabica</v>
      </c>
      <c r="K92" t="str">
        <f>INDEX(products!$A$1:$I$49,MATCH('Conditional Fomating'!$D92,products!$A$1:$A$49,0),MATCH('Conditional Fomating'!K$1,products!$A$1:$D$1,0))</f>
        <v>L</v>
      </c>
      <c r="L92" t="str">
        <f t="shared" si="7"/>
        <v>Light</v>
      </c>
      <c r="M92">
        <f>INDEX(products!$A$1:$I$49,MATCH('Conditional Fomating'!$D92,products!$A$1:$A$49,0),MATCH('Conditional Fomating'!M$1,products!$A$1:$D$1,0))</f>
        <v>1</v>
      </c>
      <c r="N92">
        <f>_xlfn.XLOOKUP(D92,products!$A$2:$A$49,products!$E$2:$E$49)</f>
        <v>12.95</v>
      </c>
      <c r="O92">
        <f>_xlfn.XLOOKUP(D92,products!$A$2:$A$49,products!$H$2:$H$49)</f>
        <v>11.7845</v>
      </c>
      <c r="P92">
        <f t="shared" si="8"/>
        <v>51.8</v>
      </c>
      <c r="Q92">
        <f t="shared" si="9"/>
        <v>47.137999999999998</v>
      </c>
      <c r="R92">
        <f t="shared" si="10"/>
        <v>4.661999999999999</v>
      </c>
      <c r="S92" s="4">
        <f t="shared" si="11"/>
        <v>8.9999999999999983E-2</v>
      </c>
      <c r="T92" t="str">
        <f>_xlfn.XLOOKUP(C92,customers!$A$1:$A$1001,customers!$I$1:$I$1001,,0)</f>
        <v>Yes</v>
      </c>
    </row>
    <row r="93" spans="1:20"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INDEX(products!$A$1:$I$49,MATCH('Conditional Fomating'!$D93,products!$A$1:$A$49,0),MATCH('Conditional Fomating'!I$1,products!$A$1:$D$1,0))</f>
        <v>Ara</v>
      </c>
      <c r="J93" t="str">
        <f t="shared" si="6"/>
        <v>Arabica</v>
      </c>
      <c r="K93" t="str">
        <f>INDEX(products!$A$1:$I$49,MATCH('Conditional Fomating'!$D93,products!$A$1:$A$49,0),MATCH('Conditional Fomating'!K$1,products!$A$1:$D$1,0))</f>
        <v>M</v>
      </c>
      <c r="L93" t="str">
        <f t="shared" si="7"/>
        <v>Medium</v>
      </c>
      <c r="M93">
        <f>INDEX(products!$A$1:$I$49,MATCH('Conditional Fomating'!$D93,products!$A$1:$A$49,0),MATCH('Conditional Fomating'!M$1,products!$A$1:$D$1,0))</f>
        <v>2.5</v>
      </c>
      <c r="N93">
        <f>_xlfn.XLOOKUP(D93,products!$A$2:$A$49,products!$E$2:$E$49)</f>
        <v>25.874999999999996</v>
      </c>
      <c r="O93">
        <f>_xlfn.XLOOKUP(D93,products!$A$2:$A$49,products!$H$2:$H$49)</f>
        <v>23.546249999999997</v>
      </c>
      <c r="P93">
        <f t="shared" si="8"/>
        <v>103.49999999999999</v>
      </c>
      <c r="Q93">
        <f t="shared" si="9"/>
        <v>94.184999999999988</v>
      </c>
      <c r="R93">
        <f t="shared" si="10"/>
        <v>9.3149999999999977</v>
      </c>
      <c r="S93" s="4">
        <f t="shared" si="11"/>
        <v>0.09</v>
      </c>
      <c r="T93" t="str">
        <f>_xlfn.XLOOKUP(C93,customers!$A$1:$A$1001,customers!$I$1:$I$1001,,0)</f>
        <v>No</v>
      </c>
    </row>
    <row r="94" spans="1:20"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v>
      </c>
      <c r="H94" s="2" t="str">
        <f>_xlfn.XLOOKUP(C94,customers!$A$1:$A$1001,customers!$G$1:$G$1001,,0)</f>
        <v>United States</v>
      </c>
      <c r="I94" t="str">
        <f>INDEX(products!$A$1:$I$49,MATCH('Conditional Fomating'!$D94,products!$A$1:$A$49,0),MATCH('Conditional Fomating'!I$1,products!$A$1:$D$1,0))</f>
        <v>Exc</v>
      </c>
      <c r="J94" t="str">
        <f t="shared" si="6"/>
        <v>Excelsa</v>
      </c>
      <c r="K94" t="str">
        <f>INDEX(products!$A$1:$I$49,MATCH('Conditional Fomating'!$D94,products!$A$1:$A$49,0),MATCH('Conditional Fomating'!K$1,products!$A$1:$D$1,0))</f>
        <v>L</v>
      </c>
      <c r="L94" t="str">
        <f t="shared" si="7"/>
        <v>Light</v>
      </c>
      <c r="M94">
        <f>INDEX(products!$A$1:$I$49,MATCH('Conditional Fomating'!$D94,products!$A$1:$A$49,0),MATCH('Conditional Fomating'!M$1,products!$A$1:$D$1,0))</f>
        <v>1</v>
      </c>
      <c r="N94">
        <f>_xlfn.XLOOKUP(D94,products!$A$2:$A$49,products!$E$2:$E$49)</f>
        <v>14.85</v>
      </c>
      <c r="O94">
        <f>_xlfn.XLOOKUP(D94,products!$A$2:$A$49,products!$H$2:$H$49)</f>
        <v>13.2165</v>
      </c>
      <c r="P94">
        <f t="shared" si="8"/>
        <v>44.55</v>
      </c>
      <c r="Q94">
        <f t="shared" si="9"/>
        <v>39.649500000000003</v>
      </c>
      <c r="R94">
        <f t="shared" si="10"/>
        <v>4.9004999999999939</v>
      </c>
      <c r="S94" s="4">
        <f t="shared" si="11"/>
        <v>0.10999999999999988</v>
      </c>
      <c r="T94" t="str">
        <f>_xlfn.XLOOKUP(C94,customers!$A$1:$A$1001,customers!$I$1:$I$1001,,0)</f>
        <v>Yes</v>
      </c>
    </row>
    <row r="95" spans="1:20"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INDEX(products!$A$1:$I$49,MATCH('Conditional Fomating'!$D95,products!$A$1:$A$49,0),MATCH('Conditional Fomating'!I$1,products!$A$1:$D$1,0))</f>
        <v>Exc</v>
      </c>
      <c r="J95" t="str">
        <f t="shared" si="6"/>
        <v>Excelsa</v>
      </c>
      <c r="K95" t="str">
        <f>INDEX(products!$A$1:$I$49,MATCH('Conditional Fomating'!$D95,products!$A$1:$A$49,0),MATCH('Conditional Fomating'!K$1,products!$A$1:$D$1,0))</f>
        <v>L</v>
      </c>
      <c r="L95" t="str">
        <f t="shared" si="7"/>
        <v>Light</v>
      </c>
      <c r="M95">
        <f>INDEX(products!$A$1:$I$49,MATCH('Conditional Fomating'!$D95,products!$A$1:$A$49,0),MATCH('Conditional Fomating'!M$1,products!$A$1:$D$1,0))</f>
        <v>0.5</v>
      </c>
      <c r="N95">
        <f>_xlfn.XLOOKUP(D95,products!$A$2:$A$49,products!$E$2:$E$49)</f>
        <v>8.91</v>
      </c>
      <c r="O95">
        <f>_xlfn.XLOOKUP(D95,products!$A$2:$A$49,products!$H$2:$H$49)</f>
        <v>7.9298999999999999</v>
      </c>
      <c r="P95">
        <f t="shared" si="8"/>
        <v>35.64</v>
      </c>
      <c r="Q95">
        <f t="shared" si="9"/>
        <v>31.7196</v>
      </c>
      <c r="R95">
        <f t="shared" si="10"/>
        <v>3.9204000000000008</v>
      </c>
      <c r="S95" s="4">
        <f t="shared" si="11"/>
        <v>0.11000000000000001</v>
      </c>
      <c r="T95" t="str">
        <f>_xlfn.XLOOKUP(C95,customers!$A$1:$A$1001,customers!$I$1:$I$1001,,0)</f>
        <v>Yes</v>
      </c>
    </row>
    <row r="96" spans="1:20"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v>
      </c>
      <c r="H96" s="2" t="str">
        <f>_xlfn.XLOOKUP(C96,customers!$A$1:$A$1001,customers!$G$1:$G$1001,,0)</f>
        <v>Ireland</v>
      </c>
      <c r="I96" t="str">
        <f>INDEX(products!$A$1:$I$49,MATCH('Conditional Fomating'!$D96,products!$A$1:$A$49,0),MATCH('Conditional Fomating'!I$1,products!$A$1:$D$1,0))</f>
        <v>Ara</v>
      </c>
      <c r="J96" t="str">
        <f t="shared" si="6"/>
        <v>Arabica</v>
      </c>
      <c r="K96" t="str">
        <f>INDEX(products!$A$1:$I$49,MATCH('Conditional Fomating'!$D96,products!$A$1:$A$49,0),MATCH('Conditional Fomating'!K$1,products!$A$1:$D$1,0))</f>
        <v>D</v>
      </c>
      <c r="L96" t="str">
        <f t="shared" si="7"/>
        <v>Dark</v>
      </c>
      <c r="M96">
        <f>INDEX(products!$A$1:$I$49,MATCH('Conditional Fomating'!$D96,products!$A$1:$A$49,0),MATCH('Conditional Fomating'!M$1,products!$A$1:$D$1,0))</f>
        <v>0.2</v>
      </c>
      <c r="N96">
        <f>_xlfn.XLOOKUP(D96,products!$A$2:$A$49,products!$E$2:$E$49)</f>
        <v>2.9849999999999999</v>
      </c>
      <c r="O96">
        <f>_xlfn.XLOOKUP(D96,products!$A$2:$A$49,products!$H$2:$H$49)</f>
        <v>2.7163499999999998</v>
      </c>
      <c r="P96">
        <f t="shared" si="8"/>
        <v>17.91</v>
      </c>
      <c r="Q96">
        <f t="shared" si="9"/>
        <v>16.298099999999998</v>
      </c>
      <c r="R96">
        <f t="shared" si="10"/>
        <v>1.6119000000000021</v>
      </c>
      <c r="S96" s="4">
        <f t="shared" si="11"/>
        <v>9.0000000000000122E-2</v>
      </c>
      <c r="T96" t="str">
        <f>_xlfn.XLOOKUP(C96,customers!$A$1:$A$1001,customers!$I$1:$I$1001,,0)</f>
        <v>Yes</v>
      </c>
    </row>
    <row r="97" spans="1:20"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INDEX(products!$A$1:$I$49,MATCH('Conditional Fomating'!$D97,products!$A$1:$A$49,0),MATCH('Conditional Fomating'!I$1,products!$A$1:$D$1,0))</f>
        <v>Ara</v>
      </c>
      <c r="J97" t="str">
        <f t="shared" si="6"/>
        <v>Arabica</v>
      </c>
      <c r="K97" t="str">
        <f>INDEX(products!$A$1:$I$49,MATCH('Conditional Fomating'!$D97,products!$A$1:$A$49,0),MATCH('Conditional Fomating'!K$1,products!$A$1:$D$1,0))</f>
        <v>M</v>
      </c>
      <c r="L97" t="str">
        <f t="shared" si="7"/>
        <v>Medium</v>
      </c>
      <c r="M97">
        <f>INDEX(products!$A$1:$I$49,MATCH('Conditional Fomating'!$D97,products!$A$1:$A$49,0),MATCH('Conditional Fomating'!M$1,products!$A$1:$D$1,0))</f>
        <v>2.5</v>
      </c>
      <c r="N97">
        <f>_xlfn.XLOOKUP(D97,products!$A$2:$A$49,products!$E$2:$E$49)</f>
        <v>25.874999999999996</v>
      </c>
      <c r="O97">
        <f>_xlfn.XLOOKUP(D97,products!$A$2:$A$49,products!$H$2:$H$49)</f>
        <v>23.546249999999997</v>
      </c>
      <c r="P97">
        <f t="shared" si="8"/>
        <v>155.24999999999997</v>
      </c>
      <c r="Q97">
        <f t="shared" si="9"/>
        <v>141.27749999999997</v>
      </c>
      <c r="R97">
        <f t="shared" si="10"/>
        <v>13.972499999999997</v>
      </c>
      <c r="S97" s="4">
        <f t="shared" si="11"/>
        <v>0.09</v>
      </c>
      <c r="T97" t="str">
        <f>_xlfn.XLOOKUP(C97,customers!$A$1:$A$1001,customers!$I$1:$I$1001,,0)</f>
        <v>No</v>
      </c>
    </row>
    <row r="98" spans="1:20"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INDEX(products!$A$1:$I$49,MATCH('Conditional Fomating'!$D98,products!$A$1:$A$49,0),MATCH('Conditional Fomating'!I$1,products!$A$1:$D$1,0))</f>
        <v>Ara</v>
      </c>
      <c r="J98" t="str">
        <f t="shared" si="6"/>
        <v>Arabica</v>
      </c>
      <c r="K98" t="str">
        <f>INDEX(products!$A$1:$I$49,MATCH('Conditional Fomating'!$D98,products!$A$1:$A$49,0),MATCH('Conditional Fomating'!K$1,products!$A$1:$D$1,0))</f>
        <v>D</v>
      </c>
      <c r="L98" t="str">
        <f t="shared" si="7"/>
        <v>Dark</v>
      </c>
      <c r="M98">
        <f>INDEX(products!$A$1:$I$49,MATCH('Conditional Fomating'!$D98,products!$A$1:$A$49,0),MATCH('Conditional Fomating'!M$1,products!$A$1:$D$1,0))</f>
        <v>0.2</v>
      </c>
      <c r="N98">
        <f>_xlfn.XLOOKUP(D98,products!$A$2:$A$49,products!$E$2:$E$49)</f>
        <v>2.9849999999999999</v>
      </c>
      <c r="O98">
        <f>_xlfn.XLOOKUP(D98,products!$A$2:$A$49,products!$H$2:$H$49)</f>
        <v>2.7163499999999998</v>
      </c>
      <c r="P98">
        <f t="shared" si="8"/>
        <v>5.97</v>
      </c>
      <c r="Q98">
        <f t="shared" si="9"/>
        <v>5.4326999999999996</v>
      </c>
      <c r="R98">
        <f t="shared" si="10"/>
        <v>0.53730000000000011</v>
      </c>
      <c r="S98" s="4">
        <f t="shared" si="11"/>
        <v>9.0000000000000024E-2</v>
      </c>
      <c r="T98" t="str">
        <f>_xlfn.XLOOKUP(C98,customers!$A$1:$A$1001,customers!$I$1:$I$1001,,0)</f>
        <v>No</v>
      </c>
    </row>
    <row r="99" spans="1:20"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INDEX(products!$A$1:$I$49,MATCH('Conditional Fomating'!$D99,products!$A$1:$A$49,0),MATCH('Conditional Fomating'!I$1,products!$A$1:$D$1,0))</f>
        <v>Ara</v>
      </c>
      <c r="J99" t="str">
        <f t="shared" si="6"/>
        <v>Arabica</v>
      </c>
      <c r="K99" t="str">
        <f>INDEX(products!$A$1:$I$49,MATCH('Conditional Fomating'!$D99,products!$A$1:$A$49,0),MATCH('Conditional Fomating'!K$1,products!$A$1:$D$1,0))</f>
        <v>M</v>
      </c>
      <c r="L99" t="str">
        <f t="shared" si="7"/>
        <v>Medium</v>
      </c>
      <c r="M99">
        <f>INDEX(products!$A$1:$I$49,MATCH('Conditional Fomating'!$D99,products!$A$1:$A$49,0),MATCH('Conditional Fomating'!M$1,products!$A$1:$D$1,0))</f>
        <v>0.5</v>
      </c>
      <c r="N99">
        <f>_xlfn.XLOOKUP(D99,products!$A$2:$A$49,products!$E$2:$E$49)</f>
        <v>6.75</v>
      </c>
      <c r="O99">
        <f>_xlfn.XLOOKUP(D99,products!$A$2:$A$49,products!$H$2:$H$49)</f>
        <v>6.1425000000000001</v>
      </c>
      <c r="P99">
        <f t="shared" si="8"/>
        <v>13.5</v>
      </c>
      <c r="Q99">
        <f t="shared" si="9"/>
        <v>12.285</v>
      </c>
      <c r="R99">
        <f t="shared" si="10"/>
        <v>1.2149999999999999</v>
      </c>
      <c r="S99" s="4">
        <f t="shared" si="11"/>
        <v>8.9999999999999983E-2</v>
      </c>
      <c r="T99" t="str">
        <f>_xlfn.XLOOKUP(C99,customers!$A$1:$A$1001,customers!$I$1:$I$1001,,0)</f>
        <v>No</v>
      </c>
    </row>
    <row r="100" spans="1:20"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v>
      </c>
      <c r="H100" s="2" t="str">
        <f>_xlfn.XLOOKUP(C100,customers!$A$1:$A$1001,customers!$G$1:$G$1001,,0)</f>
        <v>Ireland</v>
      </c>
      <c r="I100" t="str">
        <f>INDEX(products!$A$1:$I$49,MATCH('Conditional Fomating'!$D100,products!$A$1:$A$49,0),MATCH('Conditional Fomating'!I$1,products!$A$1:$D$1,0))</f>
        <v>Ara</v>
      </c>
      <c r="J100" t="str">
        <f t="shared" si="6"/>
        <v>Arabica</v>
      </c>
      <c r="K100" t="str">
        <f>INDEX(products!$A$1:$I$49,MATCH('Conditional Fomating'!$D100,products!$A$1:$A$49,0),MATCH('Conditional Fomating'!K$1,products!$A$1:$D$1,0))</f>
        <v>D</v>
      </c>
      <c r="L100" t="str">
        <f t="shared" si="7"/>
        <v>Dark</v>
      </c>
      <c r="M100">
        <f>INDEX(products!$A$1:$I$49,MATCH('Conditional Fomating'!$D100,products!$A$1:$A$49,0),MATCH('Conditional Fomating'!M$1,products!$A$1:$D$1,0))</f>
        <v>0.2</v>
      </c>
      <c r="N100">
        <f>_xlfn.XLOOKUP(D100,products!$A$2:$A$49,products!$E$2:$E$49)</f>
        <v>2.9849999999999999</v>
      </c>
      <c r="O100">
        <f>_xlfn.XLOOKUP(D100,products!$A$2:$A$49,products!$H$2:$H$49)</f>
        <v>2.7163499999999998</v>
      </c>
      <c r="P100">
        <f t="shared" si="8"/>
        <v>2.9849999999999999</v>
      </c>
      <c r="Q100">
        <f t="shared" si="9"/>
        <v>2.7163499999999998</v>
      </c>
      <c r="R100">
        <f t="shared" si="10"/>
        <v>0.26865000000000006</v>
      </c>
      <c r="S100" s="4">
        <f t="shared" si="11"/>
        <v>9.0000000000000024E-2</v>
      </c>
      <c r="T100" t="str">
        <f>_xlfn.XLOOKUP(C100,customers!$A$1:$A$1001,customers!$I$1:$I$1001,,0)</f>
        <v>No</v>
      </c>
    </row>
    <row r="101" spans="1:20"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v>
      </c>
      <c r="H101" s="2" t="str">
        <f>_xlfn.XLOOKUP(C101,customers!$A$1:$A$1001,customers!$G$1:$G$1001,,0)</f>
        <v>United States</v>
      </c>
      <c r="I101" t="str">
        <f>INDEX(products!$A$1:$I$49,MATCH('Conditional Fomating'!$D101,products!$A$1:$A$49,0),MATCH('Conditional Fomating'!I$1,products!$A$1:$D$1,0))</f>
        <v>Lib</v>
      </c>
      <c r="J101" t="str">
        <f t="shared" si="6"/>
        <v>Liberica</v>
      </c>
      <c r="K101" t="str">
        <f>INDEX(products!$A$1:$I$49,MATCH('Conditional Fomating'!$D101,products!$A$1:$A$49,0),MATCH('Conditional Fomating'!K$1,products!$A$1:$D$1,0))</f>
        <v>M</v>
      </c>
      <c r="L101" t="str">
        <f t="shared" si="7"/>
        <v>Medium</v>
      </c>
      <c r="M101">
        <f>INDEX(products!$A$1:$I$49,MATCH('Conditional Fomating'!$D101,products!$A$1:$A$49,0),MATCH('Conditional Fomating'!M$1,products!$A$1:$D$1,0))</f>
        <v>0.2</v>
      </c>
      <c r="N101">
        <f>_xlfn.XLOOKUP(D101,products!$A$2:$A$49,products!$E$2:$E$49)</f>
        <v>4.3650000000000002</v>
      </c>
      <c r="O101">
        <f>_xlfn.XLOOKUP(D101,products!$A$2:$A$49,products!$H$2:$H$49)</f>
        <v>3.7975500000000002</v>
      </c>
      <c r="P101">
        <f t="shared" si="8"/>
        <v>13.095000000000001</v>
      </c>
      <c r="Q101">
        <f t="shared" si="9"/>
        <v>11.39265</v>
      </c>
      <c r="R101">
        <f t="shared" si="10"/>
        <v>1.7023500000000009</v>
      </c>
      <c r="S101" s="4">
        <f t="shared" si="11"/>
        <v>0.13000000000000006</v>
      </c>
      <c r="T101" t="str">
        <f>_xlfn.XLOOKUP(C101,customers!$A$1:$A$1001,customers!$I$1:$I$1001,,0)</f>
        <v>Yes</v>
      </c>
    </row>
    <row r="102" spans="1:20"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v>
      </c>
      <c r="H102" s="2" t="str">
        <f>_xlfn.XLOOKUP(C102,customers!$A$1:$A$1001,customers!$G$1:$G$1001,,0)</f>
        <v>United States</v>
      </c>
      <c r="I102" t="str">
        <f>INDEX(products!$A$1:$I$49,MATCH('Conditional Fomating'!$D102,products!$A$1:$A$49,0),MATCH('Conditional Fomating'!I$1,products!$A$1:$D$1,0))</f>
        <v>Ara</v>
      </c>
      <c r="J102" t="str">
        <f t="shared" si="6"/>
        <v>Arabica</v>
      </c>
      <c r="K102" t="str">
        <f>INDEX(products!$A$1:$I$49,MATCH('Conditional Fomating'!$D102,products!$A$1:$A$49,0),MATCH('Conditional Fomating'!K$1,products!$A$1:$D$1,0))</f>
        <v>L</v>
      </c>
      <c r="L102" t="str">
        <f t="shared" si="7"/>
        <v>Light</v>
      </c>
      <c r="M102">
        <f>INDEX(products!$A$1:$I$49,MATCH('Conditional Fomating'!$D102,products!$A$1:$A$49,0),MATCH('Conditional Fomating'!M$1,products!$A$1:$D$1,0))</f>
        <v>0.2</v>
      </c>
      <c r="N102">
        <f>_xlfn.XLOOKUP(D102,products!$A$2:$A$49,products!$E$2:$E$49)</f>
        <v>3.8849999999999998</v>
      </c>
      <c r="O102">
        <f>_xlfn.XLOOKUP(D102,products!$A$2:$A$49,products!$H$2:$H$49)</f>
        <v>3.5353499999999998</v>
      </c>
      <c r="P102">
        <f t="shared" si="8"/>
        <v>7.77</v>
      </c>
      <c r="Q102">
        <f t="shared" si="9"/>
        <v>7.0706999999999995</v>
      </c>
      <c r="R102">
        <f t="shared" si="10"/>
        <v>0.69930000000000003</v>
      </c>
      <c r="S102" s="4">
        <f t="shared" si="11"/>
        <v>9.0000000000000011E-2</v>
      </c>
      <c r="T102" t="str">
        <f>_xlfn.XLOOKUP(C102,customers!$A$1:$A$1001,customers!$I$1:$I$1001,,0)</f>
        <v>Yes</v>
      </c>
    </row>
    <row r="103" spans="1:20"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INDEX(products!$A$1:$I$49,MATCH('Conditional Fomating'!$D103,products!$A$1:$A$49,0),MATCH('Conditional Fomating'!I$1,products!$A$1:$D$1,0))</f>
        <v>Lib</v>
      </c>
      <c r="J103" t="str">
        <f t="shared" si="6"/>
        <v>Liberica</v>
      </c>
      <c r="K103" t="str">
        <f>INDEX(products!$A$1:$I$49,MATCH('Conditional Fomating'!$D103,products!$A$1:$A$49,0),MATCH('Conditional Fomating'!K$1,products!$A$1:$D$1,0))</f>
        <v>D</v>
      </c>
      <c r="L103" t="str">
        <f t="shared" si="7"/>
        <v>Dark</v>
      </c>
      <c r="M103">
        <f>INDEX(products!$A$1:$I$49,MATCH('Conditional Fomating'!$D103,products!$A$1:$A$49,0),MATCH('Conditional Fomating'!M$1,products!$A$1:$D$1,0))</f>
        <v>2.5</v>
      </c>
      <c r="N103">
        <f>_xlfn.XLOOKUP(D103,products!$A$2:$A$49,products!$E$2:$E$49)</f>
        <v>29.784999999999997</v>
      </c>
      <c r="O103">
        <f>_xlfn.XLOOKUP(D103,products!$A$2:$A$49,products!$H$2:$H$49)</f>
        <v>25.912949999999995</v>
      </c>
      <c r="P103">
        <f t="shared" si="8"/>
        <v>148.92499999999998</v>
      </c>
      <c r="Q103">
        <f t="shared" si="9"/>
        <v>129.56474999999998</v>
      </c>
      <c r="R103">
        <f t="shared" si="10"/>
        <v>19.360250000000008</v>
      </c>
      <c r="S103" s="4">
        <f t="shared" si="11"/>
        <v>0.13000000000000006</v>
      </c>
      <c r="T103" t="str">
        <f>_xlfn.XLOOKUP(C103,customers!$A$1:$A$1001,customers!$I$1:$I$1001,,0)</f>
        <v>Yes</v>
      </c>
    </row>
    <row r="104" spans="1:20"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INDEX(products!$A$1:$I$49,MATCH('Conditional Fomating'!$D104,products!$A$1:$A$49,0),MATCH('Conditional Fomating'!I$1,products!$A$1:$D$1,0))</f>
        <v>Lib</v>
      </c>
      <c r="J104" t="str">
        <f t="shared" si="6"/>
        <v>Liberica</v>
      </c>
      <c r="K104" t="str">
        <f>INDEX(products!$A$1:$I$49,MATCH('Conditional Fomating'!$D104,products!$A$1:$A$49,0),MATCH('Conditional Fomating'!K$1,products!$A$1:$D$1,0))</f>
        <v>D</v>
      </c>
      <c r="L104" t="str">
        <f t="shared" si="7"/>
        <v>Dark</v>
      </c>
      <c r="M104">
        <f>INDEX(products!$A$1:$I$49,MATCH('Conditional Fomating'!$D104,products!$A$1:$A$49,0),MATCH('Conditional Fomating'!M$1,products!$A$1:$D$1,0))</f>
        <v>1</v>
      </c>
      <c r="N104">
        <f>_xlfn.XLOOKUP(D104,products!$A$2:$A$49,products!$E$2:$E$49)</f>
        <v>12.95</v>
      </c>
      <c r="O104">
        <f>_xlfn.XLOOKUP(D104,products!$A$2:$A$49,products!$H$2:$H$49)</f>
        <v>11.266499999999999</v>
      </c>
      <c r="P104">
        <f t="shared" si="8"/>
        <v>38.849999999999994</v>
      </c>
      <c r="Q104">
        <f t="shared" si="9"/>
        <v>33.799499999999995</v>
      </c>
      <c r="R104">
        <f t="shared" si="10"/>
        <v>5.0504999999999995</v>
      </c>
      <c r="S104" s="4">
        <f t="shared" si="11"/>
        <v>0.13</v>
      </c>
      <c r="T104" t="str">
        <f>_xlfn.XLOOKUP(C104,customers!$A$1:$A$1001,customers!$I$1:$I$1001,,0)</f>
        <v>Yes</v>
      </c>
    </row>
    <row r="105" spans="1:20"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INDEX(products!$A$1:$I$49,MATCH('Conditional Fomating'!$D105,products!$A$1:$A$49,0),MATCH('Conditional Fomating'!I$1,products!$A$1:$D$1,0))</f>
        <v>Rob</v>
      </c>
      <c r="J105" t="str">
        <f t="shared" si="6"/>
        <v>Robusta</v>
      </c>
      <c r="K105" t="str">
        <f>INDEX(products!$A$1:$I$49,MATCH('Conditional Fomating'!$D105,products!$A$1:$A$49,0),MATCH('Conditional Fomating'!K$1,products!$A$1:$D$1,0))</f>
        <v>M</v>
      </c>
      <c r="L105" t="str">
        <f t="shared" si="7"/>
        <v>Medium</v>
      </c>
      <c r="M105">
        <f>INDEX(products!$A$1:$I$49,MATCH('Conditional Fomating'!$D105,products!$A$1:$A$49,0),MATCH('Conditional Fomating'!M$1,products!$A$1:$D$1,0))</f>
        <v>0.2</v>
      </c>
      <c r="N105">
        <f>_xlfn.XLOOKUP(D105,products!$A$2:$A$49,products!$E$2:$E$49)</f>
        <v>2.9849999999999999</v>
      </c>
      <c r="O105">
        <f>_xlfn.XLOOKUP(D105,products!$A$2:$A$49,products!$H$2:$H$49)</f>
        <v>2.8058999999999998</v>
      </c>
      <c r="P105">
        <f t="shared" si="8"/>
        <v>11.94</v>
      </c>
      <c r="Q105">
        <f t="shared" si="9"/>
        <v>11.223599999999999</v>
      </c>
      <c r="R105">
        <f t="shared" si="10"/>
        <v>0.71640000000000015</v>
      </c>
      <c r="S105" s="4">
        <f t="shared" si="11"/>
        <v>6.0000000000000012E-2</v>
      </c>
      <c r="T105" t="str">
        <f>_xlfn.XLOOKUP(C105,customers!$A$1:$A$1001,customers!$I$1:$I$1001,,0)</f>
        <v>No</v>
      </c>
    </row>
    <row r="106" spans="1:20"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INDEX(products!$A$1:$I$49,MATCH('Conditional Fomating'!$D106,products!$A$1:$A$49,0),MATCH('Conditional Fomating'!I$1,products!$A$1:$D$1,0))</f>
        <v>Lib</v>
      </c>
      <c r="J106" t="str">
        <f t="shared" si="6"/>
        <v>Liberica</v>
      </c>
      <c r="K106" t="str">
        <f>INDEX(products!$A$1:$I$49,MATCH('Conditional Fomating'!$D106,products!$A$1:$A$49,0),MATCH('Conditional Fomating'!K$1,products!$A$1:$D$1,0))</f>
        <v>M</v>
      </c>
      <c r="L106" t="str">
        <f t="shared" si="7"/>
        <v>Medium</v>
      </c>
      <c r="M106">
        <f>INDEX(products!$A$1:$I$49,MATCH('Conditional Fomating'!$D106,products!$A$1:$A$49,0),MATCH('Conditional Fomating'!M$1,products!$A$1:$D$1,0))</f>
        <v>1</v>
      </c>
      <c r="N106">
        <f>_xlfn.XLOOKUP(D106,products!$A$2:$A$49,products!$E$2:$E$49)</f>
        <v>14.55</v>
      </c>
      <c r="O106">
        <f>_xlfn.XLOOKUP(D106,products!$A$2:$A$49,products!$H$2:$H$49)</f>
        <v>12.6585</v>
      </c>
      <c r="P106">
        <f t="shared" si="8"/>
        <v>87.300000000000011</v>
      </c>
      <c r="Q106">
        <f t="shared" si="9"/>
        <v>75.950999999999993</v>
      </c>
      <c r="R106">
        <f t="shared" si="10"/>
        <v>11.349000000000018</v>
      </c>
      <c r="S106" s="4">
        <f t="shared" si="11"/>
        <v>0.1300000000000002</v>
      </c>
      <c r="T106" t="str">
        <f>_xlfn.XLOOKUP(C106,customers!$A$1:$A$1001,customers!$I$1:$I$1001,,0)</f>
        <v>No</v>
      </c>
    </row>
    <row r="107" spans="1:20"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INDEX(products!$A$1:$I$49,MATCH('Conditional Fomating'!$D107,products!$A$1:$A$49,0),MATCH('Conditional Fomating'!I$1,products!$A$1:$D$1,0))</f>
        <v>Ara</v>
      </c>
      <c r="J107" t="str">
        <f t="shared" si="6"/>
        <v>Arabica</v>
      </c>
      <c r="K107" t="str">
        <f>INDEX(products!$A$1:$I$49,MATCH('Conditional Fomating'!$D107,products!$A$1:$A$49,0),MATCH('Conditional Fomating'!K$1,products!$A$1:$D$1,0))</f>
        <v>M</v>
      </c>
      <c r="L107" t="str">
        <f t="shared" si="7"/>
        <v>Medium</v>
      </c>
      <c r="M107">
        <f>INDEX(products!$A$1:$I$49,MATCH('Conditional Fomating'!$D107,products!$A$1:$A$49,0),MATCH('Conditional Fomating'!M$1,products!$A$1:$D$1,0))</f>
        <v>0.5</v>
      </c>
      <c r="N107">
        <f>_xlfn.XLOOKUP(D107,products!$A$2:$A$49,products!$E$2:$E$49)</f>
        <v>6.75</v>
      </c>
      <c r="O107">
        <f>_xlfn.XLOOKUP(D107,products!$A$2:$A$49,products!$H$2:$H$49)</f>
        <v>6.1425000000000001</v>
      </c>
      <c r="P107">
        <f t="shared" si="8"/>
        <v>40.5</v>
      </c>
      <c r="Q107">
        <f t="shared" si="9"/>
        <v>36.855000000000004</v>
      </c>
      <c r="R107">
        <f t="shared" si="10"/>
        <v>3.644999999999996</v>
      </c>
      <c r="S107" s="4">
        <f t="shared" si="11"/>
        <v>8.99999999999999E-2</v>
      </c>
      <c r="T107" t="str">
        <f>_xlfn.XLOOKUP(C107,customers!$A$1:$A$1001,customers!$I$1:$I$1001,,0)</f>
        <v>Yes</v>
      </c>
    </row>
    <row r="108" spans="1:20"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INDEX(products!$A$1:$I$49,MATCH('Conditional Fomating'!$D108,products!$A$1:$A$49,0),MATCH('Conditional Fomating'!I$1,products!$A$1:$D$1,0))</f>
        <v>Exc</v>
      </c>
      <c r="J108" t="str">
        <f t="shared" si="6"/>
        <v>Excelsa</v>
      </c>
      <c r="K108" t="str">
        <f>INDEX(products!$A$1:$I$49,MATCH('Conditional Fomating'!$D108,products!$A$1:$A$49,0),MATCH('Conditional Fomating'!K$1,products!$A$1:$D$1,0))</f>
        <v>D</v>
      </c>
      <c r="L108" t="str">
        <f t="shared" si="7"/>
        <v>Dark</v>
      </c>
      <c r="M108">
        <f>INDEX(products!$A$1:$I$49,MATCH('Conditional Fomating'!$D108,products!$A$1:$A$49,0),MATCH('Conditional Fomating'!M$1,products!$A$1:$D$1,0))</f>
        <v>1</v>
      </c>
      <c r="N108">
        <f>_xlfn.XLOOKUP(D108,products!$A$2:$A$49,products!$E$2:$E$49)</f>
        <v>12.15</v>
      </c>
      <c r="O108">
        <f>_xlfn.XLOOKUP(D108,products!$A$2:$A$49,products!$H$2:$H$49)</f>
        <v>10.813500000000001</v>
      </c>
      <c r="P108">
        <f t="shared" si="8"/>
        <v>24.3</v>
      </c>
      <c r="Q108">
        <f t="shared" si="9"/>
        <v>21.627000000000002</v>
      </c>
      <c r="R108">
        <f t="shared" si="10"/>
        <v>2.6729999999999983</v>
      </c>
      <c r="S108" s="4">
        <f t="shared" si="11"/>
        <v>0.10999999999999993</v>
      </c>
      <c r="T108" t="str">
        <f>_xlfn.XLOOKUP(C108,customers!$A$1:$A$1001,customers!$I$1:$I$1001,,0)</f>
        <v>No</v>
      </c>
    </row>
    <row r="109" spans="1:20"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INDEX(products!$A$1:$I$49,MATCH('Conditional Fomating'!$D109,products!$A$1:$A$49,0),MATCH('Conditional Fomating'!I$1,products!$A$1:$D$1,0))</f>
        <v>Rob</v>
      </c>
      <c r="J109" t="str">
        <f t="shared" si="6"/>
        <v>Robusta</v>
      </c>
      <c r="K109" t="str">
        <f>INDEX(products!$A$1:$I$49,MATCH('Conditional Fomating'!$D109,products!$A$1:$A$49,0),MATCH('Conditional Fomating'!K$1,products!$A$1:$D$1,0))</f>
        <v>M</v>
      </c>
      <c r="L109" t="str">
        <f t="shared" si="7"/>
        <v>Medium</v>
      </c>
      <c r="M109">
        <f>INDEX(products!$A$1:$I$49,MATCH('Conditional Fomating'!$D109,products!$A$1:$A$49,0),MATCH('Conditional Fomating'!M$1,products!$A$1:$D$1,0))</f>
        <v>0.5</v>
      </c>
      <c r="N109">
        <f>_xlfn.XLOOKUP(D109,products!$A$2:$A$49,products!$E$2:$E$49)</f>
        <v>5.97</v>
      </c>
      <c r="O109">
        <f>_xlfn.XLOOKUP(D109,products!$A$2:$A$49,products!$H$2:$H$49)</f>
        <v>5.6117999999999997</v>
      </c>
      <c r="P109">
        <f t="shared" si="8"/>
        <v>17.91</v>
      </c>
      <c r="Q109">
        <f t="shared" si="9"/>
        <v>16.8354</v>
      </c>
      <c r="R109">
        <f t="shared" si="10"/>
        <v>1.0746000000000002</v>
      </c>
      <c r="S109" s="4">
        <f t="shared" si="11"/>
        <v>6.0000000000000012E-2</v>
      </c>
      <c r="T109" t="str">
        <f>_xlfn.XLOOKUP(C109,customers!$A$1:$A$1001,customers!$I$1:$I$1001,,0)</f>
        <v>Yes</v>
      </c>
    </row>
    <row r="110" spans="1:20"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v>
      </c>
      <c r="H110" s="2" t="str">
        <f>_xlfn.XLOOKUP(C110,customers!$A$1:$A$1001,customers!$G$1:$G$1001,,0)</f>
        <v>United States</v>
      </c>
      <c r="I110" t="str">
        <f>INDEX(products!$A$1:$I$49,MATCH('Conditional Fomating'!$D110,products!$A$1:$A$49,0),MATCH('Conditional Fomating'!I$1,products!$A$1:$D$1,0))</f>
        <v>Ara</v>
      </c>
      <c r="J110" t="str">
        <f t="shared" si="6"/>
        <v>Arabica</v>
      </c>
      <c r="K110" t="str">
        <f>INDEX(products!$A$1:$I$49,MATCH('Conditional Fomating'!$D110,products!$A$1:$A$49,0),MATCH('Conditional Fomating'!K$1,products!$A$1:$D$1,0))</f>
        <v>M</v>
      </c>
      <c r="L110" t="str">
        <f t="shared" si="7"/>
        <v>Medium</v>
      </c>
      <c r="M110">
        <f>INDEX(products!$A$1:$I$49,MATCH('Conditional Fomating'!$D110,products!$A$1:$A$49,0),MATCH('Conditional Fomating'!M$1,products!$A$1:$D$1,0))</f>
        <v>0.5</v>
      </c>
      <c r="N110">
        <f>_xlfn.XLOOKUP(D110,products!$A$2:$A$49,products!$E$2:$E$49)</f>
        <v>6.75</v>
      </c>
      <c r="O110">
        <f>_xlfn.XLOOKUP(D110,products!$A$2:$A$49,products!$H$2:$H$49)</f>
        <v>6.1425000000000001</v>
      </c>
      <c r="P110">
        <f t="shared" si="8"/>
        <v>27</v>
      </c>
      <c r="Q110">
        <f t="shared" si="9"/>
        <v>24.57</v>
      </c>
      <c r="R110">
        <f t="shared" si="10"/>
        <v>2.4299999999999997</v>
      </c>
      <c r="S110" s="4">
        <f t="shared" si="11"/>
        <v>8.9999999999999983E-2</v>
      </c>
      <c r="T110" t="str">
        <f>_xlfn.XLOOKUP(C110,customers!$A$1:$A$1001,customers!$I$1:$I$1001,,0)</f>
        <v>No</v>
      </c>
    </row>
    <row r="111" spans="1:20"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INDEX(products!$A$1:$I$49,MATCH('Conditional Fomating'!$D111,products!$A$1:$A$49,0),MATCH('Conditional Fomating'!I$1,products!$A$1:$D$1,0))</f>
        <v>Lib</v>
      </c>
      <c r="J111" t="str">
        <f t="shared" si="6"/>
        <v>Liberica</v>
      </c>
      <c r="K111" t="str">
        <f>INDEX(products!$A$1:$I$49,MATCH('Conditional Fomating'!$D111,products!$A$1:$A$49,0),MATCH('Conditional Fomating'!K$1,products!$A$1:$D$1,0))</f>
        <v>D</v>
      </c>
      <c r="L111" t="str">
        <f t="shared" si="7"/>
        <v>Dark</v>
      </c>
      <c r="M111">
        <f>INDEX(products!$A$1:$I$49,MATCH('Conditional Fomating'!$D111,products!$A$1:$A$49,0),MATCH('Conditional Fomating'!M$1,products!$A$1:$D$1,0))</f>
        <v>0.5</v>
      </c>
      <c r="N111">
        <f>_xlfn.XLOOKUP(D111,products!$A$2:$A$49,products!$E$2:$E$49)</f>
        <v>7.77</v>
      </c>
      <c r="O111">
        <f>_xlfn.XLOOKUP(D111,products!$A$2:$A$49,products!$H$2:$H$49)</f>
        <v>6.7599</v>
      </c>
      <c r="P111">
        <f t="shared" si="8"/>
        <v>7.77</v>
      </c>
      <c r="Q111">
        <f t="shared" si="9"/>
        <v>6.7599</v>
      </c>
      <c r="R111">
        <f t="shared" si="10"/>
        <v>1.0100999999999996</v>
      </c>
      <c r="S111" s="4">
        <f t="shared" si="11"/>
        <v>0.12999999999999995</v>
      </c>
      <c r="T111" t="str">
        <f>_xlfn.XLOOKUP(C111,customers!$A$1:$A$1001,customers!$I$1:$I$1001,,0)</f>
        <v>Yes</v>
      </c>
    </row>
    <row r="112" spans="1:20"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INDEX(products!$A$1:$I$49,MATCH('Conditional Fomating'!$D112,products!$A$1:$A$49,0),MATCH('Conditional Fomating'!I$1,products!$A$1:$D$1,0))</f>
        <v>Exc</v>
      </c>
      <c r="J112" t="str">
        <f t="shared" si="6"/>
        <v>Excelsa</v>
      </c>
      <c r="K112" t="str">
        <f>INDEX(products!$A$1:$I$49,MATCH('Conditional Fomating'!$D112,products!$A$1:$A$49,0),MATCH('Conditional Fomating'!K$1,products!$A$1:$D$1,0))</f>
        <v>L</v>
      </c>
      <c r="L112" t="str">
        <f t="shared" si="7"/>
        <v>Light</v>
      </c>
      <c r="M112">
        <f>INDEX(products!$A$1:$I$49,MATCH('Conditional Fomating'!$D112,products!$A$1:$A$49,0),MATCH('Conditional Fomating'!M$1,products!$A$1:$D$1,0))</f>
        <v>0.2</v>
      </c>
      <c r="N112">
        <f>_xlfn.XLOOKUP(D112,products!$A$2:$A$49,products!$E$2:$E$49)</f>
        <v>4.4550000000000001</v>
      </c>
      <c r="O112">
        <f>_xlfn.XLOOKUP(D112,products!$A$2:$A$49,products!$H$2:$H$49)</f>
        <v>3.96495</v>
      </c>
      <c r="P112">
        <f t="shared" si="8"/>
        <v>13.365</v>
      </c>
      <c r="Q112">
        <f t="shared" si="9"/>
        <v>11.89485</v>
      </c>
      <c r="R112">
        <f t="shared" si="10"/>
        <v>1.4701500000000003</v>
      </c>
      <c r="S112" s="4">
        <f t="shared" si="11"/>
        <v>0.11000000000000001</v>
      </c>
      <c r="T112" t="str">
        <f>_xlfn.XLOOKUP(C112,customers!$A$1:$A$1001,customers!$I$1:$I$1001,,0)</f>
        <v>Yes</v>
      </c>
    </row>
    <row r="113" spans="1:20"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INDEX(products!$A$1:$I$49,MATCH('Conditional Fomating'!$D113,products!$A$1:$A$49,0),MATCH('Conditional Fomating'!I$1,products!$A$1:$D$1,0))</f>
        <v>Rob</v>
      </c>
      <c r="J113" t="str">
        <f t="shared" si="6"/>
        <v>Robusta</v>
      </c>
      <c r="K113" t="str">
        <f>INDEX(products!$A$1:$I$49,MATCH('Conditional Fomating'!$D113,products!$A$1:$A$49,0),MATCH('Conditional Fomating'!K$1,products!$A$1:$D$1,0))</f>
        <v>D</v>
      </c>
      <c r="L113" t="str">
        <f t="shared" si="7"/>
        <v>Dark</v>
      </c>
      <c r="M113">
        <f>INDEX(products!$A$1:$I$49,MATCH('Conditional Fomating'!$D113,products!$A$1:$A$49,0),MATCH('Conditional Fomating'!M$1,products!$A$1:$D$1,0))</f>
        <v>0.5</v>
      </c>
      <c r="N113">
        <f>_xlfn.XLOOKUP(D113,products!$A$2:$A$49,products!$E$2:$E$49)</f>
        <v>5.3699999999999992</v>
      </c>
      <c r="O113">
        <f>_xlfn.XLOOKUP(D113,products!$A$2:$A$49,products!$H$2:$H$49)</f>
        <v>5.0477999999999996</v>
      </c>
      <c r="P113">
        <f t="shared" si="8"/>
        <v>26.849999999999994</v>
      </c>
      <c r="Q113">
        <f t="shared" si="9"/>
        <v>25.238999999999997</v>
      </c>
      <c r="R113">
        <f t="shared" si="10"/>
        <v>1.6109999999999971</v>
      </c>
      <c r="S113" s="4">
        <f t="shared" si="11"/>
        <v>5.9999999999999908E-2</v>
      </c>
      <c r="T113" t="str">
        <f>_xlfn.XLOOKUP(C113,customers!$A$1:$A$1001,customers!$I$1:$I$1001,,0)</f>
        <v>No</v>
      </c>
    </row>
    <row r="114" spans="1:20"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INDEX(products!$A$1:$I$49,MATCH('Conditional Fomating'!$D114,products!$A$1:$A$49,0),MATCH('Conditional Fomating'!I$1,products!$A$1:$D$1,0))</f>
        <v>Ara</v>
      </c>
      <c r="J114" t="str">
        <f t="shared" si="6"/>
        <v>Arabica</v>
      </c>
      <c r="K114" t="str">
        <f>INDEX(products!$A$1:$I$49,MATCH('Conditional Fomating'!$D114,products!$A$1:$A$49,0),MATCH('Conditional Fomating'!K$1,products!$A$1:$D$1,0))</f>
        <v>M</v>
      </c>
      <c r="L114" t="str">
        <f t="shared" si="7"/>
        <v>Medium</v>
      </c>
      <c r="M114">
        <f>INDEX(products!$A$1:$I$49,MATCH('Conditional Fomating'!$D114,products!$A$1:$A$49,0),MATCH('Conditional Fomating'!M$1,products!$A$1:$D$1,0))</f>
        <v>1</v>
      </c>
      <c r="N114">
        <f>_xlfn.XLOOKUP(D114,products!$A$2:$A$49,products!$E$2:$E$49)</f>
        <v>11.25</v>
      </c>
      <c r="O114">
        <f>_xlfn.XLOOKUP(D114,products!$A$2:$A$49,products!$H$2:$H$49)</f>
        <v>10.237500000000001</v>
      </c>
      <c r="P114">
        <f t="shared" si="8"/>
        <v>11.25</v>
      </c>
      <c r="Q114">
        <f t="shared" si="9"/>
        <v>10.237500000000001</v>
      </c>
      <c r="R114">
        <f t="shared" si="10"/>
        <v>1.0124999999999993</v>
      </c>
      <c r="S114" s="4">
        <f t="shared" si="11"/>
        <v>8.9999999999999941E-2</v>
      </c>
      <c r="T114" t="str">
        <f>_xlfn.XLOOKUP(C114,customers!$A$1:$A$1001,customers!$I$1:$I$1001,,0)</f>
        <v>No</v>
      </c>
    </row>
    <row r="115" spans="1:20"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INDEX(products!$A$1:$I$49,MATCH('Conditional Fomating'!$D115,products!$A$1:$A$49,0),MATCH('Conditional Fomating'!I$1,products!$A$1:$D$1,0))</f>
        <v>Lib</v>
      </c>
      <c r="J115" t="str">
        <f t="shared" si="6"/>
        <v>Liberica</v>
      </c>
      <c r="K115" t="str">
        <f>INDEX(products!$A$1:$I$49,MATCH('Conditional Fomating'!$D115,products!$A$1:$A$49,0),MATCH('Conditional Fomating'!K$1,products!$A$1:$D$1,0))</f>
        <v>M</v>
      </c>
      <c r="L115" t="str">
        <f t="shared" si="7"/>
        <v>Medium</v>
      </c>
      <c r="M115">
        <f>INDEX(products!$A$1:$I$49,MATCH('Conditional Fomating'!$D115,products!$A$1:$A$49,0),MATCH('Conditional Fomating'!M$1,products!$A$1:$D$1,0))</f>
        <v>1</v>
      </c>
      <c r="N115">
        <f>_xlfn.XLOOKUP(D115,products!$A$2:$A$49,products!$E$2:$E$49)</f>
        <v>14.55</v>
      </c>
      <c r="O115">
        <f>_xlfn.XLOOKUP(D115,products!$A$2:$A$49,products!$H$2:$H$49)</f>
        <v>12.6585</v>
      </c>
      <c r="P115">
        <f t="shared" si="8"/>
        <v>14.55</v>
      </c>
      <c r="Q115">
        <f t="shared" si="9"/>
        <v>12.6585</v>
      </c>
      <c r="R115">
        <f t="shared" si="10"/>
        <v>1.8915000000000006</v>
      </c>
      <c r="S115" s="4">
        <f t="shared" si="11"/>
        <v>0.13000000000000003</v>
      </c>
      <c r="T115" t="str">
        <f>_xlfn.XLOOKUP(C115,customers!$A$1:$A$1001,customers!$I$1:$I$1001,,0)</f>
        <v>No</v>
      </c>
    </row>
    <row r="116" spans="1:20"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v>
      </c>
      <c r="H116" s="2" t="str">
        <f>_xlfn.XLOOKUP(C116,customers!$A$1:$A$1001,customers!$G$1:$G$1001,,0)</f>
        <v>United States</v>
      </c>
      <c r="I116" t="str">
        <f>INDEX(products!$A$1:$I$49,MATCH('Conditional Fomating'!$D116,products!$A$1:$A$49,0),MATCH('Conditional Fomating'!I$1,products!$A$1:$D$1,0))</f>
        <v>Rob</v>
      </c>
      <c r="J116" t="str">
        <f t="shared" si="6"/>
        <v>Robusta</v>
      </c>
      <c r="K116" t="str">
        <f>INDEX(products!$A$1:$I$49,MATCH('Conditional Fomating'!$D116,products!$A$1:$A$49,0),MATCH('Conditional Fomating'!K$1,products!$A$1:$D$1,0))</f>
        <v>L</v>
      </c>
      <c r="L116" t="str">
        <f t="shared" si="7"/>
        <v>Light</v>
      </c>
      <c r="M116">
        <f>INDEX(products!$A$1:$I$49,MATCH('Conditional Fomating'!$D116,products!$A$1:$A$49,0),MATCH('Conditional Fomating'!M$1,products!$A$1:$D$1,0))</f>
        <v>0.2</v>
      </c>
      <c r="N116">
        <f>_xlfn.XLOOKUP(D116,products!$A$2:$A$49,products!$E$2:$E$49)</f>
        <v>3.5849999999999995</v>
      </c>
      <c r="O116">
        <f>_xlfn.XLOOKUP(D116,products!$A$2:$A$49,products!$H$2:$H$49)</f>
        <v>3.3698999999999995</v>
      </c>
      <c r="P116">
        <f t="shared" si="8"/>
        <v>14.339999999999998</v>
      </c>
      <c r="Q116">
        <f t="shared" si="9"/>
        <v>13.479599999999998</v>
      </c>
      <c r="R116">
        <f t="shared" si="10"/>
        <v>0.86040000000000028</v>
      </c>
      <c r="S116" s="4">
        <f t="shared" si="11"/>
        <v>6.0000000000000026E-2</v>
      </c>
      <c r="T116" t="str">
        <f>_xlfn.XLOOKUP(C116,customers!$A$1:$A$1001,customers!$I$1:$I$1001,,0)</f>
        <v>No</v>
      </c>
    </row>
    <row r="117" spans="1:20"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INDEX(products!$A$1:$I$49,MATCH('Conditional Fomating'!$D117,products!$A$1:$A$49,0),MATCH('Conditional Fomating'!I$1,products!$A$1:$D$1,0))</f>
        <v>Lib</v>
      </c>
      <c r="J117" t="str">
        <f t="shared" si="6"/>
        <v>Liberica</v>
      </c>
      <c r="K117" t="str">
        <f>INDEX(products!$A$1:$I$49,MATCH('Conditional Fomating'!$D117,products!$A$1:$A$49,0),MATCH('Conditional Fomating'!K$1,products!$A$1:$D$1,0))</f>
        <v>L</v>
      </c>
      <c r="L117" t="str">
        <f t="shared" si="7"/>
        <v>Light</v>
      </c>
      <c r="M117">
        <f>INDEX(products!$A$1:$I$49,MATCH('Conditional Fomating'!$D117,products!$A$1:$A$49,0),MATCH('Conditional Fomating'!M$1,products!$A$1:$D$1,0))</f>
        <v>1</v>
      </c>
      <c r="N117">
        <f>_xlfn.XLOOKUP(D117,products!$A$2:$A$49,products!$E$2:$E$49)</f>
        <v>15.85</v>
      </c>
      <c r="O117">
        <f>_xlfn.XLOOKUP(D117,products!$A$2:$A$49,products!$H$2:$H$49)</f>
        <v>13.7895</v>
      </c>
      <c r="P117">
        <f t="shared" si="8"/>
        <v>15.85</v>
      </c>
      <c r="Q117">
        <f t="shared" si="9"/>
        <v>13.7895</v>
      </c>
      <c r="R117">
        <f t="shared" si="10"/>
        <v>2.0604999999999993</v>
      </c>
      <c r="S117" s="4">
        <f t="shared" si="11"/>
        <v>0.12999999999999995</v>
      </c>
      <c r="T117" t="str">
        <f>_xlfn.XLOOKUP(C117,customers!$A$1:$A$1001,customers!$I$1:$I$1001,,0)</f>
        <v>No</v>
      </c>
    </row>
    <row r="118" spans="1:20"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INDEX(products!$A$1:$I$49,MATCH('Conditional Fomating'!$D118,products!$A$1:$A$49,0),MATCH('Conditional Fomating'!I$1,products!$A$1:$D$1,0))</f>
        <v>Lib</v>
      </c>
      <c r="J118" t="str">
        <f t="shared" si="6"/>
        <v>Liberica</v>
      </c>
      <c r="K118" t="str">
        <f>INDEX(products!$A$1:$I$49,MATCH('Conditional Fomating'!$D118,products!$A$1:$A$49,0),MATCH('Conditional Fomating'!K$1,products!$A$1:$D$1,0))</f>
        <v>L</v>
      </c>
      <c r="L118" t="str">
        <f t="shared" si="7"/>
        <v>Light</v>
      </c>
      <c r="M118">
        <f>INDEX(products!$A$1:$I$49,MATCH('Conditional Fomating'!$D118,products!$A$1:$A$49,0),MATCH('Conditional Fomating'!M$1,products!$A$1:$D$1,0))</f>
        <v>0.2</v>
      </c>
      <c r="N118">
        <f>_xlfn.XLOOKUP(D118,products!$A$2:$A$49,products!$E$2:$E$49)</f>
        <v>4.7549999999999999</v>
      </c>
      <c r="O118">
        <f>_xlfn.XLOOKUP(D118,products!$A$2:$A$49,products!$H$2:$H$49)</f>
        <v>4.1368499999999999</v>
      </c>
      <c r="P118">
        <f t="shared" si="8"/>
        <v>19.02</v>
      </c>
      <c r="Q118">
        <f t="shared" si="9"/>
        <v>16.5474</v>
      </c>
      <c r="R118">
        <f t="shared" si="10"/>
        <v>2.4725999999999999</v>
      </c>
      <c r="S118" s="4">
        <f t="shared" si="11"/>
        <v>0.13</v>
      </c>
      <c r="T118" t="str">
        <f>_xlfn.XLOOKUP(C118,customers!$A$1:$A$1001,customers!$I$1:$I$1001,,0)</f>
        <v>Yes</v>
      </c>
    </row>
    <row r="119" spans="1:20"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INDEX(products!$A$1:$I$49,MATCH('Conditional Fomating'!$D119,products!$A$1:$A$49,0),MATCH('Conditional Fomating'!I$1,products!$A$1:$D$1,0))</f>
        <v>Lib</v>
      </c>
      <c r="J119" t="str">
        <f t="shared" si="6"/>
        <v>Liberica</v>
      </c>
      <c r="K119" t="str">
        <f>INDEX(products!$A$1:$I$49,MATCH('Conditional Fomating'!$D119,products!$A$1:$A$49,0),MATCH('Conditional Fomating'!K$1,products!$A$1:$D$1,0))</f>
        <v>L</v>
      </c>
      <c r="L119" t="str">
        <f t="shared" si="7"/>
        <v>Light</v>
      </c>
      <c r="M119">
        <f>INDEX(products!$A$1:$I$49,MATCH('Conditional Fomating'!$D119,products!$A$1:$A$49,0),MATCH('Conditional Fomating'!M$1,products!$A$1:$D$1,0))</f>
        <v>0.5</v>
      </c>
      <c r="N119">
        <f>_xlfn.XLOOKUP(D119,products!$A$2:$A$49,products!$E$2:$E$49)</f>
        <v>9.51</v>
      </c>
      <c r="O119">
        <f>_xlfn.XLOOKUP(D119,products!$A$2:$A$49,products!$H$2:$H$49)</f>
        <v>8.2736999999999998</v>
      </c>
      <c r="P119">
        <f t="shared" si="8"/>
        <v>38.04</v>
      </c>
      <c r="Q119">
        <f t="shared" si="9"/>
        <v>33.094799999999999</v>
      </c>
      <c r="R119">
        <f t="shared" si="10"/>
        <v>4.9451999999999998</v>
      </c>
      <c r="S119" s="4">
        <f t="shared" si="11"/>
        <v>0.13</v>
      </c>
      <c r="T119" t="str">
        <f>_xlfn.XLOOKUP(C119,customers!$A$1:$A$1001,customers!$I$1:$I$1001,,0)</f>
        <v>No</v>
      </c>
    </row>
    <row r="120" spans="1:20"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INDEX(products!$A$1:$I$49,MATCH('Conditional Fomating'!$D120,products!$A$1:$A$49,0),MATCH('Conditional Fomating'!I$1,products!$A$1:$D$1,0))</f>
        <v>Exc</v>
      </c>
      <c r="J120" t="str">
        <f t="shared" si="6"/>
        <v>Excelsa</v>
      </c>
      <c r="K120" t="str">
        <f>INDEX(products!$A$1:$I$49,MATCH('Conditional Fomating'!$D120,products!$A$1:$A$49,0),MATCH('Conditional Fomating'!K$1,products!$A$1:$D$1,0))</f>
        <v>D</v>
      </c>
      <c r="L120" t="str">
        <f t="shared" si="7"/>
        <v>Dark</v>
      </c>
      <c r="M120">
        <f>INDEX(products!$A$1:$I$49,MATCH('Conditional Fomating'!$D120,products!$A$1:$A$49,0),MATCH('Conditional Fomating'!M$1,products!$A$1:$D$1,0))</f>
        <v>0.5</v>
      </c>
      <c r="N120">
        <f>_xlfn.XLOOKUP(D120,products!$A$2:$A$49,products!$E$2:$E$49)</f>
        <v>7.29</v>
      </c>
      <c r="O120">
        <f>_xlfn.XLOOKUP(D120,products!$A$2:$A$49,products!$H$2:$H$49)</f>
        <v>6.4881000000000002</v>
      </c>
      <c r="P120">
        <f t="shared" si="8"/>
        <v>21.87</v>
      </c>
      <c r="Q120">
        <f t="shared" si="9"/>
        <v>19.464300000000001</v>
      </c>
      <c r="R120">
        <f t="shared" si="10"/>
        <v>2.4056999999999995</v>
      </c>
      <c r="S120" s="4">
        <f t="shared" si="11"/>
        <v>0.10999999999999997</v>
      </c>
      <c r="T120" t="str">
        <f>_xlfn.XLOOKUP(C120,customers!$A$1:$A$1001,customers!$I$1:$I$1001,,0)</f>
        <v>Yes</v>
      </c>
    </row>
    <row r="121" spans="1:20"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INDEX(products!$A$1:$I$49,MATCH('Conditional Fomating'!$D121,products!$A$1:$A$49,0),MATCH('Conditional Fomating'!I$1,products!$A$1:$D$1,0))</f>
        <v>Exc</v>
      </c>
      <c r="J121" t="str">
        <f t="shared" si="6"/>
        <v>Excelsa</v>
      </c>
      <c r="K121" t="str">
        <f>INDEX(products!$A$1:$I$49,MATCH('Conditional Fomating'!$D121,products!$A$1:$A$49,0),MATCH('Conditional Fomating'!K$1,products!$A$1:$D$1,0))</f>
        <v>M</v>
      </c>
      <c r="L121" t="str">
        <f t="shared" si="7"/>
        <v>Medium</v>
      </c>
      <c r="M121">
        <f>INDEX(products!$A$1:$I$49,MATCH('Conditional Fomating'!$D121,products!$A$1:$A$49,0),MATCH('Conditional Fomating'!M$1,products!$A$1:$D$1,0))</f>
        <v>0.2</v>
      </c>
      <c r="N121">
        <f>_xlfn.XLOOKUP(D121,products!$A$2:$A$49,products!$E$2:$E$49)</f>
        <v>4.125</v>
      </c>
      <c r="O121">
        <f>_xlfn.XLOOKUP(D121,products!$A$2:$A$49,products!$H$2:$H$49)</f>
        <v>3.6712500000000001</v>
      </c>
      <c r="P121">
        <f t="shared" si="8"/>
        <v>4.125</v>
      </c>
      <c r="Q121">
        <f t="shared" si="9"/>
        <v>3.6712500000000001</v>
      </c>
      <c r="R121">
        <f t="shared" si="10"/>
        <v>0.45374999999999988</v>
      </c>
      <c r="S121" s="4">
        <f t="shared" si="11"/>
        <v>0.10999999999999997</v>
      </c>
      <c r="T121" t="str">
        <f>_xlfn.XLOOKUP(C121,customers!$A$1:$A$1001,customers!$I$1:$I$1001,,0)</f>
        <v>No</v>
      </c>
    </row>
    <row r="122" spans="1:20"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INDEX(products!$A$1:$I$49,MATCH('Conditional Fomating'!$D122,products!$A$1:$A$49,0),MATCH('Conditional Fomating'!I$1,products!$A$1:$D$1,0))</f>
        <v>Ara</v>
      </c>
      <c r="J122" t="str">
        <f t="shared" si="6"/>
        <v>Arabica</v>
      </c>
      <c r="K122" t="str">
        <f>INDEX(products!$A$1:$I$49,MATCH('Conditional Fomating'!$D122,products!$A$1:$A$49,0),MATCH('Conditional Fomating'!K$1,products!$A$1:$D$1,0))</f>
        <v>L</v>
      </c>
      <c r="L122" t="str">
        <f t="shared" si="7"/>
        <v>Light</v>
      </c>
      <c r="M122">
        <f>INDEX(products!$A$1:$I$49,MATCH('Conditional Fomating'!$D122,products!$A$1:$A$49,0),MATCH('Conditional Fomating'!M$1,products!$A$1:$D$1,0))</f>
        <v>0.2</v>
      </c>
      <c r="N122">
        <f>_xlfn.XLOOKUP(D122,products!$A$2:$A$49,products!$E$2:$E$49)</f>
        <v>3.8849999999999998</v>
      </c>
      <c r="O122">
        <f>_xlfn.XLOOKUP(D122,products!$A$2:$A$49,products!$H$2:$H$49)</f>
        <v>3.5353499999999998</v>
      </c>
      <c r="P122">
        <f t="shared" si="8"/>
        <v>3.8849999999999998</v>
      </c>
      <c r="Q122">
        <f t="shared" si="9"/>
        <v>3.5353499999999998</v>
      </c>
      <c r="R122">
        <f t="shared" si="10"/>
        <v>0.34965000000000002</v>
      </c>
      <c r="S122" s="4">
        <f t="shared" si="11"/>
        <v>9.0000000000000011E-2</v>
      </c>
      <c r="T122" t="str">
        <f>_xlfn.XLOOKUP(C122,customers!$A$1:$A$1001,customers!$I$1:$I$1001,,0)</f>
        <v>No</v>
      </c>
    </row>
    <row r="123" spans="1:20"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INDEX(products!$A$1:$I$49,MATCH('Conditional Fomating'!$D123,products!$A$1:$A$49,0),MATCH('Conditional Fomating'!I$1,products!$A$1:$D$1,0))</f>
        <v>Exc</v>
      </c>
      <c r="J123" t="str">
        <f t="shared" si="6"/>
        <v>Excelsa</v>
      </c>
      <c r="K123" t="str">
        <f>INDEX(products!$A$1:$I$49,MATCH('Conditional Fomating'!$D123,products!$A$1:$A$49,0),MATCH('Conditional Fomating'!K$1,products!$A$1:$D$1,0))</f>
        <v>M</v>
      </c>
      <c r="L123" t="str">
        <f t="shared" si="7"/>
        <v>Medium</v>
      </c>
      <c r="M123">
        <f>INDEX(products!$A$1:$I$49,MATCH('Conditional Fomating'!$D123,products!$A$1:$A$49,0),MATCH('Conditional Fomating'!M$1,products!$A$1:$D$1,0))</f>
        <v>1</v>
      </c>
      <c r="N123">
        <f>_xlfn.XLOOKUP(D123,products!$A$2:$A$49,products!$E$2:$E$49)</f>
        <v>13.75</v>
      </c>
      <c r="O123">
        <f>_xlfn.XLOOKUP(D123,products!$A$2:$A$49,products!$H$2:$H$49)</f>
        <v>12.237500000000001</v>
      </c>
      <c r="P123">
        <f t="shared" si="8"/>
        <v>68.75</v>
      </c>
      <c r="Q123">
        <f t="shared" si="9"/>
        <v>61.1875</v>
      </c>
      <c r="R123">
        <f t="shared" si="10"/>
        <v>7.5625</v>
      </c>
      <c r="S123" s="4">
        <f t="shared" si="11"/>
        <v>0.11</v>
      </c>
      <c r="T123" t="str">
        <f>_xlfn.XLOOKUP(C123,customers!$A$1:$A$1001,customers!$I$1:$I$1001,,0)</f>
        <v>No</v>
      </c>
    </row>
    <row r="124" spans="1:20"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INDEX(products!$A$1:$I$49,MATCH('Conditional Fomating'!$D124,products!$A$1:$A$49,0),MATCH('Conditional Fomating'!I$1,products!$A$1:$D$1,0))</f>
        <v>Ara</v>
      </c>
      <c r="J124" t="str">
        <f t="shared" si="6"/>
        <v>Arabica</v>
      </c>
      <c r="K124" t="str">
        <f>INDEX(products!$A$1:$I$49,MATCH('Conditional Fomating'!$D124,products!$A$1:$A$49,0),MATCH('Conditional Fomating'!K$1,products!$A$1:$D$1,0))</f>
        <v>D</v>
      </c>
      <c r="L124" t="str">
        <f t="shared" si="7"/>
        <v>Dark</v>
      </c>
      <c r="M124">
        <f>INDEX(products!$A$1:$I$49,MATCH('Conditional Fomating'!$D124,products!$A$1:$A$49,0),MATCH('Conditional Fomating'!M$1,products!$A$1:$D$1,0))</f>
        <v>0.5</v>
      </c>
      <c r="N124">
        <f>_xlfn.XLOOKUP(D124,products!$A$2:$A$49,products!$E$2:$E$49)</f>
        <v>5.97</v>
      </c>
      <c r="O124">
        <f>_xlfn.XLOOKUP(D124,products!$A$2:$A$49,products!$H$2:$H$49)</f>
        <v>5.4326999999999996</v>
      </c>
      <c r="P124">
        <f t="shared" si="8"/>
        <v>23.88</v>
      </c>
      <c r="Q124">
        <f t="shared" si="9"/>
        <v>21.730799999999999</v>
      </c>
      <c r="R124">
        <f t="shared" si="10"/>
        <v>2.1492000000000004</v>
      </c>
      <c r="S124" s="4">
        <f t="shared" si="11"/>
        <v>9.0000000000000024E-2</v>
      </c>
      <c r="T124" t="str">
        <f>_xlfn.XLOOKUP(C124,customers!$A$1:$A$1001,customers!$I$1:$I$1001,,0)</f>
        <v>Yes</v>
      </c>
    </row>
    <row r="125" spans="1:20"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INDEX(products!$A$1:$I$49,MATCH('Conditional Fomating'!$D125,products!$A$1:$A$49,0),MATCH('Conditional Fomating'!I$1,products!$A$1:$D$1,0))</f>
        <v>Lib</v>
      </c>
      <c r="J125" t="str">
        <f t="shared" si="6"/>
        <v>Liberica</v>
      </c>
      <c r="K125" t="str">
        <f>INDEX(products!$A$1:$I$49,MATCH('Conditional Fomating'!$D125,products!$A$1:$A$49,0),MATCH('Conditional Fomating'!K$1,products!$A$1:$D$1,0))</f>
        <v>L</v>
      </c>
      <c r="L125" t="str">
        <f t="shared" si="7"/>
        <v>Light</v>
      </c>
      <c r="M125">
        <f>INDEX(products!$A$1:$I$49,MATCH('Conditional Fomating'!$D125,products!$A$1:$A$49,0),MATCH('Conditional Fomating'!M$1,products!$A$1:$D$1,0))</f>
        <v>2.5</v>
      </c>
      <c r="N125">
        <f>_xlfn.XLOOKUP(D125,products!$A$2:$A$49,products!$E$2:$E$49)</f>
        <v>36.454999999999998</v>
      </c>
      <c r="O125">
        <f>_xlfn.XLOOKUP(D125,products!$A$2:$A$49,products!$H$2:$H$49)</f>
        <v>31.71585</v>
      </c>
      <c r="P125">
        <f t="shared" si="8"/>
        <v>145.82</v>
      </c>
      <c r="Q125">
        <f t="shared" si="9"/>
        <v>126.8634</v>
      </c>
      <c r="R125">
        <f t="shared" si="10"/>
        <v>18.956599999999995</v>
      </c>
      <c r="S125" s="4">
        <f t="shared" si="11"/>
        <v>0.12999999999999998</v>
      </c>
      <c r="T125" t="str">
        <f>_xlfn.XLOOKUP(C125,customers!$A$1:$A$1001,customers!$I$1:$I$1001,,0)</f>
        <v>No</v>
      </c>
    </row>
    <row r="126" spans="1:20"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INDEX(products!$A$1:$I$49,MATCH('Conditional Fomating'!$D126,products!$A$1:$A$49,0),MATCH('Conditional Fomating'!I$1,products!$A$1:$D$1,0))</f>
        <v>Lib</v>
      </c>
      <c r="J126" t="str">
        <f t="shared" si="6"/>
        <v>Liberica</v>
      </c>
      <c r="K126" t="str">
        <f>INDEX(products!$A$1:$I$49,MATCH('Conditional Fomating'!$D126,products!$A$1:$A$49,0),MATCH('Conditional Fomating'!K$1,products!$A$1:$D$1,0))</f>
        <v>M</v>
      </c>
      <c r="L126" t="str">
        <f t="shared" si="7"/>
        <v>Medium</v>
      </c>
      <c r="M126">
        <f>INDEX(products!$A$1:$I$49,MATCH('Conditional Fomating'!$D126,products!$A$1:$A$49,0),MATCH('Conditional Fomating'!M$1,products!$A$1:$D$1,0))</f>
        <v>0.2</v>
      </c>
      <c r="N126">
        <f>_xlfn.XLOOKUP(D126,products!$A$2:$A$49,products!$E$2:$E$49)</f>
        <v>4.3650000000000002</v>
      </c>
      <c r="O126">
        <f>_xlfn.XLOOKUP(D126,products!$A$2:$A$49,products!$H$2:$H$49)</f>
        <v>3.7975500000000002</v>
      </c>
      <c r="P126">
        <f t="shared" si="8"/>
        <v>21.825000000000003</v>
      </c>
      <c r="Q126">
        <f t="shared" si="9"/>
        <v>18.987750000000002</v>
      </c>
      <c r="R126">
        <f t="shared" si="10"/>
        <v>2.8372500000000009</v>
      </c>
      <c r="S126" s="4">
        <f t="shared" si="11"/>
        <v>0.13000000000000003</v>
      </c>
      <c r="T126" t="str">
        <f>_xlfn.XLOOKUP(C126,customers!$A$1:$A$1001,customers!$I$1:$I$1001,,0)</f>
        <v>Yes</v>
      </c>
    </row>
    <row r="127" spans="1:20"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INDEX(products!$A$1:$I$49,MATCH('Conditional Fomating'!$D127,products!$A$1:$A$49,0),MATCH('Conditional Fomating'!I$1,products!$A$1:$D$1,0))</f>
        <v>Lib</v>
      </c>
      <c r="J127" t="str">
        <f t="shared" si="6"/>
        <v>Liberica</v>
      </c>
      <c r="K127" t="str">
        <f>INDEX(products!$A$1:$I$49,MATCH('Conditional Fomating'!$D127,products!$A$1:$A$49,0),MATCH('Conditional Fomating'!K$1,products!$A$1:$D$1,0))</f>
        <v>M</v>
      </c>
      <c r="L127" t="str">
        <f t="shared" si="7"/>
        <v>Medium</v>
      </c>
      <c r="M127">
        <f>INDEX(products!$A$1:$I$49,MATCH('Conditional Fomating'!$D127,products!$A$1:$A$49,0),MATCH('Conditional Fomating'!M$1,products!$A$1:$D$1,0))</f>
        <v>0.5</v>
      </c>
      <c r="N127">
        <f>_xlfn.XLOOKUP(D127,products!$A$2:$A$49,products!$E$2:$E$49)</f>
        <v>8.73</v>
      </c>
      <c r="O127">
        <f>_xlfn.XLOOKUP(D127,products!$A$2:$A$49,products!$H$2:$H$49)</f>
        <v>7.5951000000000004</v>
      </c>
      <c r="P127">
        <f t="shared" si="8"/>
        <v>26.19</v>
      </c>
      <c r="Q127">
        <f t="shared" si="9"/>
        <v>22.785299999999999</v>
      </c>
      <c r="R127">
        <f t="shared" si="10"/>
        <v>3.4047000000000018</v>
      </c>
      <c r="S127" s="4">
        <f t="shared" si="11"/>
        <v>0.13000000000000006</v>
      </c>
      <c r="T127" t="str">
        <f>_xlfn.XLOOKUP(C127,customers!$A$1:$A$1001,customers!$I$1:$I$1001,,0)</f>
        <v>Yes</v>
      </c>
    </row>
    <row r="128" spans="1:20"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INDEX(products!$A$1:$I$49,MATCH('Conditional Fomating'!$D128,products!$A$1:$A$49,0),MATCH('Conditional Fomating'!I$1,products!$A$1:$D$1,0))</f>
        <v>Ara</v>
      </c>
      <c r="J128" t="str">
        <f t="shared" si="6"/>
        <v>Arabica</v>
      </c>
      <c r="K128" t="str">
        <f>INDEX(products!$A$1:$I$49,MATCH('Conditional Fomating'!$D128,products!$A$1:$A$49,0),MATCH('Conditional Fomating'!K$1,products!$A$1:$D$1,0))</f>
        <v>M</v>
      </c>
      <c r="L128" t="str">
        <f t="shared" si="7"/>
        <v>Medium</v>
      </c>
      <c r="M128">
        <f>INDEX(products!$A$1:$I$49,MATCH('Conditional Fomating'!$D128,products!$A$1:$A$49,0),MATCH('Conditional Fomating'!M$1,products!$A$1:$D$1,0))</f>
        <v>1</v>
      </c>
      <c r="N128">
        <f>_xlfn.XLOOKUP(D128,products!$A$2:$A$49,products!$E$2:$E$49)</f>
        <v>11.25</v>
      </c>
      <c r="O128">
        <f>_xlfn.XLOOKUP(D128,products!$A$2:$A$49,products!$H$2:$H$49)</f>
        <v>10.237500000000001</v>
      </c>
      <c r="P128">
        <f t="shared" si="8"/>
        <v>11.25</v>
      </c>
      <c r="Q128">
        <f t="shared" si="9"/>
        <v>10.237500000000001</v>
      </c>
      <c r="R128">
        <f t="shared" si="10"/>
        <v>1.0124999999999993</v>
      </c>
      <c r="S128" s="4">
        <f t="shared" si="11"/>
        <v>8.9999999999999941E-2</v>
      </c>
      <c r="T128" t="str">
        <f>_xlfn.XLOOKUP(C128,customers!$A$1:$A$1001,customers!$I$1:$I$1001,,0)</f>
        <v>No</v>
      </c>
    </row>
    <row r="129" spans="1:20"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INDEX(products!$A$1:$I$49,MATCH('Conditional Fomating'!$D129,products!$A$1:$A$49,0),MATCH('Conditional Fomating'!I$1,products!$A$1:$D$1,0))</f>
        <v>Lib</v>
      </c>
      <c r="J129" t="str">
        <f t="shared" si="6"/>
        <v>Liberica</v>
      </c>
      <c r="K129" t="str">
        <f>INDEX(products!$A$1:$I$49,MATCH('Conditional Fomating'!$D129,products!$A$1:$A$49,0),MATCH('Conditional Fomating'!K$1,products!$A$1:$D$1,0))</f>
        <v>D</v>
      </c>
      <c r="L129" t="str">
        <f t="shared" si="7"/>
        <v>Dark</v>
      </c>
      <c r="M129">
        <f>INDEX(products!$A$1:$I$49,MATCH('Conditional Fomating'!$D129,products!$A$1:$A$49,0),MATCH('Conditional Fomating'!M$1,products!$A$1:$D$1,0))</f>
        <v>1</v>
      </c>
      <c r="N129">
        <f>_xlfn.XLOOKUP(D129,products!$A$2:$A$49,products!$E$2:$E$49)</f>
        <v>12.95</v>
      </c>
      <c r="O129">
        <f>_xlfn.XLOOKUP(D129,products!$A$2:$A$49,products!$H$2:$H$49)</f>
        <v>11.266499999999999</v>
      </c>
      <c r="P129">
        <f t="shared" si="8"/>
        <v>77.699999999999989</v>
      </c>
      <c r="Q129">
        <f t="shared" si="9"/>
        <v>67.59899999999999</v>
      </c>
      <c r="R129">
        <f t="shared" si="10"/>
        <v>10.100999999999999</v>
      </c>
      <c r="S129" s="4">
        <f t="shared" si="11"/>
        <v>0.13</v>
      </c>
      <c r="T129" t="str">
        <f>_xlfn.XLOOKUP(C129,customers!$A$1:$A$1001,customers!$I$1:$I$1001,,0)</f>
        <v>No</v>
      </c>
    </row>
    <row r="130" spans="1:20"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INDEX(products!$A$1:$I$49,MATCH('Conditional Fomating'!$D130,products!$A$1:$A$49,0),MATCH('Conditional Fomating'!I$1,products!$A$1:$D$1,0))</f>
        <v>Ara</v>
      </c>
      <c r="J130" t="str">
        <f t="shared" si="6"/>
        <v>Arabica</v>
      </c>
      <c r="K130" t="str">
        <f>INDEX(products!$A$1:$I$49,MATCH('Conditional Fomating'!$D130,products!$A$1:$A$49,0),MATCH('Conditional Fomating'!K$1,products!$A$1:$D$1,0))</f>
        <v>M</v>
      </c>
      <c r="L130" t="str">
        <f t="shared" si="7"/>
        <v>Medium</v>
      </c>
      <c r="M130">
        <f>INDEX(products!$A$1:$I$49,MATCH('Conditional Fomating'!$D130,products!$A$1:$A$49,0),MATCH('Conditional Fomating'!M$1,products!$A$1:$D$1,0))</f>
        <v>0.5</v>
      </c>
      <c r="N130">
        <f>_xlfn.XLOOKUP(D130,products!$A$2:$A$49,products!$E$2:$E$49)</f>
        <v>6.75</v>
      </c>
      <c r="O130">
        <f>_xlfn.XLOOKUP(D130,products!$A$2:$A$49,products!$H$2:$H$49)</f>
        <v>6.1425000000000001</v>
      </c>
      <c r="P130">
        <f t="shared" si="8"/>
        <v>6.75</v>
      </c>
      <c r="Q130">
        <f t="shared" si="9"/>
        <v>6.1425000000000001</v>
      </c>
      <c r="R130">
        <f t="shared" si="10"/>
        <v>0.60749999999999993</v>
      </c>
      <c r="S130" s="4">
        <f t="shared" si="11"/>
        <v>8.9999999999999983E-2</v>
      </c>
      <c r="T130" t="str">
        <f>_xlfn.XLOOKUP(C130,customers!$A$1:$A$1001,customers!$I$1:$I$1001,,0)</f>
        <v>No</v>
      </c>
    </row>
    <row r="131" spans="1:20"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INDEX(products!$A$1:$I$49,MATCH('Conditional Fomating'!$D131,products!$A$1:$A$49,0),MATCH('Conditional Fomating'!I$1,products!$A$1:$D$1,0))</f>
        <v>Exc</v>
      </c>
      <c r="J131" t="str">
        <f t="shared" ref="J131:J194" si="12">IF(I131="Rob","Robusta",IF(I131="Exc","Excelsa",IF(I131="Ara","Arabica",IF(I131="Lib","Liberica",""))))</f>
        <v>Excelsa</v>
      </c>
      <c r="K131" t="str">
        <f>INDEX(products!$A$1:$I$49,MATCH('Conditional Fomating'!$D131,products!$A$1:$A$49,0),MATCH('Conditional Fomating'!K$1,products!$A$1:$D$1,0))</f>
        <v>D</v>
      </c>
      <c r="L131" t="str">
        <f t="shared" ref="L131:L194" si="13">IF(K131="M","Medium",IF(K131="L","Light",IF(K131="D","Dark","")))</f>
        <v>Dark</v>
      </c>
      <c r="M131">
        <f>INDEX(products!$A$1:$I$49,MATCH('Conditional Fomating'!$D131,products!$A$1:$A$49,0),MATCH('Conditional Fomating'!M$1,products!$A$1:$D$1,0))</f>
        <v>1</v>
      </c>
      <c r="N131">
        <f>_xlfn.XLOOKUP(D131,products!$A$2:$A$49,products!$E$2:$E$49)</f>
        <v>12.15</v>
      </c>
      <c r="O131">
        <f>_xlfn.XLOOKUP(D131,products!$A$2:$A$49,products!$H$2:$H$49)</f>
        <v>10.813500000000001</v>
      </c>
      <c r="P131">
        <f t="shared" ref="P131:P194" si="14">N131*E131</f>
        <v>12.15</v>
      </c>
      <c r="Q131">
        <f t="shared" ref="Q131:Q194" si="15">O131*E131</f>
        <v>10.813500000000001</v>
      </c>
      <c r="R131">
        <f t="shared" ref="R131:R194" si="16">P131-Q131</f>
        <v>1.3364999999999991</v>
      </c>
      <c r="S131" s="4">
        <f t="shared" ref="S131:S194" si="17">R131/P131</f>
        <v>0.10999999999999993</v>
      </c>
      <c r="T131" t="str">
        <f>_xlfn.XLOOKUP(C131,customers!$A$1:$A$1001,customers!$I$1:$I$1001,,0)</f>
        <v>Yes</v>
      </c>
    </row>
    <row r="132" spans="1:20"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v>
      </c>
      <c r="H132" s="2" t="str">
        <f>_xlfn.XLOOKUP(C132,customers!$A$1:$A$1001,customers!$G$1:$G$1001,,0)</f>
        <v>Ireland</v>
      </c>
      <c r="I132" t="str">
        <f>INDEX(products!$A$1:$I$49,MATCH('Conditional Fomating'!$D132,products!$A$1:$A$49,0),MATCH('Conditional Fomating'!I$1,products!$A$1:$D$1,0))</f>
        <v>Ara</v>
      </c>
      <c r="J132" t="str">
        <f t="shared" si="12"/>
        <v>Arabica</v>
      </c>
      <c r="K132" t="str">
        <f>INDEX(products!$A$1:$I$49,MATCH('Conditional Fomating'!$D132,products!$A$1:$A$49,0),MATCH('Conditional Fomating'!K$1,products!$A$1:$D$1,0))</f>
        <v>L</v>
      </c>
      <c r="L132" t="str">
        <f t="shared" si="13"/>
        <v>Light</v>
      </c>
      <c r="M132">
        <f>INDEX(products!$A$1:$I$49,MATCH('Conditional Fomating'!$D132,products!$A$1:$A$49,0),MATCH('Conditional Fomating'!M$1,products!$A$1:$D$1,0))</f>
        <v>2.5</v>
      </c>
      <c r="N132">
        <f>_xlfn.XLOOKUP(D132,products!$A$2:$A$49,products!$E$2:$E$49)</f>
        <v>29.784999999999997</v>
      </c>
      <c r="O132">
        <f>_xlfn.XLOOKUP(D132,products!$A$2:$A$49,products!$H$2:$H$49)</f>
        <v>27.104349999999997</v>
      </c>
      <c r="P132">
        <f t="shared" si="14"/>
        <v>148.92499999999998</v>
      </c>
      <c r="Q132">
        <f t="shared" si="15"/>
        <v>135.52175</v>
      </c>
      <c r="R132">
        <f t="shared" si="16"/>
        <v>13.403249999999986</v>
      </c>
      <c r="S132" s="4">
        <f t="shared" si="17"/>
        <v>8.9999999999999913E-2</v>
      </c>
      <c r="T132" t="str">
        <f>_xlfn.XLOOKUP(C132,customers!$A$1:$A$1001,customers!$I$1:$I$1001,,0)</f>
        <v>Yes</v>
      </c>
    </row>
    <row r="133" spans="1:20"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INDEX(products!$A$1:$I$49,MATCH('Conditional Fomating'!$D133,products!$A$1:$A$49,0),MATCH('Conditional Fomating'!I$1,products!$A$1:$D$1,0))</f>
        <v>Exc</v>
      </c>
      <c r="J133" t="str">
        <f t="shared" si="12"/>
        <v>Excelsa</v>
      </c>
      <c r="K133" t="str">
        <f>INDEX(products!$A$1:$I$49,MATCH('Conditional Fomating'!$D133,products!$A$1:$A$49,0),MATCH('Conditional Fomating'!K$1,products!$A$1:$D$1,0))</f>
        <v>D</v>
      </c>
      <c r="L133" t="str">
        <f t="shared" si="13"/>
        <v>Dark</v>
      </c>
      <c r="M133">
        <f>INDEX(products!$A$1:$I$49,MATCH('Conditional Fomating'!$D133,products!$A$1:$A$49,0),MATCH('Conditional Fomating'!M$1,products!$A$1:$D$1,0))</f>
        <v>0.5</v>
      </c>
      <c r="N133">
        <f>_xlfn.XLOOKUP(D133,products!$A$2:$A$49,products!$E$2:$E$49)</f>
        <v>7.29</v>
      </c>
      <c r="O133">
        <f>_xlfn.XLOOKUP(D133,products!$A$2:$A$49,products!$H$2:$H$49)</f>
        <v>6.4881000000000002</v>
      </c>
      <c r="P133">
        <f t="shared" si="14"/>
        <v>14.58</v>
      </c>
      <c r="Q133">
        <f t="shared" si="15"/>
        <v>12.9762</v>
      </c>
      <c r="R133">
        <f t="shared" si="16"/>
        <v>1.6037999999999997</v>
      </c>
      <c r="S133" s="4">
        <f t="shared" si="17"/>
        <v>0.10999999999999997</v>
      </c>
      <c r="T133" t="str">
        <f>_xlfn.XLOOKUP(C133,customers!$A$1:$A$1001,customers!$I$1:$I$1001,,0)</f>
        <v>Yes</v>
      </c>
    </row>
    <row r="134" spans="1:20"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INDEX(products!$A$1:$I$49,MATCH('Conditional Fomating'!$D134,products!$A$1:$A$49,0),MATCH('Conditional Fomating'!I$1,products!$A$1:$D$1,0))</f>
        <v>Ara</v>
      </c>
      <c r="J134" t="str">
        <f t="shared" si="12"/>
        <v>Arabica</v>
      </c>
      <c r="K134" t="str">
        <f>INDEX(products!$A$1:$I$49,MATCH('Conditional Fomating'!$D134,products!$A$1:$A$49,0),MATCH('Conditional Fomating'!K$1,products!$A$1:$D$1,0))</f>
        <v>L</v>
      </c>
      <c r="L134" t="str">
        <f t="shared" si="13"/>
        <v>Light</v>
      </c>
      <c r="M134">
        <f>INDEX(products!$A$1:$I$49,MATCH('Conditional Fomating'!$D134,products!$A$1:$A$49,0),MATCH('Conditional Fomating'!M$1,products!$A$1:$D$1,0))</f>
        <v>2.5</v>
      </c>
      <c r="N134">
        <f>_xlfn.XLOOKUP(D134,products!$A$2:$A$49,products!$E$2:$E$49)</f>
        <v>29.784999999999997</v>
      </c>
      <c r="O134">
        <f>_xlfn.XLOOKUP(D134,products!$A$2:$A$49,products!$H$2:$H$49)</f>
        <v>27.104349999999997</v>
      </c>
      <c r="P134">
        <f t="shared" si="14"/>
        <v>148.92499999999998</v>
      </c>
      <c r="Q134">
        <f t="shared" si="15"/>
        <v>135.52175</v>
      </c>
      <c r="R134">
        <f t="shared" si="16"/>
        <v>13.403249999999986</v>
      </c>
      <c r="S134" s="4">
        <f t="shared" si="17"/>
        <v>8.9999999999999913E-2</v>
      </c>
      <c r="T134" t="str">
        <f>_xlfn.XLOOKUP(C134,customers!$A$1:$A$1001,customers!$I$1:$I$1001,,0)</f>
        <v>Yes</v>
      </c>
    </row>
    <row r="135" spans="1:20"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INDEX(products!$A$1:$I$49,MATCH('Conditional Fomating'!$D135,products!$A$1:$A$49,0),MATCH('Conditional Fomating'!I$1,products!$A$1:$D$1,0))</f>
        <v>Lib</v>
      </c>
      <c r="J135" t="str">
        <f t="shared" si="12"/>
        <v>Liberica</v>
      </c>
      <c r="K135" t="str">
        <f>INDEX(products!$A$1:$I$49,MATCH('Conditional Fomating'!$D135,products!$A$1:$A$49,0),MATCH('Conditional Fomating'!K$1,products!$A$1:$D$1,0))</f>
        <v>D</v>
      </c>
      <c r="L135" t="str">
        <f t="shared" si="13"/>
        <v>Dark</v>
      </c>
      <c r="M135">
        <f>INDEX(products!$A$1:$I$49,MATCH('Conditional Fomating'!$D135,products!$A$1:$A$49,0),MATCH('Conditional Fomating'!M$1,products!$A$1:$D$1,0))</f>
        <v>1</v>
      </c>
      <c r="N135">
        <f>_xlfn.XLOOKUP(D135,products!$A$2:$A$49,products!$E$2:$E$49)</f>
        <v>12.95</v>
      </c>
      <c r="O135">
        <f>_xlfn.XLOOKUP(D135,products!$A$2:$A$49,products!$H$2:$H$49)</f>
        <v>11.266499999999999</v>
      </c>
      <c r="P135">
        <f t="shared" si="14"/>
        <v>12.95</v>
      </c>
      <c r="Q135">
        <f t="shared" si="15"/>
        <v>11.266499999999999</v>
      </c>
      <c r="R135">
        <f t="shared" si="16"/>
        <v>1.6835000000000004</v>
      </c>
      <c r="S135" s="4">
        <f t="shared" si="17"/>
        <v>0.13000000000000003</v>
      </c>
      <c r="T135" t="str">
        <f>_xlfn.XLOOKUP(C135,customers!$A$1:$A$1001,customers!$I$1:$I$1001,,0)</f>
        <v>No</v>
      </c>
    </row>
    <row r="136" spans="1:20"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v>
      </c>
      <c r="H136" s="2" t="str">
        <f>_xlfn.XLOOKUP(C136,customers!$A$1:$A$1001,customers!$G$1:$G$1001,,0)</f>
        <v>United States</v>
      </c>
      <c r="I136" t="str">
        <f>INDEX(products!$A$1:$I$49,MATCH('Conditional Fomating'!$D136,products!$A$1:$A$49,0),MATCH('Conditional Fomating'!I$1,products!$A$1:$D$1,0))</f>
        <v>Exc</v>
      </c>
      <c r="J136" t="str">
        <f t="shared" si="12"/>
        <v>Excelsa</v>
      </c>
      <c r="K136" t="str">
        <f>INDEX(products!$A$1:$I$49,MATCH('Conditional Fomating'!$D136,products!$A$1:$A$49,0),MATCH('Conditional Fomating'!K$1,products!$A$1:$D$1,0))</f>
        <v>M</v>
      </c>
      <c r="L136" t="str">
        <f t="shared" si="13"/>
        <v>Medium</v>
      </c>
      <c r="M136">
        <f>INDEX(products!$A$1:$I$49,MATCH('Conditional Fomating'!$D136,products!$A$1:$A$49,0),MATCH('Conditional Fomating'!M$1,products!$A$1:$D$1,0))</f>
        <v>2.5</v>
      </c>
      <c r="N136">
        <f>_xlfn.XLOOKUP(D136,products!$A$2:$A$49,products!$E$2:$E$49)</f>
        <v>31.624999999999996</v>
      </c>
      <c r="O136">
        <f>_xlfn.XLOOKUP(D136,products!$A$2:$A$49,products!$H$2:$H$49)</f>
        <v>28.146249999999995</v>
      </c>
      <c r="P136">
        <f t="shared" si="14"/>
        <v>94.874999999999986</v>
      </c>
      <c r="Q136">
        <f t="shared" si="15"/>
        <v>84.438749999999985</v>
      </c>
      <c r="R136">
        <f t="shared" si="16"/>
        <v>10.436250000000001</v>
      </c>
      <c r="S136" s="4">
        <f t="shared" si="17"/>
        <v>0.11000000000000003</v>
      </c>
      <c r="T136" t="str">
        <f>_xlfn.XLOOKUP(C136,customers!$A$1:$A$1001,customers!$I$1:$I$1001,,0)</f>
        <v>Yes</v>
      </c>
    </row>
    <row r="137" spans="1:20"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INDEX(products!$A$1:$I$49,MATCH('Conditional Fomating'!$D137,products!$A$1:$A$49,0),MATCH('Conditional Fomating'!I$1,products!$A$1:$D$1,0))</f>
        <v>Ara</v>
      </c>
      <c r="J137" t="str">
        <f t="shared" si="12"/>
        <v>Arabica</v>
      </c>
      <c r="K137" t="str">
        <f>INDEX(products!$A$1:$I$49,MATCH('Conditional Fomating'!$D137,products!$A$1:$A$49,0),MATCH('Conditional Fomating'!K$1,products!$A$1:$D$1,0))</f>
        <v>L</v>
      </c>
      <c r="L137" t="str">
        <f t="shared" si="13"/>
        <v>Light</v>
      </c>
      <c r="M137">
        <f>INDEX(products!$A$1:$I$49,MATCH('Conditional Fomating'!$D137,products!$A$1:$A$49,0),MATCH('Conditional Fomating'!M$1,products!$A$1:$D$1,0))</f>
        <v>0.5</v>
      </c>
      <c r="N137">
        <f>_xlfn.XLOOKUP(D137,products!$A$2:$A$49,products!$E$2:$E$49)</f>
        <v>7.77</v>
      </c>
      <c r="O137">
        <f>_xlfn.XLOOKUP(D137,products!$A$2:$A$49,products!$H$2:$H$49)</f>
        <v>7.0706999999999995</v>
      </c>
      <c r="P137">
        <f t="shared" si="14"/>
        <v>38.849999999999994</v>
      </c>
      <c r="Q137">
        <f t="shared" si="15"/>
        <v>35.353499999999997</v>
      </c>
      <c r="R137">
        <f t="shared" si="16"/>
        <v>3.4964999999999975</v>
      </c>
      <c r="S137" s="4">
        <f t="shared" si="17"/>
        <v>8.9999999999999955E-2</v>
      </c>
      <c r="T137" t="str">
        <f>_xlfn.XLOOKUP(C137,customers!$A$1:$A$1001,customers!$I$1:$I$1001,,0)</f>
        <v>Yes</v>
      </c>
    </row>
    <row r="138" spans="1:20"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INDEX(products!$A$1:$I$49,MATCH('Conditional Fomating'!$D138,products!$A$1:$A$49,0),MATCH('Conditional Fomating'!I$1,products!$A$1:$D$1,0))</f>
        <v>Ara</v>
      </c>
      <c r="J138" t="str">
        <f t="shared" si="12"/>
        <v>Arabica</v>
      </c>
      <c r="K138" t="str">
        <f>INDEX(products!$A$1:$I$49,MATCH('Conditional Fomating'!$D138,products!$A$1:$A$49,0),MATCH('Conditional Fomating'!K$1,products!$A$1:$D$1,0))</f>
        <v>D</v>
      </c>
      <c r="L138" t="str">
        <f t="shared" si="13"/>
        <v>Dark</v>
      </c>
      <c r="M138">
        <f>INDEX(products!$A$1:$I$49,MATCH('Conditional Fomating'!$D138,products!$A$1:$A$49,0),MATCH('Conditional Fomating'!M$1,products!$A$1:$D$1,0))</f>
        <v>0.2</v>
      </c>
      <c r="N138">
        <f>_xlfn.XLOOKUP(D138,products!$A$2:$A$49,products!$E$2:$E$49)</f>
        <v>2.9849999999999999</v>
      </c>
      <c r="O138">
        <f>_xlfn.XLOOKUP(D138,products!$A$2:$A$49,products!$H$2:$H$49)</f>
        <v>2.7163499999999998</v>
      </c>
      <c r="P138">
        <f t="shared" si="14"/>
        <v>11.94</v>
      </c>
      <c r="Q138">
        <f t="shared" si="15"/>
        <v>10.865399999999999</v>
      </c>
      <c r="R138">
        <f t="shared" si="16"/>
        <v>1.0746000000000002</v>
      </c>
      <c r="S138" s="4">
        <f t="shared" si="17"/>
        <v>9.0000000000000024E-2</v>
      </c>
      <c r="T138" t="str">
        <f>_xlfn.XLOOKUP(C138,customers!$A$1:$A$1001,customers!$I$1:$I$1001,,0)</f>
        <v>No</v>
      </c>
    </row>
    <row r="139" spans="1:20"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v>
      </c>
      <c r="H139" s="2" t="str">
        <f>_xlfn.XLOOKUP(C139,customers!$A$1:$A$1001,customers!$G$1:$G$1001,,0)</f>
        <v>Ireland</v>
      </c>
      <c r="I139" t="str">
        <f>INDEX(products!$A$1:$I$49,MATCH('Conditional Fomating'!$D139,products!$A$1:$A$49,0),MATCH('Conditional Fomating'!I$1,products!$A$1:$D$1,0))</f>
        <v>Exc</v>
      </c>
      <c r="J139" t="str">
        <f t="shared" si="12"/>
        <v>Excelsa</v>
      </c>
      <c r="K139" t="str">
        <f>INDEX(products!$A$1:$I$49,MATCH('Conditional Fomating'!$D139,products!$A$1:$A$49,0),MATCH('Conditional Fomating'!K$1,products!$A$1:$D$1,0))</f>
        <v>L</v>
      </c>
      <c r="L139" t="str">
        <f t="shared" si="13"/>
        <v>Light</v>
      </c>
      <c r="M139">
        <f>INDEX(products!$A$1:$I$49,MATCH('Conditional Fomating'!$D139,products!$A$1:$A$49,0),MATCH('Conditional Fomating'!M$1,products!$A$1:$D$1,0))</f>
        <v>2.5</v>
      </c>
      <c r="N139">
        <f>_xlfn.XLOOKUP(D139,products!$A$2:$A$49,products!$E$2:$E$49)</f>
        <v>34.154999999999994</v>
      </c>
      <c r="O139">
        <f>_xlfn.XLOOKUP(D139,products!$A$2:$A$49,products!$H$2:$H$49)</f>
        <v>30.397949999999994</v>
      </c>
      <c r="P139">
        <f t="shared" si="14"/>
        <v>102.46499999999997</v>
      </c>
      <c r="Q139">
        <f t="shared" si="15"/>
        <v>91.193849999999983</v>
      </c>
      <c r="R139">
        <f t="shared" si="16"/>
        <v>11.271149999999992</v>
      </c>
      <c r="S139" s="4">
        <f t="shared" si="17"/>
        <v>0.10999999999999995</v>
      </c>
      <c r="T139" t="str">
        <f>_xlfn.XLOOKUP(C139,customers!$A$1:$A$1001,customers!$I$1:$I$1001,,0)</f>
        <v>No</v>
      </c>
    </row>
    <row r="140" spans="1:20"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v>
      </c>
      <c r="H140" s="2" t="str">
        <f>_xlfn.XLOOKUP(C140,customers!$A$1:$A$1001,customers!$G$1:$G$1001,,0)</f>
        <v>United States</v>
      </c>
      <c r="I140" t="str">
        <f>INDEX(products!$A$1:$I$49,MATCH('Conditional Fomating'!$D140,products!$A$1:$A$49,0),MATCH('Conditional Fomating'!I$1,products!$A$1:$D$1,0))</f>
        <v>Exc</v>
      </c>
      <c r="J140" t="str">
        <f t="shared" si="12"/>
        <v>Excelsa</v>
      </c>
      <c r="K140" t="str">
        <f>INDEX(products!$A$1:$I$49,MATCH('Conditional Fomating'!$D140,products!$A$1:$A$49,0),MATCH('Conditional Fomating'!K$1,products!$A$1:$D$1,0))</f>
        <v>D</v>
      </c>
      <c r="L140" t="str">
        <f t="shared" si="13"/>
        <v>Dark</v>
      </c>
      <c r="M140">
        <f>INDEX(products!$A$1:$I$49,MATCH('Conditional Fomating'!$D140,products!$A$1:$A$49,0),MATCH('Conditional Fomating'!M$1,products!$A$1:$D$1,0))</f>
        <v>1</v>
      </c>
      <c r="N140">
        <f>_xlfn.XLOOKUP(D140,products!$A$2:$A$49,products!$E$2:$E$49)</f>
        <v>12.15</v>
      </c>
      <c r="O140">
        <f>_xlfn.XLOOKUP(D140,products!$A$2:$A$49,products!$H$2:$H$49)</f>
        <v>10.813500000000001</v>
      </c>
      <c r="P140">
        <f t="shared" si="14"/>
        <v>48.6</v>
      </c>
      <c r="Q140">
        <f t="shared" si="15"/>
        <v>43.254000000000005</v>
      </c>
      <c r="R140">
        <f t="shared" si="16"/>
        <v>5.3459999999999965</v>
      </c>
      <c r="S140" s="4">
        <f t="shared" si="17"/>
        <v>0.10999999999999993</v>
      </c>
      <c r="T140" t="str">
        <f>_xlfn.XLOOKUP(C140,customers!$A$1:$A$1001,customers!$I$1:$I$1001,,0)</f>
        <v>No</v>
      </c>
    </row>
    <row r="141" spans="1:20"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v>
      </c>
      <c r="H141" s="2" t="str">
        <f>_xlfn.XLOOKUP(C141,customers!$A$1:$A$1001,customers!$G$1:$G$1001,,0)</f>
        <v>United States</v>
      </c>
      <c r="I141" t="str">
        <f>INDEX(products!$A$1:$I$49,MATCH('Conditional Fomating'!$D141,products!$A$1:$A$49,0),MATCH('Conditional Fomating'!I$1,products!$A$1:$D$1,0))</f>
        <v>Lib</v>
      </c>
      <c r="J141" t="str">
        <f t="shared" si="12"/>
        <v>Liberica</v>
      </c>
      <c r="K141" t="str">
        <f>INDEX(products!$A$1:$I$49,MATCH('Conditional Fomating'!$D141,products!$A$1:$A$49,0),MATCH('Conditional Fomating'!K$1,products!$A$1:$D$1,0))</f>
        <v>D</v>
      </c>
      <c r="L141" t="str">
        <f t="shared" si="13"/>
        <v>Dark</v>
      </c>
      <c r="M141">
        <f>INDEX(products!$A$1:$I$49,MATCH('Conditional Fomating'!$D141,products!$A$1:$A$49,0),MATCH('Conditional Fomating'!M$1,products!$A$1:$D$1,0))</f>
        <v>1</v>
      </c>
      <c r="N141">
        <f>_xlfn.XLOOKUP(D141,products!$A$2:$A$49,products!$E$2:$E$49)</f>
        <v>12.95</v>
      </c>
      <c r="O141">
        <f>_xlfn.XLOOKUP(D141,products!$A$2:$A$49,products!$H$2:$H$49)</f>
        <v>11.266499999999999</v>
      </c>
      <c r="P141">
        <f t="shared" si="14"/>
        <v>77.699999999999989</v>
      </c>
      <c r="Q141">
        <f t="shared" si="15"/>
        <v>67.59899999999999</v>
      </c>
      <c r="R141">
        <f t="shared" si="16"/>
        <v>10.100999999999999</v>
      </c>
      <c r="S141" s="4">
        <f t="shared" si="17"/>
        <v>0.13</v>
      </c>
      <c r="T141" t="str">
        <f>_xlfn.XLOOKUP(C141,customers!$A$1:$A$1001,customers!$I$1:$I$1001,,0)</f>
        <v>Yes</v>
      </c>
    </row>
    <row r="142" spans="1:20"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INDEX(products!$A$1:$I$49,MATCH('Conditional Fomating'!$D142,products!$A$1:$A$49,0),MATCH('Conditional Fomating'!I$1,products!$A$1:$D$1,0))</f>
        <v>Lib</v>
      </c>
      <c r="J142" t="str">
        <f t="shared" si="12"/>
        <v>Liberica</v>
      </c>
      <c r="K142" t="str">
        <f>INDEX(products!$A$1:$I$49,MATCH('Conditional Fomating'!$D142,products!$A$1:$A$49,0),MATCH('Conditional Fomating'!K$1,products!$A$1:$D$1,0))</f>
        <v>D</v>
      </c>
      <c r="L142" t="str">
        <f t="shared" si="13"/>
        <v>Dark</v>
      </c>
      <c r="M142">
        <f>INDEX(products!$A$1:$I$49,MATCH('Conditional Fomating'!$D142,products!$A$1:$A$49,0),MATCH('Conditional Fomating'!M$1,products!$A$1:$D$1,0))</f>
        <v>2.5</v>
      </c>
      <c r="N142">
        <f>_xlfn.XLOOKUP(D142,products!$A$2:$A$49,products!$E$2:$E$49)</f>
        <v>29.784999999999997</v>
      </c>
      <c r="O142">
        <f>_xlfn.XLOOKUP(D142,products!$A$2:$A$49,products!$H$2:$H$49)</f>
        <v>25.912949999999995</v>
      </c>
      <c r="P142">
        <f t="shared" si="14"/>
        <v>29.784999999999997</v>
      </c>
      <c r="Q142">
        <f t="shared" si="15"/>
        <v>25.912949999999995</v>
      </c>
      <c r="R142">
        <f t="shared" si="16"/>
        <v>3.8720500000000015</v>
      </c>
      <c r="S142" s="4">
        <f t="shared" si="17"/>
        <v>0.13000000000000006</v>
      </c>
      <c r="T142" t="str">
        <f>_xlfn.XLOOKUP(C142,customers!$A$1:$A$1001,customers!$I$1:$I$1001,,0)</f>
        <v>Yes</v>
      </c>
    </row>
    <row r="143" spans="1:20"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INDEX(products!$A$1:$I$49,MATCH('Conditional Fomating'!$D143,products!$A$1:$A$49,0),MATCH('Conditional Fomating'!I$1,products!$A$1:$D$1,0))</f>
        <v>Ara</v>
      </c>
      <c r="J143" t="str">
        <f t="shared" si="12"/>
        <v>Arabica</v>
      </c>
      <c r="K143" t="str">
        <f>INDEX(products!$A$1:$I$49,MATCH('Conditional Fomating'!$D143,products!$A$1:$A$49,0),MATCH('Conditional Fomating'!K$1,products!$A$1:$D$1,0))</f>
        <v>L</v>
      </c>
      <c r="L143" t="str">
        <f t="shared" si="13"/>
        <v>Light</v>
      </c>
      <c r="M143">
        <f>INDEX(products!$A$1:$I$49,MATCH('Conditional Fomating'!$D143,products!$A$1:$A$49,0),MATCH('Conditional Fomating'!M$1,products!$A$1:$D$1,0))</f>
        <v>0.2</v>
      </c>
      <c r="N143">
        <f>_xlfn.XLOOKUP(D143,products!$A$2:$A$49,products!$E$2:$E$49)</f>
        <v>3.8849999999999998</v>
      </c>
      <c r="O143">
        <f>_xlfn.XLOOKUP(D143,products!$A$2:$A$49,products!$H$2:$H$49)</f>
        <v>3.5353499999999998</v>
      </c>
      <c r="P143">
        <f t="shared" si="14"/>
        <v>15.54</v>
      </c>
      <c r="Q143">
        <f t="shared" si="15"/>
        <v>14.141399999999999</v>
      </c>
      <c r="R143">
        <f t="shared" si="16"/>
        <v>1.3986000000000001</v>
      </c>
      <c r="S143" s="4">
        <f t="shared" si="17"/>
        <v>9.0000000000000011E-2</v>
      </c>
      <c r="T143" t="str">
        <f>_xlfn.XLOOKUP(C143,customers!$A$1:$A$1001,customers!$I$1:$I$1001,,0)</f>
        <v>Yes</v>
      </c>
    </row>
    <row r="144" spans="1:20"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v>
      </c>
      <c r="H144" s="2" t="str">
        <f>_xlfn.XLOOKUP(C144,customers!$A$1:$A$1001,customers!$G$1:$G$1001,,0)</f>
        <v>Ireland</v>
      </c>
      <c r="I144" t="str">
        <f>INDEX(products!$A$1:$I$49,MATCH('Conditional Fomating'!$D144,products!$A$1:$A$49,0),MATCH('Conditional Fomating'!I$1,products!$A$1:$D$1,0))</f>
        <v>Exc</v>
      </c>
      <c r="J144" t="str">
        <f t="shared" si="12"/>
        <v>Excelsa</v>
      </c>
      <c r="K144" t="str">
        <f>INDEX(products!$A$1:$I$49,MATCH('Conditional Fomating'!$D144,products!$A$1:$A$49,0),MATCH('Conditional Fomating'!K$1,products!$A$1:$D$1,0))</f>
        <v>L</v>
      </c>
      <c r="L144" t="str">
        <f t="shared" si="13"/>
        <v>Light</v>
      </c>
      <c r="M144">
        <f>INDEX(products!$A$1:$I$49,MATCH('Conditional Fomating'!$D144,products!$A$1:$A$49,0),MATCH('Conditional Fomating'!M$1,products!$A$1:$D$1,0))</f>
        <v>2.5</v>
      </c>
      <c r="N144">
        <f>_xlfn.XLOOKUP(D144,products!$A$2:$A$49,products!$E$2:$E$49)</f>
        <v>34.154999999999994</v>
      </c>
      <c r="O144">
        <f>_xlfn.XLOOKUP(D144,products!$A$2:$A$49,products!$H$2:$H$49)</f>
        <v>30.397949999999994</v>
      </c>
      <c r="P144">
        <f t="shared" si="14"/>
        <v>136.61999999999998</v>
      </c>
      <c r="Q144">
        <f t="shared" si="15"/>
        <v>121.59179999999998</v>
      </c>
      <c r="R144">
        <f t="shared" si="16"/>
        <v>15.028199999999998</v>
      </c>
      <c r="S144" s="4">
        <f t="shared" si="17"/>
        <v>0.11</v>
      </c>
      <c r="T144" t="str">
        <f>_xlfn.XLOOKUP(C144,customers!$A$1:$A$1001,customers!$I$1:$I$1001,,0)</f>
        <v>Yes</v>
      </c>
    </row>
    <row r="145" spans="1:20"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INDEX(products!$A$1:$I$49,MATCH('Conditional Fomating'!$D145,products!$A$1:$A$49,0),MATCH('Conditional Fomating'!I$1,products!$A$1:$D$1,0))</f>
        <v>Lib</v>
      </c>
      <c r="J145" t="str">
        <f t="shared" si="12"/>
        <v>Liberica</v>
      </c>
      <c r="K145" t="str">
        <f>INDEX(products!$A$1:$I$49,MATCH('Conditional Fomating'!$D145,products!$A$1:$A$49,0),MATCH('Conditional Fomating'!K$1,products!$A$1:$D$1,0))</f>
        <v>M</v>
      </c>
      <c r="L145" t="str">
        <f t="shared" si="13"/>
        <v>Medium</v>
      </c>
      <c r="M145">
        <f>INDEX(products!$A$1:$I$49,MATCH('Conditional Fomating'!$D145,products!$A$1:$A$49,0),MATCH('Conditional Fomating'!M$1,products!$A$1:$D$1,0))</f>
        <v>0.5</v>
      </c>
      <c r="N145">
        <f>_xlfn.XLOOKUP(D145,products!$A$2:$A$49,products!$E$2:$E$49)</f>
        <v>8.73</v>
      </c>
      <c r="O145">
        <f>_xlfn.XLOOKUP(D145,products!$A$2:$A$49,products!$H$2:$H$49)</f>
        <v>7.5951000000000004</v>
      </c>
      <c r="P145">
        <f t="shared" si="14"/>
        <v>17.46</v>
      </c>
      <c r="Q145">
        <f t="shared" si="15"/>
        <v>15.190200000000001</v>
      </c>
      <c r="R145">
        <f t="shared" si="16"/>
        <v>2.2698</v>
      </c>
      <c r="S145" s="4">
        <f t="shared" si="17"/>
        <v>0.13</v>
      </c>
      <c r="T145" t="str">
        <f>_xlfn.XLOOKUP(C145,customers!$A$1:$A$1001,customers!$I$1:$I$1001,,0)</f>
        <v>No</v>
      </c>
    </row>
    <row r="146" spans="1:20"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INDEX(products!$A$1:$I$49,MATCH('Conditional Fomating'!$D146,products!$A$1:$A$49,0),MATCH('Conditional Fomating'!I$1,products!$A$1:$D$1,0))</f>
        <v>Exc</v>
      </c>
      <c r="J146" t="str">
        <f t="shared" si="12"/>
        <v>Excelsa</v>
      </c>
      <c r="K146" t="str">
        <f>INDEX(products!$A$1:$I$49,MATCH('Conditional Fomating'!$D146,products!$A$1:$A$49,0),MATCH('Conditional Fomating'!K$1,products!$A$1:$D$1,0))</f>
        <v>L</v>
      </c>
      <c r="L146" t="str">
        <f t="shared" si="13"/>
        <v>Light</v>
      </c>
      <c r="M146">
        <f>INDEX(products!$A$1:$I$49,MATCH('Conditional Fomating'!$D146,products!$A$1:$A$49,0),MATCH('Conditional Fomating'!M$1,products!$A$1:$D$1,0))</f>
        <v>2.5</v>
      </c>
      <c r="N146">
        <f>_xlfn.XLOOKUP(D146,products!$A$2:$A$49,products!$E$2:$E$49)</f>
        <v>34.154999999999994</v>
      </c>
      <c r="O146">
        <f>_xlfn.XLOOKUP(D146,products!$A$2:$A$49,products!$H$2:$H$49)</f>
        <v>30.397949999999994</v>
      </c>
      <c r="P146">
        <f t="shared" si="14"/>
        <v>68.309999999999988</v>
      </c>
      <c r="Q146">
        <f t="shared" si="15"/>
        <v>60.795899999999989</v>
      </c>
      <c r="R146">
        <f t="shared" si="16"/>
        <v>7.5140999999999991</v>
      </c>
      <c r="S146" s="4">
        <f t="shared" si="17"/>
        <v>0.11</v>
      </c>
      <c r="T146" t="str">
        <f>_xlfn.XLOOKUP(C146,customers!$A$1:$A$1001,customers!$I$1:$I$1001,,0)</f>
        <v>Yes</v>
      </c>
    </row>
    <row r="147" spans="1:20"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INDEX(products!$A$1:$I$49,MATCH('Conditional Fomating'!$D147,products!$A$1:$A$49,0),MATCH('Conditional Fomating'!I$1,products!$A$1:$D$1,0))</f>
        <v>Lib</v>
      </c>
      <c r="J147" t="str">
        <f t="shared" si="12"/>
        <v>Liberica</v>
      </c>
      <c r="K147" t="str">
        <f>INDEX(products!$A$1:$I$49,MATCH('Conditional Fomating'!$D147,products!$A$1:$A$49,0),MATCH('Conditional Fomating'!K$1,products!$A$1:$D$1,0))</f>
        <v>M</v>
      </c>
      <c r="L147" t="str">
        <f t="shared" si="13"/>
        <v>Medium</v>
      </c>
      <c r="M147">
        <f>INDEX(products!$A$1:$I$49,MATCH('Conditional Fomating'!$D147,products!$A$1:$A$49,0),MATCH('Conditional Fomating'!M$1,products!$A$1:$D$1,0))</f>
        <v>0.2</v>
      </c>
      <c r="N147">
        <f>_xlfn.XLOOKUP(D147,products!$A$2:$A$49,products!$E$2:$E$49)</f>
        <v>4.3650000000000002</v>
      </c>
      <c r="O147">
        <f>_xlfn.XLOOKUP(D147,products!$A$2:$A$49,products!$H$2:$H$49)</f>
        <v>3.7975500000000002</v>
      </c>
      <c r="P147">
        <f t="shared" si="14"/>
        <v>17.46</v>
      </c>
      <c r="Q147">
        <f t="shared" si="15"/>
        <v>15.190200000000001</v>
      </c>
      <c r="R147">
        <f t="shared" si="16"/>
        <v>2.2698</v>
      </c>
      <c r="S147" s="4">
        <f t="shared" si="17"/>
        <v>0.13</v>
      </c>
      <c r="T147" t="str">
        <f>_xlfn.XLOOKUP(C147,customers!$A$1:$A$1001,customers!$I$1:$I$1001,,0)</f>
        <v>No</v>
      </c>
    </row>
    <row r="148" spans="1:20"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INDEX(products!$A$1:$I$49,MATCH('Conditional Fomating'!$D148,products!$A$1:$A$49,0),MATCH('Conditional Fomating'!I$1,products!$A$1:$D$1,0))</f>
        <v>Lib</v>
      </c>
      <c r="J148" t="str">
        <f t="shared" si="12"/>
        <v>Liberica</v>
      </c>
      <c r="K148" t="str">
        <f>INDEX(products!$A$1:$I$49,MATCH('Conditional Fomating'!$D148,products!$A$1:$A$49,0),MATCH('Conditional Fomating'!K$1,products!$A$1:$D$1,0))</f>
        <v>M</v>
      </c>
      <c r="L148" t="str">
        <f t="shared" si="13"/>
        <v>Medium</v>
      </c>
      <c r="M148">
        <f>INDEX(products!$A$1:$I$49,MATCH('Conditional Fomating'!$D148,products!$A$1:$A$49,0),MATCH('Conditional Fomating'!M$1,products!$A$1:$D$1,0))</f>
        <v>1</v>
      </c>
      <c r="N148">
        <f>_xlfn.XLOOKUP(D148,products!$A$2:$A$49,products!$E$2:$E$49)</f>
        <v>14.55</v>
      </c>
      <c r="O148">
        <f>_xlfn.XLOOKUP(D148,products!$A$2:$A$49,products!$H$2:$H$49)</f>
        <v>12.6585</v>
      </c>
      <c r="P148">
        <f t="shared" si="14"/>
        <v>43.650000000000006</v>
      </c>
      <c r="Q148">
        <f t="shared" si="15"/>
        <v>37.975499999999997</v>
      </c>
      <c r="R148">
        <f t="shared" si="16"/>
        <v>5.674500000000009</v>
      </c>
      <c r="S148" s="4">
        <f t="shared" si="17"/>
        <v>0.1300000000000002</v>
      </c>
      <c r="T148" t="str">
        <f>_xlfn.XLOOKUP(C148,customers!$A$1:$A$1001,customers!$I$1:$I$1001,,0)</f>
        <v>No</v>
      </c>
    </row>
    <row r="149" spans="1:20"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INDEX(products!$A$1:$I$49,MATCH('Conditional Fomating'!$D149,products!$A$1:$A$49,0),MATCH('Conditional Fomating'!I$1,products!$A$1:$D$1,0))</f>
        <v>Exc</v>
      </c>
      <c r="J149" t="str">
        <f t="shared" si="12"/>
        <v>Excelsa</v>
      </c>
      <c r="K149" t="str">
        <f>INDEX(products!$A$1:$I$49,MATCH('Conditional Fomating'!$D149,products!$A$1:$A$49,0),MATCH('Conditional Fomating'!K$1,products!$A$1:$D$1,0))</f>
        <v>M</v>
      </c>
      <c r="L149" t="str">
        <f t="shared" si="13"/>
        <v>Medium</v>
      </c>
      <c r="M149">
        <f>INDEX(products!$A$1:$I$49,MATCH('Conditional Fomating'!$D149,products!$A$1:$A$49,0),MATCH('Conditional Fomating'!M$1,products!$A$1:$D$1,0))</f>
        <v>1</v>
      </c>
      <c r="N149">
        <f>_xlfn.XLOOKUP(D149,products!$A$2:$A$49,products!$E$2:$E$49)</f>
        <v>13.75</v>
      </c>
      <c r="O149">
        <f>_xlfn.XLOOKUP(D149,products!$A$2:$A$49,products!$H$2:$H$49)</f>
        <v>12.237500000000001</v>
      </c>
      <c r="P149">
        <f t="shared" si="14"/>
        <v>27.5</v>
      </c>
      <c r="Q149">
        <f t="shared" si="15"/>
        <v>24.475000000000001</v>
      </c>
      <c r="R149">
        <f t="shared" si="16"/>
        <v>3.0249999999999986</v>
      </c>
      <c r="S149" s="4">
        <f t="shared" si="17"/>
        <v>0.10999999999999995</v>
      </c>
      <c r="T149" t="str">
        <f>_xlfn.XLOOKUP(C149,customers!$A$1:$A$1001,customers!$I$1:$I$1001,,0)</f>
        <v>No</v>
      </c>
    </row>
    <row r="150" spans="1:20"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INDEX(products!$A$1:$I$49,MATCH('Conditional Fomating'!$D150,products!$A$1:$A$49,0),MATCH('Conditional Fomating'!I$1,products!$A$1:$D$1,0))</f>
        <v>Exc</v>
      </c>
      <c r="J150" t="str">
        <f t="shared" si="12"/>
        <v>Excelsa</v>
      </c>
      <c r="K150" t="str">
        <f>INDEX(products!$A$1:$I$49,MATCH('Conditional Fomating'!$D150,products!$A$1:$A$49,0),MATCH('Conditional Fomating'!K$1,products!$A$1:$D$1,0))</f>
        <v>D</v>
      </c>
      <c r="L150" t="str">
        <f t="shared" si="13"/>
        <v>Dark</v>
      </c>
      <c r="M150">
        <f>INDEX(products!$A$1:$I$49,MATCH('Conditional Fomating'!$D150,products!$A$1:$A$49,0),MATCH('Conditional Fomating'!M$1,products!$A$1:$D$1,0))</f>
        <v>0.2</v>
      </c>
      <c r="N150">
        <f>_xlfn.XLOOKUP(D150,products!$A$2:$A$49,products!$E$2:$E$49)</f>
        <v>3.645</v>
      </c>
      <c r="O150">
        <f>_xlfn.XLOOKUP(D150,products!$A$2:$A$49,products!$H$2:$H$49)</f>
        <v>3.2440500000000001</v>
      </c>
      <c r="P150">
        <f t="shared" si="14"/>
        <v>18.225000000000001</v>
      </c>
      <c r="Q150">
        <f t="shared" si="15"/>
        <v>16.22025</v>
      </c>
      <c r="R150">
        <f t="shared" si="16"/>
        <v>2.0047500000000014</v>
      </c>
      <c r="S150" s="4">
        <f t="shared" si="17"/>
        <v>0.11000000000000007</v>
      </c>
      <c r="T150" t="str">
        <f>_xlfn.XLOOKUP(C150,customers!$A$1:$A$1001,customers!$I$1:$I$1001,,0)</f>
        <v>Yes</v>
      </c>
    </row>
    <row r="151" spans="1:20"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v>
      </c>
      <c r="H151" s="2" t="str">
        <f>_xlfn.XLOOKUP(C151,customers!$A$1:$A$1001,customers!$G$1:$G$1001,,0)</f>
        <v>United States</v>
      </c>
      <c r="I151" t="str">
        <f>INDEX(products!$A$1:$I$49,MATCH('Conditional Fomating'!$D151,products!$A$1:$A$49,0),MATCH('Conditional Fomating'!I$1,products!$A$1:$D$1,0))</f>
        <v>Ara</v>
      </c>
      <c r="J151" t="str">
        <f t="shared" si="12"/>
        <v>Arabica</v>
      </c>
      <c r="K151" t="str">
        <f>INDEX(products!$A$1:$I$49,MATCH('Conditional Fomating'!$D151,products!$A$1:$A$49,0),MATCH('Conditional Fomating'!K$1,products!$A$1:$D$1,0))</f>
        <v>M</v>
      </c>
      <c r="L151" t="str">
        <f t="shared" si="13"/>
        <v>Medium</v>
      </c>
      <c r="M151">
        <f>INDEX(products!$A$1:$I$49,MATCH('Conditional Fomating'!$D151,products!$A$1:$A$49,0),MATCH('Conditional Fomating'!M$1,products!$A$1:$D$1,0))</f>
        <v>2.5</v>
      </c>
      <c r="N151">
        <f>_xlfn.XLOOKUP(D151,products!$A$2:$A$49,products!$E$2:$E$49)</f>
        <v>25.874999999999996</v>
      </c>
      <c r="O151">
        <f>_xlfn.XLOOKUP(D151,products!$A$2:$A$49,products!$H$2:$H$49)</f>
        <v>23.546249999999997</v>
      </c>
      <c r="P151">
        <f t="shared" si="14"/>
        <v>51.749999999999993</v>
      </c>
      <c r="Q151">
        <f t="shared" si="15"/>
        <v>47.092499999999994</v>
      </c>
      <c r="R151">
        <f t="shared" si="16"/>
        <v>4.6574999999999989</v>
      </c>
      <c r="S151" s="4">
        <f t="shared" si="17"/>
        <v>0.09</v>
      </c>
      <c r="T151" t="str">
        <f>_xlfn.XLOOKUP(C151,customers!$A$1:$A$1001,customers!$I$1:$I$1001,,0)</f>
        <v>Yes</v>
      </c>
    </row>
    <row r="152" spans="1:20"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INDEX(products!$A$1:$I$49,MATCH('Conditional Fomating'!$D152,products!$A$1:$A$49,0),MATCH('Conditional Fomating'!I$1,products!$A$1:$D$1,0))</f>
        <v>Lib</v>
      </c>
      <c r="J152" t="str">
        <f t="shared" si="12"/>
        <v>Liberica</v>
      </c>
      <c r="K152" t="str">
        <f>INDEX(products!$A$1:$I$49,MATCH('Conditional Fomating'!$D152,products!$A$1:$A$49,0),MATCH('Conditional Fomating'!K$1,products!$A$1:$D$1,0))</f>
        <v>D</v>
      </c>
      <c r="L152" t="str">
        <f t="shared" si="13"/>
        <v>Dark</v>
      </c>
      <c r="M152">
        <f>INDEX(products!$A$1:$I$49,MATCH('Conditional Fomating'!$D152,products!$A$1:$A$49,0),MATCH('Conditional Fomating'!M$1,products!$A$1:$D$1,0))</f>
        <v>1</v>
      </c>
      <c r="N152">
        <f>_xlfn.XLOOKUP(D152,products!$A$2:$A$49,products!$E$2:$E$49)</f>
        <v>12.95</v>
      </c>
      <c r="O152">
        <f>_xlfn.XLOOKUP(D152,products!$A$2:$A$49,products!$H$2:$H$49)</f>
        <v>11.266499999999999</v>
      </c>
      <c r="P152">
        <f t="shared" si="14"/>
        <v>12.95</v>
      </c>
      <c r="Q152">
        <f t="shared" si="15"/>
        <v>11.266499999999999</v>
      </c>
      <c r="R152">
        <f t="shared" si="16"/>
        <v>1.6835000000000004</v>
      </c>
      <c r="S152" s="4">
        <f t="shared" si="17"/>
        <v>0.13000000000000003</v>
      </c>
      <c r="T152" t="str">
        <f>_xlfn.XLOOKUP(C152,customers!$A$1:$A$1001,customers!$I$1:$I$1001,,0)</f>
        <v>Yes</v>
      </c>
    </row>
    <row r="153" spans="1:20"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v>
      </c>
      <c r="H153" s="2" t="str">
        <f>_xlfn.XLOOKUP(C153,customers!$A$1:$A$1001,customers!$G$1:$G$1001,,0)</f>
        <v>United States</v>
      </c>
      <c r="I153" t="str">
        <f>INDEX(products!$A$1:$I$49,MATCH('Conditional Fomating'!$D153,products!$A$1:$A$49,0),MATCH('Conditional Fomating'!I$1,products!$A$1:$D$1,0))</f>
        <v>Ara</v>
      </c>
      <c r="J153" t="str">
        <f t="shared" si="12"/>
        <v>Arabica</v>
      </c>
      <c r="K153" t="str">
        <f>INDEX(products!$A$1:$I$49,MATCH('Conditional Fomating'!$D153,products!$A$1:$A$49,0),MATCH('Conditional Fomating'!K$1,products!$A$1:$D$1,0))</f>
        <v>M</v>
      </c>
      <c r="L153" t="str">
        <f t="shared" si="13"/>
        <v>Medium</v>
      </c>
      <c r="M153">
        <f>INDEX(products!$A$1:$I$49,MATCH('Conditional Fomating'!$D153,products!$A$1:$A$49,0),MATCH('Conditional Fomating'!M$1,products!$A$1:$D$1,0))</f>
        <v>1</v>
      </c>
      <c r="N153">
        <f>_xlfn.XLOOKUP(D153,products!$A$2:$A$49,products!$E$2:$E$49)</f>
        <v>11.25</v>
      </c>
      <c r="O153">
        <f>_xlfn.XLOOKUP(D153,products!$A$2:$A$49,products!$H$2:$H$49)</f>
        <v>10.237500000000001</v>
      </c>
      <c r="P153">
        <f t="shared" si="14"/>
        <v>33.75</v>
      </c>
      <c r="Q153">
        <f t="shared" si="15"/>
        <v>30.712500000000002</v>
      </c>
      <c r="R153">
        <f t="shared" si="16"/>
        <v>3.0374999999999979</v>
      </c>
      <c r="S153" s="4">
        <f t="shared" si="17"/>
        <v>8.9999999999999941E-2</v>
      </c>
      <c r="T153" t="str">
        <f>_xlfn.XLOOKUP(C153,customers!$A$1:$A$1001,customers!$I$1:$I$1001,,0)</f>
        <v>Yes</v>
      </c>
    </row>
    <row r="154" spans="1:20"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INDEX(products!$A$1:$I$49,MATCH('Conditional Fomating'!$D154,products!$A$1:$A$49,0),MATCH('Conditional Fomating'!I$1,products!$A$1:$D$1,0))</f>
        <v>Rob</v>
      </c>
      <c r="J154" t="str">
        <f t="shared" si="12"/>
        <v>Robusta</v>
      </c>
      <c r="K154" t="str">
        <f>INDEX(products!$A$1:$I$49,MATCH('Conditional Fomating'!$D154,products!$A$1:$A$49,0),MATCH('Conditional Fomating'!K$1,products!$A$1:$D$1,0))</f>
        <v>M</v>
      </c>
      <c r="L154" t="str">
        <f t="shared" si="13"/>
        <v>Medium</v>
      </c>
      <c r="M154">
        <f>INDEX(products!$A$1:$I$49,MATCH('Conditional Fomating'!$D154,products!$A$1:$A$49,0),MATCH('Conditional Fomating'!M$1,products!$A$1:$D$1,0))</f>
        <v>2.5</v>
      </c>
      <c r="N154">
        <f>_xlfn.XLOOKUP(D154,products!$A$2:$A$49,products!$E$2:$E$49)</f>
        <v>22.884999999999998</v>
      </c>
      <c r="O154">
        <f>_xlfn.XLOOKUP(D154,products!$A$2:$A$49,products!$H$2:$H$49)</f>
        <v>21.511899999999997</v>
      </c>
      <c r="P154">
        <f t="shared" si="14"/>
        <v>68.655000000000001</v>
      </c>
      <c r="Q154">
        <f t="shared" si="15"/>
        <v>64.535699999999991</v>
      </c>
      <c r="R154">
        <f t="shared" si="16"/>
        <v>4.1193000000000097</v>
      </c>
      <c r="S154" s="4">
        <f t="shared" si="17"/>
        <v>6.0000000000000143E-2</v>
      </c>
      <c r="T154" t="str">
        <f>_xlfn.XLOOKUP(C154,customers!$A$1:$A$1001,customers!$I$1:$I$1001,,0)</f>
        <v>Yes</v>
      </c>
    </row>
    <row r="155" spans="1:20"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v>
      </c>
      <c r="H155" s="2" t="str">
        <f>_xlfn.XLOOKUP(C155,customers!$A$1:$A$1001,customers!$G$1:$G$1001,,0)</f>
        <v>United States</v>
      </c>
      <c r="I155" t="str">
        <f>INDEX(products!$A$1:$I$49,MATCH('Conditional Fomating'!$D155,products!$A$1:$A$49,0),MATCH('Conditional Fomating'!I$1,products!$A$1:$D$1,0))</f>
        <v>Rob</v>
      </c>
      <c r="J155" t="str">
        <f t="shared" si="12"/>
        <v>Robusta</v>
      </c>
      <c r="K155" t="str">
        <f>INDEX(products!$A$1:$I$49,MATCH('Conditional Fomating'!$D155,products!$A$1:$A$49,0),MATCH('Conditional Fomating'!K$1,products!$A$1:$D$1,0))</f>
        <v>D</v>
      </c>
      <c r="L155" t="str">
        <f t="shared" si="13"/>
        <v>Dark</v>
      </c>
      <c r="M155">
        <f>INDEX(products!$A$1:$I$49,MATCH('Conditional Fomating'!$D155,products!$A$1:$A$49,0),MATCH('Conditional Fomating'!M$1,products!$A$1:$D$1,0))</f>
        <v>0.2</v>
      </c>
      <c r="N155">
        <f>_xlfn.XLOOKUP(D155,products!$A$2:$A$49,products!$E$2:$E$49)</f>
        <v>2.6849999999999996</v>
      </c>
      <c r="O155">
        <f>_xlfn.XLOOKUP(D155,products!$A$2:$A$49,products!$H$2:$H$49)</f>
        <v>2.5238999999999998</v>
      </c>
      <c r="P155">
        <f t="shared" si="14"/>
        <v>2.6849999999999996</v>
      </c>
      <c r="Q155">
        <f t="shared" si="15"/>
        <v>2.5238999999999998</v>
      </c>
      <c r="R155">
        <f t="shared" si="16"/>
        <v>0.1610999999999998</v>
      </c>
      <c r="S155" s="4">
        <f t="shared" si="17"/>
        <v>5.9999999999999935E-2</v>
      </c>
      <c r="T155" t="str">
        <f>_xlfn.XLOOKUP(C155,customers!$A$1:$A$1001,customers!$I$1:$I$1001,,0)</f>
        <v>No</v>
      </c>
    </row>
    <row r="156" spans="1:20"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INDEX(products!$A$1:$I$49,MATCH('Conditional Fomating'!$D156,products!$A$1:$A$49,0),MATCH('Conditional Fomating'!I$1,products!$A$1:$D$1,0))</f>
        <v>Ara</v>
      </c>
      <c r="J156" t="str">
        <f t="shared" si="12"/>
        <v>Arabica</v>
      </c>
      <c r="K156" t="str">
        <f>INDEX(products!$A$1:$I$49,MATCH('Conditional Fomating'!$D156,products!$A$1:$A$49,0),MATCH('Conditional Fomating'!K$1,products!$A$1:$D$1,0))</f>
        <v>D</v>
      </c>
      <c r="L156" t="str">
        <f t="shared" si="13"/>
        <v>Dark</v>
      </c>
      <c r="M156">
        <f>INDEX(products!$A$1:$I$49,MATCH('Conditional Fomating'!$D156,products!$A$1:$A$49,0),MATCH('Conditional Fomating'!M$1,products!$A$1:$D$1,0))</f>
        <v>2.5</v>
      </c>
      <c r="N156">
        <f>_xlfn.XLOOKUP(D156,products!$A$2:$A$49,products!$E$2:$E$49)</f>
        <v>22.884999999999998</v>
      </c>
      <c r="O156">
        <f>_xlfn.XLOOKUP(D156,products!$A$2:$A$49,products!$H$2:$H$49)</f>
        <v>20.82535</v>
      </c>
      <c r="P156">
        <f t="shared" si="14"/>
        <v>114.42499999999998</v>
      </c>
      <c r="Q156">
        <f t="shared" si="15"/>
        <v>104.12675</v>
      </c>
      <c r="R156">
        <f t="shared" si="16"/>
        <v>10.298249999999982</v>
      </c>
      <c r="S156" s="4">
        <f t="shared" si="17"/>
        <v>8.9999999999999858E-2</v>
      </c>
      <c r="T156" t="str">
        <f>_xlfn.XLOOKUP(C156,customers!$A$1:$A$1001,customers!$I$1:$I$1001,,0)</f>
        <v>No</v>
      </c>
    </row>
    <row r="157" spans="1:20"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INDEX(products!$A$1:$I$49,MATCH('Conditional Fomating'!$D157,products!$A$1:$A$49,0),MATCH('Conditional Fomating'!I$1,products!$A$1:$D$1,0))</f>
        <v>Ara</v>
      </c>
      <c r="J157" t="str">
        <f t="shared" si="12"/>
        <v>Arabica</v>
      </c>
      <c r="K157" t="str">
        <f>INDEX(products!$A$1:$I$49,MATCH('Conditional Fomating'!$D157,products!$A$1:$A$49,0),MATCH('Conditional Fomating'!K$1,products!$A$1:$D$1,0))</f>
        <v>M</v>
      </c>
      <c r="L157" t="str">
        <f t="shared" si="13"/>
        <v>Medium</v>
      </c>
      <c r="M157">
        <f>INDEX(products!$A$1:$I$49,MATCH('Conditional Fomating'!$D157,products!$A$1:$A$49,0),MATCH('Conditional Fomating'!M$1,products!$A$1:$D$1,0))</f>
        <v>2.5</v>
      </c>
      <c r="N157">
        <f>_xlfn.XLOOKUP(D157,products!$A$2:$A$49,products!$E$2:$E$49)</f>
        <v>25.874999999999996</v>
      </c>
      <c r="O157">
        <f>_xlfn.XLOOKUP(D157,products!$A$2:$A$49,products!$H$2:$H$49)</f>
        <v>23.546249999999997</v>
      </c>
      <c r="P157">
        <f t="shared" si="14"/>
        <v>155.24999999999997</v>
      </c>
      <c r="Q157">
        <f t="shared" si="15"/>
        <v>141.27749999999997</v>
      </c>
      <c r="R157">
        <f t="shared" si="16"/>
        <v>13.972499999999997</v>
      </c>
      <c r="S157" s="4">
        <f t="shared" si="17"/>
        <v>0.09</v>
      </c>
      <c r="T157" t="str">
        <f>_xlfn.XLOOKUP(C157,customers!$A$1:$A$1001,customers!$I$1:$I$1001,,0)</f>
        <v>Yes</v>
      </c>
    </row>
    <row r="158" spans="1:20"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INDEX(products!$A$1:$I$49,MATCH('Conditional Fomating'!$D158,products!$A$1:$A$49,0),MATCH('Conditional Fomating'!I$1,products!$A$1:$D$1,0))</f>
        <v>Ara</v>
      </c>
      <c r="J158" t="str">
        <f t="shared" si="12"/>
        <v>Arabica</v>
      </c>
      <c r="K158" t="str">
        <f>INDEX(products!$A$1:$I$49,MATCH('Conditional Fomating'!$D158,products!$A$1:$A$49,0),MATCH('Conditional Fomating'!K$1,products!$A$1:$D$1,0))</f>
        <v>M</v>
      </c>
      <c r="L158" t="str">
        <f t="shared" si="13"/>
        <v>Medium</v>
      </c>
      <c r="M158">
        <f>INDEX(products!$A$1:$I$49,MATCH('Conditional Fomating'!$D158,products!$A$1:$A$49,0),MATCH('Conditional Fomating'!M$1,products!$A$1:$D$1,0))</f>
        <v>2.5</v>
      </c>
      <c r="N158">
        <f>_xlfn.XLOOKUP(D158,products!$A$2:$A$49,products!$E$2:$E$49)</f>
        <v>25.874999999999996</v>
      </c>
      <c r="O158">
        <f>_xlfn.XLOOKUP(D158,products!$A$2:$A$49,products!$H$2:$H$49)</f>
        <v>23.546249999999997</v>
      </c>
      <c r="P158">
        <f t="shared" si="14"/>
        <v>77.624999999999986</v>
      </c>
      <c r="Q158">
        <f t="shared" si="15"/>
        <v>70.638749999999987</v>
      </c>
      <c r="R158">
        <f t="shared" si="16"/>
        <v>6.9862499999999983</v>
      </c>
      <c r="S158" s="4">
        <f t="shared" si="17"/>
        <v>0.09</v>
      </c>
      <c r="T158" t="str">
        <f>_xlfn.XLOOKUP(C158,customers!$A$1:$A$1001,customers!$I$1:$I$1001,,0)</f>
        <v>Yes</v>
      </c>
    </row>
    <row r="159" spans="1:20"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INDEX(products!$A$1:$I$49,MATCH('Conditional Fomating'!$D159,products!$A$1:$A$49,0),MATCH('Conditional Fomating'!I$1,products!$A$1:$D$1,0))</f>
        <v>Rob</v>
      </c>
      <c r="J159" t="str">
        <f t="shared" si="12"/>
        <v>Robusta</v>
      </c>
      <c r="K159" t="str">
        <f>INDEX(products!$A$1:$I$49,MATCH('Conditional Fomating'!$D159,products!$A$1:$A$49,0),MATCH('Conditional Fomating'!K$1,products!$A$1:$D$1,0))</f>
        <v>D</v>
      </c>
      <c r="L159" t="str">
        <f t="shared" si="13"/>
        <v>Dark</v>
      </c>
      <c r="M159">
        <f>INDEX(products!$A$1:$I$49,MATCH('Conditional Fomating'!$D159,products!$A$1:$A$49,0),MATCH('Conditional Fomating'!M$1,products!$A$1:$D$1,0))</f>
        <v>2.5</v>
      </c>
      <c r="N159">
        <f>_xlfn.XLOOKUP(D159,products!$A$2:$A$49,products!$E$2:$E$49)</f>
        <v>20.584999999999997</v>
      </c>
      <c r="O159">
        <f>_xlfn.XLOOKUP(D159,products!$A$2:$A$49,products!$H$2:$H$49)</f>
        <v>19.349899999999998</v>
      </c>
      <c r="P159">
        <f t="shared" si="14"/>
        <v>61.754999999999995</v>
      </c>
      <c r="Q159">
        <f t="shared" si="15"/>
        <v>58.049699999999994</v>
      </c>
      <c r="R159">
        <f t="shared" si="16"/>
        <v>3.7053000000000011</v>
      </c>
      <c r="S159" s="4">
        <f t="shared" si="17"/>
        <v>6.0000000000000026E-2</v>
      </c>
      <c r="T159" t="str">
        <f>_xlfn.XLOOKUP(C159,customers!$A$1:$A$1001,customers!$I$1:$I$1001,,0)</f>
        <v>No</v>
      </c>
    </row>
    <row r="160" spans="1:20"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v>
      </c>
      <c r="H160" s="2" t="str">
        <f>_xlfn.XLOOKUP(C160,customers!$A$1:$A$1001,customers!$G$1:$G$1001,,0)</f>
        <v>United States</v>
      </c>
      <c r="I160" t="str">
        <f>INDEX(products!$A$1:$I$49,MATCH('Conditional Fomating'!$D160,products!$A$1:$A$49,0),MATCH('Conditional Fomating'!I$1,products!$A$1:$D$1,0))</f>
        <v>Rob</v>
      </c>
      <c r="J160" t="str">
        <f t="shared" si="12"/>
        <v>Robusta</v>
      </c>
      <c r="K160" t="str">
        <f>INDEX(products!$A$1:$I$49,MATCH('Conditional Fomating'!$D160,products!$A$1:$A$49,0),MATCH('Conditional Fomating'!K$1,products!$A$1:$D$1,0))</f>
        <v>D</v>
      </c>
      <c r="L160" t="str">
        <f t="shared" si="13"/>
        <v>Dark</v>
      </c>
      <c r="M160">
        <f>INDEX(products!$A$1:$I$49,MATCH('Conditional Fomating'!$D160,products!$A$1:$A$49,0),MATCH('Conditional Fomating'!M$1,products!$A$1:$D$1,0))</f>
        <v>2.5</v>
      </c>
      <c r="N160">
        <f>_xlfn.XLOOKUP(D160,products!$A$2:$A$49,products!$E$2:$E$49)</f>
        <v>20.584999999999997</v>
      </c>
      <c r="O160">
        <f>_xlfn.XLOOKUP(D160,products!$A$2:$A$49,products!$H$2:$H$49)</f>
        <v>19.349899999999998</v>
      </c>
      <c r="P160">
        <f t="shared" si="14"/>
        <v>123.50999999999999</v>
      </c>
      <c r="Q160">
        <f t="shared" si="15"/>
        <v>116.09939999999999</v>
      </c>
      <c r="R160">
        <f t="shared" si="16"/>
        <v>7.4106000000000023</v>
      </c>
      <c r="S160" s="4">
        <f t="shared" si="17"/>
        <v>6.0000000000000026E-2</v>
      </c>
      <c r="T160" t="str">
        <f>_xlfn.XLOOKUP(C160,customers!$A$1:$A$1001,customers!$I$1:$I$1001,,0)</f>
        <v>Yes</v>
      </c>
    </row>
    <row r="161" spans="1:20"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v>
      </c>
      <c r="H161" s="2" t="str">
        <f>_xlfn.XLOOKUP(C161,customers!$A$1:$A$1001,customers!$G$1:$G$1001,,0)</f>
        <v>United States</v>
      </c>
      <c r="I161" t="str">
        <f>INDEX(products!$A$1:$I$49,MATCH('Conditional Fomating'!$D161,products!$A$1:$A$49,0),MATCH('Conditional Fomating'!I$1,products!$A$1:$D$1,0))</f>
        <v>Lib</v>
      </c>
      <c r="J161" t="str">
        <f t="shared" si="12"/>
        <v>Liberica</v>
      </c>
      <c r="K161" t="str">
        <f>INDEX(products!$A$1:$I$49,MATCH('Conditional Fomating'!$D161,products!$A$1:$A$49,0),MATCH('Conditional Fomating'!K$1,products!$A$1:$D$1,0))</f>
        <v>L</v>
      </c>
      <c r="L161" t="str">
        <f t="shared" si="13"/>
        <v>Light</v>
      </c>
      <c r="M161">
        <f>INDEX(products!$A$1:$I$49,MATCH('Conditional Fomating'!$D161,products!$A$1:$A$49,0),MATCH('Conditional Fomating'!M$1,products!$A$1:$D$1,0))</f>
        <v>2.5</v>
      </c>
      <c r="N161">
        <f>_xlfn.XLOOKUP(D161,products!$A$2:$A$49,products!$E$2:$E$49)</f>
        <v>36.454999999999998</v>
      </c>
      <c r="O161">
        <f>_xlfn.XLOOKUP(D161,products!$A$2:$A$49,products!$H$2:$H$49)</f>
        <v>31.71585</v>
      </c>
      <c r="P161">
        <f t="shared" si="14"/>
        <v>218.73</v>
      </c>
      <c r="Q161">
        <f t="shared" si="15"/>
        <v>190.29509999999999</v>
      </c>
      <c r="R161">
        <f t="shared" si="16"/>
        <v>28.434899999999999</v>
      </c>
      <c r="S161" s="4">
        <f t="shared" si="17"/>
        <v>0.13</v>
      </c>
      <c r="T161" t="str">
        <f>_xlfn.XLOOKUP(C161,customers!$A$1:$A$1001,customers!$I$1:$I$1001,,0)</f>
        <v>No</v>
      </c>
    </row>
    <row r="162" spans="1:20"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INDEX(products!$A$1:$I$49,MATCH('Conditional Fomating'!$D162,products!$A$1:$A$49,0),MATCH('Conditional Fomating'!I$1,products!$A$1:$D$1,0))</f>
        <v>Exc</v>
      </c>
      <c r="J162" t="str">
        <f t="shared" si="12"/>
        <v>Excelsa</v>
      </c>
      <c r="K162" t="str">
        <f>INDEX(products!$A$1:$I$49,MATCH('Conditional Fomating'!$D162,products!$A$1:$A$49,0),MATCH('Conditional Fomating'!K$1,products!$A$1:$D$1,0))</f>
        <v>M</v>
      </c>
      <c r="L162" t="str">
        <f t="shared" si="13"/>
        <v>Medium</v>
      </c>
      <c r="M162">
        <f>INDEX(products!$A$1:$I$49,MATCH('Conditional Fomating'!$D162,products!$A$1:$A$49,0),MATCH('Conditional Fomating'!M$1,products!$A$1:$D$1,0))</f>
        <v>0.5</v>
      </c>
      <c r="N162">
        <f>_xlfn.XLOOKUP(D162,products!$A$2:$A$49,products!$E$2:$E$49)</f>
        <v>8.25</v>
      </c>
      <c r="O162">
        <f>_xlfn.XLOOKUP(D162,products!$A$2:$A$49,products!$H$2:$H$49)</f>
        <v>7.3425000000000002</v>
      </c>
      <c r="P162">
        <f t="shared" si="14"/>
        <v>33</v>
      </c>
      <c r="Q162">
        <f t="shared" si="15"/>
        <v>29.37</v>
      </c>
      <c r="R162">
        <f t="shared" si="16"/>
        <v>3.629999999999999</v>
      </c>
      <c r="S162" s="4">
        <f t="shared" si="17"/>
        <v>0.10999999999999997</v>
      </c>
      <c r="T162" t="str">
        <f>_xlfn.XLOOKUP(C162,customers!$A$1:$A$1001,customers!$I$1:$I$1001,,0)</f>
        <v>No</v>
      </c>
    </row>
    <row r="163" spans="1:20"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INDEX(products!$A$1:$I$49,MATCH('Conditional Fomating'!$D163,products!$A$1:$A$49,0),MATCH('Conditional Fomating'!I$1,products!$A$1:$D$1,0))</f>
        <v>Ara</v>
      </c>
      <c r="J163" t="str">
        <f t="shared" si="12"/>
        <v>Arabica</v>
      </c>
      <c r="K163" t="str">
        <f>INDEX(products!$A$1:$I$49,MATCH('Conditional Fomating'!$D163,products!$A$1:$A$49,0),MATCH('Conditional Fomating'!K$1,products!$A$1:$D$1,0))</f>
        <v>L</v>
      </c>
      <c r="L163" t="str">
        <f t="shared" si="13"/>
        <v>Light</v>
      </c>
      <c r="M163">
        <f>INDEX(products!$A$1:$I$49,MATCH('Conditional Fomating'!$D163,products!$A$1:$A$49,0),MATCH('Conditional Fomating'!M$1,products!$A$1:$D$1,0))</f>
        <v>0.5</v>
      </c>
      <c r="N163">
        <f>_xlfn.XLOOKUP(D163,products!$A$2:$A$49,products!$E$2:$E$49)</f>
        <v>7.77</v>
      </c>
      <c r="O163">
        <f>_xlfn.XLOOKUP(D163,products!$A$2:$A$49,products!$H$2:$H$49)</f>
        <v>7.0706999999999995</v>
      </c>
      <c r="P163">
        <f t="shared" si="14"/>
        <v>23.31</v>
      </c>
      <c r="Q163">
        <f t="shared" si="15"/>
        <v>21.2121</v>
      </c>
      <c r="R163">
        <f t="shared" si="16"/>
        <v>2.0978999999999992</v>
      </c>
      <c r="S163" s="4">
        <f t="shared" si="17"/>
        <v>8.9999999999999969E-2</v>
      </c>
      <c r="T163" t="str">
        <f>_xlfn.XLOOKUP(C163,customers!$A$1:$A$1001,customers!$I$1:$I$1001,,0)</f>
        <v>No</v>
      </c>
    </row>
    <row r="164" spans="1:20"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INDEX(products!$A$1:$I$49,MATCH('Conditional Fomating'!$D164,products!$A$1:$A$49,0),MATCH('Conditional Fomating'!I$1,products!$A$1:$D$1,0))</f>
        <v>Exc</v>
      </c>
      <c r="J164" t="str">
        <f t="shared" si="12"/>
        <v>Excelsa</v>
      </c>
      <c r="K164" t="str">
        <f>INDEX(products!$A$1:$I$49,MATCH('Conditional Fomating'!$D164,products!$A$1:$A$49,0),MATCH('Conditional Fomating'!K$1,products!$A$1:$D$1,0))</f>
        <v>D</v>
      </c>
      <c r="L164" t="str">
        <f t="shared" si="13"/>
        <v>Dark</v>
      </c>
      <c r="M164">
        <f>INDEX(products!$A$1:$I$49,MATCH('Conditional Fomating'!$D164,products!$A$1:$A$49,0),MATCH('Conditional Fomating'!M$1,products!$A$1:$D$1,0))</f>
        <v>0.5</v>
      </c>
      <c r="N164">
        <f>_xlfn.XLOOKUP(D164,products!$A$2:$A$49,products!$E$2:$E$49)</f>
        <v>7.29</v>
      </c>
      <c r="O164">
        <f>_xlfn.XLOOKUP(D164,products!$A$2:$A$49,products!$H$2:$H$49)</f>
        <v>6.4881000000000002</v>
      </c>
      <c r="P164">
        <f t="shared" si="14"/>
        <v>21.87</v>
      </c>
      <c r="Q164">
        <f t="shared" si="15"/>
        <v>19.464300000000001</v>
      </c>
      <c r="R164">
        <f t="shared" si="16"/>
        <v>2.4056999999999995</v>
      </c>
      <c r="S164" s="4">
        <f t="shared" si="17"/>
        <v>0.10999999999999997</v>
      </c>
      <c r="T164" t="str">
        <f>_xlfn.XLOOKUP(C164,customers!$A$1:$A$1001,customers!$I$1:$I$1001,,0)</f>
        <v>Yes</v>
      </c>
    </row>
    <row r="165" spans="1:20"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INDEX(products!$A$1:$I$49,MATCH('Conditional Fomating'!$D165,products!$A$1:$A$49,0),MATCH('Conditional Fomating'!I$1,products!$A$1:$D$1,0))</f>
        <v>Rob</v>
      </c>
      <c r="J165" t="str">
        <f t="shared" si="12"/>
        <v>Robusta</v>
      </c>
      <c r="K165" t="str">
        <f>INDEX(products!$A$1:$I$49,MATCH('Conditional Fomating'!$D165,products!$A$1:$A$49,0),MATCH('Conditional Fomating'!K$1,products!$A$1:$D$1,0))</f>
        <v>D</v>
      </c>
      <c r="L165" t="str">
        <f t="shared" si="13"/>
        <v>Dark</v>
      </c>
      <c r="M165">
        <f>INDEX(products!$A$1:$I$49,MATCH('Conditional Fomating'!$D165,products!$A$1:$A$49,0),MATCH('Conditional Fomating'!M$1,products!$A$1:$D$1,0))</f>
        <v>0.2</v>
      </c>
      <c r="N165">
        <f>_xlfn.XLOOKUP(D165,products!$A$2:$A$49,products!$E$2:$E$49)</f>
        <v>2.6849999999999996</v>
      </c>
      <c r="O165">
        <f>_xlfn.XLOOKUP(D165,products!$A$2:$A$49,products!$H$2:$H$49)</f>
        <v>2.5238999999999998</v>
      </c>
      <c r="P165">
        <f t="shared" si="14"/>
        <v>16.11</v>
      </c>
      <c r="Q165">
        <f t="shared" si="15"/>
        <v>15.1434</v>
      </c>
      <c r="R165">
        <f t="shared" si="16"/>
        <v>0.96659999999999968</v>
      </c>
      <c r="S165" s="4">
        <f t="shared" si="17"/>
        <v>5.9999999999999984E-2</v>
      </c>
      <c r="T165" t="str">
        <f>_xlfn.XLOOKUP(C165,customers!$A$1:$A$1001,customers!$I$1:$I$1001,,0)</f>
        <v>No</v>
      </c>
    </row>
    <row r="166" spans="1:20"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INDEX(products!$A$1:$I$49,MATCH('Conditional Fomating'!$D166,products!$A$1:$A$49,0),MATCH('Conditional Fomating'!I$1,products!$A$1:$D$1,0))</f>
        <v>Exc</v>
      </c>
      <c r="J166" t="str">
        <f t="shared" si="12"/>
        <v>Excelsa</v>
      </c>
      <c r="K166" t="str">
        <f>INDEX(products!$A$1:$I$49,MATCH('Conditional Fomating'!$D166,products!$A$1:$A$49,0),MATCH('Conditional Fomating'!K$1,products!$A$1:$D$1,0))</f>
        <v>D</v>
      </c>
      <c r="L166" t="str">
        <f t="shared" si="13"/>
        <v>Dark</v>
      </c>
      <c r="M166">
        <f>INDEX(products!$A$1:$I$49,MATCH('Conditional Fomating'!$D166,products!$A$1:$A$49,0),MATCH('Conditional Fomating'!M$1,products!$A$1:$D$1,0))</f>
        <v>0.5</v>
      </c>
      <c r="N166">
        <f>_xlfn.XLOOKUP(D166,products!$A$2:$A$49,products!$E$2:$E$49)</f>
        <v>7.29</v>
      </c>
      <c r="O166">
        <f>_xlfn.XLOOKUP(D166,products!$A$2:$A$49,products!$H$2:$H$49)</f>
        <v>6.4881000000000002</v>
      </c>
      <c r="P166">
        <f t="shared" si="14"/>
        <v>29.16</v>
      </c>
      <c r="Q166">
        <f t="shared" si="15"/>
        <v>25.952400000000001</v>
      </c>
      <c r="R166">
        <f t="shared" si="16"/>
        <v>3.2075999999999993</v>
      </c>
      <c r="S166" s="4">
        <f t="shared" si="17"/>
        <v>0.10999999999999997</v>
      </c>
      <c r="T166" t="str">
        <f>_xlfn.XLOOKUP(C166,customers!$A$1:$A$1001,customers!$I$1:$I$1001,,0)</f>
        <v>No</v>
      </c>
    </row>
    <row r="167" spans="1:20"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v>
      </c>
      <c r="H167" s="2" t="str">
        <f>_xlfn.XLOOKUP(C167,customers!$A$1:$A$1001,customers!$G$1:$G$1001,,0)</f>
        <v>United States</v>
      </c>
      <c r="I167" t="str">
        <f>INDEX(products!$A$1:$I$49,MATCH('Conditional Fomating'!$D167,products!$A$1:$A$49,0),MATCH('Conditional Fomating'!I$1,products!$A$1:$D$1,0))</f>
        <v>Rob</v>
      </c>
      <c r="J167" t="str">
        <f t="shared" si="12"/>
        <v>Robusta</v>
      </c>
      <c r="K167" t="str">
        <f>INDEX(products!$A$1:$I$49,MATCH('Conditional Fomating'!$D167,products!$A$1:$A$49,0),MATCH('Conditional Fomating'!K$1,products!$A$1:$D$1,0))</f>
        <v>D</v>
      </c>
      <c r="L167" t="str">
        <f t="shared" si="13"/>
        <v>Dark</v>
      </c>
      <c r="M167">
        <f>INDEX(products!$A$1:$I$49,MATCH('Conditional Fomating'!$D167,products!$A$1:$A$49,0),MATCH('Conditional Fomating'!M$1,products!$A$1:$D$1,0))</f>
        <v>1</v>
      </c>
      <c r="N167">
        <f>_xlfn.XLOOKUP(D167,products!$A$2:$A$49,products!$E$2:$E$49)</f>
        <v>8.9499999999999993</v>
      </c>
      <c r="O167">
        <f>_xlfn.XLOOKUP(D167,products!$A$2:$A$49,products!$H$2:$H$49)</f>
        <v>8.4130000000000003</v>
      </c>
      <c r="P167">
        <f t="shared" si="14"/>
        <v>53.699999999999996</v>
      </c>
      <c r="Q167">
        <f t="shared" si="15"/>
        <v>50.478000000000002</v>
      </c>
      <c r="R167">
        <f t="shared" si="16"/>
        <v>3.2219999999999942</v>
      </c>
      <c r="S167" s="4">
        <f t="shared" si="17"/>
        <v>5.9999999999999894E-2</v>
      </c>
      <c r="T167" t="str">
        <f>_xlfn.XLOOKUP(C167,customers!$A$1:$A$1001,customers!$I$1:$I$1001,,0)</f>
        <v>Yes</v>
      </c>
    </row>
    <row r="168" spans="1:20"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v>
      </c>
      <c r="H168" s="2" t="str">
        <f>_xlfn.XLOOKUP(C168,customers!$A$1:$A$1001,customers!$G$1:$G$1001,,0)</f>
        <v>United States</v>
      </c>
      <c r="I168" t="str">
        <f>INDEX(products!$A$1:$I$49,MATCH('Conditional Fomating'!$D168,products!$A$1:$A$49,0),MATCH('Conditional Fomating'!I$1,products!$A$1:$D$1,0))</f>
        <v>Rob</v>
      </c>
      <c r="J168" t="str">
        <f t="shared" si="12"/>
        <v>Robusta</v>
      </c>
      <c r="K168" t="str">
        <f>INDEX(products!$A$1:$I$49,MATCH('Conditional Fomating'!$D168,products!$A$1:$A$49,0),MATCH('Conditional Fomating'!K$1,products!$A$1:$D$1,0))</f>
        <v>D</v>
      </c>
      <c r="L168" t="str">
        <f t="shared" si="13"/>
        <v>Dark</v>
      </c>
      <c r="M168">
        <f>INDEX(products!$A$1:$I$49,MATCH('Conditional Fomating'!$D168,products!$A$1:$A$49,0),MATCH('Conditional Fomating'!M$1,products!$A$1:$D$1,0))</f>
        <v>0.5</v>
      </c>
      <c r="N168">
        <f>_xlfn.XLOOKUP(D168,products!$A$2:$A$49,products!$E$2:$E$49)</f>
        <v>5.3699999999999992</v>
      </c>
      <c r="O168">
        <f>_xlfn.XLOOKUP(D168,products!$A$2:$A$49,products!$H$2:$H$49)</f>
        <v>5.0477999999999996</v>
      </c>
      <c r="P168">
        <f t="shared" si="14"/>
        <v>26.849999999999994</v>
      </c>
      <c r="Q168">
        <f t="shared" si="15"/>
        <v>25.238999999999997</v>
      </c>
      <c r="R168">
        <f t="shared" si="16"/>
        <v>1.6109999999999971</v>
      </c>
      <c r="S168" s="4">
        <f t="shared" si="17"/>
        <v>5.9999999999999908E-2</v>
      </c>
      <c r="T168" t="str">
        <f>_xlfn.XLOOKUP(C168,customers!$A$1:$A$1001,customers!$I$1:$I$1001,,0)</f>
        <v>Yes</v>
      </c>
    </row>
    <row r="169" spans="1:20"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INDEX(products!$A$1:$I$49,MATCH('Conditional Fomating'!$D169,products!$A$1:$A$49,0),MATCH('Conditional Fomating'!I$1,products!$A$1:$D$1,0))</f>
        <v>Exc</v>
      </c>
      <c r="J169" t="str">
        <f t="shared" si="12"/>
        <v>Excelsa</v>
      </c>
      <c r="K169" t="str">
        <f>INDEX(products!$A$1:$I$49,MATCH('Conditional Fomating'!$D169,products!$A$1:$A$49,0),MATCH('Conditional Fomating'!K$1,products!$A$1:$D$1,0))</f>
        <v>M</v>
      </c>
      <c r="L169" t="str">
        <f t="shared" si="13"/>
        <v>Medium</v>
      </c>
      <c r="M169">
        <f>INDEX(products!$A$1:$I$49,MATCH('Conditional Fomating'!$D169,products!$A$1:$A$49,0),MATCH('Conditional Fomating'!M$1,products!$A$1:$D$1,0))</f>
        <v>0.5</v>
      </c>
      <c r="N169">
        <f>_xlfn.XLOOKUP(D169,products!$A$2:$A$49,products!$E$2:$E$49)</f>
        <v>8.25</v>
      </c>
      <c r="O169">
        <f>_xlfn.XLOOKUP(D169,products!$A$2:$A$49,products!$H$2:$H$49)</f>
        <v>7.3425000000000002</v>
      </c>
      <c r="P169">
        <f t="shared" si="14"/>
        <v>41.25</v>
      </c>
      <c r="Q169">
        <f t="shared" si="15"/>
        <v>36.712499999999999</v>
      </c>
      <c r="R169">
        <f t="shared" si="16"/>
        <v>4.5375000000000014</v>
      </c>
      <c r="S169" s="4">
        <f t="shared" si="17"/>
        <v>0.11000000000000003</v>
      </c>
      <c r="T169" t="str">
        <f>_xlfn.XLOOKUP(C169,customers!$A$1:$A$1001,customers!$I$1:$I$1001,,0)</f>
        <v>Yes</v>
      </c>
    </row>
    <row r="170" spans="1:20"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v>
      </c>
      <c r="H170" s="2" t="str">
        <f>_xlfn.XLOOKUP(C170,customers!$A$1:$A$1001,customers!$G$1:$G$1001,,0)</f>
        <v>Ireland</v>
      </c>
      <c r="I170" t="str">
        <f>INDEX(products!$A$1:$I$49,MATCH('Conditional Fomating'!$D170,products!$A$1:$A$49,0),MATCH('Conditional Fomating'!I$1,products!$A$1:$D$1,0))</f>
        <v>Ara</v>
      </c>
      <c r="J170" t="str">
        <f t="shared" si="12"/>
        <v>Arabica</v>
      </c>
      <c r="K170" t="str">
        <f>INDEX(products!$A$1:$I$49,MATCH('Conditional Fomating'!$D170,products!$A$1:$A$49,0),MATCH('Conditional Fomating'!K$1,products!$A$1:$D$1,0))</f>
        <v>M</v>
      </c>
      <c r="L170" t="str">
        <f t="shared" si="13"/>
        <v>Medium</v>
      </c>
      <c r="M170">
        <f>INDEX(products!$A$1:$I$49,MATCH('Conditional Fomating'!$D170,products!$A$1:$A$49,0),MATCH('Conditional Fomating'!M$1,products!$A$1:$D$1,0))</f>
        <v>0.5</v>
      </c>
      <c r="N170">
        <f>_xlfn.XLOOKUP(D170,products!$A$2:$A$49,products!$E$2:$E$49)</f>
        <v>6.75</v>
      </c>
      <c r="O170">
        <f>_xlfn.XLOOKUP(D170,products!$A$2:$A$49,products!$H$2:$H$49)</f>
        <v>6.1425000000000001</v>
      </c>
      <c r="P170">
        <f t="shared" si="14"/>
        <v>40.5</v>
      </c>
      <c r="Q170">
        <f t="shared" si="15"/>
        <v>36.855000000000004</v>
      </c>
      <c r="R170">
        <f t="shared" si="16"/>
        <v>3.644999999999996</v>
      </c>
      <c r="S170" s="4">
        <f t="shared" si="17"/>
        <v>8.99999999999999E-2</v>
      </c>
      <c r="T170" t="str">
        <f>_xlfn.XLOOKUP(C170,customers!$A$1:$A$1001,customers!$I$1:$I$1001,,0)</f>
        <v>No</v>
      </c>
    </row>
    <row r="171" spans="1:20"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INDEX(products!$A$1:$I$49,MATCH('Conditional Fomating'!$D171,products!$A$1:$A$49,0),MATCH('Conditional Fomating'!I$1,products!$A$1:$D$1,0))</f>
        <v>Rob</v>
      </c>
      <c r="J171" t="str">
        <f t="shared" si="12"/>
        <v>Robusta</v>
      </c>
      <c r="K171" t="str">
        <f>INDEX(products!$A$1:$I$49,MATCH('Conditional Fomating'!$D171,products!$A$1:$A$49,0),MATCH('Conditional Fomating'!K$1,products!$A$1:$D$1,0))</f>
        <v>D</v>
      </c>
      <c r="L171" t="str">
        <f t="shared" si="13"/>
        <v>Dark</v>
      </c>
      <c r="M171">
        <f>INDEX(products!$A$1:$I$49,MATCH('Conditional Fomating'!$D171,products!$A$1:$A$49,0),MATCH('Conditional Fomating'!M$1,products!$A$1:$D$1,0))</f>
        <v>1</v>
      </c>
      <c r="N171">
        <f>_xlfn.XLOOKUP(D171,products!$A$2:$A$49,products!$E$2:$E$49)</f>
        <v>8.9499999999999993</v>
      </c>
      <c r="O171">
        <f>_xlfn.XLOOKUP(D171,products!$A$2:$A$49,products!$H$2:$H$49)</f>
        <v>8.4130000000000003</v>
      </c>
      <c r="P171">
        <f t="shared" si="14"/>
        <v>17.899999999999999</v>
      </c>
      <c r="Q171">
        <f t="shared" si="15"/>
        <v>16.826000000000001</v>
      </c>
      <c r="R171">
        <f t="shared" si="16"/>
        <v>1.0739999999999981</v>
      </c>
      <c r="S171" s="4">
        <f t="shared" si="17"/>
        <v>5.9999999999999894E-2</v>
      </c>
      <c r="T171" t="str">
        <f>_xlfn.XLOOKUP(C171,customers!$A$1:$A$1001,customers!$I$1:$I$1001,,0)</f>
        <v>No</v>
      </c>
    </row>
    <row r="172" spans="1:20"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INDEX(products!$A$1:$I$49,MATCH('Conditional Fomating'!$D172,products!$A$1:$A$49,0),MATCH('Conditional Fomating'!I$1,products!$A$1:$D$1,0))</f>
        <v>Exc</v>
      </c>
      <c r="J172" t="str">
        <f t="shared" si="12"/>
        <v>Excelsa</v>
      </c>
      <c r="K172" t="str">
        <f>INDEX(products!$A$1:$I$49,MATCH('Conditional Fomating'!$D172,products!$A$1:$A$49,0),MATCH('Conditional Fomating'!K$1,products!$A$1:$D$1,0))</f>
        <v>L</v>
      </c>
      <c r="L172" t="str">
        <f t="shared" si="13"/>
        <v>Light</v>
      </c>
      <c r="M172">
        <f>INDEX(products!$A$1:$I$49,MATCH('Conditional Fomating'!$D172,products!$A$1:$A$49,0),MATCH('Conditional Fomating'!M$1,products!$A$1:$D$1,0))</f>
        <v>2.5</v>
      </c>
      <c r="N172">
        <f>_xlfn.XLOOKUP(D172,products!$A$2:$A$49,products!$E$2:$E$49)</f>
        <v>34.154999999999994</v>
      </c>
      <c r="O172">
        <f>_xlfn.XLOOKUP(D172,products!$A$2:$A$49,products!$H$2:$H$49)</f>
        <v>30.397949999999994</v>
      </c>
      <c r="P172">
        <f t="shared" si="14"/>
        <v>68.309999999999988</v>
      </c>
      <c r="Q172">
        <f t="shared" si="15"/>
        <v>60.795899999999989</v>
      </c>
      <c r="R172">
        <f t="shared" si="16"/>
        <v>7.5140999999999991</v>
      </c>
      <c r="S172" s="4">
        <f t="shared" si="17"/>
        <v>0.11</v>
      </c>
      <c r="T172" t="str">
        <f>_xlfn.XLOOKUP(C172,customers!$A$1:$A$1001,customers!$I$1:$I$1001,,0)</f>
        <v>No</v>
      </c>
    </row>
    <row r="173" spans="1:20"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INDEX(products!$A$1:$I$49,MATCH('Conditional Fomating'!$D173,products!$A$1:$A$49,0),MATCH('Conditional Fomating'!I$1,products!$A$1:$D$1,0))</f>
        <v>Exc</v>
      </c>
      <c r="J173" t="str">
        <f t="shared" si="12"/>
        <v>Excelsa</v>
      </c>
      <c r="K173" t="str">
        <f>INDEX(products!$A$1:$I$49,MATCH('Conditional Fomating'!$D173,products!$A$1:$A$49,0),MATCH('Conditional Fomating'!K$1,products!$A$1:$D$1,0))</f>
        <v>M</v>
      </c>
      <c r="L173" t="str">
        <f t="shared" si="13"/>
        <v>Medium</v>
      </c>
      <c r="M173">
        <f>INDEX(products!$A$1:$I$49,MATCH('Conditional Fomating'!$D173,products!$A$1:$A$49,0),MATCH('Conditional Fomating'!M$1,products!$A$1:$D$1,0))</f>
        <v>2.5</v>
      </c>
      <c r="N173">
        <f>_xlfn.XLOOKUP(D173,products!$A$2:$A$49,products!$E$2:$E$49)</f>
        <v>31.624999999999996</v>
      </c>
      <c r="O173">
        <f>_xlfn.XLOOKUP(D173,products!$A$2:$A$49,products!$H$2:$H$49)</f>
        <v>28.146249999999995</v>
      </c>
      <c r="P173">
        <f t="shared" si="14"/>
        <v>63.249999999999993</v>
      </c>
      <c r="Q173">
        <f t="shared" si="15"/>
        <v>56.29249999999999</v>
      </c>
      <c r="R173">
        <f t="shared" si="16"/>
        <v>6.9575000000000031</v>
      </c>
      <c r="S173" s="4">
        <f t="shared" si="17"/>
        <v>0.11000000000000006</v>
      </c>
      <c r="T173" t="str">
        <f>_xlfn.XLOOKUP(C173,customers!$A$1:$A$1001,customers!$I$1:$I$1001,,0)</f>
        <v>Yes</v>
      </c>
    </row>
    <row r="174" spans="1:20"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INDEX(products!$A$1:$I$49,MATCH('Conditional Fomating'!$D174,products!$A$1:$A$49,0),MATCH('Conditional Fomating'!I$1,products!$A$1:$D$1,0))</f>
        <v>Exc</v>
      </c>
      <c r="J174" t="str">
        <f t="shared" si="12"/>
        <v>Excelsa</v>
      </c>
      <c r="K174" t="str">
        <f>INDEX(products!$A$1:$I$49,MATCH('Conditional Fomating'!$D174,products!$A$1:$A$49,0),MATCH('Conditional Fomating'!K$1,products!$A$1:$D$1,0))</f>
        <v>D</v>
      </c>
      <c r="L174" t="str">
        <f t="shared" si="13"/>
        <v>Dark</v>
      </c>
      <c r="M174">
        <f>INDEX(products!$A$1:$I$49,MATCH('Conditional Fomating'!$D174,products!$A$1:$A$49,0),MATCH('Conditional Fomating'!M$1,products!$A$1:$D$1,0))</f>
        <v>0.5</v>
      </c>
      <c r="N174">
        <f>_xlfn.XLOOKUP(D174,products!$A$2:$A$49,products!$E$2:$E$49)</f>
        <v>7.29</v>
      </c>
      <c r="O174">
        <f>_xlfn.XLOOKUP(D174,products!$A$2:$A$49,products!$H$2:$H$49)</f>
        <v>6.4881000000000002</v>
      </c>
      <c r="P174">
        <f t="shared" si="14"/>
        <v>21.87</v>
      </c>
      <c r="Q174">
        <f t="shared" si="15"/>
        <v>19.464300000000001</v>
      </c>
      <c r="R174">
        <f t="shared" si="16"/>
        <v>2.4056999999999995</v>
      </c>
      <c r="S174" s="4">
        <f t="shared" si="17"/>
        <v>0.10999999999999997</v>
      </c>
      <c r="T174" t="str">
        <f>_xlfn.XLOOKUP(C174,customers!$A$1:$A$1001,customers!$I$1:$I$1001,,0)</f>
        <v>No</v>
      </c>
    </row>
    <row r="175" spans="1:20"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INDEX(products!$A$1:$I$49,MATCH('Conditional Fomating'!$D175,products!$A$1:$A$49,0),MATCH('Conditional Fomating'!I$1,products!$A$1:$D$1,0))</f>
        <v>Rob</v>
      </c>
      <c r="J175" t="str">
        <f t="shared" si="12"/>
        <v>Robusta</v>
      </c>
      <c r="K175" t="str">
        <f>INDEX(products!$A$1:$I$49,MATCH('Conditional Fomating'!$D175,products!$A$1:$A$49,0),MATCH('Conditional Fomating'!K$1,products!$A$1:$D$1,0))</f>
        <v>M</v>
      </c>
      <c r="L175" t="str">
        <f t="shared" si="13"/>
        <v>Medium</v>
      </c>
      <c r="M175">
        <f>INDEX(products!$A$1:$I$49,MATCH('Conditional Fomating'!$D175,products!$A$1:$A$49,0),MATCH('Conditional Fomating'!M$1,products!$A$1:$D$1,0))</f>
        <v>2.5</v>
      </c>
      <c r="N175">
        <f>_xlfn.XLOOKUP(D175,products!$A$2:$A$49,products!$E$2:$E$49)</f>
        <v>22.884999999999998</v>
      </c>
      <c r="O175">
        <f>_xlfn.XLOOKUP(D175,products!$A$2:$A$49,products!$H$2:$H$49)</f>
        <v>21.511899999999997</v>
      </c>
      <c r="P175">
        <f t="shared" si="14"/>
        <v>91.539999999999992</v>
      </c>
      <c r="Q175">
        <f t="shared" si="15"/>
        <v>86.047599999999989</v>
      </c>
      <c r="R175">
        <f t="shared" si="16"/>
        <v>5.4924000000000035</v>
      </c>
      <c r="S175" s="4">
        <f t="shared" si="17"/>
        <v>6.0000000000000046E-2</v>
      </c>
      <c r="T175" t="str">
        <f>_xlfn.XLOOKUP(C175,customers!$A$1:$A$1001,customers!$I$1:$I$1001,,0)</f>
        <v>No</v>
      </c>
    </row>
    <row r="176" spans="1:20"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v>
      </c>
      <c r="H176" s="2" t="str">
        <f>_xlfn.XLOOKUP(C176,customers!$A$1:$A$1001,customers!$G$1:$G$1001,,0)</f>
        <v>United States</v>
      </c>
      <c r="I176" t="str">
        <f>INDEX(products!$A$1:$I$49,MATCH('Conditional Fomating'!$D176,products!$A$1:$A$49,0),MATCH('Conditional Fomating'!I$1,products!$A$1:$D$1,0))</f>
        <v>Exc</v>
      </c>
      <c r="J176" t="str">
        <f t="shared" si="12"/>
        <v>Excelsa</v>
      </c>
      <c r="K176" t="str">
        <f>INDEX(products!$A$1:$I$49,MATCH('Conditional Fomating'!$D176,products!$A$1:$A$49,0),MATCH('Conditional Fomating'!K$1,products!$A$1:$D$1,0))</f>
        <v>L</v>
      </c>
      <c r="L176" t="str">
        <f t="shared" si="13"/>
        <v>Light</v>
      </c>
      <c r="M176">
        <f>INDEX(products!$A$1:$I$49,MATCH('Conditional Fomating'!$D176,products!$A$1:$A$49,0),MATCH('Conditional Fomating'!M$1,products!$A$1:$D$1,0))</f>
        <v>2.5</v>
      </c>
      <c r="N176">
        <f>_xlfn.XLOOKUP(D176,products!$A$2:$A$49,products!$E$2:$E$49)</f>
        <v>34.154999999999994</v>
      </c>
      <c r="O176">
        <f>_xlfn.XLOOKUP(D176,products!$A$2:$A$49,products!$H$2:$H$49)</f>
        <v>30.397949999999994</v>
      </c>
      <c r="P176">
        <f t="shared" si="14"/>
        <v>204.92999999999995</v>
      </c>
      <c r="Q176">
        <f t="shared" si="15"/>
        <v>182.38769999999997</v>
      </c>
      <c r="R176">
        <f t="shared" si="16"/>
        <v>22.542299999999983</v>
      </c>
      <c r="S176" s="4">
        <f t="shared" si="17"/>
        <v>0.10999999999999995</v>
      </c>
      <c r="T176" t="str">
        <f>_xlfn.XLOOKUP(C176,customers!$A$1:$A$1001,customers!$I$1:$I$1001,,0)</f>
        <v>Yes</v>
      </c>
    </row>
    <row r="177" spans="1:20"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INDEX(products!$A$1:$I$49,MATCH('Conditional Fomating'!$D177,products!$A$1:$A$49,0),MATCH('Conditional Fomating'!I$1,products!$A$1:$D$1,0))</f>
        <v>Exc</v>
      </c>
      <c r="J177" t="str">
        <f t="shared" si="12"/>
        <v>Excelsa</v>
      </c>
      <c r="K177" t="str">
        <f>INDEX(products!$A$1:$I$49,MATCH('Conditional Fomating'!$D177,products!$A$1:$A$49,0),MATCH('Conditional Fomating'!K$1,products!$A$1:$D$1,0))</f>
        <v>M</v>
      </c>
      <c r="L177" t="str">
        <f t="shared" si="13"/>
        <v>Medium</v>
      </c>
      <c r="M177">
        <f>INDEX(products!$A$1:$I$49,MATCH('Conditional Fomating'!$D177,products!$A$1:$A$49,0),MATCH('Conditional Fomating'!M$1,products!$A$1:$D$1,0))</f>
        <v>2.5</v>
      </c>
      <c r="N177">
        <f>_xlfn.XLOOKUP(D177,products!$A$2:$A$49,products!$E$2:$E$49)</f>
        <v>31.624999999999996</v>
      </c>
      <c r="O177">
        <f>_xlfn.XLOOKUP(D177,products!$A$2:$A$49,products!$H$2:$H$49)</f>
        <v>28.146249999999995</v>
      </c>
      <c r="P177">
        <f t="shared" si="14"/>
        <v>63.249999999999993</v>
      </c>
      <c r="Q177">
        <f t="shared" si="15"/>
        <v>56.29249999999999</v>
      </c>
      <c r="R177">
        <f t="shared" si="16"/>
        <v>6.9575000000000031</v>
      </c>
      <c r="S177" s="4">
        <f t="shared" si="17"/>
        <v>0.11000000000000006</v>
      </c>
      <c r="T177" t="str">
        <f>_xlfn.XLOOKUP(C177,customers!$A$1:$A$1001,customers!$I$1:$I$1001,,0)</f>
        <v>Yes</v>
      </c>
    </row>
    <row r="178" spans="1:20"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INDEX(products!$A$1:$I$49,MATCH('Conditional Fomating'!$D178,products!$A$1:$A$49,0),MATCH('Conditional Fomating'!I$1,products!$A$1:$D$1,0))</f>
        <v>Exc</v>
      </c>
      <c r="J178" t="str">
        <f t="shared" si="12"/>
        <v>Excelsa</v>
      </c>
      <c r="K178" t="str">
        <f>INDEX(products!$A$1:$I$49,MATCH('Conditional Fomating'!$D178,products!$A$1:$A$49,0),MATCH('Conditional Fomating'!K$1,products!$A$1:$D$1,0))</f>
        <v>L</v>
      </c>
      <c r="L178" t="str">
        <f t="shared" si="13"/>
        <v>Light</v>
      </c>
      <c r="M178">
        <f>INDEX(products!$A$1:$I$49,MATCH('Conditional Fomating'!$D178,products!$A$1:$A$49,0),MATCH('Conditional Fomating'!M$1,products!$A$1:$D$1,0))</f>
        <v>2.5</v>
      </c>
      <c r="N178">
        <f>_xlfn.XLOOKUP(D178,products!$A$2:$A$49,products!$E$2:$E$49)</f>
        <v>34.154999999999994</v>
      </c>
      <c r="O178">
        <f>_xlfn.XLOOKUP(D178,products!$A$2:$A$49,products!$H$2:$H$49)</f>
        <v>30.397949999999994</v>
      </c>
      <c r="P178">
        <f t="shared" si="14"/>
        <v>34.154999999999994</v>
      </c>
      <c r="Q178">
        <f t="shared" si="15"/>
        <v>30.397949999999994</v>
      </c>
      <c r="R178">
        <f t="shared" si="16"/>
        <v>3.7570499999999996</v>
      </c>
      <c r="S178" s="4">
        <f t="shared" si="17"/>
        <v>0.11</v>
      </c>
      <c r="T178" t="str">
        <f>_xlfn.XLOOKUP(C178,customers!$A$1:$A$1001,customers!$I$1:$I$1001,,0)</f>
        <v>Yes</v>
      </c>
    </row>
    <row r="179" spans="1:20"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INDEX(products!$A$1:$I$49,MATCH('Conditional Fomating'!$D179,products!$A$1:$A$49,0),MATCH('Conditional Fomating'!I$1,products!$A$1:$D$1,0))</f>
        <v>Rob</v>
      </c>
      <c r="J179" t="str">
        <f t="shared" si="12"/>
        <v>Robusta</v>
      </c>
      <c r="K179" t="str">
        <f>INDEX(products!$A$1:$I$49,MATCH('Conditional Fomating'!$D179,products!$A$1:$A$49,0),MATCH('Conditional Fomating'!K$1,products!$A$1:$D$1,0))</f>
        <v>L</v>
      </c>
      <c r="L179" t="str">
        <f t="shared" si="13"/>
        <v>Light</v>
      </c>
      <c r="M179">
        <f>INDEX(products!$A$1:$I$49,MATCH('Conditional Fomating'!$D179,products!$A$1:$A$49,0),MATCH('Conditional Fomating'!M$1,products!$A$1:$D$1,0))</f>
        <v>2.5</v>
      </c>
      <c r="N179">
        <f>_xlfn.XLOOKUP(D179,products!$A$2:$A$49,products!$E$2:$E$49)</f>
        <v>27.484999999999996</v>
      </c>
      <c r="O179">
        <f>_xlfn.XLOOKUP(D179,products!$A$2:$A$49,products!$H$2:$H$49)</f>
        <v>25.835899999999995</v>
      </c>
      <c r="P179">
        <f t="shared" si="14"/>
        <v>109.93999999999998</v>
      </c>
      <c r="Q179">
        <f t="shared" si="15"/>
        <v>103.34359999999998</v>
      </c>
      <c r="R179">
        <f t="shared" si="16"/>
        <v>6.5964000000000027</v>
      </c>
      <c r="S179" s="4">
        <f t="shared" si="17"/>
        <v>6.0000000000000032E-2</v>
      </c>
      <c r="T179" t="str">
        <f>_xlfn.XLOOKUP(C179,customers!$A$1:$A$1001,customers!$I$1:$I$1001,,0)</f>
        <v>Yes</v>
      </c>
    </row>
    <row r="180" spans="1:20"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INDEX(products!$A$1:$I$49,MATCH('Conditional Fomating'!$D180,products!$A$1:$A$49,0),MATCH('Conditional Fomating'!I$1,products!$A$1:$D$1,0))</f>
        <v>Ara</v>
      </c>
      <c r="J180" t="str">
        <f t="shared" si="12"/>
        <v>Arabica</v>
      </c>
      <c r="K180" t="str">
        <f>INDEX(products!$A$1:$I$49,MATCH('Conditional Fomating'!$D180,products!$A$1:$A$49,0),MATCH('Conditional Fomating'!K$1,products!$A$1:$D$1,0))</f>
        <v>L</v>
      </c>
      <c r="L180" t="str">
        <f t="shared" si="13"/>
        <v>Light</v>
      </c>
      <c r="M180">
        <f>INDEX(products!$A$1:$I$49,MATCH('Conditional Fomating'!$D180,products!$A$1:$A$49,0),MATCH('Conditional Fomating'!M$1,products!$A$1:$D$1,0))</f>
        <v>1</v>
      </c>
      <c r="N180">
        <f>_xlfn.XLOOKUP(D180,products!$A$2:$A$49,products!$E$2:$E$49)</f>
        <v>12.95</v>
      </c>
      <c r="O180">
        <f>_xlfn.XLOOKUP(D180,products!$A$2:$A$49,products!$H$2:$H$49)</f>
        <v>11.7845</v>
      </c>
      <c r="P180">
        <f t="shared" si="14"/>
        <v>25.9</v>
      </c>
      <c r="Q180">
        <f t="shared" si="15"/>
        <v>23.568999999999999</v>
      </c>
      <c r="R180">
        <f t="shared" si="16"/>
        <v>2.3309999999999995</v>
      </c>
      <c r="S180" s="4">
        <f t="shared" si="17"/>
        <v>8.9999999999999983E-2</v>
      </c>
      <c r="T180" t="str">
        <f>_xlfn.XLOOKUP(C180,customers!$A$1:$A$1001,customers!$I$1:$I$1001,,0)</f>
        <v>No</v>
      </c>
    </row>
    <row r="181" spans="1:20"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v>
      </c>
      <c r="H181" s="2" t="str">
        <f>_xlfn.XLOOKUP(C181,customers!$A$1:$A$1001,customers!$G$1:$G$1001,,0)</f>
        <v>Ireland</v>
      </c>
      <c r="I181" t="str">
        <f>INDEX(products!$A$1:$I$49,MATCH('Conditional Fomating'!$D181,products!$A$1:$A$49,0),MATCH('Conditional Fomating'!I$1,products!$A$1:$D$1,0))</f>
        <v>Ara</v>
      </c>
      <c r="J181" t="str">
        <f t="shared" si="12"/>
        <v>Arabica</v>
      </c>
      <c r="K181" t="str">
        <f>INDEX(products!$A$1:$I$49,MATCH('Conditional Fomating'!$D181,products!$A$1:$A$49,0),MATCH('Conditional Fomating'!K$1,products!$A$1:$D$1,0))</f>
        <v>D</v>
      </c>
      <c r="L181" t="str">
        <f t="shared" si="13"/>
        <v>Dark</v>
      </c>
      <c r="M181">
        <f>INDEX(products!$A$1:$I$49,MATCH('Conditional Fomating'!$D181,products!$A$1:$A$49,0),MATCH('Conditional Fomating'!M$1,products!$A$1:$D$1,0))</f>
        <v>0.2</v>
      </c>
      <c r="N181">
        <f>_xlfn.XLOOKUP(D181,products!$A$2:$A$49,products!$E$2:$E$49)</f>
        <v>2.9849999999999999</v>
      </c>
      <c r="O181">
        <f>_xlfn.XLOOKUP(D181,products!$A$2:$A$49,products!$H$2:$H$49)</f>
        <v>2.7163499999999998</v>
      </c>
      <c r="P181">
        <f t="shared" si="14"/>
        <v>2.9849999999999999</v>
      </c>
      <c r="Q181">
        <f t="shared" si="15"/>
        <v>2.7163499999999998</v>
      </c>
      <c r="R181">
        <f t="shared" si="16"/>
        <v>0.26865000000000006</v>
      </c>
      <c r="S181" s="4">
        <f t="shared" si="17"/>
        <v>9.0000000000000024E-2</v>
      </c>
      <c r="T181" t="str">
        <f>_xlfn.XLOOKUP(C181,customers!$A$1:$A$1001,customers!$I$1:$I$1001,,0)</f>
        <v>No</v>
      </c>
    </row>
    <row r="182" spans="1:20"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INDEX(products!$A$1:$I$49,MATCH('Conditional Fomating'!$D182,products!$A$1:$A$49,0),MATCH('Conditional Fomating'!I$1,products!$A$1:$D$1,0))</f>
        <v>Exc</v>
      </c>
      <c r="J182" t="str">
        <f t="shared" si="12"/>
        <v>Excelsa</v>
      </c>
      <c r="K182" t="str">
        <f>INDEX(products!$A$1:$I$49,MATCH('Conditional Fomating'!$D182,products!$A$1:$A$49,0),MATCH('Conditional Fomating'!K$1,products!$A$1:$D$1,0))</f>
        <v>L</v>
      </c>
      <c r="L182" t="str">
        <f t="shared" si="13"/>
        <v>Light</v>
      </c>
      <c r="M182">
        <f>INDEX(products!$A$1:$I$49,MATCH('Conditional Fomating'!$D182,products!$A$1:$A$49,0),MATCH('Conditional Fomating'!M$1,products!$A$1:$D$1,0))</f>
        <v>0.2</v>
      </c>
      <c r="N182">
        <f>_xlfn.XLOOKUP(D182,products!$A$2:$A$49,products!$E$2:$E$49)</f>
        <v>4.4550000000000001</v>
      </c>
      <c r="O182">
        <f>_xlfn.XLOOKUP(D182,products!$A$2:$A$49,products!$H$2:$H$49)</f>
        <v>3.96495</v>
      </c>
      <c r="P182">
        <f t="shared" si="14"/>
        <v>22.274999999999999</v>
      </c>
      <c r="Q182">
        <f t="shared" si="15"/>
        <v>19.824750000000002</v>
      </c>
      <c r="R182">
        <f t="shared" si="16"/>
        <v>2.4502499999999969</v>
      </c>
      <c r="S182" s="4">
        <f t="shared" si="17"/>
        <v>0.10999999999999988</v>
      </c>
      <c r="T182" t="str">
        <f>_xlfn.XLOOKUP(C182,customers!$A$1:$A$1001,customers!$I$1:$I$1001,,0)</f>
        <v>No</v>
      </c>
    </row>
    <row r="183" spans="1:20"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INDEX(products!$A$1:$I$49,MATCH('Conditional Fomating'!$D183,products!$A$1:$A$49,0),MATCH('Conditional Fomating'!I$1,products!$A$1:$D$1,0))</f>
        <v>Ara</v>
      </c>
      <c r="J183" t="str">
        <f t="shared" si="12"/>
        <v>Arabica</v>
      </c>
      <c r="K183" t="str">
        <f>INDEX(products!$A$1:$I$49,MATCH('Conditional Fomating'!$D183,products!$A$1:$A$49,0),MATCH('Conditional Fomating'!K$1,products!$A$1:$D$1,0))</f>
        <v>D</v>
      </c>
      <c r="L183" t="str">
        <f t="shared" si="13"/>
        <v>Dark</v>
      </c>
      <c r="M183">
        <f>INDEX(products!$A$1:$I$49,MATCH('Conditional Fomating'!$D183,products!$A$1:$A$49,0),MATCH('Conditional Fomating'!M$1,products!$A$1:$D$1,0))</f>
        <v>0.5</v>
      </c>
      <c r="N183">
        <f>_xlfn.XLOOKUP(D183,products!$A$2:$A$49,products!$E$2:$E$49)</f>
        <v>5.97</v>
      </c>
      <c r="O183">
        <f>_xlfn.XLOOKUP(D183,products!$A$2:$A$49,products!$H$2:$H$49)</f>
        <v>5.4326999999999996</v>
      </c>
      <c r="P183">
        <f t="shared" si="14"/>
        <v>29.849999999999998</v>
      </c>
      <c r="Q183">
        <f t="shared" si="15"/>
        <v>27.163499999999999</v>
      </c>
      <c r="R183">
        <f t="shared" si="16"/>
        <v>2.6864999999999988</v>
      </c>
      <c r="S183" s="4">
        <f t="shared" si="17"/>
        <v>8.9999999999999969E-2</v>
      </c>
      <c r="T183" t="str">
        <f>_xlfn.XLOOKUP(C183,customers!$A$1:$A$1001,customers!$I$1:$I$1001,,0)</f>
        <v>No</v>
      </c>
    </row>
    <row r="184" spans="1:20"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INDEX(products!$A$1:$I$49,MATCH('Conditional Fomating'!$D184,products!$A$1:$A$49,0),MATCH('Conditional Fomating'!I$1,products!$A$1:$D$1,0))</f>
        <v>Rob</v>
      </c>
      <c r="J184" t="str">
        <f t="shared" si="12"/>
        <v>Robusta</v>
      </c>
      <c r="K184" t="str">
        <f>INDEX(products!$A$1:$I$49,MATCH('Conditional Fomating'!$D184,products!$A$1:$A$49,0),MATCH('Conditional Fomating'!K$1,products!$A$1:$D$1,0))</f>
        <v>D</v>
      </c>
      <c r="L184" t="str">
        <f t="shared" si="13"/>
        <v>Dark</v>
      </c>
      <c r="M184">
        <f>INDEX(products!$A$1:$I$49,MATCH('Conditional Fomating'!$D184,products!$A$1:$A$49,0),MATCH('Conditional Fomating'!M$1,products!$A$1:$D$1,0))</f>
        <v>0.5</v>
      </c>
      <c r="N184">
        <f>_xlfn.XLOOKUP(D184,products!$A$2:$A$49,products!$E$2:$E$49)</f>
        <v>5.3699999999999992</v>
      </c>
      <c r="O184">
        <f>_xlfn.XLOOKUP(D184,products!$A$2:$A$49,products!$H$2:$H$49)</f>
        <v>5.0477999999999996</v>
      </c>
      <c r="P184">
        <f t="shared" si="14"/>
        <v>32.22</v>
      </c>
      <c r="Q184">
        <f t="shared" si="15"/>
        <v>30.286799999999999</v>
      </c>
      <c r="R184">
        <f t="shared" si="16"/>
        <v>1.9331999999999994</v>
      </c>
      <c r="S184" s="4">
        <f t="shared" si="17"/>
        <v>5.9999999999999984E-2</v>
      </c>
      <c r="T184" t="str">
        <f>_xlfn.XLOOKUP(C184,customers!$A$1:$A$1001,customers!$I$1:$I$1001,,0)</f>
        <v>No</v>
      </c>
    </row>
    <row r="185" spans="1:20"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INDEX(products!$A$1:$I$49,MATCH('Conditional Fomating'!$D185,products!$A$1:$A$49,0),MATCH('Conditional Fomating'!I$1,products!$A$1:$D$1,0))</f>
        <v>Exc</v>
      </c>
      <c r="J185" t="str">
        <f t="shared" si="12"/>
        <v>Excelsa</v>
      </c>
      <c r="K185" t="str">
        <f>INDEX(products!$A$1:$I$49,MATCH('Conditional Fomating'!$D185,products!$A$1:$A$49,0),MATCH('Conditional Fomating'!K$1,products!$A$1:$D$1,0))</f>
        <v>M</v>
      </c>
      <c r="L185" t="str">
        <f t="shared" si="13"/>
        <v>Medium</v>
      </c>
      <c r="M185">
        <f>INDEX(products!$A$1:$I$49,MATCH('Conditional Fomating'!$D185,products!$A$1:$A$49,0),MATCH('Conditional Fomating'!M$1,products!$A$1:$D$1,0))</f>
        <v>0.2</v>
      </c>
      <c r="N185">
        <f>_xlfn.XLOOKUP(D185,products!$A$2:$A$49,products!$E$2:$E$49)</f>
        <v>4.125</v>
      </c>
      <c r="O185">
        <f>_xlfn.XLOOKUP(D185,products!$A$2:$A$49,products!$H$2:$H$49)</f>
        <v>3.6712500000000001</v>
      </c>
      <c r="P185">
        <f t="shared" si="14"/>
        <v>8.25</v>
      </c>
      <c r="Q185">
        <f t="shared" si="15"/>
        <v>7.3425000000000002</v>
      </c>
      <c r="R185">
        <f t="shared" si="16"/>
        <v>0.90749999999999975</v>
      </c>
      <c r="S185" s="4">
        <f t="shared" si="17"/>
        <v>0.10999999999999997</v>
      </c>
      <c r="T185" t="str">
        <f>_xlfn.XLOOKUP(C185,customers!$A$1:$A$1001,customers!$I$1:$I$1001,,0)</f>
        <v>No</v>
      </c>
    </row>
    <row r="186" spans="1:20"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INDEX(products!$A$1:$I$49,MATCH('Conditional Fomating'!$D186,products!$A$1:$A$49,0),MATCH('Conditional Fomating'!I$1,products!$A$1:$D$1,0))</f>
        <v>Ara</v>
      </c>
      <c r="J186" t="str">
        <f t="shared" si="12"/>
        <v>Arabica</v>
      </c>
      <c r="K186" t="str">
        <f>INDEX(products!$A$1:$I$49,MATCH('Conditional Fomating'!$D186,products!$A$1:$A$49,0),MATCH('Conditional Fomating'!K$1,products!$A$1:$D$1,0))</f>
        <v>L</v>
      </c>
      <c r="L186" t="str">
        <f t="shared" si="13"/>
        <v>Light</v>
      </c>
      <c r="M186">
        <f>INDEX(products!$A$1:$I$49,MATCH('Conditional Fomating'!$D186,products!$A$1:$A$49,0),MATCH('Conditional Fomating'!M$1,products!$A$1:$D$1,0))</f>
        <v>0.5</v>
      </c>
      <c r="N186">
        <f>_xlfn.XLOOKUP(D186,products!$A$2:$A$49,products!$E$2:$E$49)</f>
        <v>7.77</v>
      </c>
      <c r="O186">
        <f>_xlfn.XLOOKUP(D186,products!$A$2:$A$49,products!$H$2:$H$49)</f>
        <v>7.0706999999999995</v>
      </c>
      <c r="P186">
        <f t="shared" si="14"/>
        <v>31.08</v>
      </c>
      <c r="Q186">
        <f t="shared" si="15"/>
        <v>28.282799999999998</v>
      </c>
      <c r="R186">
        <f t="shared" si="16"/>
        <v>2.7972000000000001</v>
      </c>
      <c r="S186" s="4">
        <f t="shared" si="17"/>
        <v>9.0000000000000011E-2</v>
      </c>
      <c r="T186" t="str">
        <f>_xlfn.XLOOKUP(C186,customers!$A$1:$A$1001,customers!$I$1:$I$1001,,0)</f>
        <v>No</v>
      </c>
    </row>
    <row r="187" spans="1:20"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INDEX(products!$A$1:$I$49,MATCH('Conditional Fomating'!$D187,products!$A$1:$A$49,0),MATCH('Conditional Fomating'!I$1,products!$A$1:$D$1,0))</f>
        <v>Exc</v>
      </c>
      <c r="J187" t="str">
        <f t="shared" si="12"/>
        <v>Excelsa</v>
      </c>
      <c r="K187" t="str">
        <f>INDEX(products!$A$1:$I$49,MATCH('Conditional Fomating'!$D187,products!$A$1:$A$49,0),MATCH('Conditional Fomating'!K$1,products!$A$1:$D$1,0))</f>
        <v>D</v>
      </c>
      <c r="L187" t="str">
        <f t="shared" si="13"/>
        <v>Dark</v>
      </c>
      <c r="M187">
        <f>INDEX(products!$A$1:$I$49,MATCH('Conditional Fomating'!$D187,products!$A$1:$A$49,0),MATCH('Conditional Fomating'!M$1,products!$A$1:$D$1,0))</f>
        <v>0.5</v>
      </c>
      <c r="N187">
        <f>_xlfn.XLOOKUP(D187,products!$A$2:$A$49,products!$E$2:$E$49)</f>
        <v>7.29</v>
      </c>
      <c r="O187">
        <f>_xlfn.XLOOKUP(D187,products!$A$2:$A$49,products!$H$2:$H$49)</f>
        <v>6.4881000000000002</v>
      </c>
      <c r="P187">
        <f t="shared" si="14"/>
        <v>36.450000000000003</v>
      </c>
      <c r="Q187">
        <f t="shared" si="15"/>
        <v>32.4405</v>
      </c>
      <c r="R187">
        <f t="shared" si="16"/>
        <v>4.0095000000000027</v>
      </c>
      <c r="S187" s="4">
        <f t="shared" si="17"/>
        <v>0.11000000000000007</v>
      </c>
      <c r="T187" t="str">
        <f>_xlfn.XLOOKUP(C187,customers!$A$1:$A$1001,customers!$I$1:$I$1001,,0)</f>
        <v>Yes</v>
      </c>
    </row>
    <row r="188" spans="1:20"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INDEX(products!$A$1:$I$49,MATCH('Conditional Fomating'!$D188,products!$A$1:$A$49,0),MATCH('Conditional Fomating'!I$1,products!$A$1:$D$1,0))</f>
        <v>Rob</v>
      </c>
      <c r="J188" t="str">
        <f t="shared" si="12"/>
        <v>Robusta</v>
      </c>
      <c r="K188" t="str">
        <f>INDEX(products!$A$1:$I$49,MATCH('Conditional Fomating'!$D188,products!$A$1:$A$49,0),MATCH('Conditional Fomating'!K$1,products!$A$1:$D$1,0))</f>
        <v>M</v>
      </c>
      <c r="L188" t="str">
        <f t="shared" si="13"/>
        <v>Medium</v>
      </c>
      <c r="M188">
        <f>INDEX(products!$A$1:$I$49,MATCH('Conditional Fomating'!$D188,products!$A$1:$A$49,0),MATCH('Conditional Fomating'!M$1,products!$A$1:$D$1,0))</f>
        <v>2.5</v>
      </c>
      <c r="N188">
        <f>_xlfn.XLOOKUP(D188,products!$A$2:$A$49,products!$E$2:$E$49)</f>
        <v>22.884999999999998</v>
      </c>
      <c r="O188">
        <f>_xlfn.XLOOKUP(D188,products!$A$2:$A$49,products!$H$2:$H$49)</f>
        <v>21.511899999999997</v>
      </c>
      <c r="P188">
        <f t="shared" si="14"/>
        <v>68.655000000000001</v>
      </c>
      <c r="Q188">
        <f t="shared" si="15"/>
        <v>64.535699999999991</v>
      </c>
      <c r="R188">
        <f t="shared" si="16"/>
        <v>4.1193000000000097</v>
      </c>
      <c r="S188" s="4">
        <f t="shared" si="17"/>
        <v>6.0000000000000143E-2</v>
      </c>
      <c r="T188" t="str">
        <f>_xlfn.XLOOKUP(C188,customers!$A$1:$A$1001,customers!$I$1:$I$1001,,0)</f>
        <v>No</v>
      </c>
    </row>
    <row r="189" spans="1:20"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INDEX(products!$A$1:$I$49,MATCH('Conditional Fomating'!$D189,products!$A$1:$A$49,0),MATCH('Conditional Fomating'!I$1,products!$A$1:$D$1,0))</f>
        <v>Lib</v>
      </c>
      <c r="J189" t="str">
        <f t="shared" si="12"/>
        <v>Liberica</v>
      </c>
      <c r="K189" t="str">
        <f>INDEX(products!$A$1:$I$49,MATCH('Conditional Fomating'!$D189,products!$A$1:$A$49,0),MATCH('Conditional Fomating'!K$1,products!$A$1:$D$1,0))</f>
        <v>M</v>
      </c>
      <c r="L189" t="str">
        <f t="shared" si="13"/>
        <v>Medium</v>
      </c>
      <c r="M189">
        <f>INDEX(products!$A$1:$I$49,MATCH('Conditional Fomating'!$D189,products!$A$1:$A$49,0),MATCH('Conditional Fomating'!M$1,products!$A$1:$D$1,0))</f>
        <v>0.5</v>
      </c>
      <c r="N189">
        <f>_xlfn.XLOOKUP(D189,products!$A$2:$A$49,products!$E$2:$E$49)</f>
        <v>8.73</v>
      </c>
      <c r="O189">
        <f>_xlfn.XLOOKUP(D189,products!$A$2:$A$49,products!$H$2:$H$49)</f>
        <v>7.5951000000000004</v>
      </c>
      <c r="P189">
        <f t="shared" si="14"/>
        <v>43.650000000000006</v>
      </c>
      <c r="Q189">
        <f t="shared" si="15"/>
        <v>37.975500000000004</v>
      </c>
      <c r="R189">
        <f t="shared" si="16"/>
        <v>5.6745000000000019</v>
      </c>
      <c r="S189" s="4">
        <f t="shared" si="17"/>
        <v>0.13000000000000003</v>
      </c>
      <c r="T189" t="str">
        <f>_xlfn.XLOOKUP(C189,customers!$A$1:$A$1001,customers!$I$1:$I$1001,,0)</f>
        <v>Yes</v>
      </c>
    </row>
    <row r="190" spans="1:20"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INDEX(products!$A$1:$I$49,MATCH('Conditional Fomating'!$D190,products!$A$1:$A$49,0),MATCH('Conditional Fomating'!I$1,products!$A$1:$D$1,0))</f>
        <v>Exc</v>
      </c>
      <c r="J190" t="str">
        <f t="shared" si="12"/>
        <v>Excelsa</v>
      </c>
      <c r="K190" t="str">
        <f>INDEX(products!$A$1:$I$49,MATCH('Conditional Fomating'!$D190,products!$A$1:$A$49,0),MATCH('Conditional Fomating'!K$1,products!$A$1:$D$1,0))</f>
        <v>L</v>
      </c>
      <c r="L190" t="str">
        <f t="shared" si="13"/>
        <v>Light</v>
      </c>
      <c r="M190">
        <f>INDEX(products!$A$1:$I$49,MATCH('Conditional Fomating'!$D190,products!$A$1:$A$49,0),MATCH('Conditional Fomating'!M$1,products!$A$1:$D$1,0))</f>
        <v>0.2</v>
      </c>
      <c r="N190">
        <f>_xlfn.XLOOKUP(D190,products!$A$2:$A$49,products!$E$2:$E$49)</f>
        <v>4.4550000000000001</v>
      </c>
      <c r="O190">
        <f>_xlfn.XLOOKUP(D190,products!$A$2:$A$49,products!$H$2:$H$49)</f>
        <v>3.96495</v>
      </c>
      <c r="P190">
        <f t="shared" si="14"/>
        <v>4.4550000000000001</v>
      </c>
      <c r="Q190">
        <f t="shared" si="15"/>
        <v>3.96495</v>
      </c>
      <c r="R190">
        <f t="shared" si="16"/>
        <v>0.4900500000000001</v>
      </c>
      <c r="S190" s="4">
        <f t="shared" si="17"/>
        <v>0.11000000000000001</v>
      </c>
      <c r="T190" t="str">
        <f>_xlfn.XLOOKUP(C190,customers!$A$1:$A$1001,customers!$I$1:$I$1001,,0)</f>
        <v>Yes</v>
      </c>
    </row>
    <row r="191" spans="1:20"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INDEX(products!$A$1:$I$49,MATCH('Conditional Fomating'!$D191,products!$A$1:$A$49,0),MATCH('Conditional Fomating'!I$1,products!$A$1:$D$1,0))</f>
        <v>Lib</v>
      </c>
      <c r="J191" t="str">
        <f t="shared" si="12"/>
        <v>Liberica</v>
      </c>
      <c r="K191" t="str">
        <f>INDEX(products!$A$1:$I$49,MATCH('Conditional Fomating'!$D191,products!$A$1:$A$49,0),MATCH('Conditional Fomating'!K$1,products!$A$1:$D$1,0))</f>
        <v>M</v>
      </c>
      <c r="L191" t="str">
        <f t="shared" si="13"/>
        <v>Medium</v>
      </c>
      <c r="M191">
        <f>INDEX(products!$A$1:$I$49,MATCH('Conditional Fomating'!$D191,products!$A$1:$A$49,0),MATCH('Conditional Fomating'!M$1,products!$A$1:$D$1,0))</f>
        <v>1</v>
      </c>
      <c r="N191">
        <f>_xlfn.XLOOKUP(D191,products!$A$2:$A$49,products!$E$2:$E$49)</f>
        <v>14.55</v>
      </c>
      <c r="O191">
        <f>_xlfn.XLOOKUP(D191,products!$A$2:$A$49,products!$H$2:$H$49)</f>
        <v>12.6585</v>
      </c>
      <c r="P191">
        <f t="shared" si="14"/>
        <v>43.650000000000006</v>
      </c>
      <c r="Q191">
        <f t="shared" si="15"/>
        <v>37.975499999999997</v>
      </c>
      <c r="R191">
        <f t="shared" si="16"/>
        <v>5.674500000000009</v>
      </c>
      <c r="S191" s="4">
        <f t="shared" si="17"/>
        <v>0.1300000000000002</v>
      </c>
      <c r="T191" t="str">
        <f>_xlfn.XLOOKUP(C191,customers!$A$1:$A$1001,customers!$I$1:$I$1001,,0)</f>
        <v>Yes</v>
      </c>
    </row>
    <row r="192" spans="1:20"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INDEX(products!$A$1:$I$49,MATCH('Conditional Fomating'!$D192,products!$A$1:$A$49,0),MATCH('Conditional Fomating'!I$1,products!$A$1:$D$1,0))</f>
        <v>Lib</v>
      </c>
      <c r="J192" t="str">
        <f t="shared" si="12"/>
        <v>Liberica</v>
      </c>
      <c r="K192" t="str">
        <f>INDEX(products!$A$1:$I$49,MATCH('Conditional Fomating'!$D192,products!$A$1:$A$49,0),MATCH('Conditional Fomating'!K$1,products!$A$1:$D$1,0))</f>
        <v>M</v>
      </c>
      <c r="L192" t="str">
        <f t="shared" si="13"/>
        <v>Medium</v>
      </c>
      <c r="M192">
        <f>INDEX(products!$A$1:$I$49,MATCH('Conditional Fomating'!$D192,products!$A$1:$A$49,0),MATCH('Conditional Fomating'!M$1,products!$A$1:$D$1,0))</f>
        <v>2.5</v>
      </c>
      <c r="N192">
        <f>_xlfn.XLOOKUP(D192,products!$A$2:$A$49,products!$E$2:$E$49)</f>
        <v>33.464999999999996</v>
      </c>
      <c r="O192">
        <f>_xlfn.XLOOKUP(D192,products!$A$2:$A$49,products!$H$2:$H$49)</f>
        <v>29.114549999999998</v>
      </c>
      <c r="P192">
        <f t="shared" si="14"/>
        <v>33.464999999999996</v>
      </c>
      <c r="Q192">
        <f t="shared" si="15"/>
        <v>29.114549999999998</v>
      </c>
      <c r="R192">
        <f t="shared" si="16"/>
        <v>4.3504499999999986</v>
      </c>
      <c r="S192" s="4">
        <f t="shared" si="17"/>
        <v>0.12999999999999998</v>
      </c>
      <c r="T192" t="str">
        <f>_xlfn.XLOOKUP(C192,customers!$A$1:$A$1001,customers!$I$1:$I$1001,,0)</f>
        <v>Yes</v>
      </c>
    </row>
    <row r="193" spans="1:20"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INDEX(products!$A$1:$I$49,MATCH('Conditional Fomating'!$D193,products!$A$1:$A$49,0),MATCH('Conditional Fomating'!I$1,products!$A$1:$D$1,0))</f>
        <v>Lib</v>
      </c>
      <c r="J193" t="str">
        <f t="shared" si="12"/>
        <v>Liberica</v>
      </c>
      <c r="K193" t="str">
        <f>INDEX(products!$A$1:$I$49,MATCH('Conditional Fomating'!$D193,products!$A$1:$A$49,0),MATCH('Conditional Fomating'!K$1,products!$A$1:$D$1,0))</f>
        <v>D</v>
      </c>
      <c r="L193" t="str">
        <f t="shared" si="13"/>
        <v>Dark</v>
      </c>
      <c r="M193">
        <f>INDEX(products!$A$1:$I$49,MATCH('Conditional Fomating'!$D193,products!$A$1:$A$49,0),MATCH('Conditional Fomating'!M$1,products!$A$1:$D$1,0))</f>
        <v>0.2</v>
      </c>
      <c r="N193">
        <f>_xlfn.XLOOKUP(D193,products!$A$2:$A$49,products!$E$2:$E$49)</f>
        <v>3.8849999999999998</v>
      </c>
      <c r="O193">
        <f>_xlfn.XLOOKUP(D193,products!$A$2:$A$49,products!$H$2:$H$49)</f>
        <v>3.37995</v>
      </c>
      <c r="P193">
        <f t="shared" si="14"/>
        <v>19.424999999999997</v>
      </c>
      <c r="Q193">
        <f t="shared" si="15"/>
        <v>16.899750000000001</v>
      </c>
      <c r="R193">
        <f t="shared" si="16"/>
        <v>2.5252499999999962</v>
      </c>
      <c r="S193" s="4">
        <f t="shared" si="17"/>
        <v>0.12999999999999984</v>
      </c>
      <c r="T193" t="str">
        <f>_xlfn.XLOOKUP(C193,customers!$A$1:$A$1001,customers!$I$1:$I$1001,,0)</f>
        <v>Yes</v>
      </c>
    </row>
    <row r="194" spans="1:20"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INDEX(products!$A$1:$I$49,MATCH('Conditional Fomating'!$D194,products!$A$1:$A$49,0),MATCH('Conditional Fomating'!I$1,products!$A$1:$D$1,0))</f>
        <v>Exc</v>
      </c>
      <c r="J194" t="str">
        <f t="shared" si="12"/>
        <v>Excelsa</v>
      </c>
      <c r="K194" t="str">
        <f>INDEX(products!$A$1:$I$49,MATCH('Conditional Fomating'!$D194,products!$A$1:$A$49,0),MATCH('Conditional Fomating'!K$1,products!$A$1:$D$1,0))</f>
        <v>D</v>
      </c>
      <c r="L194" t="str">
        <f t="shared" si="13"/>
        <v>Dark</v>
      </c>
      <c r="M194">
        <f>INDEX(products!$A$1:$I$49,MATCH('Conditional Fomating'!$D194,products!$A$1:$A$49,0),MATCH('Conditional Fomating'!M$1,products!$A$1:$D$1,0))</f>
        <v>1</v>
      </c>
      <c r="N194">
        <f>_xlfn.XLOOKUP(D194,products!$A$2:$A$49,products!$E$2:$E$49)</f>
        <v>12.15</v>
      </c>
      <c r="O194">
        <f>_xlfn.XLOOKUP(D194,products!$A$2:$A$49,products!$H$2:$H$49)</f>
        <v>10.813500000000001</v>
      </c>
      <c r="P194">
        <f t="shared" si="14"/>
        <v>72.900000000000006</v>
      </c>
      <c r="Q194">
        <f t="shared" si="15"/>
        <v>64.881</v>
      </c>
      <c r="R194">
        <f t="shared" si="16"/>
        <v>8.0190000000000055</v>
      </c>
      <c r="S194" s="4">
        <f t="shared" si="17"/>
        <v>0.11000000000000007</v>
      </c>
      <c r="T194" t="str">
        <f>_xlfn.XLOOKUP(C194,customers!$A$1:$A$1001,customers!$I$1:$I$1001,,0)</f>
        <v>Yes</v>
      </c>
    </row>
    <row r="195" spans="1:20"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v>
      </c>
      <c r="H195" s="2" t="str">
        <f>_xlfn.XLOOKUP(C195,customers!$A$1:$A$1001,customers!$G$1:$G$1001,,0)</f>
        <v>United States</v>
      </c>
      <c r="I195" t="str">
        <f>INDEX(products!$A$1:$I$49,MATCH('Conditional Fomating'!$D195,products!$A$1:$A$49,0),MATCH('Conditional Fomating'!I$1,products!$A$1:$D$1,0))</f>
        <v>Exc</v>
      </c>
      <c r="J195" t="str">
        <f t="shared" ref="J195:J258" si="18">IF(I195="Rob","Robusta",IF(I195="Exc","Excelsa",IF(I195="Ara","Arabica",IF(I195="Lib","Liberica",""))))</f>
        <v>Excelsa</v>
      </c>
      <c r="K195" t="str">
        <f>INDEX(products!$A$1:$I$49,MATCH('Conditional Fomating'!$D195,products!$A$1:$A$49,0),MATCH('Conditional Fomating'!K$1,products!$A$1:$D$1,0))</f>
        <v>L</v>
      </c>
      <c r="L195" t="str">
        <f t="shared" ref="L195:L258" si="19">IF(K195="M","Medium",IF(K195="L","Light",IF(K195="D","Dark","")))</f>
        <v>Light</v>
      </c>
      <c r="M195">
        <f>INDEX(products!$A$1:$I$49,MATCH('Conditional Fomating'!$D195,products!$A$1:$A$49,0),MATCH('Conditional Fomating'!M$1,products!$A$1:$D$1,0))</f>
        <v>1</v>
      </c>
      <c r="N195">
        <f>_xlfn.XLOOKUP(D195,products!$A$2:$A$49,products!$E$2:$E$49)</f>
        <v>14.85</v>
      </c>
      <c r="O195">
        <f>_xlfn.XLOOKUP(D195,products!$A$2:$A$49,products!$H$2:$H$49)</f>
        <v>13.2165</v>
      </c>
      <c r="P195">
        <f t="shared" ref="P195:P258" si="20">N195*E195</f>
        <v>44.55</v>
      </c>
      <c r="Q195">
        <f t="shared" ref="Q195:Q258" si="21">O195*E195</f>
        <v>39.649500000000003</v>
      </c>
      <c r="R195">
        <f t="shared" ref="R195:R258" si="22">P195-Q195</f>
        <v>4.9004999999999939</v>
      </c>
      <c r="S195" s="4">
        <f t="shared" ref="S195:S258" si="23">R195/P195</f>
        <v>0.10999999999999988</v>
      </c>
      <c r="T195" t="str">
        <f>_xlfn.XLOOKUP(C195,customers!$A$1:$A$1001,customers!$I$1:$I$1001,,0)</f>
        <v>No</v>
      </c>
    </row>
    <row r="196" spans="1:20"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INDEX(products!$A$1:$I$49,MATCH('Conditional Fomating'!$D196,products!$A$1:$A$49,0),MATCH('Conditional Fomating'!I$1,products!$A$1:$D$1,0))</f>
        <v>Exc</v>
      </c>
      <c r="J196" t="str">
        <f t="shared" si="18"/>
        <v>Excelsa</v>
      </c>
      <c r="K196" t="str">
        <f>INDEX(products!$A$1:$I$49,MATCH('Conditional Fomating'!$D196,products!$A$1:$A$49,0),MATCH('Conditional Fomating'!K$1,products!$A$1:$D$1,0))</f>
        <v>D</v>
      </c>
      <c r="L196" t="str">
        <f t="shared" si="19"/>
        <v>Dark</v>
      </c>
      <c r="M196">
        <f>INDEX(products!$A$1:$I$49,MATCH('Conditional Fomating'!$D196,products!$A$1:$A$49,0),MATCH('Conditional Fomating'!M$1,products!$A$1:$D$1,0))</f>
        <v>0.5</v>
      </c>
      <c r="N196">
        <f>_xlfn.XLOOKUP(D196,products!$A$2:$A$49,products!$E$2:$E$49)</f>
        <v>7.29</v>
      </c>
      <c r="O196">
        <f>_xlfn.XLOOKUP(D196,products!$A$2:$A$49,products!$H$2:$H$49)</f>
        <v>6.4881000000000002</v>
      </c>
      <c r="P196">
        <f t="shared" si="20"/>
        <v>36.450000000000003</v>
      </c>
      <c r="Q196">
        <f t="shared" si="21"/>
        <v>32.4405</v>
      </c>
      <c r="R196">
        <f t="shared" si="22"/>
        <v>4.0095000000000027</v>
      </c>
      <c r="S196" s="4">
        <f t="shared" si="23"/>
        <v>0.11000000000000007</v>
      </c>
      <c r="T196" t="str">
        <f>_xlfn.XLOOKUP(C196,customers!$A$1:$A$1001,customers!$I$1:$I$1001,,0)</f>
        <v>No</v>
      </c>
    </row>
    <row r="197" spans="1:20"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INDEX(products!$A$1:$I$49,MATCH('Conditional Fomating'!$D197,products!$A$1:$A$49,0),MATCH('Conditional Fomating'!I$1,products!$A$1:$D$1,0))</f>
        <v>Ara</v>
      </c>
      <c r="J197" t="str">
        <f t="shared" si="18"/>
        <v>Arabica</v>
      </c>
      <c r="K197" t="str">
        <f>INDEX(products!$A$1:$I$49,MATCH('Conditional Fomating'!$D197,products!$A$1:$A$49,0),MATCH('Conditional Fomating'!K$1,products!$A$1:$D$1,0))</f>
        <v>L</v>
      </c>
      <c r="L197" t="str">
        <f t="shared" si="19"/>
        <v>Light</v>
      </c>
      <c r="M197">
        <f>INDEX(products!$A$1:$I$49,MATCH('Conditional Fomating'!$D197,products!$A$1:$A$49,0),MATCH('Conditional Fomating'!M$1,products!$A$1:$D$1,0))</f>
        <v>1</v>
      </c>
      <c r="N197">
        <f>_xlfn.XLOOKUP(D197,products!$A$2:$A$49,products!$E$2:$E$49)</f>
        <v>12.95</v>
      </c>
      <c r="O197">
        <f>_xlfn.XLOOKUP(D197,products!$A$2:$A$49,products!$H$2:$H$49)</f>
        <v>11.7845</v>
      </c>
      <c r="P197">
        <f t="shared" si="20"/>
        <v>38.849999999999994</v>
      </c>
      <c r="Q197">
        <f t="shared" si="21"/>
        <v>35.353499999999997</v>
      </c>
      <c r="R197">
        <f t="shared" si="22"/>
        <v>3.4964999999999975</v>
      </c>
      <c r="S197" s="4">
        <f t="shared" si="23"/>
        <v>8.9999999999999955E-2</v>
      </c>
      <c r="T197" t="str">
        <f>_xlfn.XLOOKUP(C197,customers!$A$1:$A$1001,customers!$I$1:$I$1001,,0)</f>
        <v>No</v>
      </c>
    </row>
    <row r="198" spans="1:20"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INDEX(products!$A$1:$I$49,MATCH('Conditional Fomating'!$D198,products!$A$1:$A$49,0),MATCH('Conditional Fomating'!I$1,products!$A$1:$D$1,0))</f>
        <v>Exc</v>
      </c>
      <c r="J198" t="str">
        <f t="shared" si="18"/>
        <v>Excelsa</v>
      </c>
      <c r="K198" t="str">
        <f>INDEX(products!$A$1:$I$49,MATCH('Conditional Fomating'!$D198,products!$A$1:$A$49,0),MATCH('Conditional Fomating'!K$1,products!$A$1:$D$1,0))</f>
        <v>L</v>
      </c>
      <c r="L198" t="str">
        <f t="shared" si="19"/>
        <v>Light</v>
      </c>
      <c r="M198">
        <f>INDEX(products!$A$1:$I$49,MATCH('Conditional Fomating'!$D198,products!$A$1:$A$49,0),MATCH('Conditional Fomating'!M$1,products!$A$1:$D$1,0))</f>
        <v>0.5</v>
      </c>
      <c r="N198">
        <f>_xlfn.XLOOKUP(D198,products!$A$2:$A$49,products!$E$2:$E$49)</f>
        <v>8.91</v>
      </c>
      <c r="O198">
        <f>_xlfn.XLOOKUP(D198,products!$A$2:$A$49,products!$H$2:$H$49)</f>
        <v>7.9298999999999999</v>
      </c>
      <c r="P198">
        <f t="shared" si="20"/>
        <v>53.46</v>
      </c>
      <c r="Q198">
        <f t="shared" si="21"/>
        <v>47.5794</v>
      </c>
      <c r="R198">
        <f t="shared" si="22"/>
        <v>5.8806000000000012</v>
      </c>
      <c r="S198" s="4">
        <f t="shared" si="23"/>
        <v>0.11000000000000001</v>
      </c>
      <c r="T198" t="str">
        <f>_xlfn.XLOOKUP(C198,customers!$A$1:$A$1001,customers!$I$1:$I$1001,,0)</f>
        <v>No</v>
      </c>
    </row>
    <row r="199" spans="1:20"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INDEX(products!$A$1:$I$49,MATCH('Conditional Fomating'!$D199,products!$A$1:$A$49,0),MATCH('Conditional Fomating'!I$1,products!$A$1:$D$1,0))</f>
        <v>Lib</v>
      </c>
      <c r="J199" t="str">
        <f t="shared" si="18"/>
        <v>Liberica</v>
      </c>
      <c r="K199" t="str">
        <f>INDEX(products!$A$1:$I$49,MATCH('Conditional Fomating'!$D199,products!$A$1:$A$49,0),MATCH('Conditional Fomating'!K$1,products!$A$1:$D$1,0))</f>
        <v>D</v>
      </c>
      <c r="L199" t="str">
        <f t="shared" si="19"/>
        <v>Dark</v>
      </c>
      <c r="M199">
        <f>INDEX(products!$A$1:$I$49,MATCH('Conditional Fomating'!$D199,products!$A$1:$A$49,0),MATCH('Conditional Fomating'!M$1,products!$A$1:$D$1,0))</f>
        <v>2.5</v>
      </c>
      <c r="N199">
        <f>_xlfn.XLOOKUP(D199,products!$A$2:$A$49,products!$E$2:$E$49)</f>
        <v>29.784999999999997</v>
      </c>
      <c r="O199">
        <f>_xlfn.XLOOKUP(D199,products!$A$2:$A$49,products!$H$2:$H$49)</f>
        <v>25.912949999999995</v>
      </c>
      <c r="P199">
        <f t="shared" si="20"/>
        <v>59.569999999999993</v>
      </c>
      <c r="Q199">
        <f t="shared" si="21"/>
        <v>51.82589999999999</v>
      </c>
      <c r="R199">
        <f t="shared" si="22"/>
        <v>7.7441000000000031</v>
      </c>
      <c r="S199" s="4">
        <f t="shared" si="23"/>
        <v>0.13000000000000006</v>
      </c>
      <c r="T199" t="str">
        <f>_xlfn.XLOOKUP(C199,customers!$A$1:$A$1001,customers!$I$1:$I$1001,,0)</f>
        <v>No</v>
      </c>
    </row>
    <row r="200" spans="1:20"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INDEX(products!$A$1:$I$49,MATCH('Conditional Fomating'!$D200,products!$A$1:$A$49,0),MATCH('Conditional Fomating'!I$1,products!$A$1:$D$1,0))</f>
        <v>Lib</v>
      </c>
      <c r="J200" t="str">
        <f t="shared" si="18"/>
        <v>Liberica</v>
      </c>
      <c r="K200" t="str">
        <f>INDEX(products!$A$1:$I$49,MATCH('Conditional Fomating'!$D200,products!$A$1:$A$49,0),MATCH('Conditional Fomating'!K$1,products!$A$1:$D$1,0))</f>
        <v>D</v>
      </c>
      <c r="L200" t="str">
        <f t="shared" si="19"/>
        <v>Dark</v>
      </c>
      <c r="M200">
        <f>INDEX(products!$A$1:$I$49,MATCH('Conditional Fomating'!$D200,products!$A$1:$A$49,0),MATCH('Conditional Fomating'!M$1,products!$A$1:$D$1,0))</f>
        <v>2.5</v>
      </c>
      <c r="N200">
        <f>_xlfn.XLOOKUP(D200,products!$A$2:$A$49,products!$E$2:$E$49)</f>
        <v>29.784999999999997</v>
      </c>
      <c r="O200">
        <f>_xlfn.XLOOKUP(D200,products!$A$2:$A$49,products!$H$2:$H$49)</f>
        <v>25.912949999999995</v>
      </c>
      <c r="P200">
        <f t="shared" si="20"/>
        <v>89.35499999999999</v>
      </c>
      <c r="Q200">
        <f t="shared" si="21"/>
        <v>77.738849999999985</v>
      </c>
      <c r="R200">
        <f t="shared" si="22"/>
        <v>11.616150000000005</v>
      </c>
      <c r="S200" s="4">
        <f t="shared" si="23"/>
        <v>0.13000000000000006</v>
      </c>
      <c r="T200" t="str">
        <f>_xlfn.XLOOKUP(C200,customers!$A$1:$A$1001,customers!$I$1:$I$1001,,0)</f>
        <v>No</v>
      </c>
    </row>
    <row r="201" spans="1:20"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INDEX(products!$A$1:$I$49,MATCH('Conditional Fomating'!$D201,products!$A$1:$A$49,0),MATCH('Conditional Fomating'!I$1,products!$A$1:$D$1,0))</f>
        <v>Lib</v>
      </c>
      <c r="J201" t="str">
        <f t="shared" si="18"/>
        <v>Liberica</v>
      </c>
      <c r="K201" t="str">
        <f>INDEX(products!$A$1:$I$49,MATCH('Conditional Fomating'!$D201,products!$A$1:$A$49,0),MATCH('Conditional Fomating'!K$1,products!$A$1:$D$1,0))</f>
        <v>L</v>
      </c>
      <c r="L201" t="str">
        <f t="shared" si="19"/>
        <v>Light</v>
      </c>
      <c r="M201">
        <f>INDEX(products!$A$1:$I$49,MATCH('Conditional Fomating'!$D201,products!$A$1:$A$49,0),MATCH('Conditional Fomating'!M$1,products!$A$1:$D$1,0))</f>
        <v>0.5</v>
      </c>
      <c r="N201">
        <f>_xlfn.XLOOKUP(D201,products!$A$2:$A$49,products!$E$2:$E$49)</f>
        <v>9.51</v>
      </c>
      <c r="O201">
        <f>_xlfn.XLOOKUP(D201,products!$A$2:$A$49,products!$H$2:$H$49)</f>
        <v>8.2736999999999998</v>
      </c>
      <c r="P201">
        <f t="shared" si="20"/>
        <v>38.04</v>
      </c>
      <c r="Q201">
        <f t="shared" si="21"/>
        <v>33.094799999999999</v>
      </c>
      <c r="R201">
        <f t="shared" si="22"/>
        <v>4.9451999999999998</v>
      </c>
      <c r="S201" s="4">
        <f t="shared" si="23"/>
        <v>0.13</v>
      </c>
      <c r="T201" t="str">
        <f>_xlfn.XLOOKUP(C201,customers!$A$1:$A$1001,customers!$I$1:$I$1001,,0)</f>
        <v>No</v>
      </c>
    </row>
    <row r="202" spans="1:20"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INDEX(products!$A$1:$I$49,MATCH('Conditional Fomating'!$D202,products!$A$1:$A$49,0),MATCH('Conditional Fomating'!I$1,products!$A$1:$D$1,0))</f>
        <v>Exc</v>
      </c>
      <c r="J202" t="str">
        <f t="shared" si="18"/>
        <v>Excelsa</v>
      </c>
      <c r="K202" t="str">
        <f>INDEX(products!$A$1:$I$49,MATCH('Conditional Fomating'!$D202,products!$A$1:$A$49,0),MATCH('Conditional Fomating'!K$1,products!$A$1:$D$1,0))</f>
        <v>M</v>
      </c>
      <c r="L202" t="str">
        <f t="shared" si="19"/>
        <v>Medium</v>
      </c>
      <c r="M202">
        <f>INDEX(products!$A$1:$I$49,MATCH('Conditional Fomating'!$D202,products!$A$1:$A$49,0),MATCH('Conditional Fomating'!M$1,products!$A$1:$D$1,0))</f>
        <v>1</v>
      </c>
      <c r="N202">
        <f>_xlfn.XLOOKUP(D202,products!$A$2:$A$49,products!$E$2:$E$49)</f>
        <v>13.75</v>
      </c>
      <c r="O202">
        <f>_xlfn.XLOOKUP(D202,products!$A$2:$A$49,products!$H$2:$H$49)</f>
        <v>12.237500000000001</v>
      </c>
      <c r="P202">
        <f t="shared" si="20"/>
        <v>41.25</v>
      </c>
      <c r="Q202">
        <f t="shared" si="21"/>
        <v>36.712500000000006</v>
      </c>
      <c r="R202">
        <f t="shared" si="22"/>
        <v>4.5374999999999943</v>
      </c>
      <c r="S202" s="4">
        <f t="shared" si="23"/>
        <v>0.10999999999999986</v>
      </c>
      <c r="T202" t="str">
        <f>_xlfn.XLOOKUP(C202,customers!$A$1:$A$1001,customers!$I$1:$I$1001,,0)</f>
        <v>No</v>
      </c>
    </row>
    <row r="203" spans="1:20"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v>
      </c>
      <c r="H203" s="2" t="str">
        <f>_xlfn.XLOOKUP(C203,customers!$A$1:$A$1001,customers!$G$1:$G$1001,,0)</f>
        <v>United States</v>
      </c>
      <c r="I203" t="str">
        <f>INDEX(products!$A$1:$I$49,MATCH('Conditional Fomating'!$D203,products!$A$1:$A$49,0),MATCH('Conditional Fomating'!I$1,products!$A$1:$D$1,0))</f>
        <v>Lib</v>
      </c>
      <c r="J203" t="str">
        <f t="shared" si="18"/>
        <v>Liberica</v>
      </c>
      <c r="K203" t="str">
        <f>INDEX(products!$A$1:$I$49,MATCH('Conditional Fomating'!$D203,products!$A$1:$A$49,0),MATCH('Conditional Fomating'!K$1,products!$A$1:$D$1,0))</f>
        <v>L</v>
      </c>
      <c r="L203" t="str">
        <f t="shared" si="19"/>
        <v>Light</v>
      </c>
      <c r="M203">
        <f>INDEX(products!$A$1:$I$49,MATCH('Conditional Fomating'!$D203,products!$A$1:$A$49,0),MATCH('Conditional Fomating'!M$1,products!$A$1:$D$1,0))</f>
        <v>0.5</v>
      </c>
      <c r="N203">
        <f>_xlfn.XLOOKUP(D203,products!$A$2:$A$49,products!$E$2:$E$49)</f>
        <v>9.51</v>
      </c>
      <c r="O203">
        <f>_xlfn.XLOOKUP(D203,products!$A$2:$A$49,products!$H$2:$H$49)</f>
        <v>8.2736999999999998</v>
      </c>
      <c r="P203">
        <f t="shared" si="20"/>
        <v>57.06</v>
      </c>
      <c r="Q203">
        <f t="shared" si="21"/>
        <v>49.642200000000003</v>
      </c>
      <c r="R203">
        <f t="shared" si="22"/>
        <v>7.4177999999999997</v>
      </c>
      <c r="S203" s="4">
        <f t="shared" si="23"/>
        <v>0.12999999999999998</v>
      </c>
      <c r="T203" t="str">
        <f>_xlfn.XLOOKUP(C203,customers!$A$1:$A$1001,customers!$I$1:$I$1001,,0)</f>
        <v>No</v>
      </c>
    </row>
    <row r="204" spans="1:20"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INDEX(products!$A$1:$I$49,MATCH('Conditional Fomating'!$D204,products!$A$1:$A$49,0),MATCH('Conditional Fomating'!I$1,products!$A$1:$D$1,0))</f>
        <v>Lib</v>
      </c>
      <c r="J204" t="str">
        <f t="shared" si="18"/>
        <v>Liberica</v>
      </c>
      <c r="K204" t="str">
        <f>INDEX(products!$A$1:$I$49,MATCH('Conditional Fomating'!$D204,products!$A$1:$A$49,0),MATCH('Conditional Fomating'!K$1,products!$A$1:$D$1,0))</f>
        <v>D</v>
      </c>
      <c r="L204" t="str">
        <f t="shared" si="19"/>
        <v>Dark</v>
      </c>
      <c r="M204">
        <f>INDEX(products!$A$1:$I$49,MATCH('Conditional Fomating'!$D204,products!$A$1:$A$49,0),MATCH('Conditional Fomating'!M$1,products!$A$1:$D$1,0))</f>
        <v>2.5</v>
      </c>
      <c r="N204">
        <f>_xlfn.XLOOKUP(D204,products!$A$2:$A$49,products!$E$2:$E$49)</f>
        <v>29.784999999999997</v>
      </c>
      <c r="O204">
        <f>_xlfn.XLOOKUP(D204,products!$A$2:$A$49,products!$H$2:$H$49)</f>
        <v>25.912949999999995</v>
      </c>
      <c r="P204">
        <f t="shared" si="20"/>
        <v>178.70999999999998</v>
      </c>
      <c r="Q204">
        <f t="shared" si="21"/>
        <v>155.47769999999997</v>
      </c>
      <c r="R204">
        <f t="shared" si="22"/>
        <v>23.232300000000009</v>
      </c>
      <c r="S204" s="4">
        <f t="shared" si="23"/>
        <v>0.13000000000000006</v>
      </c>
      <c r="T204" t="str">
        <f>_xlfn.XLOOKUP(C204,customers!$A$1:$A$1001,customers!$I$1:$I$1001,,0)</f>
        <v>Yes</v>
      </c>
    </row>
    <row r="205" spans="1:20"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INDEX(products!$A$1:$I$49,MATCH('Conditional Fomating'!$D205,products!$A$1:$A$49,0),MATCH('Conditional Fomating'!I$1,products!$A$1:$D$1,0))</f>
        <v>Lib</v>
      </c>
      <c r="J205" t="str">
        <f t="shared" si="18"/>
        <v>Liberica</v>
      </c>
      <c r="K205" t="str">
        <f>INDEX(products!$A$1:$I$49,MATCH('Conditional Fomating'!$D205,products!$A$1:$A$49,0),MATCH('Conditional Fomating'!K$1,products!$A$1:$D$1,0))</f>
        <v>L</v>
      </c>
      <c r="L205" t="str">
        <f t="shared" si="19"/>
        <v>Light</v>
      </c>
      <c r="M205">
        <f>INDEX(products!$A$1:$I$49,MATCH('Conditional Fomating'!$D205,products!$A$1:$A$49,0),MATCH('Conditional Fomating'!M$1,products!$A$1:$D$1,0))</f>
        <v>0.2</v>
      </c>
      <c r="N205">
        <f>_xlfn.XLOOKUP(D205,products!$A$2:$A$49,products!$E$2:$E$49)</f>
        <v>4.7549999999999999</v>
      </c>
      <c r="O205">
        <f>_xlfn.XLOOKUP(D205,products!$A$2:$A$49,products!$H$2:$H$49)</f>
        <v>4.1368499999999999</v>
      </c>
      <c r="P205">
        <f t="shared" si="20"/>
        <v>4.7549999999999999</v>
      </c>
      <c r="Q205">
        <f t="shared" si="21"/>
        <v>4.1368499999999999</v>
      </c>
      <c r="R205">
        <f t="shared" si="22"/>
        <v>0.61814999999999998</v>
      </c>
      <c r="S205" s="4">
        <f t="shared" si="23"/>
        <v>0.13</v>
      </c>
      <c r="T205" t="str">
        <f>_xlfn.XLOOKUP(C205,customers!$A$1:$A$1001,customers!$I$1:$I$1001,,0)</f>
        <v>No</v>
      </c>
    </row>
    <row r="206" spans="1:20"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v>
      </c>
      <c r="H206" s="2" t="str">
        <f>_xlfn.XLOOKUP(C206,customers!$A$1:$A$1001,customers!$G$1:$G$1001,,0)</f>
        <v>United States</v>
      </c>
      <c r="I206" t="str">
        <f>INDEX(products!$A$1:$I$49,MATCH('Conditional Fomating'!$D206,products!$A$1:$A$49,0),MATCH('Conditional Fomating'!I$1,products!$A$1:$D$1,0))</f>
        <v>Exc</v>
      </c>
      <c r="J206" t="str">
        <f t="shared" si="18"/>
        <v>Excelsa</v>
      </c>
      <c r="K206" t="str">
        <f>INDEX(products!$A$1:$I$49,MATCH('Conditional Fomating'!$D206,products!$A$1:$A$49,0),MATCH('Conditional Fomating'!K$1,products!$A$1:$D$1,0))</f>
        <v>M</v>
      </c>
      <c r="L206" t="str">
        <f t="shared" si="19"/>
        <v>Medium</v>
      </c>
      <c r="M206">
        <f>INDEX(products!$A$1:$I$49,MATCH('Conditional Fomating'!$D206,products!$A$1:$A$49,0),MATCH('Conditional Fomating'!M$1,products!$A$1:$D$1,0))</f>
        <v>1</v>
      </c>
      <c r="N206">
        <f>_xlfn.XLOOKUP(D206,products!$A$2:$A$49,products!$E$2:$E$49)</f>
        <v>13.75</v>
      </c>
      <c r="O206">
        <f>_xlfn.XLOOKUP(D206,products!$A$2:$A$49,products!$H$2:$H$49)</f>
        <v>12.237500000000001</v>
      </c>
      <c r="P206">
        <f t="shared" si="20"/>
        <v>82.5</v>
      </c>
      <c r="Q206">
        <f t="shared" si="21"/>
        <v>73.425000000000011</v>
      </c>
      <c r="R206">
        <f t="shared" si="22"/>
        <v>9.0749999999999886</v>
      </c>
      <c r="S206" s="4">
        <f t="shared" si="23"/>
        <v>0.10999999999999986</v>
      </c>
      <c r="T206" t="str">
        <f>_xlfn.XLOOKUP(C206,customers!$A$1:$A$1001,customers!$I$1:$I$1001,,0)</f>
        <v>No</v>
      </c>
    </row>
    <row r="207" spans="1:20"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v>
      </c>
      <c r="H207" s="2" t="str">
        <f>_xlfn.XLOOKUP(C207,customers!$A$1:$A$1001,customers!$G$1:$G$1001,,0)</f>
        <v>United States</v>
      </c>
      <c r="I207" t="str">
        <f>INDEX(products!$A$1:$I$49,MATCH('Conditional Fomating'!$D207,products!$A$1:$A$49,0),MATCH('Conditional Fomating'!I$1,products!$A$1:$D$1,0))</f>
        <v>Rob</v>
      </c>
      <c r="J207" t="str">
        <f t="shared" si="18"/>
        <v>Robusta</v>
      </c>
      <c r="K207" t="str">
        <f>INDEX(products!$A$1:$I$49,MATCH('Conditional Fomating'!$D207,products!$A$1:$A$49,0),MATCH('Conditional Fomating'!K$1,products!$A$1:$D$1,0))</f>
        <v>D</v>
      </c>
      <c r="L207" t="str">
        <f t="shared" si="19"/>
        <v>Dark</v>
      </c>
      <c r="M207">
        <f>INDEX(products!$A$1:$I$49,MATCH('Conditional Fomating'!$D207,products!$A$1:$A$49,0),MATCH('Conditional Fomating'!M$1,products!$A$1:$D$1,0))</f>
        <v>0.2</v>
      </c>
      <c r="N207">
        <f>_xlfn.XLOOKUP(D207,products!$A$2:$A$49,products!$E$2:$E$49)</f>
        <v>2.6849999999999996</v>
      </c>
      <c r="O207">
        <f>_xlfn.XLOOKUP(D207,products!$A$2:$A$49,products!$H$2:$H$49)</f>
        <v>2.5238999999999998</v>
      </c>
      <c r="P207">
        <f t="shared" si="20"/>
        <v>8.0549999999999997</v>
      </c>
      <c r="Q207">
        <f t="shared" si="21"/>
        <v>7.5716999999999999</v>
      </c>
      <c r="R207">
        <f t="shared" si="22"/>
        <v>0.48329999999999984</v>
      </c>
      <c r="S207" s="4">
        <f t="shared" si="23"/>
        <v>5.9999999999999984E-2</v>
      </c>
      <c r="T207" t="str">
        <f>_xlfn.XLOOKUP(C207,customers!$A$1:$A$1001,customers!$I$1:$I$1001,,0)</f>
        <v>Yes</v>
      </c>
    </row>
    <row r="208" spans="1:20"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INDEX(products!$A$1:$I$49,MATCH('Conditional Fomating'!$D208,products!$A$1:$A$49,0),MATCH('Conditional Fomating'!I$1,products!$A$1:$D$1,0))</f>
        <v>Ara</v>
      </c>
      <c r="J208" t="str">
        <f t="shared" si="18"/>
        <v>Arabica</v>
      </c>
      <c r="K208" t="str">
        <f>INDEX(products!$A$1:$I$49,MATCH('Conditional Fomating'!$D208,products!$A$1:$A$49,0),MATCH('Conditional Fomating'!K$1,products!$A$1:$D$1,0))</f>
        <v>M</v>
      </c>
      <c r="L208" t="str">
        <f t="shared" si="19"/>
        <v>Medium</v>
      </c>
      <c r="M208">
        <f>INDEX(products!$A$1:$I$49,MATCH('Conditional Fomating'!$D208,products!$A$1:$A$49,0),MATCH('Conditional Fomating'!M$1,products!$A$1:$D$1,0))</f>
        <v>1</v>
      </c>
      <c r="N208">
        <f>_xlfn.XLOOKUP(D208,products!$A$2:$A$49,products!$E$2:$E$49)</f>
        <v>11.25</v>
      </c>
      <c r="O208">
        <f>_xlfn.XLOOKUP(D208,products!$A$2:$A$49,products!$H$2:$H$49)</f>
        <v>10.237500000000001</v>
      </c>
      <c r="P208">
        <f t="shared" si="20"/>
        <v>22.5</v>
      </c>
      <c r="Q208">
        <f t="shared" si="21"/>
        <v>20.475000000000001</v>
      </c>
      <c r="R208">
        <f t="shared" si="22"/>
        <v>2.0249999999999986</v>
      </c>
      <c r="S208" s="4">
        <f t="shared" si="23"/>
        <v>8.9999999999999941E-2</v>
      </c>
      <c r="T208" t="str">
        <f>_xlfn.XLOOKUP(C208,customers!$A$1:$A$1001,customers!$I$1:$I$1001,,0)</f>
        <v>No</v>
      </c>
    </row>
    <row r="209" spans="1:20"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INDEX(products!$A$1:$I$49,MATCH('Conditional Fomating'!$D209,products!$A$1:$A$49,0),MATCH('Conditional Fomating'!I$1,products!$A$1:$D$1,0))</f>
        <v>Ara</v>
      </c>
      <c r="J209" t="str">
        <f t="shared" si="18"/>
        <v>Arabica</v>
      </c>
      <c r="K209" t="str">
        <f>INDEX(products!$A$1:$I$49,MATCH('Conditional Fomating'!$D209,products!$A$1:$A$49,0),MATCH('Conditional Fomating'!K$1,products!$A$1:$D$1,0))</f>
        <v>M</v>
      </c>
      <c r="L209" t="str">
        <f t="shared" si="19"/>
        <v>Medium</v>
      </c>
      <c r="M209">
        <f>INDEX(products!$A$1:$I$49,MATCH('Conditional Fomating'!$D209,products!$A$1:$A$49,0),MATCH('Conditional Fomating'!M$1,products!$A$1:$D$1,0))</f>
        <v>0.5</v>
      </c>
      <c r="N209">
        <f>_xlfn.XLOOKUP(D209,products!$A$2:$A$49,products!$E$2:$E$49)</f>
        <v>6.75</v>
      </c>
      <c r="O209">
        <f>_xlfn.XLOOKUP(D209,products!$A$2:$A$49,products!$H$2:$H$49)</f>
        <v>6.1425000000000001</v>
      </c>
      <c r="P209">
        <f t="shared" si="20"/>
        <v>40.5</v>
      </c>
      <c r="Q209">
        <f t="shared" si="21"/>
        <v>36.855000000000004</v>
      </c>
      <c r="R209">
        <f t="shared" si="22"/>
        <v>3.644999999999996</v>
      </c>
      <c r="S209" s="4">
        <f t="shared" si="23"/>
        <v>8.99999999999999E-2</v>
      </c>
      <c r="T209" t="str">
        <f>_xlfn.XLOOKUP(C209,customers!$A$1:$A$1001,customers!$I$1:$I$1001,,0)</f>
        <v>Yes</v>
      </c>
    </row>
    <row r="210" spans="1:20"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INDEX(products!$A$1:$I$49,MATCH('Conditional Fomating'!$D210,products!$A$1:$A$49,0),MATCH('Conditional Fomating'!I$1,products!$A$1:$D$1,0))</f>
        <v>Exc</v>
      </c>
      <c r="J210" t="str">
        <f t="shared" si="18"/>
        <v>Excelsa</v>
      </c>
      <c r="K210" t="str">
        <f>INDEX(products!$A$1:$I$49,MATCH('Conditional Fomating'!$D210,products!$A$1:$A$49,0),MATCH('Conditional Fomating'!K$1,products!$A$1:$D$1,0))</f>
        <v>D</v>
      </c>
      <c r="L210" t="str">
        <f t="shared" si="19"/>
        <v>Dark</v>
      </c>
      <c r="M210">
        <f>INDEX(products!$A$1:$I$49,MATCH('Conditional Fomating'!$D210,products!$A$1:$A$49,0),MATCH('Conditional Fomating'!M$1,products!$A$1:$D$1,0))</f>
        <v>0.5</v>
      </c>
      <c r="N210">
        <f>_xlfn.XLOOKUP(D210,products!$A$2:$A$49,products!$E$2:$E$49)</f>
        <v>7.29</v>
      </c>
      <c r="O210">
        <f>_xlfn.XLOOKUP(D210,products!$A$2:$A$49,products!$H$2:$H$49)</f>
        <v>6.4881000000000002</v>
      </c>
      <c r="P210">
        <f t="shared" si="20"/>
        <v>29.16</v>
      </c>
      <c r="Q210">
        <f t="shared" si="21"/>
        <v>25.952400000000001</v>
      </c>
      <c r="R210">
        <f t="shared" si="22"/>
        <v>3.2075999999999993</v>
      </c>
      <c r="S210" s="4">
        <f t="shared" si="23"/>
        <v>0.10999999999999997</v>
      </c>
      <c r="T210" t="str">
        <f>_xlfn.XLOOKUP(C210,customers!$A$1:$A$1001,customers!$I$1:$I$1001,,0)</f>
        <v>Yes</v>
      </c>
    </row>
    <row r="211" spans="1:20"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INDEX(products!$A$1:$I$49,MATCH('Conditional Fomating'!$D211,products!$A$1:$A$49,0),MATCH('Conditional Fomating'!I$1,products!$A$1:$D$1,0))</f>
        <v>Ara</v>
      </c>
      <c r="J211" t="str">
        <f t="shared" si="18"/>
        <v>Arabica</v>
      </c>
      <c r="K211" t="str">
        <f>INDEX(products!$A$1:$I$49,MATCH('Conditional Fomating'!$D211,products!$A$1:$A$49,0),MATCH('Conditional Fomating'!K$1,products!$A$1:$D$1,0))</f>
        <v>M</v>
      </c>
      <c r="L211" t="str">
        <f t="shared" si="19"/>
        <v>Medium</v>
      </c>
      <c r="M211">
        <f>INDEX(products!$A$1:$I$49,MATCH('Conditional Fomating'!$D211,products!$A$1:$A$49,0),MATCH('Conditional Fomating'!M$1,products!$A$1:$D$1,0))</f>
        <v>0.5</v>
      </c>
      <c r="N211">
        <f>_xlfn.XLOOKUP(D211,products!$A$2:$A$49,products!$E$2:$E$49)</f>
        <v>6.75</v>
      </c>
      <c r="O211">
        <f>_xlfn.XLOOKUP(D211,products!$A$2:$A$49,products!$H$2:$H$49)</f>
        <v>6.1425000000000001</v>
      </c>
      <c r="P211">
        <f t="shared" si="20"/>
        <v>6.75</v>
      </c>
      <c r="Q211">
        <f t="shared" si="21"/>
        <v>6.1425000000000001</v>
      </c>
      <c r="R211">
        <f t="shared" si="22"/>
        <v>0.60749999999999993</v>
      </c>
      <c r="S211" s="4">
        <f t="shared" si="23"/>
        <v>8.9999999999999983E-2</v>
      </c>
      <c r="T211" t="str">
        <f>_xlfn.XLOOKUP(C211,customers!$A$1:$A$1001,customers!$I$1:$I$1001,,0)</f>
        <v>No</v>
      </c>
    </row>
    <row r="212" spans="1:20"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INDEX(products!$A$1:$I$49,MATCH('Conditional Fomating'!$D212,products!$A$1:$A$49,0),MATCH('Conditional Fomating'!I$1,products!$A$1:$D$1,0))</f>
        <v>Lib</v>
      </c>
      <c r="J212" t="str">
        <f t="shared" si="18"/>
        <v>Liberica</v>
      </c>
      <c r="K212" t="str">
        <f>INDEX(products!$A$1:$I$49,MATCH('Conditional Fomating'!$D212,products!$A$1:$A$49,0),MATCH('Conditional Fomating'!K$1,products!$A$1:$D$1,0))</f>
        <v>D</v>
      </c>
      <c r="L212" t="str">
        <f t="shared" si="19"/>
        <v>Dark</v>
      </c>
      <c r="M212">
        <f>INDEX(products!$A$1:$I$49,MATCH('Conditional Fomating'!$D212,products!$A$1:$A$49,0),MATCH('Conditional Fomating'!M$1,products!$A$1:$D$1,0))</f>
        <v>1</v>
      </c>
      <c r="N212">
        <f>_xlfn.XLOOKUP(D212,products!$A$2:$A$49,products!$E$2:$E$49)</f>
        <v>12.95</v>
      </c>
      <c r="O212">
        <f>_xlfn.XLOOKUP(D212,products!$A$2:$A$49,products!$H$2:$H$49)</f>
        <v>11.266499999999999</v>
      </c>
      <c r="P212">
        <f t="shared" si="20"/>
        <v>51.8</v>
      </c>
      <c r="Q212">
        <f t="shared" si="21"/>
        <v>45.065999999999995</v>
      </c>
      <c r="R212">
        <f t="shared" si="22"/>
        <v>6.7340000000000018</v>
      </c>
      <c r="S212" s="4">
        <f t="shared" si="23"/>
        <v>0.13000000000000003</v>
      </c>
      <c r="T212" t="str">
        <f>_xlfn.XLOOKUP(C212,customers!$A$1:$A$1001,customers!$I$1:$I$1001,,0)</f>
        <v>Yes</v>
      </c>
    </row>
    <row r="213" spans="1:20"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INDEX(products!$A$1:$I$49,MATCH('Conditional Fomating'!$D213,products!$A$1:$A$49,0),MATCH('Conditional Fomating'!I$1,products!$A$1:$D$1,0))</f>
        <v>Exc</v>
      </c>
      <c r="J213" t="str">
        <f t="shared" si="18"/>
        <v>Excelsa</v>
      </c>
      <c r="K213" t="str">
        <f>INDEX(products!$A$1:$I$49,MATCH('Conditional Fomating'!$D213,products!$A$1:$A$49,0),MATCH('Conditional Fomating'!K$1,products!$A$1:$D$1,0))</f>
        <v>L</v>
      </c>
      <c r="L213" t="str">
        <f t="shared" si="19"/>
        <v>Light</v>
      </c>
      <c r="M213">
        <f>INDEX(products!$A$1:$I$49,MATCH('Conditional Fomating'!$D213,products!$A$1:$A$49,0),MATCH('Conditional Fomating'!M$1,products!$A$1:$D$1,0))</f>
        <v>0.5</v>
      </c>
      <c r="N213">
        <f>_xlfn.XLOOKUP(D213,products!$A$2:$A$49,products!$E$2:$E$49)</f>
        <v>8.91</v>
      </c>
      <c r="O213">
        <f>_xlfn.XLOOKUP(D213,products!$A$2:$A$49,products!$H$2:$H$49)</f>
        <v>7.9298999999999999</v>
      </c>
      <c r="P213">
        <f t="shared" si="20"/>
        <v>53.46</v>
      </c>
      <c r="Q213">
        <f t="shared" si="21"/>
        <v>47.5794</v>
      </c>
      <c r="R213">
        <f t="shared" si="22"/>
        <v>5.8806000000000012</v>
      </c>
      <c r="S213" s="4">
        <f t="shared" si="23"/>
        <v>0.11000000000000001</v>
      </c>
      <c r="T213" t="str">
        <f>_xlfn.XLOOKUP(C213,customers!$A$1:$A$1001,customers!$I$1:$I$1001,,0)</f>
        <v>No</v>
      </c>
    </row>
    <row r="214" spans="1:20"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INDEX(products!$A$1:$I$49,MATCH('Conditional Fomating'!$D214,products!$A$1:$A$49,0),MATCH('Conditional Fomating'!I$1,products!$A$1:$D$1,0))</f>
        <v>Exc</v>
      </c>
      <c r="J214" t="str">
        <f t="shared" si="18"/>
        <v>Excelsa</v>
      </c>
      <c r="K214" t="str">
        <f>INDEX(products!$A$1:$I$49,MATCH('Conditional Fomating'!$D214,products!$A$1:$A$49,0),MATCH('Conditional Fomating'!K$1,products!$A$1:$D$1,0))</f>
        <v>D</v>
      </c>
      <c r="L214" t="str">
        <f t="shared" si="19"/>
        <v>Dark</v>
      </c>
      <c r="M214">
        <f>INDEX(products!$A$1:$I$49,MATCH('Conditional Fomating'!$D214,products!$A$1:$A$49,0),MATCH('Conditional Fomating'!M$1,products!$A$1:$D$1,0))</f>
        <v>0.2</v>
      </c>
      <c r="N214">
        <f>_xlfn.XLOOKUP(D214,products!$A$2:$A$49,products!$E$2:$E$49)</f>
        <v>3.645</v>
      </c>
      <c r="O214">
        <f>_xlfn.XLOOKUP(D214,products!$A$2:$A$49,products!$H$2:$H$49)</f>
        <v>3.2440500000000001</v>
      </c>
      <c r="P214">
        <f t="shared" si="20"/>
        <v>14.58</v>
      </c>
      <c r="Q214">
        <f t="shared" si="21"/>
        <v>12.9762</v>
      </c>
      <c r="R214">
        <f t="shared" si="22"/>
        <v>1.6037999999999997</v>
      </c>
      <c r="S214" s="4">
        <f t="shared" si="23"/>
        <v>0.10999999999999997</v>
      </c>
      <c r="T214" t="str">
        <f>_xlfn.XLOOKUP(C214,customers!$A$1:$A$1001,customers!$I$1:$I$1001,,0)</f>
        <v>Yes</v>
      </c>
    </row>
    <row r="215" spans="1:20"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INDEX(products!$A$1:$I$49,MATCH('Conditional Fomating'!$D215,products!$A$1:$A$49,0),MATCH('Conditional Fomating'!I$1,products!$A$1:$D$1,0))</f>
        <v>Rob</v>
      </c>
      <c r="J215" t="str">
        <f t="shared" si="18"/>
        <v>Robusta</v>
      </c>
      <c r="K215" t="str">
        <f>INDEX(products!$A$1:$I$49,MATCH('Conditional Fomating'!$D215,products!$A$1:$A$49,0),MATCH('Conditional Fomating'!K$1,products!$A$1:$D$1,0))</f>
        <v>D</v>
      </c>
      <c r="L215" t="str">
        <f t="shared" si="19"/>
        <v>Dark</v>
      </c>
      <c r="M215">
        <f>INDEX(products!$A$1:$I$49,MATCH('Conditional Fomating'!$D215,products!$A$1:$A$49,0),MATCH('Conditional Fomating'!M$1,products!$A$1:$D$1,0))</f>
        <v>2.5</v>
      </c>
      <c r="N215">
        <f>_xlfn.XLOOKUP(D215,products!$A$2:$A$49,products!$E$2:$E$49)</f>
        <v>20.584999999999997</v>
      </c>
      <c r="O215">
        <f>_xlfn.XLOOKUP(D215,products!$A$2:$A$49,products!$H$2:$H$49)</f>
        <v>19.349899999999998</v>
      </c>
      <c r="P215">
        <f t="shared" si="20"/>
        <v>20.584999999999997</v>
      </c>
      <c r="Q215">
        <f t="shared" si="21"/>
        <v>19.349899999999998</v>
      </c>
      <c r="R215">
        <f t="shared" si="22"/>
        <v>1.2350999999999992</v>
      </c>
      <c r="S215" s="4">
        <f t="shared" si="23"/>
        <v>5.999999999999997E-2</v>
      </c>
      <c r="T215" t="str">
        <f>_xlfn.XLOOKUP(C215,customers!$A$1:$A$1001,customers!$I$1:$I$1001,,0)</f>
        <v>No</v>
      </c>
    </row>
    <row r="216" spans="1:20"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INDEX(products!$A$1:$I$49,MATCH('Conditional Fomating'!$D216,products!$A$1:$A$49,0),MATCH('Conditional Fomating'!I$1,products!$A$1:$D$1,0))</f>
        <v>Lib</v>
      </c>
      <c r="J216" t="str">
        <f t="shared" si="18"/>
        <v>Liberica</v>
      </c>
      <c r="K216" t="str">
        <f>INDEX(products!$A$1:$I$49,MATCH('Conditional Fomating'!$D216,products!$A$1:$A$49,0),MATCH('Conditional Fomating'!K$1,products!$A$1:$D$1,0))</f>
        <v>L</v>
      </c>
      <c r="L216" t="str">
        <f t="shared" si="19"/>
        <v>Light</v>
      </c>
      <c r="M216">
        <f>INDEX(products!$A$1:$I$49,MATCH('Conditional Fomating'!$D216,products!$A$1:$A$49,0),MATCH('Conditional Fomating'!M$1,products!$A$1:$D$1,0))</f>
        <v>1</v>
      </c>
      <c r="N216">
        <f>_xlfn.XLOOKUP(D216,products!$A$2:$A$49,products!$E$2:$E$49)</f>
        <v>15.85</v>
      </c>
      <c r="O216">
        <f>_xlfn.XLOOKUP(D216,products!$A$2:$A$49,products!$H$2:$H$49)</f>
        <v>13.7895</v>
      </c>
      <c r="P216">
        <f t="shared" si="20"/>
        <v>31.7</v>
      </c>
      <c r="Q216">
        <f t="shared" si="21"/>
        <v>27.579000000000001</v>
      </c>
      <c r="R216">
        <f t="shared" si="22"/>
        <v>4.1209999999999987</v>
      </c>
      <c r="S216" s="4">
        <f t="shared" si="23"/>
        <v>0.12999999999999995</v>
      </c>
      <c r="T216" t="str">
        <f>_xlfn.XLOOKUP(C216,customers!$A$1:$A$1001,customers!$I$1:$I$1001,,0)</f>
        <v>No</v>
      </c>
    </row>
    <row r="217" spans="1:20"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INDEX(products!$A$1:$I$49,MATCH('Conditional Fomating'!$D217,products!$A$1:$A$49,0),MATCH('Conditional Fomating'!I$1,products!$A$1:$D$1,0))</f>
        <v>Lib</v>
      </c>
      <c r="J217" t="str">
        <f t="shared" si="18"/>
        <v>Liberica</v>
      </c>
      <c r="K217" t="str">
        <f>INDEX(products!$A$1:$I$49,MATCH('Conditional Fomating'!$D217,products!$A$1:$A$49,0),MATCH('Conditional Fomating'!K$1,products!$A$1:$D$1,0))</f>
        <v>D</v>
      </c>
      <c r="L217" t="str">
        <f t="shared" si="19"/>
        <v>Dark</v>
      </c>
      <c r="M217">
        <f>INDEX(products!$A$1:$I$49,MATCH('Conditional Fomating'!$D217,products!$A$1:$A$49,0),MATCH('Conditional Fomating'!M$1,products!$A$1:$D$1,0))</f>
        <v>0.2</v>
      </c>
      <c r="N217">
        <f>_xlfn.XLOOKUP(D217,products!$A$2:$A$49,products!$E$2:$E$49)</f>
        <v>3.8849999999999998</v>
      </c>
      <c r="O217">
        <f>_xlfn.XLOOKUP(D217,products!$A$2:$A$49,products!$H$2:$H$49)</f>
        <v>3.37995</v>
      </c>
      <c r="P217">
        <f t="shared" si="20"/>
        <v>23.31</v>
      </c>
      <c r="Q217">
        <f t="shared" si="21"/>
        <v>20.279699999999998</v>
      </c>
      <c r="R217">
        <f t="shared" si="22"/>
        <v>3.0303000000000004</v>
      </c>
      <c r="S217" s="4">
        <f t="shared" si="23"/>
        <v>0.13000000000000003</v>
      </c>
      <c r="T217" t="str">
        <f>_xlfn.XLOOKUP(C217,customers!$A$1:$A$1001,customers!$I$1:$I$1001,,0)</f>
        <v>No</v>
      </c>
    </row>
    <row r="218" spans="1:20"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INDEX(products!$A$1:$I$49,MATCH('Conditional Fomating'!$D218,products!$A$1:$A$49,0),MATCH('Conditional Fomating'!I$1,products!$A$1:$D$1,0))</f>
        <v>Lib</v>
      </c>
      <c r="J218" t="str">
        <f t="shared" si="18"/>
        <v>Liberica</v>
      </c>
      <c r="K218" t="str">
        <f>INDEX(products!$A$1:$I$49,MATCH('Conditional Fomating'!$D218,products!$A$1:$A$49,0),MATCH('Conditional Fomating'!K$1,products!$A$1:$D$1,0))</f>
        <v>M</v>
      </c>
      <c r="L218" t="str">
        <f t="shared" si="19"/>
        <v>Medium</v>
      </c>
      <c r="M218">
        <f>INDEX(products!$A$1:$I$49,MATCH('Conditional Fomating'!$D218,products!$A$1:$A$49,0),MATCH('Conditional Fomating'!M$1,products!$A$1:$D$1,0))</f>
        <v>1</v>
      </c>
      <c r="N218">
        <f>_xlfn.XLOOKUP(D218,products!$A$2:$A$49,products!$E$2:$E$49)</f>
        <v>14.55</v>
      </c>
      <c r="O218">
        <f>_xlfn.XLOOKUP(D218,products!$A$2:$A$49,products!$H$2:$H$49)</f>
        <v>12.6585</v>
      </c>
      <c r="P218">
        <f t="shared" si="20"/>
        <v>58.2</v>
      </c>
      <c r="Q218">
        <f t="shared" si="21"/>
        <v>50.634</v>
      </c>
      <c r="R218">
        <f t="shared" si="22"/>
        <v>7.5660000000000025</v>
      </c>
      <c r="S218" s="4">
        <f t="shared" si="23"/>
        <v>0.13000000000000003</v>
      </c>
      <c r="T218" t="str">
        <f>_xlfn.XLOOKUP(C218,customers!$A$1:$A$1001,customers!$I$1:$I$1001,,0)</f>
        <v>Yes</v>
      </c>
    </row>
    <row r="219" spans="1:20"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INDEX(products!$A$1:$I$49,MATCH('Conditional Fomating'!$D219,products!$A$1:$A$49,0),MATCH('Conditional Fomating'!I$1,products!$A$1:$D$1,0))</f>
        <v>Exc</v>
      </c>
      <c r="J219" t="str">
        <f t="shared" si="18"/>
        <v>Excelsa</v>
      </c>
      <c r="K219" t="str">
        <f>INDEX(products!$A$1:$I$49,MATCH('Conditional Fomating'!$D219,products!$A$1:$A$49,0),MATCH('Conditional Fomating'!K$1,products!$A$1:$D$1,0))</f>
        <v>L</v>
      </c>
      <c r="L219" t="str">
        <f t="shared" si="19"/>
        <v>Light</v>
      </c>
      <c r="M219">
        <f>INDEX(products!$A$1:$I$49,MATCH('Conditional Fomating'!$D219,products!$A$1:$A$49,0),MATCH('Conditional Fomating'!M$1,products!$A$1:$D$1,0))</f>
        <v>0.5</v>
      </c>
      <c r="N219">
        <f>_xlfn.XLOOKUP(D219,products!$A$2:$A$49,products!$E$2:$E$49)</f>
        <v>8.91</v>
      </c>
      <c r="O219">
        <f>_xlfn.XLOOKUP(D219,products!$A$2:$A$49,products!$H$2:$H$49)</f>
        <v>7.9298999999999999</v>
      </c>
      <c r="P219">
        <f t="shared" si="20"/>
        <v>35.64</v>
      </c>
      <c r="Q219">
        <f t="shared" si="21"/>
        <v>31.7196</v>
      </c>
      <c r="R219">
        <f t="shared" si="22"/>
        <v>3.9204000000000008</v>
      </c>
      <c r="S219" s="4">
        <f t="shared" si="23"/>
        <v>0.11000000000000001</v>
      </c>
      <c r="T219" t="str">
        <f>_xlfn.XLOOKUP(C219,customers!$A$1:$A$1001,customers!$I$1:$I$1001,,0)</f>
        <v>No</v>
      </c>
    </row>
    <row r="220" spans="1:20"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INDEX(products!$A$1:$I$49,MATCH('Conditional Fomating'!$D220,products!$A$1:$A$49,0),MATCH('Conditional Fomating'!I$1,products!$A$1:$D$1,0))</f>
        <v>Ara</v>
      </c>
      <c r="J220" t="str">
        <f t="shared" si="18"/>
        <v>Arabica</v>
      </c>
      <c r="K220" t="str">
        <f>INDEX(products!$A$1:$I$49,MATCH('Conditional Fomating'!$D220,products!$A$1:$A$49,0),MATCH('Conditional Fomating'!K$1,products!$A$1:$D$1,0))</f>
        <v>M</v>
      </c>
      <c r="L220" t="str">
        <f t="shared" si="19"/>
        <v>Medium</v>
      </c>
      <c r="M220">
        <f>INDEX(products!$A$1:$I$49,MATCH('Conditional Fomating'!$D220,products!$A$1:$A$49,0),MATCH('Conditional Fomating'!M$1,products!$A$1:$D$1,0))</f>
        <v>1</v>
      </c>
      <c r="N220">
        <f>_xlfn.XLOOKUP(D220,products!$A$2:$A$49,products!$E$2:$E$49)</f>
        <v>11.25</v>
      </c>
      <c r="O220">
        <f>_xlfn.XLOOKUP(D220,products!$A$2:$A$49,products!$H$2:$H$49)</f>
        <v>10.237500000000001</v>
      </c>
      <c r="P220">
        <f t="shared" si="20"/>
        <v>56.25</v>
      </c>
      <c r="Q220">
        <f t="shared" si="21"/>
        <v>51.1875</v>
      </c>
      <c r="R220">
        <f t="shared" si="22"/>
        <v>5.0625</v>
      </c>
      <c r="S220" s="4">
        <f t="shared" si="23"/>
        <v>0.09</v>
      </c>
      <c r="T220" t="str">
        <f>_xlfn.XLOOKUP(C220,customers!$A$1:$A$1001,customers!$I$1:$I$1001,,0)</f>
        <v>Yes</v>
      </c>
    </row>
    <row r="221" spans="1:20"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INDEX(products!$A$1:$I$49,MATCH('Conditional Fomating'!$D221,products!$A$1:$A$49,0),MATCH('Conditional Fomating'!I$1,products!$A$1:$D$1,0))</f>
        <v>Rob</v>
      </c>
      <c r="J221" t="str">
        <f t="shared" si="18"/>
        <v>Robusta</v>
      </c>
      <c r="K221" t="str">
        <f>INDEX(products!$A$1:$I$49,MATCH('Conditional Fomating'!$D221,products!$A$1:$A$49,0),MATCH('Conditional Fomating'!K$1,products!$A$1:$D$1,0))</f>
        <v>L</v>
      </c>
      <c r="L221" t="str">
        <f t="shared" si="19"/>
        <v>Light</v>
      </c>
      <c r="M221">
        <f>INDEX(products!$A$1:$I$49,MATCH('Conditional Fomating'!$D221,products!$A$1:$A$49,0),MATCH('Conditional Fomating'!M$1,products!$A$1:$D$1,0))</f>
        <v>0.2</v>
      </c>
      <c r="N221">
        <f>_xlfn.XLOOKUP(D221,products!$A$2:$A$49,products!$E$2:$E$49)</f>
        <v>3.5849999999999995</v>
      </c>
      <c r="O221">
        <f>_xlfn.XLOOKUP(D221,products!$A$2:$A$49,products!$H$2:$H$49)</f>
        <v>3.3698999999999995</v>
      </c>
      <c r="P221">
        <f t="shared" si="20"/>
        <v>10.754999999999999</v>
      </c>
      <c r="Q221">
        <f t="shared" si="21"/>
        <v>10.109699999999998</v>
      </c>
      <c r="R221">
        <f t="shared" si="22"/>
        <v>0.64530000000000065</v>
      </c>
      <c r="S221" s="4">
        <f t="shared" si="23"/>
        <v>6.0000000000000067E-2</v>
      </c>
      <c r="T221" t="str">
        <f>_xlfn.XLOOKUP(C221,customers!$A$1:$A$1001,customers!$I$1:$I$1001,,0)</f>
        <v>No</v>
      </c>
    </row>
    <row r="222" spans="1:20"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INDEX(products!$A$1:$I$49,MATCH('Conditional Fomating'!$D222,products!$A$1:$A$49,0),MATCH('Conditional Fomating'!I$1,products!$A$1:$D$1,0))</f>
        <v>Rob</v>
      </c>
      <c r="J222" t="str">
        <f t="shared" si="18"/>
        <v>Robusta</v>
      </c>
      <c r="K222" t="str">
        <f>INDEX(products!$A$1:$I$49,MATCH('Conditional Fomating'!$D222,products!$A$1:$A$49,0),MATCH('Conditional Fomating'!K$1,products!$A$1:$D$1,0))</f>
        <v>M</v>
      </c>
      <c r="L222" t="str">
        <f t="shared" si="19"/>
        <v>Medium</v>
      </c>
      <c r="M222">
        <f>INDEX(products!$A$1:$I$49,MATCH('Conditional Fomating'!$D222,products!$A$1:$A$49,0),MATCH('Conditional Fomating'!M$1,products!$A$1:$D$1,0))</f>
        <v>0.2</v>
      </c>
      <c r="N222">
        <f>_xlfn.XLOOKUP(D222,products!$A$2:$A$49,products!$E$2:$E$49)</f>
        <v>2.9849999999999999</v>
      </c>
      <c r="O222">
        <f>_xlfn.XLOOKUP(D222,products!$A$2:$A$49,products!$H$2:$H$49)</f>
        <v>2.8058999999999998</v>
      </c>
      <c r="P222">
        <f t="shared" si="20"/>
        <v>14.924999999999999</v>
      </c>
      <c r="Q222">
        <f t="shared" si="21"/>
        <v>14.029499999999999</v>
      </c>
      <c r="R222">
        <f t="shared" si="22"/>
        <v>0.89550000000000018</v>
      </c>
      <c r="S222" s="4">
        <f t="shared" si="23"/>
        <v>6.0000000000000019E-2</v>
      </c>
      <c r="T222" t="str">
        <f>_xlfn.XLOOKUP(C222,customers!$A$1:$A$1001,customers!$I$1:$I$1001,,0)</f>
        <v>No</v>
      </c>
    </row>
    <row r="223" spans="1:20"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INDEX(products!$A$1:$I$49,MATCH('Conditional Fomating'!$D223,products!$A$1:$A$49,0),MATCH('Conditional Fomating'!I$1,products!$A$1:$D$1,0))</f>
        <v>Ara</v>
      </c>
      <c r="J223" t="str">
        <f t="shared" si="18"/>
        <v>Arabica</v>
      </c>
      <c r="K223" t="str">
        <f>INDEX(products!$A$1:$I$49,MATCH('Conditional Fomating'!$D223,products!$A$1:$A$49,0),MATCH('Conditional Fomating'!K$1,products!$A$1:$D$1,0))</f>
        <v>L</v>
      </c>
      <c r="L223" t="str">
        <f t="shared" si="19"/>
        <v>Light</v>
      </c>
      <c r="M223">
        <f>INDEX(products!$A$1:$I$49,MATCH('Conditional Fomating'!$D223,products!$A$1:$A$49,0),MATCH('Conditional Fomating'!M$1,products!$A$1:$D$1,0))</f>
        <v>1</v>
      </c>
      <c r="N223">
        <f>_xlfn.XLOOKUP(D223,products!$A$2:$A$49,products!$E$2:$E$49)</f>
        <v>12.95</v>
      </c>
      <c r="O223">
        <f>_xlfn.XLOOKUP(D223,products!$A$2:$A$49,products!$H$2:$H$49)</f>
        <v>11.7845</v>
      </c>
      <c r="P223">
        <f t="shared" si="20"/>
        <v>77.699999999999989</v>
      </c>
      <c r="Q223">
        <f t="shared" si="21"/>
        <v>70.706999999999994</v>
      </c>
      <c r="R223">
        <f t="shared" si="22"/>
        <v>6.992999999999995</v>
      </c>
      <c r="S223" s="4">
        <f t="shared" si="23"/>
        <v>8.9999999999999955E-2</v>
      </c>
      <c r="T223" t="str">
        <f>_xlfn.XLOOKUP(C223,customers!$A$1:$A$1001,customers!$I$1:$I$1001,,0)</f>
        <v>Yes</v>
      </c>
    </row>
    <row r="224" spans="1:20"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INDEX(products!$A$1:$I$49,MATCH('Conditional Fomating'!$D224,products!$A$1:$A$49,0),MATCH('Conditional Fomating'!I$1,products!$A$1:$D$1,0))</f>
        <v>Lib</v>
      </c>
      <c r="J224" t="str">
        <f t="shared" si="18"/>
        <v>Liberica</v>
      </c>
      <c r="K224" t="str">
        <f>INDEX(products!$A$1:$I$49,MATCH('Conditional Fomating'!$D224,products!$A$1:$A$49,0),MATCH('Conditional Fomating'!K$1,products!$A$1:$D$1,0))</f>
        <v>D</v>
      </c>
      <c r="L224" t="str">
        <f t="shared" si="19"/>
        <v>Dark</v>
      </c>
      <c r="M224">
        <f>INDEX(products!$A$1:$I$49,MATCH('Conditional Fomating'!$D224,products!$A$1:$A$49,0),MATCH('Conditional Fomating'!M$1,products!$A$1:$D$1,0))</f>
        <v>0.5</v>
      </c>
      <c r="N224">
        <f>_xlfn.XLOOKUP(D224,products!$A$2:$A$49,products!$E$2:$E$49)</f>
        <v>7.77</v>
      </c>
      <c r="O224">
        <f>_xlfn.XLOOKUP(D224,products!$A$2:$A$49,products!$H$2:$H$49)</f>
        <v>6.7599</v>
      </c>
      <c r="P224">
        <f t="shared" si="20"/>
        <v>23.31</v>
      </c>
      <c r="Q224">
        <f t="shared" si="21"/>
        <v>20.279699999999998</v>
      </c>
      <c r="R224">
        <f t="shared" si="22"/>
        <v>3.0303000000000004</v>
      </c>
      <c r="S224" s="4">
        <f t="shared" si="23"/>
        <v>0.13000000000000003</v>
      </c>
      <c r="T224" t="str">
        <f>_xlfn.XLOOKUP(C224,customers!$A$1:$A$1001,customers!$I$1:$I$1001,,0)</f>
        <v>No</v>
      </c>
    </row>
    <row r="225" spans="1:20"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v>
      </c>
      <c r="H225" s="2" t="str">
        <f>_xlfn.XLOOKUP(C225,customers!$A$1:$A$1001,customers!$G$1:$G$1001,,0)</f>
        <v>United States</v>
      </c>
      <c r="I225" t="str">
        <f>INDEX(products!$A$1:$I$49,MATCH('Conditional Fomating'!$D225,products!$A$1:$A$49,0),MATCH('Conditional Fomating'!I$1,products!$A$1:$D$1,0))</f>
        <v>Exc</v>
      </c>
      <c r="J225" t="str">
        <f t="shared" si="18"/>
        <v>Excelsa</v>
      </c>
      <c r="K225" t="str">
        <f>INDEX(products!$A$1:$I$49,MATCH('Conditional Fomating'!$D225,products!$A$1:$A$49,0),MATCH('Conditional Fomating'!K$1,products!$A$1:$D$1,0))</f>
        <v>L</v>
      </c>
      <c r="L225" t="str">
        <f t="shared" si="19"/>
        <v>Light</v>
      </c>
      <c r="M225">
        <f>INDEX(products!$A$1:$I$49,MATCH('Conditional Fomating'!$D225,products!$A$1:$A$49,0),MATCH('Conditional Fomating'!M$1,products!$A$1:$D$1,0))</f>
        <v>1</v>
      </c>
      <c r="N225">
        <f>_xlfn.XLOOKUP(D225,products!$A$2:$A$49,products!$E$2:$E$49)</f>
        <v>14.85</v>
      </c>
      <c r="O225">
        <f>_xlfn.XLOOKUP(D225,products!$A$2:$A$49,products!$H$2:$H$49)</f>
        <v>13.2165</v>
      </c>
      <c r="P225">
        <f t="shared" si="20"/>
        <v>59.4</v>
      </c>
      <c r="Q225">
        <f t="shared" si="21"/>
        <v>52.866</v>
      </c>
      <c r="R225">
        <f t="shared" si="22"/>
        <v>6.5339999999999989</v>
      </c>
      <c r="S225" s="4">
        <f t="shared" si="23"/>
        <v>0.10999999999999999</v>
      </c>
      <c r="T225" t="str">
        <f>_xlfn.XLOOKUP(C225,customers!$A$1:$A$1001,customers!$I$1:$I$1001,,0)</f>
        <v>Yes</v>
      </c>
    </row>
    <row r="226" spans="1:20"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INDEX(products!$A$1:$I$49,MATCH('Conditional Fomating'!$D226,products!$A$1:$A$49,0),MATCH('Conditional Fomating'!I$1,products!$A$1:$D$1,0))</f>
        <v>Lib</v>
      </c>
      <c r="J226" t="str">
        <f t="shared" si="18"/>
        <v>Liberica</v>
      </c>
      <c r="K226" t="str">
        <f>INDEX(products!$A$1:$I$49,MATCH('Conditional Fomating'!$D226,products!$A$1:$A$49,0),MATCH('Conditional Fomating'!K$1,products!$A$1:$D$1,0))</f>
        <v>D</v>
      </c>
      <c r="L226" t="str">
        <f t="shared" si="19"/>
        <v>Dark</v>
      </c>
      <c r="M226">
        <f>INDEX(products!$A$1:$I$49,MATCH('Conditional Fomating'!$D226,products!$A$1:$A$49,0),MATCH('Conditional Fomating'!M$1,products!$A$1:$D$1,0))</f>
        <v>2.5</v>
      </c>
      <c r="N226">
        <f>_xlfn.XLOOKUP(D226,products!$A$2:$A$49,products!$E$2:$E$49)</f>
        <v>29.784999999999997</v>
      </c>
      <c r="O226">
        <f>_xlfn.XLOOKUP(D226,products!$A$2:$A$49,products!$H$2:$H$49)</f>
        <v>25.912949999999995</v>
      </c>
      <c r="P226">
        <f t="shared" si="20"/>
        <v>119.13999999999999</v>
      </c>
      <c r="Q226">
        <f t="shared" si="21"/>
        <v>103.65179999999998</v>
      </c>
      <c r="R226">
        <f t="shared" si="22"/>
        <v>15.488200000000006</v>
      </c>
      <c r="S226" s="4">
        <f t="shared" si="23"/>
        <v>0.13000000000000006</v>
      </c>
      <c r="T226" t="str">
        <f>_xlfn.XLOOKUP(C226,customers!$A$1:$A$1001,customers!$I$1:$I$1001,,0)</f>
        <v>Yes</v>
      </c>
    </row>
    <row r="227" spans="1:20"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INDEX(products!$A$1:$I$49,MATCH('Conditional Fomating'!$D227,products!$A$1:$A$49,0),MATCH('Conditional Fomating'!I$1,products!$A$1:$D$1,0))</f>
        <v>Rob</v>
      </c>
      <c r="J227" t="str">
        <f t="shared" si="18"/>
        <v>Robusta</v>
      </c>
      <c r="K227" t="str">
        <f>INDEX(products!$A$1:$I$49,MATCH('Conditional Fomating'!$D227,products!$A$1:$A$49,0),MATCH('Conditional Fomating'!K$1,products!$A$1:$D$1,0))</f>
        <v>L</v>
      </c>
      <c r="L227" t="str">
        <f t="shared" si="19"/>
        <v>Light</v>
      </c>
      <c r="M227">
        <f>INDEX(products!$A$1:$I$49,MATCH('Conditional Fomating'!$D227,products!$A$1:$A$49,0),MATCH('Conditional Fomating'!M$1,products!$A$1:$D$1,0))</f>
        <v>0.2</v>
      </c>
      <c r="N227">
        <f>_xlfn.XLOOKUP(D227,products!$A$2:$A$49,products!$E$2:$E$49)</f>
        <v>3.5849999999999995</v>
      </c>
      <c r="O227">
        <f>_xlfn.XLOOKUP(D227,products!$A$2:$A$49,products!$H$2:$H$49)</f>
        <v>3.3698999999999995</v>
      </c>
      <c r="P227">
        <f t="shared" si="20"/>
        <v>14.339999999999998</v>
      </c>
      <c r="Q227">
        <f t="shared" si="21"/>
        <v>13.479599999999998</v>
      </c>
      <c r="R227">
        <f t="shared" si="22"/>
        <v>0.86040000000000028</v>
      </c>
      <c r="S227" s="4">
        <f t="shared" si="23"/>
        <v>6.0000000000000026E-2</v>
      </c>
      <c r="T227" t="str">
        <f>_xlfn.XLOOKUP(C227,customers!$A$1:$A$1001,customers!$I$1:$I$1001,,0)</f>
        <v>No</v>
      </c>
    </row>
    <row r="228" spans="1:20"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INDEX(products!$A$1:$I$49,MATCH('Conditional Fomating'!$D228,products!$A$1:$A$49,0),MATCH('Conditional Fomating'!I$1,products!$A$1:$D$1,0))</f>
        <v>Ara</v>
      </c>
      <c r="J228" t="str">
        <f t="shared" si="18"/>
        <v>Arabica</v>
      </c>
      <c r="K228" t="str">
        <f>INDEX(products!$A$1:$I$49,MATCH('Conditional Fomating'!$D228,products!$A$1:$A$49,0),MATCH('Conditional Fomating'!K$1,products!$A$1:$D$1,0))</f>
        <v>M</v>
      </c>
      <c r="L228" t="str">
        <f t="shared" si="19"/>
        <v>Medium</v>
      </c>
      <c r="M228">
        <f>INDEX(products!$A$1:$I$49,MATCH('Conditional Fomating'!$D228,products!$A$1:$A$49,0),MATCH('Conditional Fomating'!M$1,products!$A$1:$D$1,0))</f>
        <v>2.5</v>
      </c>
      <c r="N228">
        <f>_xlfn.XLOOKUP(D228,products!$A$2:$A$49,products!$E$2:$E$49)</f>
        <v>25.874999999999996</v>
      </c>
      <c r="O228">
        <f>_xlfn.XLOOKUP(D228,products!$A$2:$A$49,products!$H$2:$H$49)</f>
        <v>23.546249999999997</v>
      </c>
      <c r="P228">
        <f t="shared" si="20"/>
        <v>129.37499999999997</v>
      </c>
      <c r="Q228">
        <f t="shared" si="21"/>
        <v>117.73124999999999</v>
      </c>
      <c r="R228">
        <f t="shared" si="22"/>
        <v>11.643749999999983</v>
      </c>
      <c r="S228" s="4">
        <f t="shared" si="23"/>
        <v>8.9999999999999886E-2</v>
      </c>
      <c r="T228" t="str">
        <f>_xlfn.XLOOKUP(C228,customers!$A$1:$A$1001,customers!$I$1:$I$1001,,0)</f>
        <v>No</v>
      </c>
    </row>
    <row r="229" spans="1:20"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INDEX(products!$A$1:$I$49,MATCH('Conditional Fomating'!$D229,products!$A$1:$A$49,0),MATCH('Conditional Fomating'!I$1,products!$A$1:$D$1,0))</f>
        <v>Rob</v>
      </c>
      <c r="J229" t="str">
        <f t="shared" si="18"/>
        <v>Robusta</v>
      </c>
      <c r="K229" t="str">
        <f>INDEX(products!$A$1:$I$49,MATCH('Conditional Fomating'!$D229,products!$A$1:$A$49,0),MATCH('Conditional Fomating'!K$1,products!$A$1:$D$1,0))</f>
        <v>D</v>
      </c>
      <c r="L229" t="str">
        <f t="shared" si="19"/>
        <v>Dark</v>
      </c>
      <c r="M229">
        <f>INDEX(products!$A$1:$I$49,MATCH('Conditional Fomating'!$D229,products!$A$1:$A$49,0),MATCH('Conditional Fomating'!M$1,products!$A$1:$D$1,0))</f>
        <v>0.2</v>
      </c>
      <c r="N229">
        <f>_xlfn.XLOOKUP(D229,products!$A$2:$A$49,products!$E$2:$E$49)</f>
        <v>2.6849999999999996</v>
      </c>
      <c r="O229">
        <f>_xlfn.XLOOKUP(D229,products!$A$2:$A$49,products!$H$2:$H$49)</f>
        <v>2.5238999999999998</v>
      </c>
      <c r="P229">
        <f t="shared" si="20"/>
        <v>16.11</v>
      </c>
      <c r="Q229">
        <f t="shared" si="21"/>
        <v>15.1434</v>
      </c>
      <c r="R229">
        <f t="shared" si="22"/>
        <v>0.96659999999999968</v>
      </c>
      <c r="S229" s="4">
        <f t="shared" si="23"/>
        <v>5.9999999999999984E-2</v>
      </c>
      <c r="T229" t="str">
        <f>_xlfn.XLOOKUP(C229,customers!$A$1:$A$1001,customers!$I$1:$I$1001,,0)</f>
        <v>Yes</v>
      </c>
    </row>
    <row r="230" spans="1:20"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INDEX(products!$A$1:$I$49,MATCH('Conditional Fomating'!$D230,products!$A$1:$A$49,0),MATCH('Conditional Fomating'!I$1,products!$A$1:$D$1,0))</f>
        <v>Rob</v>
      </c>
      <c r="J230" t="str">
        <f t="shared" si="18"/>
        <v>Robusta</v>
      </c>
      <c r="K230" t="str">
        <f>INDEX(products!$A$1:$I$49,MATCH('Conditional Fomating'!$D230,products!$A$1:$A$49,0),MATCH('Conditional Fomating'!K$1,products!$A$1:$D$1,0))</f>
        <v>L</v>
      </c>
      <c r="L230" t="str">
        <f t="shared" si="19"/>
        <v>Light</v>
      </c>
      <c r="M230">
        <f>INDEX(products!$A$1:$I$49,MATCH('Conditional Fomating'!$D230,products!$A$1:$A$49,0),MATCH('Conditional Fomating'!M$1,products!$A$1:$D$1,0))</f>
        <v>0.2</v>
      </c>
      <c r="N230">
        <f>_xlfn.XLOOKUP(D230,products!$A$2:$A$49,products!$E$2:$E$49)</f>
        <v>3.5849999999999995</v>
      </c>
      <c r="O230">
        <f>_xlfn.XLOOKUP(D230,products!$A$2:$A$49,products!$H$2:$H$49)</f>
        <v>3.3698999999999995</v>
      </c>
      <c r="P230">
        <f t="shared" si="20"/>
        <v>17.924999999999997</v>
      </c>
      <c r="Q230">
        <f t="shared" si="21"/>
        <v>16.849499999999999</v>
      </c>
      <c r="R230">
        <f t="shared" si="22"/>
        <v>1.0754999999999981</v>
      </c>
      <c r="S230" s="4">
        <f t="shared" si="23"/>
        <v>5.9999999999999908E-2</v>
      </c>
      <c r="T230" t="str">
        <f>_xlfn.XLOOKUP(C230,customers!$A$1:$A$1001,customers!$I$1:$I$1001,,0)</f>
        <v>No</v>
      </c>
    </row>
    <row r="231" spans="1:20"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INDEX(products!$A$1:$I$49,MATCH('Conditional Fomating'!$D231,products!$A$1:$A$49,0),MATCH('Conditional Fomating'!I$1,products!$A$1:$D$1,0))</f>
        <v>Lib</v>
      </c>
      <c r="J231" t="str">
        <f t="shared" si="18"/>
        <v>Liberica</v>
      </c>
      <c r="K231" t="str">
        <f>INDEX(products!$A$1:$I$49,MATCH('Conditional Fomating'!$D231,products!$A$1:$A$49,0),MATCH('Conditional Fomating'!K$1,products!$A$1:$D$1,0))</f>
        <v>M</v>
      </c>
      <c r="L231" t="str">
        <f t="shared" si="19"/>
        <v>Medium</v>
      </c>
      <c r="M231">
        <f>INDEX(products!$A$1:$I$49,MATCH('Conditional Fomating'!$D231,products!$A$1:$A$49,0),MATCH('Conditional Fomating'!M$1,products!$A$1:$D$1,0))</f>
        <v>0.2</v>
      </c>
      <c r="N231">
        <f>_xlfn.XLOOKUP(D231,products!$A$2:$A$49,products!$E$2:$E$49)</f>
        <v>4.3650000000000002</v>
      </c>
      <c r="O231">
        <f>_xlfn.XLOOKUP(D231,products!$A$2:$A$49,products!$H$2:$H$49)</f>
        <v>3.7975500000000002</v>
      </c>
      <c r="P231">
        <f t="shared" si="20"/>
        <v>8.73</v>
      </c>
      <c r="Q231">
        <f t="shared" si="21"/>
        <v>7.5951000000000004</v>
      </c>
      <c r="R231">
        <f t="shared" si="22"/>
        <v>1.1349</v>
      </c>
      <c r="S231" s="4">
        <f t="shared" si="23"/>
        <v>0.13</v>
      </c>
      <c r="T231" t="str">
        <f>_xlfn.XLOOKUP(C231,customers!$A$1:$A$1001,customers!$I$1:$I$1001,,0)</f>
        <v>No</v>
      </c>
    </row>
    <row r="232" spans="1:20"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INDEX(products!$A$1:$I$49,MATCH('Conditional Fomating'!$D232,products!$A$1:$A$49,0),MATCH('Conditional Fomating'!I$1,products!$A$1:$D$1,0))</f>
        <v>Ara</v>
      </c>
      <c r="J232" t="str">
        <f t="shared" si="18"/>
        <v>Arabica</v>
      </c>
      <c r="K232" t="str">
        <f>INDEX(products!$A$1:$I$49,MATCH('Conditional Fomating'!$D232,products!$A$1:$A$49,0),MATCH('Conditional Fomating'!K$1,products!$A$1:$D$1,0))</f>
        <v>M</v>
      </c>
      <c r="L232" t="str">
        <f t="shared" si="19"/>
        <v>Medium</v>
      </c>
      <c r="M232">
        <f>INDEX(products!$A$1:$I$49,MATCH('Conditional Fomating'!$D232,products!$A$1:$A$49,0),MATCH('Conditional Fomating'!M$1,products!$A$1:$D$1,0))</f>
        <v>2.5</v>
      </c>
      <c r="N232">
        <f>_xlfn.XLOOKUP(D232,products!$A$2:$A$49,products!$E$2:$E$49)</f>
        <v>25.874999999999996</v>
      </c>
      <c r="O232">
        <f>_xlfn.XLOOKUP(D232,products!$A$2:$A$49,products!$H$2:$H$49)</f>
        <v>23.546249999999997</v>
      </c>
      <c r="P232">
        <f t="shared" si="20"/>
        <v>51.749999999999993</v>
      </c>
      <c r="Q232">
        <f t="shared" si="21"/>
        <v>47.092499999999994</v>
      </c>
      <c r="R232">
        <f t="shared" si="22"/>
        <v>4.6574999999999989</v>
      </c>
      <c r="S232" s="4">
        <f t="shared" si="23"/>
        <v>0.09</v>
      </c>
      <c r="T232" t="str">
        <f>_xlfn.XLOOKUP(C232,customers!$A$1:$A$1001,customers!$I$1:$I$1001,,0)</f>
        <v>No</v>
      </c>
    </row>
    <row r="233" spans="1:20"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v>
      </c>
      <c r="H233" s="2" t="str">
        <f>_xlfn.XLOOKUP(C233,customers!$A$1:$A$1001,customers!$G$1:$G$1001,,0)</f>
        <v>United States</v>
      </c>
      <c r="I233" t="str">
        <f>INDEX(products!$A$1:$I$49,MATCH('Conditional Fomating'!$D233,products!$A$1:$A$49,0),MATCH('Conditional Fomating'!I$1,products!$A$1:$D$1,0))</f>
        <v>Lib</v>
      </c>
      <c r="J233" t="str">
        <f t="shared" si="18"/>
        <v>Liberica</v>
      </c>
      <c r="K233" t="str">
        <f>INDEX(products!$A$1:$I$49,MATCH('Conditional Fomating'!$D233,products!$A$1:$A$49,0),MATCH('Conditional Fomating'!K$1,products!$A$1:$D$1,0))</f>
        <v>M</v>
      </c>
      <c r="L233" t="str">
        <f t="shared" si="19"/>
        <v>Medium</v>
      </c>
      <c r="M233">
        <f>INDEX(products!$A$1:$I$49,MATCH('Conditional Fomating'!$D233,products!$A$1:$A$49,0),MATCH('Conditional Fomating'!M$1,products!$A$1:$D$1,0))</f>
        <v>0.2</v>
      </c>
      <c r="N233">
        <f>_xlfn.XLOOKUP(D233,products!$A$2:$A$49,products!$E$2:$E$49)</f>
        <v>4.3650000000000002</v>
      </c>
      <c r="O233">
        <f>_xlfn.XLOOKUP(D233,products!$A$2:$A$49,products!$H$2:$H$49)</f>
        <v>3.7975500000000002</v>
      </c>
      <c r="P233">
        <f t="shared" si="20"/>
        <v>8.73</v>
      </c>
      <c r="Q233">
        <f t="shared" si="21"/>
        <v>7.5951000000000004</v>
      </c>
      <c r="R233">
        <f t="shared" si="22"/>
        <v>1.1349</v>
      </c>
      <c r="S233" s="4">
        <f t="shared" si="23"/>
        <v>0.13</v>
      </c>
      <c r="T233" t="str">
        <f>_xlfn.XLOOKUP(C233,customers!$A$1:$A$1001,customers!$I$1:$I$1001,,0)</f>
        <v>Yes</v>
      </c>
    </row>
    <row r="234" spans="1:20"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INDEX(products!$A$1:$I$49,MATCH('Conditional Fomating'!$D234,products!$A$1:$A$49,0),MATCH('Conditional Fomating'!I$1,products!$A$1:$D$1,0))</f>
        <v>Lib</v>
      </c>
      <c r="J234" t="str">
        <f t="shared" si="18"/>
        <v>Liberica</v>
      </c>
      <c r="K234" t="str">
        <f>INDEX(products!$A$1:$I$49,MATCH('Conditional Fomating'!$D234,products!$A$1:$A$49,0),MATCH('Conditional Fomating'!K$1,products!$A$1:$D$1,0))</f>
        <v>L</v>
      </c>
      <c r="L234" t="str">
        <f t="shared" si="19"/>
        <v>Light</v>
      </c>
      <c r="M234">
        <f>INDEX(products!$A$1:$I$49,MATCH('Conditional Fomating'!$D234,products!$A$1:$A$49,0),MATCH('Conditional Fomating'!M$1,products!$A$1:$D$1,0))</f>
        <v>0.2</v>
      </c>
      <c r="N234">
        <f>_xlfn.XLOOKUP(D234,products!$A$2:$A$49,products!$E$2:$E$49)</f>
        <v>4.7549999999999999</v>
      </c>
      <c r="O234">
        <f>_xlfn.XLOOKUP(D234,products!$A$2:$A$49,products!$H$2:$H$49)</f>
        <v>4.1368499999999999</v>
      </c>
      <c r="P234">
        <f t="shared" si="20"/>
        <v>23.774999999999999</v>
      </c>
      <c r="Q234">
        <f t="shared" si="21"/>
        <v>20.684249999999999</v>
      </c>
      <c r="R234">
        <f t="shared" si="22"/>
        <v>3.0907499999999999</v>
      </c>
      <c r="S234" s="4">
        <f t="shared" si="23"/>
        <v>0.13</v>
      </c>
      <c r="T234" t="str">
        <f>_xlfn.XLOOKUP(C234,customers!$A$1:$A$1001,customers!$I$1:$I$1001,,0)</f>
        <v>No</v>
      </c>
    </row>
    <row r="235" spans="1:20"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INDEX(products!$A$1:$I$49,MATCH('Conditional Fomating'!$D235,products!$A$1:$A$49,0),MATCH('Conditional Fomating'!I$1,products!$A$1:$D$1,0))</f>
        <v>Exc</v>
      </c>
      <c r="J235" t="str">
        <f t="shared" si="18"/>
        <v>Excelsa</v>
      </c>
      <c r="K235" t="str">
        <f>INDEX(products!$A$1:$I$49,MATCH('Conditional Fomating'!$D235,products!$A$1:$A$49,0),MATCH('Conditional Fomating'!K$1,products!$A$1:$D$1,0))</f>
        <v>M</v>
      </c>
      <c r="L235" t="str">
        <f t="shared" si="19"/>
        <v>Medium</v>
      </c>
      <c r="M235">
        <f>INDEX(products!$A$1:$I$49,MATCH('Conditional Fomating'!$D235,products!$A$1:$A$49,0),MATCH('Conditional Fomating'!M$1,products!$A$1:$D$1,0))</f>
        <v>0.2</v>
      </c>
      <c r="N235">
        <f>_xlfn.XLOOKUP(D235,products!$A$2:$A$49,products!$E$2:$E$49)</f>
        <v>4.125</v>
      </c>
      <c r="O235">
        <f>_xlfn.XLOOKUP(D235,products!$A$2:$A$49,products!$H$2:$H$49)</f>
        <v>3.6712500000000001</v>
      </c>
      <c r="P235">
        <f t="shared" si="20"/>
        <v>20.625</v>
      </c>
      <c r="Q235">
        <f t="shared" si="21"/>
        <v>18.356249999999999</v>
      </c>
      <c r="R235">
        <f t="shared" si="22"/>
        <v>2.2687500000000007</v>
      </c>
      <c r="S235" s="4">
        <f t="shared" si="23"/>
        <v>0.11000000000000003</v>
      </c>
      <c r="T235" t="str">
        <f>_xlfn.XLOOKUP(C235,customers!$A$1:$A$1001,customers!$I$1:$I$1001,,0)</f>
        <v>No</v>
      </c>
    </row>
    <row r="236" spans="1:20"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INDEX(products!$A$1:$I$49,MATCH('Conditional Fomating'!$D236,products!$A$1:$A$49,0),MATCH('Conditional Fomating'!I$1,products!$A$1:$D$1,0))</f>
        <v>Lib</v>
      </c>
      <c r="J236" t="str">
        <f t="shared" si="18"/>
        <v>Liberica</v>
      </c>
      <c r="K236" t="str">
        <f>INDEX(products!$A$1:$I$49,MATCH('Conditional Fomating'!$D236,products!$A$1:$A$49,0),MATCH('Conditional Fomating'!K$1,products!$A$1:$D$1,0))</f>
        <v>L</v>
      </c>
      <c r="L236" t="str">
        <f t="shared" si="19"/>
        <v>Light</v>
      </c>
      <c r="M236">
        <f>INDEX(products!$A$1:$I$49,MATCH('Conditional Fomating'!$D236,products!$A$1:$A$49,0),MATCH('Conditional Fomating'!M$1,products!$A$1:$D$1,0))</f>
        <v>2.5</v>
      </c>
      <c r="N236">
        <f>_xlfn.XLOOKUP(D236,products!$A$2:$A$49,products!$E$2:$E$49)</f>
        <v>36.454999999999998</v>
      </c>
      <c r="O236">
        <f>_xlfn.XLOOKUP(D236,products!$A$2:$A$49,products!$H$2:$H$49)</f>
        <v>31.71585</v>
      </c>
      <c r="P236">
        <f t="shared" si="20"/>
        <v>36.454999999999998</v>
      </c>
      <c r="Q236">
        <f t="shared" si="21"/>
        <v>31.71585</v>
      </c>
      <c r="R236">
        <f t="shared" si="22"/>
        <v>4.7391499999999986</v>
      </c>
      <c r="S236" s="4">
        <f t="shared" si="23"/>
        <v>0.12999999999999998</v>
      </c>
      <c r="T236" t="str">
        <f>_xlfn.XLOOKUP(C236,customers!$A$1:$A$1001,customers!$I$1:$I$1001,,0)</f>
        <v>No</v>
      </c>
    </row>
    <row r="237" spans="1:20"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v>
      </c>
      <c r="H237" s="2" t="str">
        <f>_xlfn.XLOOKUP(C237,customers!$A$1:$A$1001,customers!$G$1:$G$1001,,0)</f>
        <v>Ireland</v>
      </c>
      <c r="I237" t="str">
        <f>INDEX(products!$A$1:$I$49,MATCH('Conditional Fomating'!$D237,products!$A$1:$A$49,0),MATCH('Conditional Fomating'!I$1,products!$A$1:$D$1,0))</f>
        <v>Lib</v>
      </c>
      <c r="J237" t="str">
        <f t="shared" si="18"/>
        <v>Liberica</v>
      </c>
      <c r="K237" t="str">
        <f>INDEX(products!$A$1:$I$49,MATCH('Conditional Fomating'!$D237,products!$A$1:$A$49,0),MATCH('Conditional Fomating'!K$1,products!$A$1:$D$1,0))</f>
        <v>L</v>
      </c>
      <c r="L237" t="str">
        <f t="shared" si="19"/>
        <v>Light</v>
      </c>
      <c r="M237">
        <f>INDEX(products!$A$1:$I$49,MATCH('Conditional Fomating'!$D237,products!$A$1:$A$49,0),MATCH('Conditional Fomating'!M$1,products!$A$1:$D$1,0))</f>
        <v>2.5</v>
      </c>
      <c r="N237">
        <f>_xlfn.XLOOKUP(D237,products!$A$2:$A$49,products!$E$2:$E$49)</f>
        <v>36.454999999999998</v>
      </c>
      <c r="O237">
        <f>_xlfn.XLOOKUP(D237,products!$A$2:$A$49,products!$H$2:$H$49)</f>
        <v>31.71585</v>
      </c>
      <c r="P237">
        <f t="shared" si="20"/>
        <v>182.27499999999998</v>
      </c>
      <c r="Q237">
        <f t="shared" si="21"/>
        <v>158.57925</v>
      </c>
      <c r="R237">
        <f t="shared" si="22"/>
        <v>23.695749999999975</v>
      </c>
      <c r="S237" s="4">
        <f t="shared" si="23"/>
        <v>0.12999999999999989</v>
      </c>
      <c r="T237" t="str">
        <f>_xlfn.XLOOKUP(C237,customers!$A$1:$A$1001,customers!$I$1:$I$1001,,0)</f>
        <v>No</v>
      </c>
    </row>
    <row r="238" spans="1:20"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INDEX(products!$A$1:$I$49,MATCH('Conditional Fomating'!$D238,products!$A$1:$A$49,0),MATCH('Conditional Fomating'!I$1,products!$A$1:$D$1,0))</f>
        <v>Lib</v>
      </c>
      <c r="J238" t="str">
        <f t="shared" si="18"/>
        <v>Liberica</v>
      </c>
      <c r="K238" t="str">
        <f>INDEX(products!$A$1:$I$49,MATCH('Conditional Fomating'!$D238,products!$A$1:$A$49,0),MATCH('Conditional Fomating'!K$1,products!$A$1:$D$1,0))</f>
        <v>D</v>
      </c>
      <c r="L238" t="str">
        <f t="shared" si="19"/>
        <v>Dark</v>
      </c>
      <c r="M238">
        <f>INDEX(products!$A$1:$I$49,MATCH('Conditional Fomating'!$D238,products!$A$1:$A$49,0),MATCH('Conditional Fomating'!M$1,products!$A$1:$D$1,0))</f>
        <v>2.5</v>
      </c>
      <c r="N238">
        <f>_xlfn.XLOOKUP(D238,products!$A$2:$A$49,products!$E$2:$E$49)</f>
        <v>29.784999999999997</v>
      </c>
      <c r="O238">
        <f>_xlfn.XLOOKUP(D238,products!$A$2:$A$49,products!$H$2:$H$49)</f>
        <v>25.912949999999995</v>
      </c>
      <c r="P238">
        <f t="shared" si="20"/>
        <v>89.35499999999999</v>
      </c>
      <c r="Q238">
        <f t="shared" si="21"/>
        <v>77.738849999999985</v>
      </c>
      <c r="R238">
        <f t="shared" si="22"/>
        <v>11.616150000000005</v>
      </c>
      <c r="S238" s="4">
        <f t="shared" si="23"/>
        <v>0.13000000000000006</v>
      </c>
      <c r="T238" t="str">
        <f>_xlfn.XLOOKUP(C238,customers!$A$1:$A$1001,customers!$I$1:$I$1001,,0)</f>
        <v>No</v>
      </c>
    </row>
    <row r="239" spans="1:20"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v>
      </c>
      <c r="H239" s="2" t="str">
        <f>_xlfn.XLOOKUP(C239,customers!$A$1:$A$1001,customers!$G$1:$G$1001,,0)</f>
        <v>United States</v>
      </c>
      <c r="I239" t="str">
        <f>INDEX(products!$A$1:$I$49,MATCH('Conditional Fomating'!$D239,products!$A$1:$A$49,0),MATCH('Conditional Fomating'!I$1,products!$A$1:$D$1,0))</f>
        <v>Rob</v>
      </c>
      <c r="J239" t="str">
        <f t="shared" si="18"/>
        <v>Robusta</v>
      </c>
      <c r="K239" t="str">
        <f>INDEX(products!$A$1:$I$49,MATCH('Conditional Fomating'!$D239,products!$A$1:$A$49,0),MATCH('Conditional Fomating'!K$1,products!$A$1:$D$1,0))</f>
        <v>L</v>
      </c>
      <c r="L239" t="str">
        <f t="shared" si="19"/>
        <v>Light</v>
      </c>
      <c r="M239">
        <f>INDEX(products!$A$1:$I$49,MATCH('Conditional Fomating'!$D239,products!$A$1:$A$49,0),MATCH('Conditional Fomating'!M$1,products!$A$1:$D$1,0))</f>
        <v>0.2</v>
      </c>
      <c r="N239">
        <f>_xlfn.XLOOKUP(D239,products!$A$2:$A$49,products!$E$2:$E$49)</f>
        <v>3.5849999999999995</v>
      </c>
      <c r="O239">
        <f>_xlfn.XLOOKUP(D239,products!$A$2:$A$49,products!$H$2:$H$49)</f>
        <v>3.3698999999999995</v>
      </c>
      <c r="P239">
        <f t="shared" si="20"/>
        <v>3.5849999999999995</v>
      </c>
      <c r="Q239">
        <f t="shared" si="21"/>
        <v>3.3698999999999995</v>
      </c>
      <c r="R239">
        <f t="shared" si="22"/>
        <v>0.21510000000000007</v>
      </c>
      <c r="S239" s="4">
        <f t="shared" si="23"/>
        <v>6.0000000000000026E-2</v>
      </c>
      <c r="T239" t="str">
        <f>_xlfn.XLOOKUP(C239,customers!$A$1:$A$1001,customers!$I$1:$I$1001,,0)</f>
        <v>Yes</v>
      </c>
    </row>
    <row r="240" spans="1:20"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INDEX(products!$A$1:$I$49,MATCH('Conditional Fomating'!$D240,products!$A$1:$A$49,0),MATCH('Conditional Fomating'!I$1,products!$A$1:$D$1,0))</f>
        <v>Rob</v>
      </c>
      <c r="J240" t="str">
        <f t="shared" si="18"/>
        <v>Robusta</v>
      </c>
      <c r="K240" t="str">
        <f>INDEX(products!$A$1:$I$49,MATCH('Conditional Fomating'!$D240,products!$A$1:$A$49,0),MATCH('Conditional Fomating'!K$1,products!$A$1:$D$1,0))</f>
        <v>M</v>
      </c>
      <c r="L240" t="str">
        <f t="shared" si="19"/>
        <v>Medium</v>
      </c>
      <c r="M240">
        <f>INDEX(products!$A$1:$I$49,MATCH('Conditional Fomating'!$D240,products!$A$1:$A$49,0),MATCH('Conditional Fomating'!M$1,products!$A$1:$D$1,0))</f>
        <v>2.5</v>
      </c>
      <c r="N240">
        <f>_xlfn.XLOOKUP(D240,products!$A$2:$A$49,products!$E$2:$E$49)</f>
        <v>22.884999999999998</v>
      </c>
      <c r="O240">
        <f>_xlfn.XLOOKUP(D240,products!$A$2:$A$49,products!$H$2:$H$49)</f>
        <v>21.511899999999997</v>
      </c>
      <c r="P240">
        <f t="shared" si="20"/>
        <v>45.769999999999996</v>
      </c>
      <c r="Q240">
        <f t="shared" si="21"/>
        <v>43.023799999999994</v>
      </c>
      <c r="R240">
        <f t="shared" si="22"/>
        <v>2.7462000000000018</v>
      </c>
      <c r="S240" s="4">
        <f t="shared" si="23"/>
        <v>6.0000000000000046E-2</v>
      </c>
      <c r="T240" t="str">
        <f>_xlfn.XLOOKUP(C240,customers!$A$1:$A$1001,customers!$I$1:$I$1001,,0)</f>
        <v>Yes</v>
      </c>
    </row>
    <row r="241" spans="1:20"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INDEX(products!$A$1:$I$49,MATCH('Conditional Fomating'!$D241,products!$A$1:$A$49,0),MATCH('Conditional Fomating'!I$1,products!$A$1:$D$1,0))</f>
        <v>Exc</v>
      </c>
      <c r="J241" t="str">
        <f t="shared" si="18"/>
        <v>Excelsa</v>
      </c>
      <c r="K241" t="str">
        <f>INDEX(products!$A$1:$I$49,MATCH('Conditional Fomating'!$D241,products!$A$1:$A$49,0),MATCH('Conditional Fomating'!K$1,products!$A$1:$D$1,0))</f>
        <v>L</v>
      </c>
      <c r="L241" t="str">
        <f t="shared" si="19"/>
        <v>Light</v>
      </c>
      <c r="M241">
        <f>INDEX(products!$A$1:$I$49,MATCH('Conditional Fomating'!$D241,products!$A$1:$A$49,0),MATCH('Conditional Fomating'!M$1,products!$A$1:$D$1,0))</f>
        <v>1</v>
      </c>
      <c r="N241">
        <f>_xlfn.XLOOKUP(D241,products!$A$2:$A$49,products!$E$2:$E$49)</f>
        <v>14.85</v>
      </c>
      <c r="O241">
        <f>_xlfn.XLOOKUP(D241,products!$A$2:$A$49,products!$H$2:$H$49)</f>
        <v>13.2165</v>
      </c>
      <c r="P241">
        <f t="shared" si="20"/>
        <v>59.4</v>
      </c>
      <c r="Q241">
        <f t="shared" si="21"/>
        <v>52.866</v>
      </c>
      <c r="R241">
        <f t="shared" si="22"/>
        <v>6.5339999999999989</v>
      </c>
      <c r="S241" s="4">
        <f t="shared" si="23"/>
        <v>0.10999999999999999</v>
      </c>
      <c r="T241" t="str">
        <f>_xlfn.XLOOKUP(C241,customers!$A$1:$A$1001,customers!$I$1:$I$1001,,0)</f>
        <v>No</v>
      </c>
    </row>
    <row r="242" spans="1:20"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v>
      </c>
      <c r="H242" s="2" t="str">
        <f>_xlfn.XLOOKUP(C242,customers!$A$1:$A$1001,customers!$G$1:$G$1001,,0)</f>
        <v>United States</v>
      </c>
      <c r="I242" t="str">
        <f>INDEX(products!$A$1:$I$49,MATCH('Conditional Fomating'!$D242,products!$A$1:$A$49,0),MATCH('Conditional Fomating'!I$1,products!$A$1:$D$1,0))</f>
        <v>Ara</v>
      </c>
      <c r="J242" t="str">
        <f t="shared" si="18"/>
        <v>Arabica</v>
      </c>
      <c r="K242" t="str">
        <f>INDEX(products!$A$1:$I$49,MATCH('Conditional Fomating'!$D242,products!$A$1:$A$49,0),MATCH('Conditional Fomating'!K$1,products!$A$1:$D$1,0))</f>
        <v>M</v>
      </c>
      <c r="L242" t="str">
        <f t="shared" si="19"/>
        <v>Medium</v>
      </c>
      <c r="M242">
        <f>INDEX(products!$A$1:$I$49,MATCH('Conditional Fomating'!$D242,products!$A$1:$A$49,0),MATCH('Conditional Fomating'!M$1,products!$A$1:$D$1,0))</f>
        <v>2.5</v>
      </c>
      <c r="N242">
        <f>_xlfn.XLOOKUP(D242,products!$A$2:$A$49,products!$E$2:$E$49)</f>
        <v>25.874999999999996</v>
      </c>
      <c r="O242">
        <f>_xlfn.XLOOKUP(D242,products!$A$2:$A$49,products!$H$2:$H$49)</f>
        <v>23.546249999999997</v>
      </c>
      <c r="P242">
        <f t="shared" si="20"/>
        <v>155.24999999999997</v>
      </c>
      <c r="Q242">
        <f t="shared" si="21"/>
        <v>141.27749999999997</v>
      </c>
      <c r="R242">
        <f t="shared" si="22"/>
        <v>13.972499999999997</v>
      </c>
      <c r="S242" s="4">
        <f t="shared" si="23"/>
        <v>0.09</v>
      </c>
      <c r="T242" t="str">
        <f>_xlfn.XLOOKUP(C242,customers!$A$1:$A$1001,customers!$I$1:$I$1001,,0)</f>
        <v>Yes</v>
      </c>
    </row>
    <row r="243" spans="1:20"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v>
      </c>
      <c r="H243" s="2" t="str">
        <f>_xlfn.XLOOKUP(C243,customers!$A$1:$A$1001,customers!$G$1:$G$1001,,0)</f>
        <v>United States</v>
      </c>
      <c r="I243" t="str">
        <f>INDEX(products!$A$1:$I$49,MATCH('Conditional Fomating'!$D243,products!$A$1:$A$49,0),MATCH('Conditional Fomating'!I$1,products!$A$1:$D$1,0))</f>
        <v>Rob</v>
      </c>
      <c r="J243" t="str">
        <f t="shared" si="18"/>
        <v>Robusta</v>
      </c>
      <c r="K243" t="str">
        <f>INDEX(products!$A$1:$I$49,MATCH('Conditional Fomating'!$D243,products!$A$1:$A$49,0),MATCH('Conditional Fomating'!K$1,products!$A$1:$D$1,0))</f>
        <v>M</v>
      </c>
      <c r="L243" t="str">
        <f t="shared" si="19"/>
        <v>Medium</v>
      </c>
      <c r="M243">
        <f>INDEX(products!$A$1:$I$49,MATCH('Conditional Fomating'!$D243,products!$A$1:$A$49,0),MATCH('Conditional Fomating'!M$1,products!$A$1:$D$1,0))</f>
        <v>2.5</v>
      </c>
      <c r="N243">
        <f>_xlfn.XLOOKUP(D243,products!$A$2:$A$49,products!$E$2:$E$49)</f>
        <v>22.884999999999998</v>
      </c>
      <c r="O243">
        <f>_xlfn.XLOOKUP(D243,products!$A$2:$A$49,products!$H$2:$H$49)</f>
        <v>21.511899999999997</v>
      </c>
      <c r="P243">
        <f t="shared" si="20"/>
        <v>45.769999999999996</v>
      </c>
      <c r="Q243">
        <f t="shared" si="21"/>
        <v>43.023799999999994</v>
      </c>
      <c r="R243">
        <f t="shared" si="22"/>
        <v>2.7462000000000018</v>
      </c>
      <c r="S243" s="4">
        <f t="shared" si="23"/>
        <v>6.0000000000000046E-2</v>
      </c>
      <c r="T243" t="str">
        <f>_xlfn.XLOOKUP(C243,customers!$A$1:$A$1001,customers!$I$1:$I$1001,,0)</f>
        <v>No</v>
      </c>
    </row>
    <row r="244" spans="1:20"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INDEX(products!$A$1:$I$49,MATCH('Conditional Fomating'!$D244,products!$A$1:$A$49,0),MATCH('Conditional Fomating'!I$1,products!$A$1:$D$1,0))</f>
        <v>Exc</v>
      </c>
      <c r="J244" t="str">
        <f t="shared" si="18"/>
        <v>Excelsa</v>
      </c>
      <c r="K244" t="str">
        <f>INDEX(products!$A$1:$I$49,MATCH('Conditional Fomating'!$D244,products!$A$1:$A$49,0),MATCH('Conditional Fomating'!K$1,products!$A$1:$D$1,0))</f>
        <v>D</v>
      </c>
      <c r="L244" t="str">
        <f t="shared" si="19"/>
        <v>Dark</v>
      </c>
      <c r="M244">
        <f>INDEX(products!$A$1:$I$49,MATCH('Conditional Fomating'!$D244,products!$A$1:$A$49,0),MATCH('Conditional Fomating'!M$1,products!$A$1:$D$1,0))</f>
        <v>1</v>
      </c>
      <c r="N244">
        <f>_xlfn.XLOOKUP(D244,products!$A$2:$A$49,products!$E$2:$E$49)</f>
        <v>12.15</v>
      </c>
      <c r="O244">
        <f>_xlfn.XLOOKUP(D244,products!$A$2:$A$49,products!$H$2:$H$49)</f>
        <v>10.813500000000001</v>
      </c>
      <c r="P244">
        <f t="shared" si="20"/>
        <v>36.450000000000003</v>
      </c>
      <c r="Q244">
        <f t="shared" si="21"/>
        <v>32.4405</v>
      </c>
      <c r="R244">
        <f t="shared" si="22"/>
        <v>4.0095000000000027</v>
      </c>
      <c r="S244" s="4">
        <f t="shared" si="23"/>
        <v>0.11000000000000007</v>
      </c>
      <c r="T244" t="str">
        <f>_xlfn.XLOOKUP(C244,customers!$A$1:$A$1001,customers!$I$1:$I$1001,,0)</f>
        <v>Yes</v>
      </c>
    </row>
    <row r="245" spans="1:20"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INDEX(products!$A$1:$I$49,MATCH('Conditional Fomating'!$D245,products!$A$1:$A$49,0),MATCH('Conditional Fomating'!I$1,products!$A$1:$D$1,0))</f>
        <v>Exc</v>
      </c>
      <c r="J245" t="str">
        <f t="shared" si="18"/>
        <v>Excelsa</v>
      </c>
      <c r="K245" t="str">
        <f>INDEX(products!$A$1:$I$49,MATCH('Conditional Fomating'!$D245,products!$A$1:$A$49,0),MATCH('Conditional Fomating'!K$1,products!$A$1:$D$1,0))</f>
        <v>D</v>
      </c>
      <c r="L245" t="str">
        <f t="shared" si="19"/>
        <v>Dark</v>
      </c>
      <c r="M245">
        <f>INDEX(products!$A$1:$I$49,MATCH('Conditional Fomating'!$D245,products!$A$1:$A$49,0),MATCH('Conditional Fomating'!M$1,products!$A$1:$D$1,0))</f>
        <v>0.5</v>
      </c>
      <c r="N245">
        <f>_xlfn.XLOOKUP(D245,products!$A$2:$A$49,products!$E$2:$E$49)</f>
        <v>7.29</v>
      </c>
      <c r="O245">
        <f>_xlfn.XLOOKUP(D245,products!$A$2:$A$49,products!$H$2:$H$49)</f>
        <v>6.4881000000000002</v>
      </c>
      <c r="P245">
        <f t="shared" si="20"/>
        <v>29.16</v>
      </c>
      <c r="Q245">
        <f t="shared" si="21"/>
        <v>25.952400000000001</v>
      </c>
      <c r="R245">
        <f t="shared" si="22"/>
        <v>3.2075999999999993</v>
      </c>
      <c r="S245" s="4">
        <f t="shared" si="23"/>
        <v>0.10999999999999997</v>
      </c>
      <c r="T245" t="str">
        <f>_xlfn.XLOOKUP(C245,customers!$A$1:$A$1001,customers!$I$1:$I$1001,,0)</f>
        <v>Yes</v>
      </c>
    </row>
    <row r="246" spans="1:20"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INDEX(products!$A$1:$I$49,MATCH('Conditional Fomating'!$D246,products!$A$1:$A$49,0),MATCH('Conditional Fomating'!I$1,products!$A$1:$D$1,0))</f>
        <v>Lib</v>
      </c>
      <c r="J246" t="str">
        <f t="shared" si="18"/>
        <v>Liberica</v>
      </c>
      <c r="K246" t="str">
        <f>INDEX(products!$A$1:$I$49,MATCH('Conditional Fomating'!$D246,products!$A$1:$A$49,0),MATCH('Conditional Fomating'!K$1,products!$A$1:$D$1,0))</f>
        <v>M</v>
      </c>
      <c r="L246" t="str">
        <f t="shared" si="19"/>
        <v>Medium</v>
      </c>
      <c r="M246">
        <f>INDEX(products!$A$1:$I$49,MATCH('Conditional Fomating'!$D246,products!$A$1:$A$49,0),MATCH('Conditional Fomating'!M$1,products!$A$1:$D$1,0))</f>
        <v>2.5</v>
      </c>
      <c r="N246">
        <f>_xlfn.XLOOKUP(D246,products!$A$2:$A$49,products!$E$2:$E$49)</f>
        <v>33.464999999999996</v>
      </c>
      <c r="O246">
        <f>_xlfn.XLOOKUP(D246,products!$A$2:$A$49,products!$H$2:$H$49)</f>
        <v>29.114549999999998</v>
      </c>
      <c r="P246">
        <f t="shared" si="20"/>
        <v>133.85999999999999</v>
      </c>
      <c r="Q246">
        <f t="shared" si="21"/>
        <v>116.45819999999999</v>
      </c>
      <c r="R246">
        <f t="shared" si="22"/>
        <v>17.401799999999994</v>
      </c>
      <c r="S246" s="4">
        <f t="shared" si="23"/>
        <v>0.12999999999999998</v>
      </c>
      <c r="T246" t="str">
        <f>_xlfn.XLOOKUP(C246,customers!$A$1:$A$1001,customers!$I$1:$I$1001,,0)</f>
        <v>No</v>
      </c>
    </row>
    <row r="247" spans="1:20"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INDEX(products!$A$1:$I$49,MATCH('Conditional Fomating'!$D247,products!$A$1:$A$49,0),MATCH('Conditional Fomating'!I$1,products!$A$1:$D$1,0))</f>
        <v>Lib</v>
      </c>
      <c r="J247" t="str">
        <f t="shared" si="18"/>
        <v>Liberica</v>
      </c>
      <c r="K247" t="str">
        <f>INDEX(products!$A$1:$I$49,MATCH('Conditional Fomating'!$D247,products!$A$1:$A$49,0),MATCH('Conditional Fomating'!K$1,products!$A$1:$D$1,0))</f>
        <v>L</v>
      </c>
      <c r="L247" t="str">
        <f t="shared" si="19"/>
        <v>Light</v>
      </c>
      <c r="M247">
        <f>INDEX(products!$A$1:$I$49,MATCH('Conditional Fomating'!$D247,products!$A$1:$A$49,0),MATCH('Conditional Fomating'!M$1,products!$A$1:$D$1,0))</f>
        <v>0.2</v>
      </c>
      <c r="N247">
        <f>_xlfn.XLOOKUP(D247,products!$A$2:$A$49,products!$E$2:$E$49)</f>
        <v>4.7549999999999999</v>
      </c>
      <c r="O247">
        <f>_xlfn.XLOOKUP(D247,products!$A$2:$A$49,products!$H$2:$H$49)</f>
        <v>4.1368499999999999</v>
      </c>
      <c r="P247">
        <f t="shared" si="20"/>
        <v>23.774999999999999</v>
      </c>
      <c r="Q247">
        <f t="shared" si="21"/>
        <v>20.684249999999999</v>
      </c>
      <c r="R247">
        <f t="shared" si="22"/>
        <v>3.0907499999999999</v>
      </c>
      <c r="S247" s="4">
        <f t="shared" si="23"/>
        <v>0.13</v>
      </c>
      <c r="T247" t="str">
        <f>_xlfn.XLOOKUP(C247,customers!$A$1:$A$1001,customers!$I$1:$I$1001,,0)</f>
        <v>Yes</v>
      </c>
    </row>
    <row r="248" spans="1:20"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INDEX(products!$A$1:$I$49,MATCH('Conditional Fomating'!$D248,products!$A$1:$A$49,0),MATCH('Conditional Fomating'!I$1,products!$A$1:$D$1,0))</f>
        <v>Lib</v>
      </c>
      <c r="J248" t="str">
        <f t="shared" si="18"/>
        <v>Liberica</v>
      </c>
      <c r="K248" t="str">
        <f>INDEX(products!$A$1:$I$49,MATCH('Conditional Fomating'!$D248,products!$A$1:$A$49,0),MATCH('Conditional Fomating'!K$1,products!$A$1:$D$1,0))</f>
        <v>D</v>
      </c>
      <c r="L248" t="str">
        <f t="shared" si="19"/>
        <v>Dark</v>
      </c>
      <c r="M248">
        <f>INDEX(products!$A$1:$I$49,MATCH('Conditional Fomating'!$D248,products!$A$1:$A$49,0),MATCH('Conditional Fomating'!M$1,products!$A$1:$D$1,0))</f>
        <v>1</v>
      </c>
      <c r="N248">
        <f>_xlfn.XLOOKUP(D248,products!$A$2:$A$49,products!$E$2:$E$49)</f>
        <v>12.95</v>
      </c>
      <c r="O248">
        <f>_xlfn.XLOOKUP(D248,products!$A$2:$A$49,products!$H$2:$H$49)</f>
        <v>11.266499999999999</v>
      </c>
      <c r="P248">
        <f t="shared" si="20"/>
        <v>38.849999999999994</v>
      </c>
      <c r="Q248">
        <f t="shared" si="21"/>
        <v>33.799499999999995</v>
      </c>
      <c r="R248">
        <f t="shared" si="22"/>
        <v>5.0504999999999995</v>
      </c>
      <c r="S248" s="4">
        <f t="shared" si="23"/>
        <v>0.13</v>
      </c>
      <c r="T248" t="str">
        <f>_xlfn.XLOOKUP(C248,customers!$A$1:$A$1001,customers!$I$1:$I$1001,,0)</f>
        <v>No</v>
      </c>
    </row>
    <row r="249" spans="1:20"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v>
      </c>
      <c r="H249" s="2" t="str">
        <f>_xlfn.XLOOKUP(C249,customers!$A$1:$A$1001,customers!$G$1:$G$1001,,0)</f>
        <v>Ireland</v>
      </c>
      <c r="I249" t="str">
        <f>INDEX(products!$A$1:$I$49,MATCH('Conditional Fomating'!$D249,products!$A$1:$A$49,0),MATCH('Conditional Fomating'!I$1,products!$A$1:$D$1,0))</f>
        <v>Rob</v>
      </c>
      <c r="J249" t="str">
        <f t="shared" si="18"/>
        <v>Robusta</v>
      </c>
      <c r="K249" t="str">
        <f>INDEX(products!$A$1:$I$49,MATCH('Conditional Fomating'!$D249,products!$A$1:$A$49,0),MATCH('Conditional Fomating'!K$1,products!$A$1:$D$1,0))</f>
        <v>L</v>
      </c>
      <c r="L249" t="str">
        <f t="shared" si="19"/>
        <v>Light</v>
      </c>
      <c r="M249">
        <f>INDEX(products!$A$1:$I$49,MATCH('Conditional Fomating'!$D249,products!$A$1:$A$49,0),MATCH('Conditional Fomating'!M$1,products!$A$1:$D$1,0))</f>
        <v>0.2</v>
      </c>
      <c r="N249">
        <f>_xlfn.XLOOKUP(D249,products!$A$2:$A$49,products!$E$2:$E$49)</f>
        <v>3.5849999999999995</v>
      </c>
      <c r="O249">
        <f>_xlfn.XLOOKUP(D249,products!$A$2:$A$49,products!$H$2:$H$49)</f>
        <v>3.3698999999999995</v>
      </c>
      <c r="P249">
        <f t="shared" si="20"/>
        <v>21.509999999999998</v>
      </c>
      <c r="Q249">
        <f t="shared" si="21"/>
        <v>20.219399999999997</v>
      </c>
      <c r="R249">
        <f t="shared" si="22"/>
        <v>1.2906000000000013</v>
      </c>
      <c r="S249" s="4">
        <f t="shared" si="23"/>
        <v>6.0000000000000067E-2</v>
      </c>
      <c r="T249" t="str">
        <f>_xlfn.XLOOKUP(C249,customers!$A$1:$A$1001,customers!$I$1:$I$1001,,0)</f>
        <v>Yes</v>
      </c>
    </row>
    <row r="250" spans="1:20"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INDEX(products!$A$1:$I$49,MATCH('Conditional Fomating'!$D250,products!$A$1:$A$49,0),MATCH('Conditional Fomating'!I$1,products!$A$1:$D$1,0))</f>
        <v>Ara</v>
      </c>
      <c r="J250" t="str">
        <f t="shared" si="18"/>
        <v>Arabica</v>
      </c>
      <c r="K250" t="str">
        <f>INDEX(products!$A$1:$I$49,MATCH('Conditional Fomating'!$D250,products!$A$1:$A$49,0),MATCH('Conditional Fomating'!K$1,products!$A$1:$D$1,0))</f>
        <v>D</v>
      </c>
      <c r="L250" t="str">
        <f t="shared" si="19"/>
        <v>Dark</v>
      </c>
      <c r="M250">
        <f>INDEX(products!$A$1:$I$49,MATCH('Conditional Fomating'!$D250,products!$A$1:$A$49,0),MATCH('Conditional Fomating'!M$1,products!$A$1:$D$1,0))</f>
        <v>1</v>
      </c>
      <c r="N250">
        <f>_xlfn.XLOOKUP(D250,products!$A$2:$A$49,products!$E$2:$E$49)</f>
        <v>9.9499999999999993</v>
      </c>
      <c r="O250">
        <f>_xlfn.XLOOKUP(D250,products!$A$2:$A$49,products!$H$2:$H$49)</f>
        <v>9.0544999999999991</v>
      </c>
      <c r="P250">
        <f t="shared" si="20"/>
        <v>9.9499999999999993</v>
      </c>
      <c r="Q250">
        <f t="shared" si="21"/>
        <v>9.0544999999999991</v>
      </c>
      <c r="R250">
        <f t="shared" si="22"/>
        <v>0.89550000000000018</v>
      </c>
      <c r="S250" s="4">
        <f t="shared" si="23"/>
        <v>9.0000000000000024E-2</v>
      </c>
      <c r="T250" t="str">
        <f>_xlfn.XLOOKUP(C250,customers!$A$1:$A$1001,customers!$I$1:$I$1001,,0)</f>
        <v>Yes</v>
      </c>
    </row>
    <row r="251" spans="1:20"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INDEX(products!$A$1:$I$49,MATCH('Conditional Fomating'!$D251,products!$A$1:$A$49,0),MATCH('Conditional Fomating'!I$1,products!$A$1:$D$1,0))</f>
        <v>Lib</v>
      </c>
      <c r="J251" t="str">
        <f t="shared" si="18"/>
        <v>Liberica</v>
      </c>
      <c r="K251" t="str">
        <f>INDEX(products!$A$1:$I$49,MATCH('Conditional Fomating'!$D251,products!$A$1:$A$49,0),MATCH('Conditional Fomating'!K$1,products!$A$1:$D$1,0))</f>
        <v>L</v>
      </c>
      <c r="L251" t="str">
        <f t="shared" si="19"/>
        <v>Light</v>
      </c>
      <c r="M251">
        <f>INDEX(products!$A$1:$I$49,MATCH('Conditional Fomating'!$D251,products!$A$1:$A$49,0),MATCH('Conditional Fomating'!M$1,products!$A$1:$D$1,0))</f>
        <v>1</v>
      </c>
      <c r="N251">
        <f>_xlfn.XLOOKUP(D251,products!$A$2:$A$49,products!$E$2:$E$49)</f>
        <v>15.85</v>
      </c>
      <c r="O251">
        <f>_xlfn.XLOOKUP(D251,products!$A$2:$A$49,products!$H$2:$H$49)</f>
        <v>13.7895</v>
      </c>
      <c r="P251">
        <f t="shared" si="20"/>
        <v>15.85</v>
      </c>
      <c r="Q251">
        <f t="shared" si="21"/>
        <v>13.7895</v>
      </c>
      <c r="R251">
        <f t="shared" si="22"/>
        <v>2.0604999999999993</v>
      </c>
      <c r="S251" s="4">
        <f t="shared" si="23"/>
        <v>0.12999999999999995</v>
      </c>
      <c r="T251" t="str">
        <f>_xlfn.XLOOKUP(C251,customers!$A$1:$A$1001,customers!$I$1:$I$1001,,0)</f>
        <v>Yes</v>
      </c>
    </row>
    <row r="252" spans="1:20"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INDEX(products!$A$1:$I$49,MATCH('Conditional Fomating'!$D252,products!$A$1:$A$49,0),MATCH('Conditional Fomating'!I$1,products!$A$1:$D$1,0))</f>
        <v>Rob</v>
      </c>
      <c r="J252" t="str">
        <f t="shared" si="18"/>
        <v>Robusta</v>
      </c>
      <c r="K252" t="str">
        <f>INDEX(products!$A$1:$I$49,MATCH('Conditional Fomating'!$D252,products!$A$1:$A$49,0),MATCH('Conditional Fomating'!K$1,products!$A$1:$D$1,0))</f>
        <v>M</v>
      </c>
      <c r="L252" t="str">
        <f t="shared" si="19"/>
        <v>Medium</v>
      </c>
      <c r="M252">
        <f>INDEX(products!$A$1:$I$49,MATCH('Conditional Fomating'!$D252,products!$A$1:$A$49,0),MATCH('Conditional Fomating'!M$1,products!$A$1:$D$1,0))</f>
        <v>0.2</v>
      </c>
      <c r="N252">
        <f>_xlfn.XLOOKUP(D252,products!$A$2:$A$49,products!$E$2:$E$49)</f>
        <v>2.9849999999999999</v>
      </c>
      <c r="O252">
        <f>_xlfn.XLOOKUP(D252,products!$A$2:$A$49,products!$H$2:$H$49)</f>
        <v>2.8058999999999998</v>
      </c>
      <c r="P252">
        <f t="shared" si="20"/>
        <v>2.9849999999999999</v>
      </c>
      <c r="Q252">
        <f t="shared" si="21"/>
        <v>2.8058999999999998</v>
      </c>
      <c r="R252">
        <f t="shared" si="22"/>
        <v>0.17910000000000004</v>
      </c>
      <c r="S252" s="4">
        <f t="shared" si="23"/>
        <v>6.0000000000000012E-2</v>
      </c>
      <c r="T252" t="str">
        <f>_xlfn.XLOOKUP(C252,customers!$A$1:$A$1001,customers!$I$1:$I$1001,,0)</f>
        <v>Yes</v>
      </c>
    </row>
    <row r="253" spans="1:20"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INDEX(products!$A$1:$I$49,MATCH('Conditional Fomating'!$D253,products!$A$1:$A$49,0),MATCH('Conditional Fomating'!I$1,products!$A$1:$D$1,0))</f>
        <v>Exc</v>
      </c>
      <c r="J253" t="str">
        <f t="shared" si="18"/>
        <v>Excelsa</v>
      </c>
      <c r="K253" t="str">
        <f>INDEX(products!$A$1:$I$49,MATCH('Conditional Fomating'!$D253,products!$A$1:$A$49,0),MATCH('Conditional Fomating'!K$1,products!$A$1:$D$1,0))</f>
        <v>M</v>
      </c>
      <c r="L253" t="str">
        <f t="shared" si="19"/>
        <v>Medium</v>
      </c>
      <c r="M253">
        <f>INDEX(products!$A$1:$I$49,MATCH('Conditional Fomating'!$D253,products!$A$1:$A$49,0),MATCH('Conditional Fomating'!M$1,products!$A$1:$D$1,0))</f>
        <v>1</v>
      </c>
      <c r="N253">
        <f>_xlfn.XLOOKUP(D253,products!$A$2:$A$49,products!$E$2:$E$49)</f>
        <v>13.75</v>
      </c>
      <c r="O253">
        <f>_xlfn.XLOOKUP(D253,products!$A$2:$A$49,products!$H$2:$H$49)</f>
        <v>12.237500000000001</v>
      </c>
      <c r="P253">
        <f t="shared" si="20"/>
        <v>68.75</v>
      </c>
      <c r="Q253">
        <f t="shared" si="21"/>
        <v>61.1875</v>
      </c>
      <c r="R253">
        <f t="shared" si="22"/>
        <v>7.5625</v>
      </c>
      <c r="S253" s="4">
        <f t="shared" si="23"/>
        <v>0.11</v>
      </c>
      <c r="T253" t="str">
        <f>_xlfn.XLOOKUP(C253,customers!$A$1:$A$1001,customers!$I$1:$I$1001,,0)</f>
        <v>Yes</v>
      </c>
    </row>
    <row r="254" spans="1:20"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v>
      </c>
      <c r="H254" s="2" t="str">
        <f>_xlfn.XLOOKUP(C254,customers!$A$1:$A$1001,customers!$G$1:$G$1001,,0)</f>
        <v>United States</v>
      </c>
      <c r="I254" t="str">
        <f>INDEX(products!$A$1:$I$49,MATCH('Conditional Fomating'!$D254,products!$A$1:$A$49,0),MATCH('Conditional Fomating'!I$1,products!$A$1:$D$1,0))</f>
        <v>Ara</v>
      </c>
      <c r="J254" t="str">
        <f t="shared" si="18"/>
        <v>Arabica</v>
      </c>
      <c r="K254" t="str">
        <f>INDEX(products!$A$1:$I$49,MATCH('Conditional Fomating'!$D254,products!$A$1:$A$49,0),MATCH('Conditional Fomating'!K$1,products!$A$1:$D$1,0))</f>
        <v>D</v>
      </c>
      <c r="L254" t="str">
        <f t="shared" si="19"/>
        <v>Dark</v>
      </c>
      <c r="M254">
        <f>INDEX(products!$A$1:$I$49,MATCH('Conditional Fomating'!$D254,products!$A$1:$A$49,0),MATCH('Conditional Fomating'!M$1,products!$A$1:$D$1,0))</f>
        <v>1</v>
      </c>
      <c r="N254">
        <f>_xlfn.XLOOKUP(D254,products!$A$2:$A$49,products!$E$2:$E$49)</f>
        <v>9.9499999999999993</v>
      </c>
      <c r="O254">
        <f>_xlfn.XLOOKUP(D254,products!$A$2:$A$49,products!$H$2:$H$49)</f>
        <v>9.0544999999999991</v>
      </c>
      <c r="P254">
        <f t="shared" si="20"/>
        <v>29.849999999999998</v>
      </c>
      <c r="Q254">
        <f t="shared" si="21"/>
        <v>27.163499999999999</v>
      </c>
      <c r="R254">
        <f t="shared" si="22"/>
        <v>2.6864999999999988</v>
      </c>
      <c r="S254" s="4">
        <f t="shared" si="23"/>
        <v>8.9999999999999969E-2</v>
      </c>
      <c r="T254" t="str">
        <f>_xlfn.XLOOKUP(C254,customers!$A$1:$A$1001,customers!$I$1:$I$1001,,0)</f>
        <v>No</v>
      </c>
    </row>
    <row r="255" spans="1:20"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INDEX(products!$A$1:$I$49,MATCH('Conditional Fomating'!$D255,products!$A$1:$A$49,0),MATCH('Conditional Fomating'!I$1,products!$A$1:$D$1,0))</f>
        <v>Lib</v>
      </c>
      <c r="J255" t="str">
        <f t="shared" si="18"/>
        <v>Liberica</v>
      </c>
      <c r="K255" t="str">
        <f>INDEX(products!$A$1:$I$49,MATCH('Conditional Fomating'!$D255,products!$A$1:$A$49,0),MATCH('Conditional Fomating'!K$1,products!$A$1:$D$1,0))</f>
        <v>M</v>
      </c>
      <c r="L255" t="str">
        <f t="shared" si="19"/>
        <v>Medium</v>
      </c>
      <c r="M255">
        <f>INDEX(products!$A$1:$I$49,MATCH('Conditional Fomating'!$D255,products!$A$1:$A$49,0),MATCH('Conditional Fomating'!M$1,products!$A$1:$D$1,0))</f>
        <v>1</v>
      </c>
      <c r="N255">
        <f>_xlfn.XLOOKUP(D255,products!$A$2:$A$49,products!$E$2:$E$49)</f>
        <v>14.55</v>
      </c>
      <c r="O255">
        <f>_xlfn.XLOOKUP(D255,products!$A$2:$A$49,products!$H$2:$H$49)</f>
        <v>12.6585</v>
      </c>
      <c r="P255">
        <f t="shared" si="20"/>
        <v>58.2</v>
      </c>
      <c r="Q255">
        <f t="shared" si="21"/>
        <v>50.634</v>
      </c>
      <c r="R255">
        <f t="shared" si="22"/>
        <v>7.5660000000000025</v>
      </c>
      <c r="S255" s="4">
        <f t="shared" si="23"/>
        <v>0.13000000000000003</v>
      </c>
      <c r="T255" t="str">
        <f>_xlfn.XLOOKUP(C255,customers!$A$1:$A$1001,customers!$I$1:$I$1001,,0)</f>
        <v>No</v>
      </c>
    </row>
    <row r="256" spans="1:20"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INDEX(products!$A$1:$I$49,MATCH('Conditional Fomating'!$D256,products!$A$1:$A$49,0),MATCH('Conditional Fomating'!I$1,products!$A$1:$D$1,0))</f>
        <v>Rob</v>
      </c>
      <c r="J256" t="str">
        <f t="shared" si="18"/>
        <v>Robusta</v>
      </c>
      <c r="K256" t="str">
        <f>INDEX(products!$A$1:$I$49,MATCH('Conditional Fomating'!$D256,products!$A$1:$A$49,0),MATCH('Conditional Fomating'!K$1,products!$A$1:$D$1,0))</f>
        <v>L</v>
      </c>
      <c r="L256" t="str">
        <f t="shared" si="19"/>
        <v>Light</v>
      </c>
      <c r="M256">
        <f>INDEX(products!$A$1:$I$49,MATCH('Conditional Fomating'!$D256,products!$A$1:$A$49,0),MATCH('Conditional Fomating'!M$1,products!$A$1:$D$1,0))</f>
        <v>0.5</v>
      </c>
      <c r="N256">
        <f>_xlfn.XLOOKUP(D256,products!$A$2:$A$49,products!$E$2:$E$49)</f>
        <v>7.169999999999999</v>
      </c>
      <c r="O256">
        <f>_xlfn.XLOOKUP(D256,products!$A$2:$A$49,products!$H$2:$H$49)</f>
        <v>6.7397999999999989</v>
      </c>
      <c r="P256">
        <f t="shared" si="20"/>
        <v>28.679999999999996</v>
      </c>
      <c r="Q256">
        <f t="shared" si="21"/>
        <v>26.959199999999996</v>
      </c>
      <c r="R256">
        <f t="shared" si="22"/>
        <v>1.7208000000000006</v>
      </c>
      <c r="S256" s="4">
        <f t="shared" si="23"/>
        <v>6.0000000000000026E-2</v>
      </c>
      <c r="T256" t="str">
        <f>_xlfn.XLOOKUP(C256,customers!$A$1:$A$1001,customers!$I$1:$I$1001,,0)</f>
        <v>No</v>
      </c>
    </row>
    <row r="257" spans="1:20"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INDEX(products!$A$1:$I$49,MATCH('Conditional Fomating'!$D257,products!$A$1:$A$49,0),MATCH('Conditional Fomating'!I$1,products!$A$1:$D$1,0))</f>
        <v>Rob</v>
      </c>
      <c r="J257" t="str">
        <f t="shared" si="18"/>
        <v>Robusta</v>
      </c>
      <c r="K257" t="str">
        <f>INDEX(products!$A$1:$I$49,MATCH('Conditional Fomating'!$D257,products!$A$1:$A$49,0),MATCH('Conditional Fomating'!K$1,products!$A$1:$D$1,0))</f>
        <v>L</v>
      </c>
      <c r="L257" t="str">
        <f t="shared" si="19"/>
        <v>Light</v>
      </c>
      <c r="M257">
        <f>INDEX(products!$A$1:$I$49,MATCH('Conditional Fomating'!$D257,products!$A$1:$A$49,0),MATCH('Conditional Fomating'!M$1,products!$A$1:$D$1,0))</f>
        <v>0.5</v>
      </c>
      <c r="N257">
        <f>_xlfn.XLOOKUP(D257,products!$A$2:$A$49,products!$E$2:$E$49)</f>
        <v>7.169999999999999</v>
      </c>
      <c r="O257">
        <f>_xlfn.XLOOKUP(D257,products!$A$2:$A$49,products!$H$2:$H$49)</f>
        <v>6.7397999999999989</v>
      </c>
      <c r="P257">
        <f t="shared" si="20"/>
        <v>21.509999999999998</v>
      </c>
      <c r="Q257">
        <f t="shared" si="21"/>
        <v>20.219399999999997</v>
      </c>
      <c r="R257">
        <f t="shared" si="22"/>
        <v>1.2906000000000013</v>
      </c>
      <c r="S257" s="4">
        <f t="shared" si="23"/>
        <v>6.0000000000000067E-2</v>
      </c>
      <c r="T257" t="str">
        <f>_xlfn.XLOOKUP(C257,customers!$A$1:$A$1001,customers!$I$1:$I$1001,,0)</f>
        <v>No</v>
      </c>
    </row>
    <row r="258" spans="1:20"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INDEX(products!$A$1:$I$49,MATCH('Conditional Fomating'!$D258,products!$A$1:$A$49,0),MATCH('Conditional Fomating'!I$1,products!$A$1:$D$1,0))</f>
        <v>Lib</v>
      </c>
      <c r="J258" t="str">
        <f t="shared" si="18"/>
        <v>Liberica</v>
      </c>
      <c r="K258" t="str">
        <f>INDEX(products!$A$1:$I$49,MATCH('Conditional Fomating'!$D258,products!$A$1:$A$49,0),MATCH('Conditional Fomating'!K$1,products!$A$1:$D$1,0))</f>
        <v>M</v>
      </c>
      <c r="L258" t="str">
        <f t="shared" si="19"/>
        <v>Medium</v>
      </c>
      <c r="M258">
        <f>INDEX(products!$A$1:$I$49,MATCH('Conditional Fomating'!$D258,products!$A$1:$A$49,0),MATCH('Conditional Fomating'!M$1,products!$A$1:$D$1,0))</f>
        <v>0.5</v>
      </c>
      <c r="N258">
        <f>_xlfn.XLOOKUP(D258,products!$A$2:$A$49,products!$E$2:$E$49)</f>
        <v>8.73</v>
      </c>
      <c r="O258">
        <f>_xlfn.XLOOKUP(D258,products!$A$2:$A$49,products!$H$2:$H$49)</f>
        <v>7.5951000000000004</v>
      </c>
      <c r="P258">
        <f t="shared" si="20"/>
        <v>17.46</v>
      </c>
      <c r="Q258">
        <f t="shared" si="21"/>
        <v>15.190200000000001</v>
      </c>
      <c r="R258">
        <f t="shared" si="22"/>
        <v>2.2698</v>
      </c>
      <c r="S258" s="4">
        <f t="shared" si="23"/>
        <v>0.13</v>
      </c>
      <c r="T258" t="str">
        <f>_xlfn.XLOOKUP(C258,customers!$A$1:$A$1001,customers!$I$1:$I$1001,,0)</f>
        <v>Yes</v>
      </c>
    </row>
    <row r="259" spans="1:20"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INDEX(products!$A$1:$I$49,MATCH('Conditional Fomating'!$D259,products!$A$1:$A$49,0),MATCH('Conditional Fomating'!I$1,products!$A$1:$D$1,0))</f>
        <v>Exc</v>
      </c>
      <c r="J259" t="str">
        <f t="shared" ref="J259:J322" si="24">IF(I259="Rob","Robusta",IF(I259="Exc","Excelsa",IF(I259="Ara","Arabica",IF(I259="Lib","Liberica",""))))</f>
        <v>Excelsa</v>
      </c>
      <c r="K259" t="str">
        <f>INDEX(products!$A$1:$I$49,MATCH('Conditional Fomating'!$D259,products!$A$1:$A$49,0),MATCH('Conditional Fomating'!K$1,products!$A$1:$D$1,0))</f>
        <v>D</v>
      </c>
      <c r="L259" t="str">
        <f t="shared" ref="L259:L322" si="25">IF(K259="M","Medium",IF(K259="L","Light",IF(K259="D","Dark","")))</f>
        <v>Dark</v>
      </c>
      <c r="M259">
        <f>INDEX(products!$A$1:$I$49,MATCH('Conditional Fomating'!$D259,products!$A$1:$A$49,0),MATCH('Conditional Fomating'!M$1,products!$A$1:$D$1,0))</f>
        <v>2.5</v>
      </c>
      <c r="N259">
        <f>_xlfn.XLOOKUP(D259,products!$A$2:$A$49,products!$E$2:$E$49)</f>
        <v>27.945</v>
      </c>
      <c r="O259">
        <f>_xlfn.XLOOKUP(D259,products!$A$2:$A$49,products!$H$2:$H$49)</f>
        <v>24.87105</v>
      </c>
      <c r="P259">
        <f t="shared" ref="P259:P322" si="26">N259*E259</f>
        <v>27.945</v>
      </c>
      <c r="Q259">
        <f t="shared" ref="Q259:Q322" si="27">O259*E259</f>
        <v>24.87105</v>
      </c>
      <c r="R259">
        <f t="shared" ref="R259:R322" si="28">P259-Q259</f>
        <v>3.07395</v>
      </c>
      <c r="S259" s="4">
        <f t="shared" ref="S259:S322" si="29">R259/P259</f>
        <v>0.11</v>
      </c>
      <c r="T259" t="str">
        <f>_xlfn.XLOOKUP(C259,customers!$A$1:$A$1001,customers!$I$1:$I$1001,,0)</f>
        <v>Yes</v>
      </c>
    </row>
    <row r="260" spans="1:20"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INDEX(products!$A$1:$I$49,MATCH('Conditional Fomating'!$D260,products!$A$1:$A$49,0),MATCH('Conditional Fomating'!I$1,products!$A$1:$D$1,0))</f>
        <v>Exc</v>
      </c>
      <c r="J260" t="str">
        <f t="shared" si="24"/>
        <v>Excelsa</v>
      </c>
      <c r="K260" t="str">
        <f>INDEX(products!$A$1:$I$49,MATCH('Conditional Fomating'!$D260,products!$A$1:$A$49,0),MATCH('Conditional Fomating'!K$1,products!$A$1:$D$1,0))</f>
        <v>D</v>
      </c>
      <c r="L260" t="str">
        <f t="shared" si="25"/>
        <v>Dark</v>
      </c>
      <c r="M260">
        <f>INDEX(products!$A$1:$I$49,MATCH('Conditional Fomating'!$D260,products!$A$1:$A$49,0),MATCH('Conditional Fomating'!M$1,products!$A$1:$D$1,0))</f>
        <v>2.5</v>
      </c>
      <c r="N260">
        <f>_xlfn.XLOOKUP(D260,products!$A$2:$A$49,products!$E$2:$E$49)</f>
        <v>27.945</v>
      </c>
      <c r="O260">
        <f>_xlfn.XLOOKUP(D260,products!$A$2:$A$49,products!$H$2:$H$49)</f>
        <v>24.87105</v>
      </c>
      <c r="P260">
        <f t="shared" si="26"/>
        <v>139.72499999999999</v>
      </c>
      <c r="Q260">
        <f t="shared" si="27"/>
        <v>124.35525</v>
      </c>
      <c r="R260">
        <f t="shared" si="28"/>
        <v>15.369749999999996</v>
      </c>
      <c r="S260" s="4">
        <f t="shared" si="29"/>
        <v>0.10999999999999997</v>
      </c>
      <c r="T260" t="str">
        <f>_xlfn.XLOOKUP(C260,customers!$A$1:$A$1001,customers!$I$1:$I$1001,,0)</f>
        <v>No</v>
      </c>
    </row>
    <row r="261" spans="1:20"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INDEX(products!$A$1:$I$49,MATCH('Conditional Fomating'!$D261,products!$A$1:$A$49,0),MATCH('Conditional Fomating'!I$1,products!$A$1:$D$1,0))</f>
        <v>Rob</v>
      </c>
      <c r="J261" t="str">
        <f t="shared" si="24"/>
        <v>Robusta</v>
      </c>
      <c r="K261" t="str">
        <f>INDEX(products!$A$1:$I$49,MATCH('Conditional Fomating'!$D261,products!$A$1:$A$49,0),MATCH('Conditional Fomating'!K$1,products!$A$1:$D$1,0))</f>
        <v>M</v>
      </c>
      <c r="L261" t="str">
        <f t="shared" si="25"/>
        <v>Medium</v>
      </c>
      <c r="M261">
        <f>INDEX(products!$A$1:$I$49,MATCH('Conditional Fomating'!$D261,products!$A$1:$A$49,0),MATCH('Conditional Fomating'!M$1,products!$A$1:$D$1,0))</f>
        <v>0.2</v>
      </c>
      <c r="N261">
        <f>_xlfn.XLOOKUP(D261,products!$A$2:$A$49,products!$E$2:$E$49)</f>
        <v>2.9849999999999999</v>
      </c>
      <c r="O261">
        <f>_xlfn.XLOOKUP(D261,products!$A$2:$A$49,products!$H$2:$H$49)</f>
        <v>2.8058999999999998</v>
      </c>
      <c r="P261">
        <f t="shared" si="26"/>
        <v>5.97</v>
      </c>
      <c r="Q261">
        <f t="shared" si="27"/>
        <v>5.6117999999999997</v>
      </c>
      <c r="R261">
        <f t="shared" si="28"/>
        <v>0.35820000000000007</v>
      </c>
      <c r="S261" s="4">
        <f t="shared" si="29"/>
        <v>6.0000000000000012E-2</v>
      </c>
      <c r="T261" t="str">
        <f>_xlfn.XLOOKUP(C261,customers!$A$1:$A$1001,customers!$I$1:$I$1001,,0)</f>
        <v>No</v>
      </c>
    </row>
    <row r="262" spans="1:20"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INDEX(products!$A$1:$I$49,MATCH('Conditional Fomating'!$D262,products!$A$1:$A$49,0),MATCH('Conditional Fomating'!I$1,products!$A$1:$D$1,0))</f>
        <v>Rob</v>
      </c>
      <c r="J262" t="str">
        <f t="shared" si="24"/>
        <v>Robusta</v>
      </c>
      <c r="K262" t="str">
        <f>INDEX(products!$A$1:$I$49,MATCH('Conditional Fomating'!$D262,products!$A$1:$A$49,0),MATCH('Conditional Fomating'!K$1,products!$A$1:$D$1,0))</f>
        <v>L</v>
      </c>
      <c r="L262" t="str">
        <f t="shared" si="25"/>
        <v>Light</v>
      </c>
      <c r="M262">
        <f>INDEX(products!$A$1:$I$49,MATCH('Conditional Fomating'!$D262,products!$A$1:$A$49,0),MATCH('Conditional Fomating'!M$1,products!$A$1:$D$1,0))</f>
        <v>2.5</v>
      </c>
      <c r="N262">
        <f>_xlfn.XLOOKUP(D262,products!$A$2:$A$49,products!$E$2:$E$49)</f>
        <v>27.484999999999996</v>
      </c>
      <c r="O262">
        <f>_xlfn.XLOOKUP(D262,products!$A$2:$A$49,products!$H$2:$H$49)</f>
        <v>25.835899999999995</v>
      </c>
      <c r="P262">
        <f t="shared" si="26"/>
        <v>27.484999999999996</v>
      </c>
      <c r="Q262">
        <f t="shared" si="27"/>
        <v>25.835899999999995</v>
      </c>
      <c r="R262">
        <f t="shared" si="28"/>
        <v>1.6491000000000007</v>
      </c>
      <c r="S262" s="4">
        <f t="shared" si="29"/>
        <v>6.0000000000000032E-2</v>
      </c>
      <c r="T262" t="str">
        <f>_xlfn.XLOOKUP(C262,customers!$A$1:$A$1001,customers!$I$1:$I$1001,,0)</f>
        <v>Yes</v>
      </c>
    </row>
    <row r="263" spans="1:20"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INDEX(products!$A$1:$I$49,MATCH('Conditional Fomating'!$D263,products!$A$1:$A$49,0),MATCH('Conditional Fomating'!I$1,products!$A$1:$D$1,0))</f>
        <v>Rob</v>
      </c>
      <c r="J263" t="str">
        <f t="shared" si="24"/>
        <v>Robusta</v>
      </c>
      <c r="K263" t="str">
        <f>INDEX(products!$A$1:$I$49,MATCH('Conditional Fomating'!$D263,products!$A$1:$A$49,0),MATCH('Conditional Fomating'!K$1,products!$A$1:$D$1,0))</f>
        <v>L</v>
      </c>
      <c r="L263" t="str">
        <f t="shared" si="25"/>
        <v>Light</v>
      </c>
      <c r="M263">
        <f>INDEX(products!$A$1:$I$49,MATCH('Conditional Fomating'!$D263,products!$A$1:$A$49,0),MATCH('Conditional Fomating'!M$1,products!$A$1:$D$1,0))</f>
        <v>1</v>
      </c>
      <c r="N263">
        <f>_xlfn.XLOOKUP(D263,products!$A$2:$A$49,products!$E$2:$E$49)</f>
        <v>11.95</v>
      </c>
      <c r="O263">
        <f>_xlfn.XLOOKUP(D263,products!$A$2:$A$49,products!$H$2:$H$49)</f>
        <v>11.232999999999999</v>
      </c>
      <c r="P263">
        <f t="shared" si="26"/>
        <v>59.75</v>
      </c>
      <c r="Q263">
        <f t="shared" si="27"/>
        <v>56.164999999999992</v>
      </c>
      <c r="R263">
        <f t="shared" si="28"/>
        <v>3.585000000000008</v>
      </c>
      <c r="S263" s="4">
        <f t="shared" si="29"/>
        <v>6.0000000000000137E-2</v>
      </c>
      <c r="T263" t="str">
        <f>_xlfn.XLOOKUP(C263,customers!$A$1:$A$1001,customers!$I$1:$I$1001,,0)</f>
        <v>Yes</v>
      </c>
    </row>
    <row r="264" spans="1:20"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INDEX(products!$A$1:$I$49,MATCH('Conditional Fomating'!$D264,products!$A$1:$A$49,0),MATCH('Conditional Fomating'!I$1,products!$A$1:$D$1,0))</f>
        <v>Exc</v>
      </c>
      <c r="J264" t="str">
        <f t="shared" si="24"/>
        <v>Excelsa</v>
      </c>
      <c r="K264" t="str">
        <f>INDEX(products!$A$1:$I$49,MATCH('Conditional Fomating'!$D264,products!$A$1:$A$49,0),MATCH('Conditional Fomating'!K$1,products!$A$1:$D$1,0))</f>
        <v>M</v>
      </c>
      <c r="L264" t="str">
        <f t="shared" si="25"/>
        <v>Medium</v>
      </c>
      <c r="M264">
        <f>INDEX(products!$A$1:$I$49,MATCH('Conditional Fomating'!$D264,products!$A$1:$A$49,0),MATCH('Conditional Fomating'!M$1,products!$A$1:$D$1,0))</f>
        <v>1</v>
      </c>
      <c r="N264">
        <f>_xlfn.XLOOKUP(D264,products!$A$2:$A$49,products!$E$2:$E$49)</f>
        <v>13.75</v>
      </c>
      <c r="O264">
        <f>_xlfn.XLOOKUP(D264,products!$A$2:$A$49,products!$H$2:$H$49)</f>
        <v>12.237500000000001</v>
      </c>
      <c r="P264">
        <f t="shared" si="26"/>
        <v>41.25</v>
      </c>
      <c r="Q264">
        <f t="shared" si="27"/>
        <v>36.712500000000006</v>
      </c>
      <c r="R264">
        <f t="shared" si="28"/>
        <v>4.5374999999999943</v>
      </c>
      <c r="S264" s="4">
        <f t="shared" si="29"/>
        <v>0.10999999999999986</v>
      </c>
      <c r="T264" t="str">
        <f>_xlfn.XLOOKUP(C264,customers!$A$1:$A$1001,customers!$I$1:$I$1001,,0)</f>
        <v>No</v>
      </c>
    </row>
    <row r="265" spans="1:20"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v>
      </c>
      <c r="H265" s="2" t="str">
        <f>_xlfn.XLOOKUP(C265,customers!$A$1:$A$1001,customers!$G$1:$G$1001,,0)</f>
        <v>United States</v>
      </c>
      <c r="I265" t="str">
        <f>INDEX(products!$A$1:$I$49,MATCH('Conditional Fomating'!$D265,products!$A$1:$A$49,0),MATCH('Conditional Fomating'!I$1,products!$A$1:$D$1,0))</f>
        <v>Lib</v>
      </c>
      <c r="J265" t="str">
        <f t="shared" si="24"/>
        <v>Liberica</v>
      </c>
      <c r="K265" t="str">
        <f>INDEX(products!$A$1:$I$49,MATCH('Conditional Fomating'!$D265,products!$A$1:$A$49,0),MATCH('Conditional Fomating'!K$1,products!$A$1:$D$1,0))</f>
        <v>M</v>
      </c>
      <c r="L265" t="str">
        <f t="shared" si="25"/>
        <v>Medium</v>
      </c>
      <c r="M265">
        <f>INDEX(products!$A$1:$I$49,MATCH('Conditional Fomating'!$D265,products!$A$1:$A$49,0),MATCH('Conditional Fomating'!M$1,products!$A$1:$D$1,0))</f>
        <v>2.5</v>
      </c>
      <c r="N265">
        <f>_xlfn.XLOOKUP(D265,products!$A$2:$A$49,products!$E$2:$E$49)</f>
        <v>33.464999999999996</v>
      </c>
      <c r="O265">
        <f>_xlfn.XLOOKUP(D265,products!$A$2:$A$49,products!$H$2:$H$49)</f>
        <v>29.114549999999998</v>
      </c>
      <c r="P265">
        <f t="shared" si="26"/>
        <v>133.85999999999999</v>
      </c>
      <c r="Q265">
        <f t="shared" si="27"/>
        <v>116.45819999999999</v>
      </c>
      <c r="R265">
        <f t="shared" si="28"/>
        <v>17.401799999999994</v>
      </c>
      <c r="S265" s="4">
        <f t="shared" si="29"/>
        <v>0.12999999999999998</v>
      </c>
      <c r="T265" t="str">
        <f>_xlfn.XLOOKUP(C265,customers!$A$1:$A$1001,customers!$I$1:$I$1001,,0)</f>
        <v>No</v>
      </c>
    </row>
    <row r="266" spans="1:20"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v>
      </c>
      <c r="H266" s="2" t="str">
        <f>_xlfn.XLOOKUP(C266,customers!$A$1:$A$1001,customers!$G$1:$G$1001,,0)</f>
        <v>Ireland</v>
      </c>
      <c r="I266" t="str">
        <f>INDEX(products!$A$1:$I$49,MATCH('Conditional Fomating'!$D266,products!$A$1:$A$49,0),MATCH('Conditional Fomating'!I$1,products!$A$1:$D$1,0))</f>
        <v>Rob</v>
      </c>
      <c r="J266" t="str">
        <f t="shared" si="24"/>
        <v>Robusta</v>
      </c>
      <c r="K266" t="str">
        <f>INDEX(products!$A$1:$I$49,MATCH('Conditional Fomating'!$D266,products!$A$1:$A$49,0),MATCH('Conditional Fomating'!K$1,products!$A$1:$D$1,0))</f>
        <v>L</v>
      </c>
      <c r="L266" t="str">
        <f t="shared" si="25"/>
        <v>Light</v>
      </c>
      <c r="M266">
        <f>INDEX(products!$A$1:$I$49,MATCH('Conditional Fomating'!$D266,products!$A$1:$A$49,0),MATCH('Conditional Fomating'!M$1,products!$A$1:$D$1,0))</f>
        <v>1</v>
      </c>
      <c r="N266">
        <f>_xlfn.XLOOKUP(D266,products!$A$2:$A$49,products!$E$2:$E$49)</f>
        <v>11.95</v>
      </c>
      <c r="O266">
        <f>_xlfn.XLOOKUP(D266,products!$A$2:$A$49,products!$H$2:$H$49)</f>
        <v>11.232999999999999</v>
      </c>
      <c r="P266">
        <f t="shared" si="26"/>
        <v>59.75</v>
      </c>
      <c r="Q266">
        <f t="shared" si="27"/>
        <v>56.164999999999992</v>
      </c>
      <c r="R266">
        <f t="shared" si="28"/>
        <v>3.585000000000008</v>
      </c>
      <c r="S266" s="4">
        <f t="shared" si="29"/>
        <v>6.0000000000000137E-2</v>
      </c>
      <c r="T266" t="str">
        <f>_xlfn.XLOOKUP(C266,customers!$A$1:$A$1001,customers!$I$1:$I$1001,,0)</f>
        <v>Yes</v>
      </c>
    </row>
    <row r="267" spans="1:20"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INDEX(products!$A$1:$I$49,MATCH('Conditional Fomating'!$D267,products!$A$1:$A$49,0),MATCH('Conditional Fomating'!I$1,products!$A$1:$D$1,0))</f>
        <v>Ara</v>
      </c>
      <c r="J267" t="str">
        <f t="shared" si="24"/>
        <v>Arabica</v>
      </c>
      <c r="K267" t="str">
        <f>INDEX(products!$A$1:$I$49,MATCH('Conditional Fomating'!$D267,products!$A$1:$A$49,0),MATCH('Conditional Fomating'!K$1,products!$A$1:$D$1,0))</f>
        <v>D</v>
      </c>
      <c r="L267" t="str">
        <f t="shared" si="25"/>
        <v>Dark</v>
      </c>
      <c r="M267">
        <f>INDEX(products!$A$1:$I$49,MATCH('Conditional Fomating'!$D267,products!$A$1:$A$49,0),MATCH('Conditional Fomating'!M$1,products!$A$1:$D$1,0))</f>
        <v>0.5</v>
      </c>
      <c r="N267">
        <f>_xlfn.XLOOKUP(D267,products!$A$2:$A$49,products!$E$2:$E$49)</f>
        <v>5.97</v>
      </c>
      <c r="O267">
        <f>_xlfn.XLOOKUP(D267,products!$A$2:$A$49,products!$H$2:$H$49)</f>
        <v>5.4326999999999996</v>
      </c>
      <c r="P267">
        <f t="shared" si="26"/>
        <v>5.97</v>
      </c>
      <c r="Q267">
        <f t="shared" si="27"/>
        <v>5.4326999999999996</v>
      </c>
      <c r="R267">
        <f t="shared" si="28"/>
        <v>0.53730000000000011</v>
      </c>
      <c r="S267" s="4">
        <f t="shared" si="29"/>
        <v>9.0000000000000024E-2</v>
      </c>
      <c r="T267" t="str">
        <f>_xlfn.XLOOKUP(C267,customers!$A$1:$A$1001,customers!$I$1:$I$1001,,0)</f>
        <v>Yes</v>
      </c>
    </row>
    <row r="268" spans="1:20"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INDEX(products!$A$1:$I$49,MATCH('Conditional Fomating'!$D268,products!$A$1:$A$49,0),MATCH('Conditional Fomating'!I$1,products!$A$1:$D$1,0))</f>
        <v>Exc</v>
      </c>
      <c r="J268" t="str">
        <f t="shared" si="24"/>
        <v>Excelsa</v>
      </c>
      <c r="K268" t="str">
        <f>INDEX(products!$A$1:$I$49,MATCH('Conditional Fomating'!$D268,products!$A$1:$A$49,0),MATCH('Conditional Fomating'!K$1,products!$A$1:$D$1,0))</f>
        <v>D</v>
      </c>
      <c r="L268" t="str">
        <f t="shared" si="25"/>
        <v>Dark</v>
      </c>
      <c r="M268">
        <f>INDEX(products!$A$1:$I$49,MATCH('Conditional Fomating'!$D268,products!$A$1:$A$49,0),MATCH('Conditional Fomating'!M$1,products!$A$1:$D$1,0))</f>
        <v>1</v>
      </c>
      <c r="N268">
        <f>_xlfn.XLOOKUP(D268,products!$A$2:$A$49,products!$E$2:$E$49)</f>
        <v>12.15</v>
      </c>
      <c r="O268">
        <f>_xlfn.XLOOKUP(D268,products!$A$2:$A$49,products!$H$2:$H$49)</f>
        <v>10.813500000000001</v>
      </c>
      <c r="P268">
        <f t="shared" si="26"/>
        <v>24.3</v>
      </c>
      <c r="Q268">
        <f t="shared" si="27"/>
        <v>21.627000000000002</v>
      </c>
      <c r="R268">
        <f t="shared" si="28"/>
        <v>2.6729999999999983</v>
      </c>
      <c r="S268" s="4">
        <f t="shared" si="29"/>
        <v>0.10999999999999993</v>
      </c>
      <c r="T268" t="str">
        <f>_xlfn.XLOOKUP(C268,customers!$A$1:$A$1001,customers!$I$1:$I$1001,,0)</f>
        <v>No</v>
      </c>
    </row>
    <row r="269" spans="1:20"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INDEX(products!$A$1:$I$49,MATCH('Conditional Fomating'!$D269,products!$A$1:$A$49,0),MATCH('Conditional Fomating'!I$1,products!$A$1:$D$1,0))</f>
        <v>Exc</v>
      </c>
      <c r="J269" t="str">
        <f t="shared" si="24"/>
        <v>Excelsa</v>
      </c>
      <c r="K269" t="str">
        <f>INDEX(products!$A$1:$I$49,MATCH('Conditional Fomating'!$D269,products!$A$1:$A$49,0),MATCH('Conditional Fomating'!K$1,products!$A$1:$D$1,0))</f>
        <v>D</v>
      </c>
      <c r="L269" t="str">
        <f t="shared" si="25"/>
        <v>Dark</v>
      </c>
      <c r="M269">
        <f>INDEX(products!$A$1:$I$49,MATCH('Conditional Fomating'!$D269,products!$A$1:$A$49,0),MATCH('Conditional Fomating'!M$1,products!$A$1:$D$1,0))</f>
        <v>0.2</v>
      </c>
      <c r="N269">
        <f>_xlfn.XLOOKUP(D269,products!$A$2:$A$49,products!$E$2:$E$49)</f>
        <v>3.645</v>
      </c>
      <c r="O269">
        <f>_xlfn.XLOOKUP(D269,products!$A$2:$A$49,products!$H$2:$H$49)</f>
        <v>3.2440500000000001</v>
      </c>
      <c r="P269">
        <f t="shared" si="26"/>
        <v>21.87</v>
      </c>
      <c r="Q269">
        <f t="shared" si="27"/>
        <v>19.464300000000001</v>
      </c>
      <c r="R269">
        <f t="shared" si="28"/>
        <v>2.4056999999999995</v>
      </c>
      <c r="S269" s="4">
        <f t="shared" si="29"/>
        <v>0.10999999999999997</v>
      </c>
      <c r="T269" t="str">
        <f>_xlfn.XLOOKUP(C269,customers!$A$1:$A$1001,customers!$I$1:$I$1001,,0)</f>
        <v>Yes</v>
      </c>
    </row>
    <row r="270" spans="1:20"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INDEX(products!$A$1:$I$49,MATCH('Conditional Fomating'!$D270,products!$A$1:$A$49,0),MATCH('Conditional Fomating'!I$1,products!$A$1:$D$1,0))</f>
        <v>Ara</v>
      </c>
      <c r="J270" t="str">
        <f t="shared" si="24"/>
        <v>Arabica</v>
      </c>
      <c r="K270" t="str">
        <f>INDEX(products!$A$1:$I$49,MATCH('Conditional Fomating'!$D270,products!$A$1:$A$49,0),MATCH('Conditional Fomating'!K$1,products!$A$1:$D$1,0))</f>
        <v>D</v>
      </c>
      <c r="L270" t="str">
        <f t="shared" si="25"/>
        <v>Dark</v>
      </c>
      <c r="M270">
        <f>INDEX(products!$A$1:$I$49,MATCH('Conditional Fomating'!$D270,products!$A$1:$A$49,0),MATCH('Conditional Fomating'!M$1,products!$A$1:$D$1,0))</f>
        <v>1</v>
      </c>
      <c r="N270">
        <f>_xlfn.XLOOKUP(D270,products!$A$2:$A$49,products!$E$2:$E$49)</f>
        <v>9.9499999999999993</v>
      </c>
      <c r="O270">
        <f>_xlfn.XLOOKUP(D270,products!$A$2:$A$49,products!$H$2:$H$49)</f>
        <v>9.0544999999999991</v>
      </c>
      <c r="P270">
        <f t="shared" si="26"/>
        <v>19.899999999999999</v>
      </c>
      <c r="Q270">
        <f t="shared" si="27"/>
        <v>18.108999999999998</v>
      </c>
      <c r="R270">
        <f t="shared" si="28"/>
        <v>1.7910000000000004</v>
      </c>
      <c r="S270" s="4">
        <f t="shared" si="29"/>
        <v>9.0000000000000024E-2</v>
      </c>
      <c r="T270" t="str">
        <f>_xlfn.XLOOKUP(C270,customers!$A$1:$A$1001,customers!$I$1:$I$1001,,0)</f>
        <v>Yes</v>
      </c>
    </row>
    <row r="271" spans="1:20"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INDEX(products!$A$1:$I$49,MATCH('Conditional Fomating'!$D271,products!$A$1:$A$49,0),MATCH('Conditional Fomating'!I$1,products!$A$1:$D$1,0))</f>
        <v>Ara</v>
      </c>
      <c r="J271" t="str">
        <f t="shared" si="24"/>
        <v>Arabica</v>
      </c>
      <c r="K271" t="str">
        <f>INDEX(products!$A$1:$I$49,MATCH('Conditional Fomating'!$D271,products!$A$1:$A$49,0),MATCH('Conditional Fomating'!K$1,products!$A$1:$D$1,0))</f>
        <v>D</v>
      </c>
      <c r="L271" t="str">
        <f t="shared" si="25"/>
        <v>Dark</v>
      </c>
      <c r="M271">
        <f>INDEX(products!$A$1:$I$49,MATCH('Conditional Fomating'!$D271,products!$A$1:$A$49,0),MATCH('Conditional Fomating'!M$1,products!$A$1:$D$1,0))</f>
        <v>0.2</v>
      </c>
      <c r="N271">
        <f>_xlfn.XLOOKUP(D271,products!$A$2:$A$49,products!$E$2:$E$49)</f>
        <v>2.9849999999999999</v>
      </c>
      <c r="O271">
        <f>_xlfn.XLOOKUP(D271,products!$A$2:$A$49,products!$H$2:$H$49)</f>
        <v>2.7163499999999998</v>
      </c>
      <c r="P271">
        <f t="shared" si="26"/>
        <v>5.97</v>
      </c>
      <c r="Q271">
        <f t="shared" si="27"/>
        <v>5.4326999999999996</v>
      </c>
      <c r="R271">
        <f t="shared" si="28"/>
        <v>0.53730000000000011</v>
      </c>
      <c r="S271" s="4">
        <f t="shared" si="29"/>
        <v>9.0000000000000024E-2</v>
      </c>
      <c r="T271" t="str">
        <f>_xlfn.XLOOKUP(C271,customers!$A$1:$A$1001,customers!$I$1:$I$1001,,0)</f>
        <v>No</v>
      </c>
    </row>
    <row r="272" spans="1:20"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v>
      </c>
      <c r="H272" s="2" t="str">
        <f>_xlfn.XLOOKUP(C272,customers!$A$1:$A$1001,customers!$G$1:$G$1001,,0)</f>
        <v>Ireland</v>
      </c>
      <c r="I272" t="str">
        <f>INDEX(products!$A$1:$I$49,MATCH('Conditional Fomating'!$D272,products!$A$1:$A$49,0),MATCH('Conditional Fomating'!I$1,products!$A$1:$D$1,0))</f>
        <v>Exc</v>
      </c>
      <c r="J272" t="str">
        <f t="shared" si="24"/>
        <v>Excelsa</v>
      </c>
      <c r="K272" t="str">
        <f>INDEX(products!$A$1:$I$49,MATCH('Conditional Fomating'!$D272,products!$A$1:$A$49,0),MATCH('Conditional Fomating'!K$1,products!$A$1:$D$1,0))</f>
        <v>D</v>
      </c>
      <c r="L272" t="str">
        <f t="shared" si="25"/>
        <v>Dark</v>
      </c>
      <c r="M272">
        <f>INDEX(products!$A$1:$I$49,MATCH('Conditional Fomating'!$D272,products!$A$1:$A$49,0),MATCH('Conditional Fomating'!M$1,products!$A$1:$D$1,0))</f>
        <v>0.5</v>
      </c>
      <c r="N272">
        <f>_xlfn.XLOOKUP(D272,products!$A$2:$A$49,products!$E$2:$E$49)</f>
        <v>7.29</v>
      </c>
      <c r="O272">
        <f>_xlfn.XLOOKUP(D272,products!$A$2:$A$49,products!$H$2:$H$49)</f>
        <v>6.4881000000000002</v>
      </c>
      <c r="P272">
        <f t="shared" si="26"/>
        <v>7.29</v>
      </c>
      <c r="Q272">
        <f t="shared" si="27"/>
        <v>6.4881000000000002</v>
      </c>
      <c r="R272">
        <f t="shared" si="28"/>
        <v>0.80189999999999984</v>
      </c>
      <c r="S272" s="4">
        <f t="shared" si="29"/>
        <v>0.10999999999999997</v>
      </c>
      <c r="T272" t="str">
        <f>_xlfn.XLOOKUP(C272,customers!$A$1:$A$1001,customers!$I$1:$I$1001,,0)</f>
        <v>Yes</v>
      </c>
    </row>
    <row r="273" spans="1:20"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INDEX(products!$A$1:$I$49,MATCH('Conditional Fomating'!$D273,products!$A$1:$A$49,0),MATCH('Conditional Fomating'!I$1,products!$A$1:$D$1,0))</f>
        <v>Ara</v>
      </c>
      <c r="J273" t="str">
        <f t="shared" si="24"/>
        <v>Arabica</v>
      </c>
      <c r="K273" t="str">
        <f>INDEX(products!$A$1:$I$49,MATCH('Conditional Fomating'!$D273,products!$A$1:$A$49,0),MATCH('Conditional Fomating'!K$1,products!$A$1:$D$1,0))</f>
        <v>D</v>
      </c>
      <c r="L273" t="str">
        <f t="shared" si="25"/>
        <v>Dark</v>
      </c>
      <c r="M273">
        <f>INDEX(products!$A$1:$I$49,MATCH('Conditional Fomating'!$D273,products!$A$1:$A$49,0),MATCH('Conditional Fomating'!M$1,products!$A$1:$D$1,0))</f>
        <v>0.2</v>
      </c>
      <c r="N273">
        <f>_xlfn.XLOOKUP(D273,products!$A$2:$A$49,products!$E$2:$E$49)</f>
        <v>2.9849999999999999</v>
      </c>
      <c r="O273">
        <f>_xlfn.XLOOKUP(D273,products!$A$2:$A$49,products!$H$2:$H$49)</f>
        <v>2.7163499999999998</v>
      </c>
      <c r="P273">
        <f t="shared" si="26"/>
        <v>11.94</v>
      </c>
      <c r="Q273">
        <f t="shared" si="27"/>
        <v>10.865399999999999</v>
      </c>
      <c r="R273">
        <f t="shared" si="28"/>
        <v>1.0746000000000002</v>
      </c>
      <c r="S273" s="4">
        <f t="shared" si="29"/>
        <v>9.0000000000000024E-2</v>
      </c>
      <c r="T273" t="str">
        <f>_xlfn.XLOOKUP(C273,customers!$A$1:$A$1001,customers!$I$1:$I$1001,,0)</f>
        <v>Yes</v>
      </c>
    </row>
    <row r="274" spans="1:20"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INDEX(products!$A$1:$I$49,MATCH('Conditional Fomating'!$D274,products!$A$1:$A$49,0),MATCH('Conditional Fomating'!I$1,products!$A$1:$D$1,0))</f>
        <v>Rob</v>
      </c>
      <c r="J274" t="str">
        <f t="shared" si="24"/>
        <v>Robusta</v>
      </c>
      <c r="K274" t="str">
        <f>INDEX(products!$A$1:$I$49,MATCH('Conditional Fomating'!$D274,products!$A$1:$A$49,0),MATCH('Conditional Fomating'!K$1,products!$A$1:$D$1,0))</f>
        <v>L</v>
      </c>
      <c r="L274" t="str">
        <f t="shared" si="25"/>
        <v>Light</v>
      </c>
      <c r="M274">
        <f>INDEX(products!$A$1:$I$49,MATCH('Conditional Fomating'!$D274,products!$A$1:$A$49,0),MATCH('Conditional Fomating'!M$1,products!$A$1:$D$1,0))</f>
        <v>1</v>
      </c>
      <c r="N274">
        <f>_xlfn.XLOOKUP(D274,products!$A$2:$A$49,products!$E$2:$E$49)</f>
        <v>11.95</v>
      </c>
      <c r="O274">
        <f>_xlfn.XLOOKUP(D274,products!$A$2:$A$49,products!$H$2:$H$49)</f>
        <v>11.232999999999999</v>
      </c>
      <c r="P274">
        <f t="shared" si="26"/>
        <v>71.699999999999989</v>
      </c>
      <c r="Q274">
        <f t="shared" si="27"/>
        <v>67.397999999999996</v>
      </c>
      <c r="R274">
        <f t="shared" si="28"/>
        <v>4.3019999999999925</v>
      </c>
      <c r="S274" s="4">
        <f t="shared" si="29"/>
        <v>5.9999999999999908E-2</v>
      </c>
      <c r="T274" t="str">
        <f>_xlfn.XLOOKUP(C274,customers!$A$1:$A$1001,customers!$I$1:$I$1001,,0)</f>
        <v>Yes</v>
      </c>
    </row>
    <row r="275" spans="1:20"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INDEX(products!$A$1:$I$49,MATCH('Conditional Fomating'!$D275,products!$A$1:$A$49,0),MATCH('Conditional Fomating'!I$1,products!$A$1:$D$1,0))</f>
        <v>Ara</v>
      </c>
      <c r="J275" t="str">
        <f t="shared" si="24"/>
        <v>Arabica</v>
      </c>
      <c r="K275" t="str">
        <f>INDEX(products!$A$1:$I$49,MATCH('Conditional Fomating'!$D275,products!$A$1:$A$49,0),MATCH('Conditional Fomating'!K$1,products!$A$1:$D$1,0))</f>
        <v>L</v>
      </c>
      <c r="L275" t="str">
        <f t="shared" si="25"/>
        <v>Light</v>
      </c>
      <c r="M275">
        <f>INDEX(products!$A$1:$I$49,MATCH('Conditional Fomating'!$D275,products!$A$1:$A$49,0),MATCH('Conditional Fomating'!M$1,products!$A$1:$D$1,0))</f>
        <v>0.2</v>
      </c>
      <c r="N275">
        <f>_xlfn.XLOOKUP(D275,products!$A$2:$A$49,products!$E$2:$E$49)</f>
        <v>3.8849999999999998</v>
      </c>
      <c r="O275">
        <f>_xlfn.XLOOKUP(D275,products!$A$2:$A$49,products!$H$2:$H$49)</f>
        <v>3.5353499999999998</v>
      </c>
      <c r="P275">
        <f t="shared" si="26"/>
        <v>7.77</v>
      </c>
      <c r="Q275">
        <f t="shared" si="27"/>
        <v>7.0706999999999995</v>
      </c>
      <c r="R275">
        <f t="shared" si="28"/>
        <v>0.69930000000000003</v>
      </c>
      <c r="S275" s="4">
        <f t="shared" si="29"/>
        <v>9.0000000000000011E-2</v>
      </c>
      <c r="T275" t="str">
        <f>_xlfn.XLOOKUP(C275,customers!$A$1:$A$1001,customers!$I$1:$I$1001,,0)</f>
        <v>No</v>
      </c>
    </row>
    <row r="276" spans="1:20"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INDEX(products!$A$1:$I$49,MATCH('Conditional Fomating'!$D276,products!$A$1:$A$49,0),MATCH('Conditional Fomating'!I$1,products!$A$1:$D$1,0))</f>
        <v>Ara</v>
      </c>
      <c r="J276" t="str">
        <f t="shared" si="24"/>
        <v>Arabica</v>
      </c>
      <c r="K276" t="str">
        <f>INDEX(products!$A$1:$I$49,MATCH('Conditional Fomating'!$D276,products!$A$1:$A$49,0),MATCH('Conditional Fomating'!K$1,products!$A$1:$D$1,0))</f>
        <v>M</v>
      </c>
      <c r="L276" t="str">
        <f t="shared" si="25"/>
        <v>Medium</v>
      </c>
      <c r="M276">
        <f>INDEX(products!$A$1:$I$49,MATCH('Conditional Fomating'!$D276,products!$A$1:$A$49,0),MATCH('Conditional Fomating'!M$1,products!$A$1:$D$1,0))</f>
        <v>2.5</v>
      </c>
      <c r="N276">
        <f>_xlfn.XLOOKUP(D276,products!$A$2:$A$49,products!$E$2:$E$49)</f>
        <v>25.874999999999996</v>
      </c>
      <c r="O276">
        <f>_xlfn.XLOOKUP(D276,products!$A$2:$A$49,products!$H$2:$H$49)</f>
        <v>23.546249999999997</v>
      </c>
      <c r="P276">
        <f t="shared" si="26"/>
        <v>25.874999999999996</v>
      </c>
      <c r="Q276">
        <f t="shared" si="27"/>
        <v>23.546249999999997</v>
      </c>
      <c r="R276">
        <f t="shared" si="28"/>
        <v>2.3287499999999994</v>
      </c>
      <c r="S276" s="4">
        <f t="shared" si="29"/>
        <v>0.09</v>
      </c>
      <c r="T276" t="str">
        <f>_xlfn.XLOOKUP(C276,customers!$A$1:$A$1001,customers!$I$1:$I$1001,,0)</f>
        <v>No</v>
      </c>
    </row>
    <row r="277" spans="1:20"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INDEX(products!$A$1:$I$49,MATCH('Conditional Fomating'!$D277,products!$A$1:$A$49,0),MATCH('Conditional Fomating'!I$1,products!$A$1:$D$1,0))</f>
        <v>Exc</v>
      </c>
      <c r="J277" t="str">
        <f t="shared" si="24"/>
        <v>Excelsa</v>
      </c>
      <c r="K277" t="str">
        <f>INDEX(products!$A$1:$I$49,MATCH('Conditional Fomating'!$D277,products!$A$1:$A$49,0),MATCH('Conditional Fomating'!K$1,products!$A$1:$D$1,0))</f>
        <v>L</v>
      </c>
      <c r="L277" t="str">
        <f t="shared" si="25"/>
        <v>Light</v>
      </c>
      <c r="M277">
        <f>INDEX(products!$A$1:$I$49,MATCH('Conditional Fomating'!$D277,products!$A$1:$A$49,0),MATCH('Conditional Fomating'!M$1,products!$A$1:$D$1,0))</f>
        <v>2.5</v>
      </c>
      <c r="N277">
        <f>_xlfn.XLOOKUP(D277,products!$A$2:$A$49,products!$E$2:$E$49)</f>
        <v>34.154999999999994</v>
      </c>
      <c r="O277">
        <f>_xlfn.XLOOKUP(D277,products!$A$2:$A$49,products!$H$2:$H$49)</f>
        <v>30.397949999999994</v>
      </c>
      <c r="P277">
        <f t="shared" si="26"/>
        <v>204.92999999999995</v>
      </c>
      <c r="Q277">
        <f t="shared" si="27"/>
        <v>182.38769999999997</v>
      </c>
      <c r="R277">
        <f t="shared" si="28"/>
        <v>22.542299999999983</v>
      </c>
      <c r="S277" s="4">
        <f t="shared" si="29"/>
        <v>0.10999999999999995</v>
      </c>
      <c r="T277" t="str">
        <f>_xlfn.XLOOKUP(C277,customers!$A$1:$A$1001,customers!$I$1:$I$1001,,0)</f>
        <v>No</v>
      </c>
    </row>
    <row r="278" spans="1:20"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INDEX(products!$A$1:$I$49,MATCH('Conditional Fomating'!$D278,products!$A$1:$A$49,0),MATCH('Conditional Fomating'!I$1,products!$A$1:$D$1,0))</f>
        <v>Rob</v>
      </c>
      <c r="J278" t="str">
        <f t="shared" si="24"/>
        <v>Robusta</v>
      </c>
      <c r="K278" t="str">
        <f>INDEX(products!$A$1:$I$49,MATCH('Conditional Fomating'!$D278,products!$A$1:$A$49,0),MATCH('Conditional Fomating'!K$1,products!$A$1:$D$1,0))</f>
        <v>L</v>
      </c>
      <c r="L278" t="str">
        <f t="shared" si="25"/>
        <v>Light</v>
      </c>
      <c r="M278">
        <f>INDEX(products!$A$1:$I$49,MATCH('Conditional Fomating'!$D278,products!$A$1:$A$49,0),MATCH('Conditional Fomating'!M$1,products!$A$1:$D$1,0))</f>
        <v>2.5</v>
      </c>
      <c r="N278">
        <f>_xlfn.XLOOKUP(D278,products!$A$2:$A$49,products!$E$2:$E$49)</f>
        <v>27.484999999999996</v>
      </c>
      <c r="O278">
        <f>_xlfn.XLOOKUP(D278,products!$A$2:$A$49,products!$H$2:$H$49)</f>
        <v>25.835899999999995</v>
      </c>
      <c r="P278">
        <f t="shared" si="26"/>
        <v>109.93999999999998</v>
      </c>
      <c r="Q278">
        <f t="shared" si="27"/>
        <v>103.34359999999998</v>
      </c>
      <c r="R278">
        <f t="shared" si="28"/>
        <v>6.5964000000000027</v>
      </c>
      <c r="S278" s="4">
        <f t="shared" si="29"/>
        <v>6.0000000000000032E-2</v>
      </c>
      <c r="T278" t="str">
        <f>_xlfn.XLOOKUP(C278,customers!$A$1:$A$1001,customers!$I$1:$I$1001,,0)</f>
        <v>Yes</v>
      </c>
    </row>
    <row r="279" spans="1:20"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INDEX(products!$A$1:$I$49,MATCH('Conditional Fomating'!$D279,products!$A$1:$A$49,0),MATCH('Conditional Fomating'!I$1,products!$A$1:$D$1,0))</f>
        <v>Exc</v>
      </c>
      <c r="J279" t="str">
        <f t="shared" si="24"/>
        <v>Excelsa</v>
      </c>
      <c r="K279" t="str">
        <f>INDEX(products!$A$1:$I$49,MATCH('Conditional Fomating'!$D279,products!$A$1:$A$49,0),MATCH('Conditional Fomating'!K$1,products!$A$1:$D$1,0))</f>
        <v>L</v>
      </c>
      <c r="L279" t="str">
        <f t="shared" si="25"/>
        <v>Light</v>
      </c>
      <c r="M279">
        <f>INDEX(products!$A$1:$I$49,MATCH('Conditional Fomating'!$D279,products!$A$1:$A$49,0),MATCH('Conditional Fomating'!M$1,products!$A$1:$D$1,0))</f>
        <v>1</v>
      </c>
      <c r="N279">
        <f>_xlfn.XLOOKUP(D279,products!$A$2:$A$49,products!$E$2:$E$49)</f>
        <v>14.85</v>
      </c>
      <c r="O279">
        <f>_xlfn.XLOOKUP(D279,products!$A$2:$A$49,products!$H$2:$H$49)</f>
        <v>13.2165</v>
      </c>
      <c r="P279">
        <f t="shared" si="26"/>
        <v>89.1</v>
      </c>
      <c r="Q279">
        <f t="shared" si="27"/>
        <v>79.299000000000007</v>
      </c>
      <c r="R279">
        <f t="shared" si="28"/>
        <v>9.8009999999999877</v>
      </c>
      <c r="S279" s="4">
        <f t="shared" si="29"/>
        <v>0.10999999999999988</v>
      </c>
      <c r="T279" t="str">
        <f>_xlfn.XLOOKUP(C279,customers!$A$1:$A$1001,customers!$I$1:$I$1001,,0)</f>
        <v>No</v>
      </c>
    </row>
    <row r="280" spans="1:20"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INDEX(products!$A$1:$I$49,MATCH('Conditional Fomating'!$D280,products!$A$1:$A$49,0),MATCH('Conditional Fomating'!I$1,products!$A$1:$D$1,0))</f>
        <v>Ara</v>
      </c>
      <c r="J280" t="str">
        <f t="shared" si="24"/>
        <v>Arabica</v>
      </c>
      <c r="K280" t="str">
        <f>INDEX(products!$A$1:$I$49,MATCH('Conditional Fomating'!$D280,products!$A$1:$A$49,0),MATCH('Conditional Fomating'!K$1,products!$A$1:$D$1,0))</f>
        <v>L</v>
      </c>
      <c r="L280" t="str">
        <f t="shared" si="25"/>
        <v>Light</v>
      </c>
      <c r="M280">
        <f>INDEX(products!$A$1:$I$49,MATCH('Conditional Fomating'!$D280,products!$A$1:$A$49,0),MATCH('Conditional Fomating'!M$1,products!$A$1:$D$1,0))</f>
        <v>0.2</v>
      </c>
      <c r="N280">
        <f>_xlfn.XLOOKUP(D280,products!$A$2:$A$49,products!$E$2:$E$49)</f>
        <v>3.8849999999999998</v>
      </c>
      <c r="O280">
        <f>_xlfn.XLOOKUP(D280,products!$A$2:$A$49,products!$H$2:$H$49)</f>
        <v>3.5353499999999998</v>
      </c>
      <c r="P280">
        <f t="shared" si="26"/>
        <v>7.77</v>
      </c>
      <c r="Q280">
        <f t="shared" si="27"/>
        <v>7.0706999999999995</v>
      </c>
      <c r="R280">
        <f t="shared" si="28"/>
        <v>0.69930000000000003</v>
      </c>
      <c r="S280" s="4">
        <f t="shared" si="29"/>
        <v>9.0000000000000011E-2</v>
      </c>
      <c r="T280" t="str">
        <f>_xlfn.XLOOKUP(C280,customers!$A$1:$A$1001,customers!$I$1:$I$1001,,0)</f>
        <v>Yes</v>
      </c>
    </row>
    <row r="281" spans="1:20"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INDEX(products!$A$1:$I$49,MATCH('Conditional Fomating'!$D281,products!$A$1:$A$49,0),MATCH('Conditional Fomating'!I$1,products!$A$1:$D$1,0))</f>
        <v>Lib</v>
      </c>
      <c r="J281" t="str">
        <f t="shared" si="24"/>
        <v>Liberica</v>
      </c>
      <c r="K281" t="str">
        <f>INDEX(products!$A$1:$I$49,MATCH('Conditional Fomating'!$D281,products!$A$1:$A$49,0),MATCH('Conditional Fomating'!K$1,products!$A$1:$D$1,0))</f>
        <v>M</v>
      </c>
      <c r="L281" t="str">
        <f t="shared" si="25"/>
        <v>Medium</v>
      </c>
      <c r="M281">
        <f>INDEX(products!$A$1:$I$49,MATCH('Conditional Fomating'!$D281,products!$A$1:$A$49,0),MATCH('Conditional Fomating'!M$1,products!$A$1:$D$1,0))</f>
        <v>2.5</v>
      </c>
      <c r="N281">
        <f>_xlfn.XLOOKUP(D281,products!$A$2:$A$49,products!$E$2:$E$49)</f>
        <v>33.464999999999996</v>
      </c>
      <c r="O281">
        <f>_xlfn.XLOOKUP(D281,products!$A$2:$A$49,products!$H$2:$H$49)</f>
        <v>29.114549999999998</v>
      </c>
      <c r="P281">
        <f t="shared" si="26"/>
        <v>33.464999999999996</v>
      </c>
      <c r="Q281">
        <f t="shared" si="27"/>
        <v>29.114549999999998</v>
      </c>
      <c r="R281">
        <f t="shared" si="28"/>
        <v>4.3504499999999986</v>
      </c>
      <c r="S281" s="4">
        <f t="shared" si="29"/>
        <v>0.12999999999999998</v>
      </c>
      <c r="T281" t="str">
        <f>_xlfn.XLOOKUP(C281,customers!$A$1:$A$1001,customers!$I$1:$I$1001,,0)</f>
        <v>Yes</v>
      </c>
    </row>
    <row r="282" spans="1:20"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v>
      </c>
      <c r="H282" s="2" t="str">
        <f>_xlfn.XLOOKUP(C282,customers!$A$1:$A$1001,customers!$G$1:$G$1001,,0)</f>
        <v>United States</v>
      </c>
      <c r="I282" t="str">
        <f>INDEX(products!$A$1:$I$49,MATCH('Conditional Fomating'!$D282,products!$A$1:$A$49,0),MATCH('Conditional Fomating'!I$1,products!$A$1:$D$1,0))</f>
        <v>Exc</v>
      </c>
      <c r="J282" t="str">
        <f t="shared" si="24"/>
        <v>Excelsa</v>
      </c>
      <c r="K282" t="str">
        <f>INDEX(products!$A$1:$I$49,MATCH('Conditional Fomating'!$D282,products!$A$1:$A$49,0),MATCH('Conditional Fomating'!K$1,products!$A$1:$D$1,0))</f>
        <v>M</v>
      </c>
      <c r="L282" t="str">
        <f t="shared" si="25"/>
        <v>Medium</v>
      </c>
      <c r="M282">
        <f>INDEX(products!$A$1:$I$49,MATCH('Conditional Fomating'!$D282,products!$A$1:$A$49,0),MATCH('Conditional Fomating'!M$1,products!$A$1:$D$1,0))</f>
        <v>0.5</v>
      </c>
      <c r="N282">
        <f>_xlfn.XLOOKUP(D282,products!$A$2:$A$49,products!$E$2:$E$49)</f>
        <v>8.25</v>
      </c>
      <c r="O282">
        <f>_xlfn.XLOOKUP(D282,products!$A$2:$A$49,products!$H$2:$H$49)</f>
        <v>7.3425000000000002</v>
      </c>
      <c r="P282">
        <f t="shared" si="26"/>
        <v>41.25</v>
      </c>
      <c r="Q282">
        <f t="shared" si="27"/>
        <v>36.712499999999999</v>
      </c>
      <c r="R282">
        <f t="shared" si="28"/>
        <v>4.5375000000000014</v>
      </c>
      <c r="S282" s="4">
        <f t="shared" si="29"/>
        <v>0.11000000000000003</v>
      </c>
      <c r="T282" t="str">
        <f>_xlfn.XLOOKUP(C282,customers!$A$1:$A$1001,customers!$I$1:$I$1001,,0)</f>
        <v>Yes</v>
      </c>
    </row>
    <row r="283" spans="1:20"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INDEX(products!$A$1:$I$49,MATCH('Conditional Fomating'!$D283,products!$A$1:$A$49,0),MATCH('Conditional Fomating'!I$1,products!$A$1:$D$1,0))</f>
        <v>Exc</v>
      </c>
      <c r="J283" t="str">
        <f t="shared" si="24"/>
        <v>Excelsa</v>
      </c>
      <c r="K283" t="str">
        <f>INDEX(products!$A$1:$I$49,MATCH('Conditional Fomating'!$D283,products!$A$1:$A$49,0),MATCH('Conditional Fomating'!K$1,products!$A$1:$D$1,0))</f>
        <v>L</v>
      </c>
      <c r="L283" t="str">
        <f t="shared" si="25"/>
        <v>Light</v>
      </c>
      <c r="M283">
        <f>INDEX(products!$A$1:$I$49,MATCH('Conditional Fomating'!$D283,products!$A$1:$A$49,0),MATCH('Conditional Fomating'!M$1,products!$A$1:$D$1,0))</f>
        <v>1</v>
      </c>
      <c r="N283">
        <f>_xlfn.XLOOKUP(D283,products!$A$2:$A$49,products!$E$2:$E$49)</f>
        <v>14.85</v>
      </c>
      <c r="O283">
        <f>_xlfn.XLOOKUP(D283,products!$A$2:$A$49,products!$H$2:$H$49)</f>
        <v>13.2165</v>
      </c>
      <c r="P283">
        <f t="shared" si="26"/>
        <v>59.4</v>
      </c>
      <c r="Q283">
        <f t="shared" si="27"/>
        <v>52.866</v>
      </c>
      <c r="R283">
        <f t="shared" si="28"/>
        <v>6.5339999999999989</v>
      </c>
      <c r="S283" s="4">
        <f t="shared" si="29"/>
        <v>0.10999999999999999</v>
      </c>
      <c r="T283" t="str">
        <f>_xlfn.XLOOKUP(C283,customers!$A$1:$A$1001,customers!$I$1:$I$1001,,0)</f>
        <v>Yes</v>
      </c>
    </row>
    <row r="284" spans="1:20"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INDEX(products!$A$1:$I$49,MATCH('Conditional Fomating'!$D284,products!$A$1:$A$49,0),MATCH('Conditional Fomating'!I$1,products!$A$1:$D$1,0))</f>
        <v>Ara</v>
      </c>
      <c r="J284" t="str">
        <f t="shared" si="24"/>
        <v>Arabica</v>
      </c>
      <c r="K284" t="str">
        <f>INDEX(products!$A$1:$I$49,MATCH('Conditional Fomating'!$D284,products!$A$1:$A$49,0),MATCH('Conditional Fomating'!K$1,products!$A$1:$D$1,0))</f>
        <v>L</v>
      </c>
      <c r="L284" t="str">
        <f t="shared" si="25"/>
        <v>Light</v>
      </c>
      <c r="M284">
        <f>INDEX(products!$A$1:$I$49,MATCH('Conditional Fomating'!$D284,products!$A$1:$A$49,0),MATCH('Conditional Fomating'!M$1,products!$A$1:$D$1,0))</f>
        <v>0.5</v>
      </c>
      <c r="N284">
        <f>_xlfn.XLOOKUP(D284,products!$A$2:$A$49,products!$E$2:$E$49)</f>
        <v>7.77</v>
      </c>
      <c r="O284">
        <f>_xlfn.XLOOKUP(D284,products!$A$2:$A$49,products!$H$2:$H$49)</f>
        <v>7.0706999999999995</v>
      </c>
      <c r="P284">
        <f t="shared" si="26"/>
        <v>7.77</v>
      </c>
      <c r="Q284">
        <f t="shared" si="27"/>
        <v>7.0706999999999995</v>
      </c>
      <c r="R284">
        <f t="shared" si="28"/>
        <v>0.69930000000000003</v>
      </c>
      <c r="S284" s="4">
        <f t="shared" si="29"/>
        <v>9.0000000000000011E-2</v>
      </c>
      <c r="T284" t="str">
        <f>_xlfn.XLOOKUP(C284,customers!$A$1:$A$1001,customers!$I$1:$I$1001,,0)</f>
        <v>No</v>
      </c>
    </row>
    <row r="285" spans="1:20"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INDEX(products!$A$1:$I$49,MATCH('Conditional Fomating'!$D285,products!$A$1:$A$49,0),MATCH('Conditional Fomating'!I$1,products!$A$1:$D$1,0))</f>
        <v>Rob</v>
      </c>
      <c r="J285" t="str">
        <f t="shared" si="24"/>
        <v>Robusta</v>
      </c>
      <c r="K285" t="str">
        <f>INDEX(products!$A$1:$I$49,MATCH('Conditional Fomating'!$D285,products!$A$1:$A$49,0),MATCH('Conditional Fomating'!K$1,products!$A$1:$D$1,0))</f>
        <v>D</v>
      </c>
      <c r="L285" t="str">
        <f t="shared" si="25"/>
        <v>Dark</v>
      </c>
      <c r="M285">
        <f>INDEX(products!$A$1:$I$49,MATCH('Conditional Fomating'!$D285,products!$A$1:$A$49,0),MATCH('Conditional Fomating'!M$1,products!$A$1:$D$1,0))</f>
        <v>0.5</v>
      </c>
      <c r="N285">
        <f>_xlfn.XLOOKUP(D285,products!$A$2:$A$49,products!$E$2:$E$49)</f>
        <v>5.3699999999999992</v>
      </c>
      <c r="O285">
        <f>_xlfn.XLOOKUP(D285,products!$A$2:$A$49,products!$H$2:$H$49)</f>
        <v>5.0477999999999996</v>
      </c>
      <c r="P285">
        <f t="shared" si="26"/>
        <v>5.3699999999999992</v>
      </c>
      <c r="Q285">
        <f t="shared" si="27"/>
        <v>5.0477999999999996</v>
      </c>
      <c r="R285">
        <f t="shared" si="28"/>
        <v>0.3221999999999996</v>
      </c>
      <c r="S285" s="4">
        <f t="shared" si="29"/>
        <v>5.9999999999999935E-2</v>
      </c>
      <c r="T285" t="str">
        <f>_xlfn.XLOOKUP(C285,customers!$A$1:$A$1001,customers!$I$1:$I$1001,,0)</f>
        <v>Yes</v>
      </c>
    </row>
    <row r="286" spans="1:20"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v>
      </c>
      <c r="H286" s="2" t="str">
        <f>_xlfn.XLOOKUP(C286,customers!$A$1:$A$1001,customers!$G$1:$G$1001,,0)</f>
        <v>United States</v>
      </c>
      <c r="I286" t="str">
        <f>INDEX(products!$A$1:$I$49,MATCH('Conditional Fomating'!$D286,products!$A$1:$A$49,0),MATCH('Conditional Fomating'!I$1,products!$A$1:$D$1,0))</f>
        <v>Exc</v>
      </c>
      <c r="J286" t="str">
        <f t="shared" si="24"/>
        <v>Excelsa</v>
      </c>
      <c r="K286" t="str">
        <f>INDEX(products!$A$1:$I$49,MATCH('Conditional Fomating'!$D286,products!$A$1:$A$49,0),MATCH('Conditional Fomating'!K$1,products!$A$1:$D$1,0))</f>
        <v>M</v>
      </c>
      <c r="L286" t="str">
        <f t="shared" si="25"/>
        <v>Medium</v>
      </c>
      <c r="M286">
        <f>INDEX(products!$A$1:$I$49,MATCH('Conditional Fomating'!$D286,products!$A$1:$A$49,0),MATCH('Conditional Fomating'!M$1,products!$A$1:$D$1,0))</f>
        <v>2.5</v>
      </c>
      <c r="N286">
        <f>_xlfn.XLOOKUP(D286,products!$A$2:$A$49,products!$E$2:$E$49)</f>
        <v>31.624999999999996</v>
      </c>
      <c r="O286">
        <f>_xlfn.XLOOKUP(D286,products!$A$2:$A$49,products!$H$2:$H$49)</f>
        <v>28.146249999999995</v>
      </c>
      <c r="P286">
        <f t="shared" si="26"/>
        <v>94.874999999999986</v>
      </c>
      <c r="Q286">
        <f t="shared" si="27"/>
        <v>84.438749999999985</v>
      </c>
      <c r="R286">
        <f t="shared" si="28"/>
        <v>10.436250000000001</v>
      </c>
      <c r="S286" s="4">
        <f t="shared" si="29"/>
        <v>0.11000000000000003</v>
      </c>
      <c r="T286" t="str">
        <f>_xlfn.XLOOKUP(C286,customers!$A$1:$A$1001,customers!$I$1:$I$1001,,0)</f>
        <v>No</v>
      </c>
    </row>
    <row r="287" spans="1:20"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v>
      </c>
      <c r="H287" s="2" t="str">
        <f>_xlfn.XLOOKUP(C287,customers!$A$1:$A$1001,customers!$G$1:$G$1001,,0)</f>
        <v>United States</v>
      </c>
      <c r="I287" t="str">
        <f>INDEX(products!$A$1:$I$49,MATCH('Conditional Fomating'!$D287,products!$A$1:$A$49,0),MATCH('Conditional Fomating'!I$1,products!$A$1:$D$1,0))</f>
        <v>Lib</v>
      </c>
      <c r="J287" t="str">
        <f t="shared" si="24"/>
        <v>Liberica</v>
      </c>
      <c r="K287" t="str">
        <f>INDEX(products!$A$1:$I$49,MATCH('Conditional Fomating'!$D287,products!$A$1:$A$49,0),MATCH('Conditional Fomating'!K$1,products!$A$1:$D$1,0))</f>
        <v>L</v>
      </c>
      <c r="L287" t="str">
        <f t="shared" si="25"/>
        <v>Light</v>
      </c>
      <c r="M287">
        <f>INDEX(products!$A$1:$I$49,MATCH('Conditional Fomating'!$D287,products!$A$1:$A$49,0),MATCH('Conditional Fomating'!M$1,products!$A$1:$D$1,0))</f>
        <v>2.5</v>
      </c>
      <c r="N287">
        <f>_xlfn.XLOOKUP(D287,products!$A$2:$A$49,products!$E$2:$E$49)</f>
        <v>36.454999999999998</v>
      </c>
      <c r="O287">
        <f>_xlfn.XLOOKUP(D287,products!$A$2:$A$49,products!$H$2:$H$49)</f>
        <v>31.71585</v>
      </c>
      <c r="P287">
        <f t="shared" si="26"/>
        <v>36.454999999999998</v>
      </c>
      <c r="Q287">
        <f t="shared" si="27"/>
        <v>31.71585</v>
      </c>
      <c r="R287">
        <f t="shared" si="28"/>
        <v>4.7391499999999986</v>
      </c>
      <c r="S287" s="4">
        <f t="shared" si="29"/>
        <v>0.12999999999999998</v>
      </c>
      <c r="T287" t="str">
        <f>_xlfn.XLOOKUP(C287,customers!$A$1:$A$1001,customers!$I$1:$I$1001,,0)</f>
        <v>No</v>
      </c>
    </row>
    <row r="288" spans="1:20"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INDEX(products!$A$1:$I$49,MATCH('Conditional Fomating'!$D288,products!$A$1:$A$49,0),MATCH('Conditional Fomating'!I$1,products!$A$1:$D$1,0))</f>
        <v>Ara</v>
      </c>
      <c r="J288" t="str">
        <f t="shared" si="24"/>
        <v>Arabica</v>
      </c>
      <c r="K288" t="str">
        <f>INDEX(products!$A$1:$I$49,MATCH('Conditional Fomating'!$D288,products!$A$1:$A$49,0),MATCH('Conditional Fomating'!K$1,products!$A$1:$D$1,0))</f>
        <v>M</v>
      </c>
      <c r="L288" t="str">
        <f t="shared" si="25"/>
        <v>Medium</v>
      </c>
      <c r="M288">
        <f>INDEX(products!$A$1:$I$49,MATCH('Conditional Fomating'!$D288,products!$A$1:$A$49,0),MATCH('Conditional Fomating'!M$1,products!$A$1:$D$1,0))</f>
        <v>0.2</v>
      </c>
      <c r="N288">
        <f>_xlfn.XLOOKUP(D288,products!$A$2:$A$49,products!$E$2:$E$49)</f>
        <v>3.375</v>
      </c>
      <c r="O288">
        <f>_xlfn.XLOOKUP(D288,products!$A$2:$A$49,products!$H$2:$H$49)</f>
        <v>3.07125</v>
      </c>
      <c r="P288">
        <f t="shared" si="26"/>
        <v>13.5</v>
      </c>
      <c r="Q288">
        <f t="shared" si="27"/>
        <v>12.285</v>
      </c>
      <c r="R288">
        <f t="shared" si="28"/>
        <v>1.2149999999999999</v>
      </c>
      <c r="S288" s="4">
        <f t="shared" si="29"/>
        <v>8.9999999999999983E-2</v>
      </c>
      <c r="T288" t="str">
        <f>_xlfn.XLOOKUP(C288,customers!$A$1:$A$1001,customers!$I$1:$I$1001,,0)</f>
        <v>Yes</v>
      </c>
    </row>
    <row r="289" spans="1:20"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INDEX(products!$A$1:$I$49,MATCH('Conditional Fomating'!$D289,products!$A$1:$A$49,0),MATCH('Conditional Fomating'!I$1,products!$A$1:$D$1,0))</f>
        <v>Rob</v>
      </c>
      <c r="J289" t="str">
        <f t="shared" si="24"/>
        <v>Robusta</v>
      </c>
      <c r="K289" t="str">
        <f>INDEX(products!$A$1:$I$49,MATCH('Conditional Fomating'!$D289,products!$A$1:$A$49,0),MATCH('Conditional Fomating'!K$1,products!$A$1:$D$1,0))</f>
        <v>L</v>
      </c>
      <c r="L289" t="str">
        <f t="shared" si="25"/>
        <v>Light</v>
      </c>
      <c r="M289">
        <f>INDEX(products!$A$1:$I$49,MATCH('Conditional Fomating'!$D289,products!$A$1:$A$49,0),MATCH('Conditional Fomating'!M$1,products!$A$1:$D$1,0))</f>
        <v>0.2</v>
      </c>
      <c r="N289">
        <f>_xlfn.XLOOKUP(D289,products!$A$2:$A$49,products!$E$2:$E$49)</f>
        <v>3.5849999999999995</v>
      </c>
      <c r="O289">
        <f>_xlfn.XLOOKUP(D289,products!$A$2:$A$49,products!$H$2:$H$49)</f>
        <v>3.3698999999999995</v>
      </c>
      <c r="P289">
        <f t="shared" si="26"/>
        <v>14.339999999999998</v>
      </c>
      <c r="Q289">
        <f t="shared" si="27"/>
        <v>13.479599999999998</v>
      </c>
      <c r="R289">
        <f t="shared" si="28"/>
        <v>0.86040000000000028</v>
      </c>
      <c r="S289" s="4">
        <f t="shared" si="29"/>
        <v>6.0000000000000026E-2</v>
      </c>
      <c r="T289" t="str">
        <f>_xlfn.XLOOKUP(C289,customers!$A$1:$A$1001,customers!$I$1:$I$1001,,0)</f>
        <v>No</v>
      </c>
    </row>
    <row r="290" spans="1:20"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v>
      </c>
      <c r="H290" s="2" t="str">
        <f>_xlfn.XLOOKUP(C290,customers!$A$1:$A$1001,customers!$G$1:$G$1001,,0)</f>
        <v>Ireland</v>
      </c>
      <c r="I290" t="str">
        <f>INDEX(products!$A$1:$I$49,MATCH('Conditional Fomating'!$D290,products!$A$1:$A$49,0),MATCH('Conditional Fomating'!I$1,products!$A$1:$D$1,0))</f>
        <v>Exc</v>
      </c>
      <c r="J290" t="str">
        <f t="shared" si="24"/>
        <v>Excelsa</v>
      </c>
      <c r="K290" t="str">
        <f>INDEX(products!$A$1:$I$49,MATCH('Conditional Fomating'!$D290,products!$A$1:$A$49,0),MATCH('Conditional Fomating'!K$1,products!$A$1:$D$1,0))</f>
        <v>M</v>
      </c>
      <c r="L290" t="str">
        <f t="shared" si="25"/>
        <v>Medium</v>
      </c>
      <c r="M290">
        <f>INDEX(products!$A$1:$I$49,MATCH('Conditional Fomating'!$D290,products!$A$1:$A$49,0),MATCH('Conditional Fomating'!M$1,products!$A$1:$D$1,0))</f>
        <v>0.5</v>
      </c>
      <c r="N290">
        <f>_xlfn.XLOOKUP(D290,products!$A$2:$A$49,products!$E$2:$E$49)</f>
        <v>8.25</v>
      </c>
      <c r="O290">
        <f>_xlfn.XLOOKUP(D290,products!$A$2:$A$49,products!$H$2:$H$49)</f>
        <v>7.3425000000000002</v>
      </c>
      <c r="P290">
        <f t="shared" si="26"/>
        <v>8.25</v>
      </c>
      <c r="Q290">
        <f t="shared" si="27"/>
        <v>7.3425000000000002</v>
      </c>
      <c r="R290">
        <f t="shared" si="28"/>
        <v>0.90749999999999975</v>
      </c>
      <c r="S290" s="4">
        <f t="shared" si="29"/>
        <v>0.10999999999999997</v>
      </c>
      <c r="T290" t="str">
        <f>_xlfn.XLOOKUP(C290,customers!$A$1:$A$1001,customers!$I$1:$I$1001,,0)</f>
        <v>Yes</v>
      </c>
    </row>
    <row r="291" spans="1:20"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v>
      </c>
      <c r="H291" s="2" t="str">
        <f>_xlfn.XLOOKUP(C291,customers!$A$1:$A$1001,customers!$G$1:$G$1001,,0)</f>
        <v>United States</v>
      </c>
      <c r="I291" t="str">
        <f>INDEX(products!$A$1:$I$49,MATCH('Conditional Fomating'!$D291,products!$A$1:$A$49,0),MATCH('Conditional Fomating'!I$1,products!$A$1:$D$1,0))</f>
        <v>Rob</v>
      </c>
      <c r="J291" t="str">
        <f t="shared" si="24"/>
        <v>Robusta</v>
      </c>
      <c r="K291" t="str">
        <f>INDEX(products!$A$1:$I$49,MATCH('Conditional Fomating'!$D291,products!$A$1:$A$49,0),MATCH('Conditional Fomating'!K$1,products!$A$1:$D$1,0))</f>
        <v>D</v>
      </c>
      <c r="L291" t="str">
        <f t="shared" si="25"/>
        <v>Dark</v>
      </c>
      <c r="M291">
        <f>INDEX(products!$A$1:$I$49,MATCH('Conditional Fomating'!$D291,products!$A$1:$A$49,0),MATCH('Conditional Fomating'!M$1,products!$A$1:$D$1,0))</f>
        <v>0.2</v>
      </c>
      <c r="N291">
        <f>_xlfn.XLOOKUP(D291,products!$A$2:$A$49,products!$E$2:$E$49)</f>
        <v>2.6849999999999996</v>
      </c>
      <c r="O291">
        <f>_xlfn.XLOOKUP(D291,products!$A$2:$A$49,products!$H$2:$H$49)</f>
        <v>2.5238999999999998</v>
      </c>
      <c r="P291">
        <f t="shared" si="26"/>
        <v>13.424999999999997</v>
      </c>
      <c r="Q291">
        <f t="shared" si="27"/>
        <v>12.619499999999999</v>
      </c>
      <c r="R291">
        <f t="shared" si="28"/>
        <v>0.80549999999999855</v>
      </c>
      <c r="S291" s="4">
        <f t="shared" si="29"/>
        <v>5.9999999999999908E-2</v>
      </c>
      <c r="T291" t="str">
        <f>_xlfn.XLOOKUP(C291,customers!$A$1:$A$1001,customers!$I$1:$I$1001,,0)</f>
        <v>Yes</v>
      </c>
    </row>
    <row r="292" spans="1:20"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INDEX(products!$A$1:$I$49,MATCH('Conditional Fomating'!$D292,products!$A$1:$A$49,0),MATCH('Conditional Fomating'!I$1,products!$A$1:$D$1,0))</f>
        <v>Ara</v>
      </c>
      <c r="J292" t="str">
        <f t="shared" si="24"/>
        <v>Arabica</v>
      </c>
      <c r="K292" t="str">
        <f>INDEX(products!$A$1:$I$49,MATCH('Conditional Fomating'!$D292,products!$A$1:$A$49,0),MATCH('Conditional Fomating'!K$1,products!$A$1:$D$1,0))</f>
        <v>D</v>
      </c>
      <c r="L292" t="str">
        <f t="shared" si="25"/>
        <v>Dark</v>
      </c>
      <c r="M292">
        <f>INDEX(products!$A$1:$I$49,MATCH('Conditional Fomating'!$D292,products!$A$1:$A$49,0),MATCH('Conditional Fomating'!M$1,products!$A$1:$D$1,0))</f>
        <v>1</v>
      </c>
      <c r="N292">
        <f>_xlfn.XLOOKUP(D292,products!$A$2:$A$49,products!$E$2:$E$49)</f>
        <v>9.9499999999999993</v>
      </c>
      <c r="O292">
        <f>_xlfn.XLOOKUP(D292,products!$A$2:$A$49,products!$H$2:$H$49)</f>
        <v>9.0544999999999991</v>
      </c>
      <c r="P292">
        <f t="shared" si="26"/>
        <v>49.75</v>
      </c>
      <c r="Q292">
        <f t="shared" si="27"/>
        <v>45.272499999999994</v>
      </c>
      <c r="R292">
        <f t="shared" si="28"/>
        <v>4.4775000000000063</v>
      </c>
      <c r="S292" s="4">
        <f t="shared" si="29"/>
        <v>9.0000000000000122E-2</v>
      </c>
      <c r="T292" t="str">
        <f>_xlfn.XLOOKUP(C292,customers!$A$1:$A$1001,customers!$I$1:$I$1001,,0)</f>
        <v>No</v>
      </c>
    </row>
    <row r="293" spans="1:20"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v>
      </c>
      <c r="H293" s="2" t="str">
        <f>_xlfn.XLOOKUP(C293,customers!$A$1:$A$1001,customers!$G$1:$G$1001,,0)</f>
        <v>Ireland</v>
      </c>
      <c r="I293" t="str">
        <f>INDEX(products!$A$1:$I$49,MATCH('Conditional Fomating'!$D293,products!$A$1:$A$49,0),MATCH('Conditional Fomating'!I$1,products!$A$1:$D$1,0))</f>
        <v>Exc</v>
      </c>
      <c r="J293" t="str">
        <f t="shared" si="24"/>
        <v>Excelsa</v>
      </c>
      <c r="K293" t="str">
        <f>INDEX(products!$A$1:$I$49,MATCH('Conditional Fomating'!$D293,products!$A$1:$A$49,0),MATCH('Conditional Fomating'!K$1,products!$A$1:$D$1,0))</f>
        <v>M</v>
      </c>
      <c r="L293" t="str">
        <f t="shared" si="25"/>
        <v>Medium</v>
      </c>
      <c r="M293">
        <f>INDEX(products!$A$1:$I$49,MATCH('Conditional Fomating'!$D293,products!$A$1:$A$49,0),MATCH('Conditional Fomating'!M$1,products!$A$1:$D$1,0))</f>
        <v>0.5</v>
      </c>
      <c r="N293">
        <f>_xlfn.XLOOKUP(D293,products!$A$2:$A$49,products!$E$2:$E$49)</f>
        <v>8.25</v>
      </c>
      <c r="O293">
        <f>_xlfn.XLOOKUP(D293,products!$A$2:$A$49,products!$H$2:$H$49)</f>
        <v>7.3425000000000002</v>
      </c>
      <c r="P293">
        <f t="shared" si="26"/>
        <v>16.5</v>
      </c>
      <c r="Q293">
        <f t="shared" si="27"/>
        <v>14.685</v>
      </c>
      <c r="R293">
        <f t="shared" si="28"/>
        <v>1.8149999999999995</v>
      </c>
      <c r="S293" s="4">
        <f t="shared" si="29"/>
        <v>0.10999999999999997</v>
      </c>
      <c r="T293" t="str">
        <f>_xlfn.XLOOKUP(C293,customers!$A$1:$A$1001,customers!$I$1:$I$1001,,0)</f>
        <v>No</v>
      </c>
    </row>
    <row r="294" spans="1:20"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INDEX(products!$A$1:$I$49,MATCH('Conditional Fomating'!$D294,products!$A$1:$A$49,0),MATCH('Conditional Fomating'!I$1,products!$A$1:$D$1,0))</f>
        <v>Ara</v>
      </c>
      <c r="J294" t="str">
        <f t="shared" si="24"/>
        <v>Arabica</v>
      </c>
      <c r="K294" t="str">
        <f>INDEX(products!$A$1:$I$49,MATCH('Conditional Fomating'!$D294,products!$A$1:$A$49,0),MATCH('Conditional Fomating'!K$1,products!$A$1:$D$1,0))</f>
        <v>D</v>
      </c>
      <c r="L294" t="str">
        <f t="shared" si="25"/>
        <v>Dark</v>
      </c>
      <c r="M294">
        <f>INDEX(products!$A$1:$I$49,MATCH('Conditional Fomating'!$D294,products!$A$1:$A$49,0),MATCH('Conditional Fomating'!M$1,products!$A$1:$D$1,0))</f>
        <v>0.5</v>
      </c>
      <c r="N294">
        <f>_xlfn.XLOOKUP(D294,products!$A$2:$A$49,products!$E$2:$E$49)</f>
        <v>5.97</v>
      </c>
      <c r="O294">
        <f>_xlfn.XLOOKUP(D294,products!$A$2:$A$49,products!$H$2:$H$49)</f>
        <v>5.4326999999999996</v>
      </c>
      <c r="P294">
        <f t="shared" si="26"/>
        <v>17.91</v>
      </c>
      <c r="Q294">
        <f t="shared" si="27"/>
        <v>16.298099999999998</v>
      </c>
      <c r="R294">
        <f t="shared" si="28"/>
        <v>1.6119000000000021</v>
      </c>
      <c r="S294" s="4">
        <f t="shared" si="29"/>
        <v>9.0000000000000122E-2</v>
      </c>
      <c r="T294" t="str">
        <f>_xlfn.XLOOKUP(C294,customers!$A$1:$A$1001,customers!$I$1:$I$1001,,0)</f>
        <v>No</v>
      </c>
    </row>
    <row r="295" spans="1:20"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INDEX(products!$A$1:$I$49,MATCH('Conditional Fomating'!$D295,products!$A$1:$A$49,0),MATCH('Conditional Fomating'!I$1,products!$A$1:$D$1,0))</f>
        <v>Ara</v>
      </c>
      <c r="J295" t="str">
        <f t="shared" si="24"/>
        <v>Arabica</v>
      </c>
      <c r="K295" t="str">
        <f>INDEX(products!$A$1:$I$49,MATCH('Conditional Fomating'!$D295,products!$A$1:$A$49,0),MATCH('Conditional Fomating'!K$1,products!$A$1:$D$1,0))</f>
        <v>D</v>
      </c>
      <c r="L295" t="str">
        <f t="shared" si="25"/>
        <v>Dark</v>
      </c>
      <c r="M295">
        <f>INDEX(products!$A$1:$I$49,MATCH('Conditional Fomating'!$D295,products!$A$1:$A$49,0),MATCH('Conditional Fomating'!M$1,products!$A$1:$D$1,0))</f>
        <v>0.5</v>
      </c>
      <c r="N295">
        <f>_xlfn.XLOOKUP(D295,products!$A$2:$A$49,products!$E$2:$E$49)</f>
        <v>5.97</v>
      </c>
      <c r="O295">
        <f>_xlfn.XLOOKUP(D295,products!$A$2:$A$49,products!$H$2:$H$49)</f>
        <v>5.4326999999999996</v>
      </c>
      <c r="P295">
        <f t="shared" si="26"/>
        <v>29.849999999999998</v>
      </c>
      <c r="Q295">
        <f t="shared" si="27"/>
        <v>27.163499999999999</v>
      </c>
      <c r="R295">
        <f t="shared" si="28"/>
        <v>2.6864999999999988</v>
      </c>
      <c r="S295" s="4">
        <f t="shared" si="29"/>
        <v>8.9999999999999969E-2</v>
      </c>
      <c r="T295" t="str">
        <f>_xlfn.XLOOKUP(C295,customers!$A$1:$A$1001,customers!$I$1:$I$1001,,0)</f>
        <v>No</v>
      </c>
    </row>
    <row r="296" spans="1:20"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v>
      </c>
      <c r="H296" s="2" t="str">
        <f>_xlfn.XLOOKUP(C296,customers!$A$1:$A$1001,customers!$G$1:$G$1001,,0)</f>
        <v>United States</v>
      </c>
      <c r="I296" t="str">
        <f>INDEX(products!$A$1:$I$49,MATCH('Conditional Fomating'!$D296,products!$A$1:$A$49,0),MATCH('Conditional Fomating'!I$1,products!$A$1:$D$1,0))</f>
        <v>Exc</v>
      </c>
      <c r="J296" t="str">
        <f t="shared" si="24"/>
        <v>Excelsa</v>
      </c>
      <c r="K296" t="str">
        <f>INDEX(products!$A$1:$I$49,MATCH('Conditional Fomating'!$D296,products!$A$1:$A$49,0),MATCH('Conditional Fomating'!K$1,products!$A$1:$D$1,0))</f>
        <v>L</v>
      </c>
      <c r="L296" t="str">
        <f t="shared" si="25"/>
        <v>Light</v>
      </c>
      <c r="M296">
        <f>INDEX(products!$A$1:$I$49,MATCH('Conditional Fomating'!$D296,products!$A$1:$A$49,0),MATCH('Conditional Fomating'!M$1,products!$A$1:$D$1,0))</f>
        <v>1</v>
      </c>
      <c r="N296">
        <f>_xlfn.XLOOKUP(D296,products!$A$2:$A$49,products!$E$2:$E$49)</f>
        <v>14.85</v>
      </c>
      <c r="O296">
        <f>_xlfn.XLOOKUP(D296,products!$A$2:$A$49,products!$H$2:$H$49)</f>
        <v>13.2165</v>
      </c>
      <c r="P296">
        <f t="shared" si="26"/>
        <v>44.55</v>
      </c>
      <c r="Q296">
        <f t="shared" si="27"/>
        <v>39.649500000000003</v>
      </c>
      <c r="R296">
        <f t="shared" si="28"/>
        <v>4.9004999999999939</v>
      </c>
      <c r="S296" s="4">
        <f t="shared" si="29"/>
        <v>0.10999999999999988</v>
      </c>
      <c r="T296" t="str">
        <f>_xlfn.XLOOKUP(C296,customers!$A$1:$A$1001,customers!$I$1:$I$1001,,0)</f>
        <v>No</v>
      </c>
    </row>
    <row r="297" spans="1:20"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v>
      </c>
      <c r="H297" s="2" t="str">
        <f>_xlfn.XLOOKUP(C297,customers!$A$1:$A$1001,customers!$G$1:$G$1001,,0)</f>
        <v>United States</v>
      </c>
      <c r="I297" t="str">
        <f>INDEX(products!$A$1:$I$49,MATCH('Conditional Fomating'!$D297,products!$A$1:$A$49,0),MATCH('Conditional Fomating'!I$1,products!$A$1:$D$1,0))</f>
        <v>Exc</v>
      </c>
      <c r="J297" t="str">
        <f t="shared" si="24"/>
        <v>Excelsa</v>
      </c>
      <c r="K297" t="str">
        <f>INDEX(products!$A$1:$I$49,MATCH('Conditional Fomating'!$D297,products!$A$1:$A$49,0),MATCH('Conditional Fomating'!K$1,products!$A$1:$D$1,0))</f>
        <v>M</v>
      </c>
      <c r="L297" t="str">
        <f t="shared" si="25"/>
        <v>Medium</v>
      </c>
      <c r="M297">
        <f>INDEX(products!$A$1:$I$49,MATCH('Conditional Fomating'!$D297,products!$A$1:$A$49,0),MATCH('Conditional Fomating'!M$1,products!$A$1:$D$1,0))</f>
        <v>1</v>
      </c>
      <c r="N297">
        <f>_xlfn.XLOOKUP(D297,products!$A$2:$A$49,products!$E$2:$E$49)</f>
        <v>13.75</v>
      </c>
      <c r="O297">
        <f>_xlfn.XLOOKUP(D297,products!$A$2:$A$49,products!$H$2:$H$49)</f>
        <v>12.237500000000001</v>
      </c>
      <c r="P297">
        <f t="shared" si="26"/>
        <v>27.5</v>
      </c>
      <c r="Q297">
        <f t="shared" si="27"/>
        <v>24.475000000000001</v>
      </c>
      <c r="R297">
        <f t="shared" si="28"/>
        <v>3.0249999999999986</v>
      </c>
      <c r="S297" s="4">
        <f t="shared" si="29"/>
        <v>0.10999999999999995</v>
      </c>
      <c r="T297" t="str">
        <f>_xlfn.XLOOKUP(C297,customers!$A$1:$A$1001,customers!$I$1:$I$1001,,0)</f>
        <v>No</v>
      </c>
    </row>
    <row r="298" spans="1:20"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INDEX(products!$A$1:$I$49,MATCH('Conditional Fomating'!$D298,products!$A$1:$A$49,0),MATCH('Conditional Fomating'!I$1,products!$A$1:$D$1,0))</f>
        <v>Rob</v>
      </c>
      <c r="J298" t="str">
        <f t="shared" si="24"/>
        <v>Robusta</v>
      </c>
      <c r="K298" t="str">
        <f>INDEX(products!$A$1:$I$49,MATCH('Conditional Fomating'!$D298,products!$A$1:$A$49,0),MATCH('Conditional Fomating'!K$1,products!$A$1:$D$1,0))</f>
        <v>M</v>
      </c>
      <c r="L298" t="str">
        <f t="shared" si="25"/>
        <v>Medium</v>
      </c>
      <c r="M298">
        <f>INDEX(products!$A$1:$I$49,MATCH('Conditional Fomating'!$D298,products!$A$1:$A$49,0),MATCH('Conditional Fomating'!M$1,products!$A$1:$D$1,0))</f>
        <v>0.5</v>
      </c>
      <c r="N298">
        <f>_xlfn.XLOOKUP(D298,products!$A$2:$A$49,products!$E$2:$E$49)</f>
        <v>5.97</v>
      </c>
      <c r="O298">
        <f>_xlfn.XLOOKUP(D298,products!$A$2:$A$49,products!$H$2:$H$49)</f>
        <v>5.6117999999999997</v>
      </c>
      <c r="P298">
        <f t="shared" si="26"/>
        <v>35.82</v>
      </c>
      <c r="Q298">
        <f t="shared" si="27"/>
        <v>33.6708</v>
      </c>
      <c r="R298">
        <f t="shared" si="28"/>
        <v>2.1492000000000004</v>
      </c>
      <c r="S298" s="4">
        <f t="shared" si="29"/>
        <v>6.0000000000000012E-2</v>
      </c>
      <c r="T298" t="str">
        <f>_xlfn.XLOOKUP(C298,customers!$A$1:$A$1001,customers!$I$1:$I$1001,,0)</f>
        <v>Yes</v>
      </c>
    </row>
    <row r="299" spans="1:20"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INDEX(products!$A$1:$I$49,MATCH('Conditional Fomating'!$D299,products!$A$1:$A$49,0),MATCH('Conditional Fomating'!I$1,products!$A$1:$D$1,0))</f>
        <v>Rob</v>
      </c>
      <c r="J299" t="str">
        <f t="shared" si="24"/>
        <v>Robusta</v>
      </c>
      <c r="K299" t="str">
        <f>INDEX(products!$A$1:$I$49,MATCH('Conditional Fomating'!$D299,products!$A$1:$A$49,0),MATCH('Conditional Fomating'!K$1,products!$A$1:$D$1,0))</f>
        <v>D</v>
      </c>
      <c r="L299" t="str">
        <f t="shared" si="25"/>
        <v>Dark</v>
      </c>
      <c r="M299">
        <f>INDEX(products!$A$1:$I$49,MATCH('Conditional Fomating'!$D299,products!$A$1:$A$49,0),MATCH('Conditional Fomating'!M$1,products!$A$1:$D$1,0))</f>
        <v>0.5</v>
      </c>
      <c r="N299">
        <f>_xlfn.XLOOKUP(D299,products!$A$2:$A$49,products!$E$2:$E$49)</f>
        <v>5.3699999999999992</v>
      </c>
      <c r="O299">
        <f>_xlfn.XLOOKUP(D299,products!$A$2:$A$49,products!$H$2:$H$49)</f>
        <v>5.0477999999999996</v>
      </c>
      <c r="P299">
        <f t="shared" si="26"/>
        <v>16.11</v>
      </c>
      <c r="Q299">
        <f t="shared" si="27"/>
        <v>15.1434</v>
      </c>
      <c r="R299">
        <f t="shared" si="28"/>
        <v>0.96659999999999968</v>
      </c>
      <c r="S299" s="4">
        <f t="shared" si="29"/>
        <v>5.9999999999999984E-2</v>
      </c>
      <c r="T299" t="str">
        <f>_xlfn.XLOOKUP(C299,customers!$A$1:$A$1001,customers!$I$1:$I$1001,,0)</f>
        <v>Yes</v>
      </c>
    </row>
    <row r="300" spans="1:20"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INDEX(products!$A$1:$I$49,MATCH('Conditional Fomating'!$D300,products!$A$1:$A$49,0),MATCH('Conditional Fomating'!I$1,products!$A$1:$D$1,0))</f>
        <v>Exc</v>
      </c>
      <c r="J300" t="str">
        <f t="shared" si="24"/>
        <v>Excelsa</v>
      </c>
      <c r="K300" t="str">
        <f>INDEX(products!$A$1:$I$49,MATCH('Conditional Fomating'!$D300,products!$A$1:$A$49,0),MATCH('Conditional Fomating'!K$1,products!$A$1:$D$1,0))</f>
        <v>L</v>
      </c>
      <c r="L300" t="str">
        <f t="shared" si="25"/>
        <v>Light</v>
      </c>
      <c r="M300">
        <f>INDEX(products!$A$1:$I$49,MATCH('Conditional Fomating'!$D300,products!$A$1:$A$49,0),MATCH('Conditional Fomating'!M$1,products!$A$1:$D$1,0))</f>
        <v>0.2</v>
      </c>
      <c r="N300">
        <f>_xlfn.XLOOKUP(D300,products!$A$2:$A$49,products!$E$2:$E$49)</f>
        <v>4.4550000000000001</v>
      </c>
      <c r="O300">
        <f>_xlfn.XLOOKUP(D300,products!$A$2:$A$49,products!$H$2:$H$49)</f>
        <v>3.96495</v>
      </c>
      <c r="P300">
        <f t="shared" si="26"/>
        <v>26.73</v>
      </c>
      <c r="Q300">
        <f t="shared" si="27"/>
        <v>23.7897</v>
      </c>
      <c r="R300">
        <f t="shared" si="28"/>
        <v>2.9403000000000006</v>
      </c>
      <c r="S300" s="4">
        <f t="shared" si="29"/>
        <v>0.11000000000000001</v>
      </c>
      <c r="T300" t="str">
        <f>_xlfn.XLOOKUP(C300,customers!$A$1:$A$1001,customers!$I$1:$I$1001,,0)</f>
        <v>Yes</v>
      </c>
    </row>
    <row r="301" spans="1:20"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INDEX(products!$A$1:$I$49,MATCH('Conditional Fomating'!$D301,products!$A$1:$A$49,0),MATCH('Conditional Fomating'!I$1,products!$A$1:$D$1,0))</f>
        <v>Exc</v>
      </c>
      <c r="J301" t="str">
        <f t="shared" si="24"/>
        <v>Excelsa</v>
      </c>
      <c r="K301" t="str">
        <f>INDEX(products!$A$1:$I$49,MATCH('Conditional Fomating'!$D301,products!$A$1:$A$49,0),MATCH('Conditional Fomating'!K$1,products!$A$1:$D$1,0))</f>
        <v>L</v>
      </c>
      <c r="L301" t="str">
        <f t="shared" si="25"/>
        <v>Light</v>
      </c>
      <c r="M301">
        <f>INDEX(products!$A$1:$I$49,MATCH('Conditional Fomating'!$D301,products!$A$1:$A$49,0),MATCH('Conditional Fomating'!M$1,products!$A$1:$D$1,0))</f>
        <v>2.5</v>
      </c>
      <c r="N301">
        <f>_xlfn.XLOOKUP(D301,products!$A$2:$A$49,products!$E$2:$E$49)</f>
        <v>34.154999999999994</v>
      </c>
      <c r="O301">
        <f>_xlfn.XLOOKUP(D301,products!$A$2:$A$49,products!$H$2:$H$49)</f>
        <v>30.397949999999994</v>
      </c>
      <c r="P301">
        <f t="shared" si="26"/>
        <v>204.92999999999995</v>
      </c>
      <c r="Q301">
        <f t="shared" si="27"/>
        <v>182.38769999999997</v>
      </c>
      <c r="R301">
        <f t="shared" si="28"/>
        <v>22.542299999999983</v>
      </c>
      <c r="S301" s="4">
        <f t="shared" si="29"/>
        <v>0.10999999999999995</v>
      </c>
      <c r="T301" t="str">
        <f>_xlfn.XLOOKUP(C301,customers!$A$1:$A$1001,customers!$I$1:$I$1001,,0)</f>
        <v>Yes</v>
      </c>
    </row>
    <row r="302" spans="1:20"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INDEX(products!$A$1:$I$49,MATCH('Conditional Fomating'!$D302,products!$A$1:$A$49,0),MATCH('Conditional Fomating'!I$1,products!$A$1:$D$1,0))</f>
        <v>Ara</v>
      </c>
      <c r="J302" t="str">
        <f t="shared" si="24"/>
        <v>Arabica</v>
      </c>
      <c r="K302" t="str">
        <f>INDEX(products!$A$1:$I$49,MATCH('Conditional Fomating'!$D302,products!$A$1:$A$49,0),MATCH('Conditional Fomating'!K$1,products!$A$1:$D$1,0))</f>
        <v>L</v>
      </c>
      <c r="L302" t="str">
        <f t="shared" si="25"/>
        <v>Light</v>
      </c>
      <c r="M302">
        <f>INDEX(products!$A$1:$I$49,MATCH('Conditional Fomating'!$D302,products!$A$1:$A$49,0),MATCH('Conditional Fomating'!M$1,products!$A$1:$D$1,0))</f>
        <v>1</v>
      </c>
      <c r="N302">
        <f>_xlfn.XLOOKUP(D302,products!$A$2:$A$49,products!$E$2:$E$49)</f>
        <v>12.95</v>
      </c>
      <c r="O302">
        <f>_xlfn.XLOOKUP(D302,products!$A$2:$A$49,products!$H$2:$H$49)</f>
        <v>11.7845</v>
      </c>
      <c r="P302">
        <f t="shared" si="26"/>
        <v>38.849999999999994</v>
      </c>
      <c r="Q302">
        <f t="shared" si="27"/>
        <v>35.353499999999997</v>
      </c>
      <c r="R302">
        <f t="shared" si="28"/>
        <v>3.4964999999999975</v>
      </c>
      <c r="S302" s="4">
        <f t="shared" si="29"/>
        <v>8.9999999999999955E-2</v>
      </c>
      <c r="T302" t="str">
        <f>_xlfn.XLOOKUP(C302,customers!$A$1:$A$1001,customers!$I$1:$I$1001,,0)</f>
        <v>Yes</v>
      </c>
    </row>
    <row r="303" spans="1:20"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INDEX(products!$A$1:$I$49,MATCH('Conditional Fomating'!$D303,products!$A$1:$A$49,0),MATCH('Conditional Fomating'!I$1,products!$A$1:$D$1,0))</f>
        <v>Lib</v>
      </c>
      <c r="J303" t="str">
        <f t="shared" si="24"/>
        <v>Liberica</v>
      </c>
      <c r="K303" t="str">
        <f>INDEX(products!$A$1:$I$49,MATCH('Conditional Fomating'!$D303,products!$A$1:$A$49,0),MATCH('Conditional Fomating'!K$1,products!$A$1:$D$1,0))</f>
        <v>D</v>
      </c>
      <c r="L303" t="str">
        <f t="shared" si="25"/>
        <v>Dark</v>
      </c>
      <c r="M303">
        <f>INDEX(products!$A$1:$I$49,MATCH('Conditional Fomating'!$D303,products!$A$1:$A$49,0),MATCH('Conditional Fomating'!M$1,products!$A$1:$D$1,0))</f>
        <v>0.2</v>
      </c>
      <c r="N303">
        <f>_xlfn.XLOOKUP(D303,products!$A$2:$A$49,products!$E$2:$E$49)</f>
        <v>3.8849999999999998</v>
      </c>
      <c r="O303">
        <f>_xlfn.XLOOKUP(D303,products!$A$2:$A$49,products!$H$2:$H$49)</f>
        <v>3.37995</v>
      </c>
      <c r="P303">
        <f t="shared" si="26"/>
        <v>15.54</v>
      </c>
      <c r="Q303">
        <f t="shared" si="27"/>
        <v>13.5198</v>
      </c>
      <c r="R303">
        <f t="shared" si="28"/>
        <v>2.0201999999999991</v>
      </c>
      <c r="S303" s="4">
        <f t="shared" si="29"/>
        <v>0.12999999999999995</v>
      </c>
      <c r="T303" t="str">
        <f>_xlfn.XLOOKUP(C303,customers!$A$1:$A$1001,customers!$I$1:$I$1001,,0)</f>
        <v>Yes</v>
      </c>
    </row>
    <row r="304" spans="1:20"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INDEX(products!$A$1:$I$49,MATCH('Conditional Fomating'!$D304,products!$A$1:$A$49,0),MATCH('Conditional Fomating'!I$1,products!$A$1:$D$1,0))</f>
        <v>Ara</v>
      </c>
      <c r="J304" t="str">
        <f t="shared" si="24"/>
        <v>Arabica</v>
      </c>
      <c r="K304" t="str">
        <f>INDEX(products!$A$1:$I$49,MATCH('Conditional Fomating'!$D304,products!$A$1:$A$49,0),MATCH('Conditional Fomating'!K$1,products!$A$1:$D$1,0))</f>
        <v>M</v>
      </c>
      <c r="L304" t="str">
        <f t="shared" si="25"/>
        <v>Medium</v>
      </c>
      <c r="M304">
        <f>INDEX(products!$A$1:$I$49,MATCH('Conditional Fomating'!$D304,products!$A$1:$A$49,0),MATCH('Conditional Fomating'!M$1,products!$A$1:$D$1,0))</f>
        <v>0.5</v>
      </c>
      <c r="N304">
        <f>_xlfn.XLOOKUP(D304,products!$A$2:$A$49,products!$E$2:$E$49)</f>
        <v>6.75</v>
      </c>
      <c r="O304">
        <f>_xlfn.XLOOKUP(D304,products!$A$2:$A$49,products!$H$2:$H$49)</f>
        <v>6.1425000000000001</v>
      </c>
      <c r="P304">
        <f t="shared" si="26"/>
        <v>6.75</v>
      </c>
      <c r="Q304">
        <f t="shared" si="27"/>
        <v>6.1425000000000001</v>
      </c>
      <c r="R304">
        <f t="shared" si="28"/>
        <v>0.60749999999999993</v>
      </c>
      <c r="S304" s="4">
        <f t="shared" si="29"/>
        <v>8.9999999999999983E-2</v>
      </c>
      <c r="T304" t="str">
        <f>_xlfn.XLOOKUP(C304,customers!$A$1:$A$1001,customers!$I$1:$I$1001,,0)</f>
        <v>No</v>
      </c>
    </row>
    <row r="305" spans="1:20"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INDEX(products!$A$1:$I$49,MATCH('Conditional Fomating'!$D305,products!$A$1:$A$49,0),MATCH('Conditional Fomating'!I$1,products!$A$1:$D$1,0))</f>
        <v>Exc</v>
      </c>
      <c r="J305" t="str">
        <f t="shared" si="24"/>
        <v>Excelsa</v>
      </c>
      <c r="K305" t="str">
        <f>INDEX(products!$A$1:$I$49,MATCH('Conditional Fomating'!$D305,products!$A$1:$A$49,0),MATCH('Conditional Fomating'!K$1,products!$A$1:$D$1,0))</f>
        <v>D</v>
      </c>
      <c r="L305" t="str">
        <f t="shared" si="25"/>
        <v>Dark</v>
      </c>
      <c r="M305">
        <f>INDEX(products!$A$1:$I$49,MATCH('Conditional Fomating'!$D305,products!$A$1:$A$49,0),MATCH('Conditional Fomating'!M$1,products!$A$1:$D$1,0))</f>
        <v>2.5</v>
      </c>
      <c r="N305">
        <f>_xlfn.XLOOKUP(D305,products!$A$2:$A$49,products!$E$2:$E$49)</f>
        <v>27.945</v>
      </c>
      <c r="O305">
        <f>_xlfn.XLOOKUP(D305,products!$A$2:$A$49,products!$H$2:$H$49)</f>
        <v>24.87105</v>
      </c>
      <c r="P305">
        <f t="shared" si="26"/>
        <v>111.78</v>
      </c>
      <c r="Q305">
        <f t="shared" si="27"/>
        <v>99.484200000000001</v>
      </c>
      <c r="R305">
        <f t="shared" si="28"/>
        <v>12.2958</v>
      </c>
      <c r="S305" s="4">
        <f t="shared" si="29"/>
        <v>0.11</v>
      </c>
      <c r="T305" t="str">
        <f>_xlfn.XLOOKUP(C305,customers!$A$1:$A$1001,customers!$I$1:$I$1001,,0)</f>
        <v>Yes</v>
      </c>
    </row>
    <row r="306" spans="1:20"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INDEX(products!$A$1:$I$49,MATCH('Conditional Fomating'!$D306,products!$A$1:$A$49,0),MATCH('Conditional Fomating'!I$1,products!$A$1:$D$1,0))</f>
        <v>Ara</v>
      </c>
      <c r="J306" t="str">
        <f t="shared" si="24"/>
        <v>Arabica</v>
      </c>
      <c r="K306" t="str">
        <f>INDEX(products!$A$1:$I$49,MATCH('Conditional Fomating'!$D306,products!$A$1:$A$49,0),MATCH('Conditional Fomating'!K$1,products!$A$1:$D$1,0))</f>
        <v>L</v>
      </c>
      <c r="L306" t="str">
        <f t="shared" si="25"/>
        <v>Light</v>
      </c>
      <c r="M306">
        <f>INDEX(products!$A$1:$I$49,MATCH('Conditional Fomating'!$D306,products!$A$1:$A$49,0),MATCH('Conditional Fomating'!M$1,products!$A$1:$D$1,0))</f>
        <v>0.2</v>
      </c>
      <c r="N306">
        <f>_xlfn.XLOOKUP(D306,products!$A$2:$A$49,products!$E$2:$E$49)</f>
        <v>3.8849999999999998</v>
      </c>
      <c r="O306">
        <f>_xlfn.XLOOKUP(D306,products!$A$2:$A$49,products!$H$2:$H$49)</f>
        <v>3.5353499999999998</v>
      </c>
      <c r="P306">
        <f t="shared" si="26"/>
        <v>3.8849999999999998</v>
      </c>
      <c r="Q306">
        <f t="shared" si="27"/>
        <v>3.5353499999999998</v>
      </c>
      <c r="R306">
        <f t="shared" si="28"/>
        <v>0.34965000000000002</v>
      </c>
      <c r="S306" s="4">
        <f t="shared" si="29"/>
        <v>9.0000000000000011E-2</v>
      </c>
      <c r="T306" t="str">
        <f>_xlfn.XLOOKUP(C306,customers!$A$1:$A$1001,customers!$I$1:$I$1001,,0)</f>
        <v>Yes</v>
      </c>
    </row>
    <row r="307" spans="1:20"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INDEX(products!$A$1:$I$49,MATCH('Conditional Fomating'!$D307,products!$A$1:$A$49,0),MATCH('Conditional Fomating'!I$1,products!$A$1:$D$1,0))</f>
        <v>Lib</v>
      </c>
      <c r="J307" t="str">
        <f t="shared" si="24"/>
        <v>Liberica</v>
      </c>
      <c r="K307" t="str">
        <f>INDEX(products!$A$1:$I$49,MATCH('Conditional Fomating'!$D307,products!$A$1:$A$49,0),MATCH('Conditional Fomating'!K$1,products!$A$1:$D$1,0))</f>
        <v>M</v>
      </c>
      <c r="L307" t="str">
        <f t="shared" si="25"/>
        <v>Medium</v>
      </c>
      <c r="M307">
        <f>INDEX(products!$A$1:$I$49,MATCH('Conditional Fomating'!$D307,products!$A$1:$A$49,0),MATCH('Conditional Fomating'!M$1,products!$A$1:$D$1,0))</f>
        <v>0.2</v>
      </c>
      <c r="N307">
        <f>_xlfn.XLOOKUP(D307,products!$A$2:$A$49,products!$E$2:$E$49)</f>
        <v>4.3650000000000002</v>
      </c>
      <c r="O307">
        <f>_xlfn.XLOOKUP(D307,products!$A$2:$A$49,products!$H$2:$H$49)</f>
        <v>3.7975500000000002</v>
      </c>
      <c r="P307">
        <f t="shared" si="26"/>
        <v>21.825000000000003</v>
      </c>
      <c r="Q307">
        <f t="shared" si="27"/>
        <v>18.987750000000002</v>
      </c>
      <c r="R307">
        <f t="shared" si="28"/>
        <v>2.8372500000000009</v>
      </c>
      <c r="S307" s="4">
        <f t="shared" si="29"/>
        <v>0.13000000000000003</v>
      </c>
      <c r="T307" t="str">
        <f>_xlfn.XLOOKUP(C307,customers!$A$1:$A$1001,customers!$I$1:$I$1001,,0)</f>
        <v>No</v>
      </c>
    </row>
    <row r="308" spans="1:20"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INDEX(products!$A$1:$I$49,MATCH('Conditional Fomating'!$D308,products!$A$1:$A$49,0),MATCH('Conditional Fomating'!I$1,products!$A$1:$D$1,0))</f>
        <v>Rob</v>
      </c>
      <c r="J308" t="str">
        <f t="shared" si="24"/>
        <v>Robusta</v>
      </c>
      <c r="K308" t="str">
        <f>INDEX(products!$A$1:$I$49,MATCH('Conditional Fomating'!$D308,products!$A$1:$A$49,0),MATCH('Conditional Fomating'!K$1,products!$A$1:$D$1,0))</f>
        <v>M</v>
      </c>
      <c r="L308" t="str">
        <f t="shared" si="25"/>
        <v>Medium</v>
      </c>
      <c r="M308">
        <f>INDEX(products!$A$1:$I$49,MATCH('Conditional Fomating'!$D308,products!$A$1:$A$49,0),MATCH('Conditional Fomating'!M$1,products!$A$1:$D$1,0))</f>
        <v>0.2</v>
      </c>
      <c r="N308">
        <f>_xlfn.XLOOKUP(D308,products!$A$2:$A$49,products!$E$2:$E$49)</f>
        <v>2.9849999999999999</v>
      </c>
      <c r="O308">
        <f>_xlfn.XLOOKUP(D308,products!$A$2:$A$49,products!$H$2:$H$49)</f>
        <v>2.8058999999999998</v>
      </c>
      <c r="P308">
        <f t="shared" si="26"/>
        <v>14.924999999999999</v>
      </c>
      <c r="Q308">
        <f t="shared" si="27"/>
        <v>14.029499999999999</v>
      </c>
      <c r="R308">
        <f t="shared" si="28"/>
        <v>0.89550000000000018</v>
      </c>
      <c r="S308" s="4">
        <f t="shared" si="29"/>
        <v>6.0000000000000019E-2</v>
      </c>
      <c r="T308" t="str">
        <f>_xlfn.XLOOKUP(C308,customers!$A$1:$A$1001,customers!$I$1:$I$1001,,0)</f>
        <v>No</v>
      </c>
    </row>
    <row r="309" spans="1:20"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INDEX(products!$A$1:$I$49,MATCH('Conditional Fomating'!$D309,products!$A$1:$A$49,0),MATCH('Conditional Fomating'!I$1,products!$A$1:$D$1,0))</f>
        <v>Ara</v>
      </c>
      <c r="J309" t="str">
        <f t="shared" si="24"/>
        <v>Arabica</v>
      </c>
      <c r="K309" t="str">
        <f>INDEX(products!$A$1:$I$49,MATCH('Conditional Fomating'!$D309,products!$A$1:$A$49,0),MATCH('Conditional Fomating'!K$1,products!$A$1:$D$1,0))</f>
        <v>M</v>
      </c>
      <c r="L309" t="str">
        <f t="shared" si="25"/>
        <v>Medium</v>
      </c>
      <c r="M309">
        <f>INDEX(products!$A$1:$I$49,MATCH('Conditional Fomating'!$D309,products!$A$1:$A$49,0),MATCH('Conditional Fomating'!M$1,products!$A$1:$D$1,0))</f>
        <v>1</v>
      </c>
      <c r="N309">
        <f>_xlfn.XLOOKUP(D309,products!$A$2:$A$49,products!$E$2:$E$49)</f>
        <v>11.25</v>
      </c>
      <c r="O309">
        <f>_xlfn.XLOOKUP(D309,products!$A$2:$A$49,products!$H$2:$H$49)</f>
        <v>10.237500000000001</v>
      </c>
      <c r="P309">
        <f t="shared" si="26"/>
        <v>33.75</v>
      </c>
      <c r="Q309">
        <f t="shared" si="27"/>
        <v>30.712500000000002</v>
      </c>
      <c r="R309">
        <f t="shared" si="28"/>
        <v>3.0374999999999979</v>
      </c>
      <c r="S309" s="4">
        <f t="shared" si="29"/>
        <v>8.9999999999999941E-2</v>
      </c>
      <c r="T309" t="str">
        <f>_xlfn.XLOOKUP(C309,customers!$A$1:$A$1001,customers!$I$1:$I$1001,,0)</f>
        <v>Yes</v>
      </c>
    </row>
    <row r="310" spans="1:20"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INDEX(products!$A$1:$I$49,MATCH('Conditional Fomating'!$D310,products!$A$1:$A$49,0),MATCH('Conditional Fomating'!I$1,products!$A$1:$D$1,0))</f>
        <v>Ara</v>
      </c>
      <c r="J310" t="str">
        <f t="shared" si="24"/>
        <v>Arabica</v>
      </c>
      <c r="K310" t="str">
        <f>INDEX(products!$A$1:$I$49,MATCH('Conditional Fomating'!$D310,products!$A$1:$A$49,0),MATCH('Conditional Fomating'!K$1,products!$A$1:$D$1,0))</f>
        <v>M</v>
      </c>
      <c r="L310" t="str">
        <f t="shared" si="25"/>
        <v>Medium</v>
      </c>
      <c r="M310">
        <f>INDEX(products!$A$1:$I$49,MATCH('Conditional Fomating'!$D310,products!$A$1:$A$49,0),MATCH('Conditional Fomating'!M$1,products!$A$1:$D$1,0))</f>
        <v>1</v>
      </c>
      <c r="N310">
        <f>_xlfn.XLOOKUP(D310,products!$A$2:$A$49,products!$E$2:$E$49)</f>
        <v>11.25</v>
      </c>
      <c r="O310">
        <f>_xlfn.XLOOKUP(D310,products!$A$2:$A$49,products!$H$2:$H$49)</f>
        <v>10.237500000000001</v>
      </c>
      <c r="P310">
        <f t="shared" si="26"/>
        <v>33.75</v>
      </c>
      <c r="Q310">
        <f t="shared" si="27"/>
        <v>30.712500000000002</v>
      </c>
      <c r="R310">
        <f t="shared" si="28"/>
        <v>3.0374999999999979</v>
      </c>
      <c r="S310" s="4">
        <f t="shared" si="29"/>
        <v>8.9999999999999941E-2</v>
      </c>
      <c r="T310" t="str">
        <f>_xlfn.XLOOKUP(C310,customers!$A$1:$A$1001,customers!$I$1:$I$1001,,0)</f>
        <v>No</v>
      </c>
    </row>
    <row r="311" spans="1:20"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INDEX(products!$A$1:$I$49,MATCH('Conditional Fomating'!$D311,products!$A$1:$A$49,0),MATCH('Conditional Fomating'!I$1,products!$A$1:$D$1,0))</f>
        <v>Lib</v>
      </c>
      <c r="J311" t="str">
        <f t="shared" si="24"/>
        <v>Liberica</v>
      </c>
      <c r="K311" t="str">
        <f>INDEX(products!$A$1:$I$49,MATCH('Conditional Fomating'!$D311,products!$A$1:$A$49,0),MATCH('Conditional Fomating'!K$1,products!$A$1:$D$1,0))</f>
        <v>M</v>
      </c>
      <c r="L311" t="str">
        <f t="shared" si="25"/>
        <v>Medium</v>
      </c>
      <c r="M311">
        <f>INDEX(products!$A$1:$I$49,MATCH('Conditional Fomating'!$D311,products!$A$1:$A$49,0),MATCH('Conditional Fomating'!M$1,products!$A$1:$D$1,0))</f>
        <v>0.2</v>
      </c>
      <c r="N311">
        <f>_xlfn.XLOOKUP(D311,products!$A$2:$A$49,products!$E$2:$E$49)</f>
        <v>4.3650000000000002</v>
      </c>
      <c r="O311">
        <f>_xlfn.XLOOKUP(D311,products!$A$2:$A$49,products!$H$2:$H$49)</f>
        <v>3.7975500000000002</v>
      </c>
      <c r="P311">
        <f t="shared" si="26"/>
        <v>26.19</v>
      </c>
      <c r="Q311">
        <f t="shared" si="27"/>
        <v>22.785299999999999</v>
      </c>
      <c r="R311">
        <f t="shared" si="28"/>
        <v>3.4047000000000018</v>
      </c>
      <c r="S311" s="4">
        <f t="shared" si="29"/>
        <v>0.13000000000000006</v>
      </c>
      <c r="T311" t="str">
        <f>_xlfn.XLOOKUP(C311,customers!$A$1:$A$1001,customers!$I$1:$I$1001,,0)</f>
        <v>Yes</v>
      </c>
    </row>
    <row r="312" spans="1:20"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INDEX(products!$A$1:$I$49,MATCH('Conditional Fomating'!$D312,products!$A$1:$A$49,0),MATCH('Conditional Fomating'!I$1,products!$A$1:$D$1,0))</f>
        <v>Exc</v>
      </c>
      <c r="J312" t="str">
        <f t="shared" si="24"/>
        <v>Excelsa</v>
      </c>
      <c r="K312" t="str">
        <f>INDEX(products!$A$1:$I$49,MATCH('Conditional Fomating'!$D312,products!$A$1:$A$49,0),MATCH('Conditional Fomating'!K$1,products!$A$1:$D$1,0))</f>
        <v>L</v>
      </c>
      <c r="L312" t="str">
        <f t="shared" si="25"/>
        <v>Light</v>
      </c>
      <c r="M312">
        <f>INDEX(products!$A$1:$I$49,MATCH('Conditional Fomating'!$D312,products!$A$1:$A$49,0),MATCH('Conditional Fomating'!M$1,products!$A$1:$D$1,0))</f>
        <v>1</v>
      </c>
      <c r="N312">
        <f>_xlfn.XLOOKUP(D312,products!$A$2:$A$49,products!$E$2:$E$49)</f>
        <v>14.85</v>
      </c>
      <c r="O312">
        <f>_xlfn.XLOOKUP(D312,products!$A$2:$A$49,products!$H$2:$H$49)</f>
        <v>13.2165</v>
      </c>
      <c r="P312">
        <f t="shared" si="26"/>
        <v>14.85</v>
      </c>
      <c r="Q312">
        <f t="shared" si="27"/>
        <v>13.2165</v>
      </c>
      <c r="R312">
        <f t="shared" si="28"/>
        <v>1.6334999999999997</v>
      </c>
      <c r="S312" s="4">
        <f t="shared" si="29"/>
        <v>0.10999999999999999</v>
      </c>
      <c r="T312" t="str">
        <f>_xlfn.XLOOKUP(C312,customers!$A$1:$A$1001,customers!$I$1:$I$1001,,0)</f>
        <v>No</v>
      </c>
    </row>
    <row r="313" spans="1:20"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INDEX(products!$A$1:$I$49,MATCH('Conditional Fomating'!$D313,products!$A$1:$A$49,0),MATCH('Conditional Fomating'!I$1,products!$A$1:$D$1,0))</f>
        <v>Exc</v>
      </c>
      <c r="J313" t="str">
        <f t="shared" si="24"/>
        <v>Excelsa</v>
      </c>
      <c r="K313" t="str">
        <f>INDEX(products!$A$1:$I$49,MATCH('Conditional Fomating'!$D313,products!$A$1:$A$49,0),MATCH('Conditional Fomating'!K$1,products!$A$1:$D$1,0))</f>
        <v>M</v>
      </c>
      <c r="L313" t="str">
        <f t="shared" si="25"/>
        <v>Medium</v>
      </c>
      <c r="M313">
        <f>INDEX(products!$A$1:$I$49,MATCH('Conditional Fomating'!$D313,products!$A$1:$A$49,0),MATCH('Conditional Fomating'!M$1,products!$A$1:$D$1,0))</f>
        <v>2.5</v>
      </c>
      <c r="N313">
        <f>_xlfn.XLOOKUP(D313,products!$A$2:$A$49,products!$E$2:$E$49)</f>
        <v>31.624999999999996</v>
      </c>
      <c r="O313">
        <f>_xlfn.XLOOKUP(D313,products!$A$2:$A$49,products!$H$2:$H$49)</f>
        <v>28.146249999999995</v>
      </c>
      <c r="P313">
        <f t="shared" si="26"/>
        <v>189.74999999999997</v>
      </c>
      <c r="Q313">
        <f t="shared" si="27"/>
        <v>168.87749999999997</v>
      </c>
      <c r="R313">
        <f t="shared" si="28"/>
        <v>20.872500000000002</v>
      </c>
      <c r="S313" s="4">
        <f t="shared" si="29"/>
        <v>0.11000000000000003</v>
      </c>
      <c r="T313" t="str">
        <f>_xlfn.XLOOKUP(C313,customers!$A$1:$A$1001,customers!$I$1:$I$1001,,0)</f>
        <v>Yes</v>
      </c>
    </row>
    <row r="314" spans="1:20"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INDEX(products!$A$1:$I$49,MATCH('Conditional Fomating'!$D314,products!$A$1:$A$49,0),MATCH('Conditional Fomating'!I$1,products!$A$1:$D$1,0))</f>
        <v>Rob</v>
      </c>
      <c r="J314" t="str">
        <f t="shared" si="24"/>
        <v>Robusta</v>
      </c>
      <c r="K314" t="str">
        <f>INDEX(products!$A$1:$I$49,MATCH('Conditional Fomating'!$D314,products!$A$1:$A$49,0),MATCH('Conditional Fomating'!K$1,products!$A$1:$D$1,0))</f>
        <v>M</v>
      </c>
      <c r="L314" t="str">
        <f t="shared" si="25"/>
        <v>Medium</v>
      </c>
      <c r="M314">
        <f>INDEX(products!$A$1:$I$49,MATCH('Conditional Fomating'!$D314,products!$A$1:$A$49,0),MATCH('Conditional Fomating'!M$1,products!$A$1:$D$1,0))</f>
        <v>0.5</v>
      </c>
      <c r="N314">
        <f>_xlfn.XLOOKUP(D314,products!$A$2:$A$49,products!$E$2:$E$49)</f>
        <v>5.97</v>
      </c>
      <c r="O314">
        <f>_xlfn.XLOOKUP(D314,products!$A$2:$A$49,products!$H$2:$H$49)</f>
        <v>5.6117999999999997</v>
      </c>
      <c r="P314">
        <f t="shared" si="26"/>
        <v>5.97</v>
      </c>
      <c r="Q314">
        <f t="shared" si="27"/>
        <v>5.6117999999999997</v>
      </c>
      <c r="R314">
        <f t="shared" si="28"/>
        <v>0.35820000000000007</v>
      </c>
      <c r="S314" s="4">
        <f t="shared" si="29"/>
        <v>6.0000000000000012E-2</v>
      </c>
      <c r="T314" t="str">
        <f>_xlfn.XLOOKUP(C314,customers!$A$1:$A$1001,customers!$I$1:$I$1001,,0)</f>
        <v>Yes</v>
      </c>
    </row>
    <row r="315" spans="1:20"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INDEX(products!$A$1:$I$49,MATCH('Conditional Fomating'!$D315,products!$A$1:$A$49,0),MATCH('Conditional Fomating'!I$1,products!$A$1:$D$1,0))</f>
        <v>Rob</v>
      </c>
      <c r="J315" t="str">
        <f t="shared" si="24"/>
        <v>Robusta</v>
      </c>
      <c r="K315" t="str">
        <f>INDEX(products!$A$1:$I$49,MATCH('Conditional Fomating'!$D315,products!$A$1:$A$49,0),MATCH('Conditional Fomating'!K$1,products!$A$1:$D$1,0))</f>
        <v>M</v>
      </c>
      <c r="L315" t="str">
        <f t="shared" si="25"/>
        <v>Medium</v>
      </c>
      <c r="M315">
        <f>INDEX(products!$A$1:$I$49,MATCH('Conditional Fomating'!$D315,products!$A$1:$A$49,0),MATCH('Conditional Fomating'!M$1,products!$A$1:$D$1,0))</f>
        <v>1</v>
      </c>
      <c r="N315">
        <f>_xlfn.XLOOKUP(D315,products!$A$2:$A$49,products!$E$2:$E$49)</f>
        <v>9.9499999999999993</v>
      </c>
      <c r="O315">
        <f>_xlfn.XLOOKUP(D315,products!$A$2:$A$49,products!$H$2:$H$49)</f>
        <v>9.3529999999999998</v>
      </c>
      <c r="P315">
        <f t="shared" si="26"/>
        <v>29.849999999999998</v>
      </c>
      <c r="Q315">
        <f t="shared" si="27"/>
        <v>28.058999999999997</v>
      </c>
      <c r="R315">
        <f t="shared" si="28"/>
        <v>1.7910000000000004</v>
      </c>
      <c r="S315" s="4">
        <f t="shared" si="29"/>
        <v>6.0000000000000019E-2</v>
      </c>
      <c r="T315" t="str">
        <f>_xlfn.XLOOKUP(C315,customers!$A$1:$A$1001,customers!$I$1:$I$1001,,0)</f>
        <v>Yes</v>
      </c>
    </row>
    <row r="316" spans="1:20"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v>
      </c>
      <c r="H316" s="2" t="str">
        <f>_xlfn.XLOOKUP(C316,customers!$A$1:$A$1001,customers!$G$1:$G$1001,,0)</f>
        <v>United States</v>
      </c>
      <c r="I316" t="str">
        <f>INDEX(products!$A$1:$I$49,MATCH('Conditional Fomating'!$D316,products!$A$1:$A$49,0),MATCH('Conditional Fomating'!I$1,products!$A$1:$D$1,0))</f>
        <v>Rob</v>
      </c>
      <c r="J316" t="str">
        <f t="shared" si="24"/>
        <v>Robusta</v>
      </c>
      <c r="K316" t="str">
        <f>INDEX(products!$A$1:$I$49,MATCH('Conditional Fomating'!$D316,products!$A$1:$A$49,0),MATCH('Conditional Fomating'!K$1,products!$A$1:$D$1,0))</f>
        <v>D</v>
      </c>
      <c r="L316" t="str">
        <f t="shared" si="25"/>
        <v>Dark</v>
      </c>
      <c r="M316">
        <f>INDEX(products!$A$1:$I$49,MATCH('Conditional Fomating'!$D316,products!$A$1:$A$49,0),MATCH('Conditional Fomating'!M$1,products!$A$1:$D$1,0))</f>
        <v>1</v>
      </c>
      <c r="N316">
        <f>_xlfn.XLOOKUP(D316,products!$A$2:$A$49,products!$E$2:$E$49)</f>
        <v>8.9499999999999993</v>
      </c>
      <c r="O316">
        <f>_xlfn.XLOOKUP(D316,products!$A$2:$A$49,products!$H$2:$H$49)</f>
        <v>8.4130000000000003</v>
      </c>
      <c r="P316">
        <f t="shared" si="26"/>
        <v>44.75</v>
      </c>
      <c r="Q316">
        <f t="shared" si="27"/>
        <v>42.064999999999998</v>
      </c>
      <c r="R316">
        <f t="shared" si="28"/>
        <v>2.6850000000000023</v>
      </c>
      <c r="S316" s="4">
        <f t="shared" si="29"/>
        <v>6.0000000000000053E-2</v>
      </c>
      <c r="T316" t="str">
        <f>_xlfn.XLOOKUP(C316,customers!$A$1:$A$1001,customers!$I$1:$I$1001,,0)</f>
        <v>No</v>
      </c>
    </row>
    <row r="317" spans="1:20"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INDEX(products!$A$1:$I$49,MATCH('Conditional Fomating'!$D317,products!$A$1:$A$49,0),MATCH('Conditional Fomating'!I$1,products!$A$1:$D$1,0))</f>
        <v>Exc</v>
      </c>
      <c r="J317" t="str">
        <f t="shared" si="24"/>
        <v>Excelsa</v>
      </c>
      <c r="K317" t="str">
        <f>INDEX(products!$A$1:$I$49,MATCH('Conditional Fomating'!$D317,products!$A$1:$A$49,0),MATCH('Conditional Fomating'!K$1,products!$A$1:$D$1,0))</f>
        <v>L</v>
      </c>
      <c r="L317" t="str">
        <f t="shared" si="25"/>
        <v>Light</v>
      </c>
      <c r="M317">
        <f>INDEX(products!$A$1:$I$49,MATCH('Conditional Fomating'!$D317,products!$A$1:$A$49,0),MATCH('Conditional Fomating'!M$1,products!$A$1:$D$1,0))</f>
        <v>2.5</v>
      </c>
      <c r="N317">
        <f>_xlfn.XLOOKUP(D317,products!$A$2:$A$49,products!$E$2:$E$49)</f>
        <v>34.154999999999994</v>
      </c>
      <c r="O317">
        <f>_xlfn.XLOOKUP(D317,products!$A$2:$A$49,products!$H$2:$H$49)</f>
        <v>30.397949999999994</v>
      </c>
      <c r="P317">
        <f t="shared" si="26"/>
        <v>34.154999999999994</v>
      </c>
      <c r="Q317">
        <f t="shared" si="27"/>
        <v>30.397949999999994</v>
      </c>
      <c r="R317">
        <f t="shared" si="28"/>
        <v>3.7570499999999996</v>
      </c>
      <c r="S317" s="4">
        <f t="shared" si="29"/>
        <v>0.11</v>
      </c>
      <c r="T317" t="str">
        <f>_xlfn.XLOOKUP(C317,customers!$A$1:$A$1001,customers!$I$1:$I$1001,,0)</f>
        <v>Yes</v>
      </c>
    </row>
    <row r="318" spans="1:20"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INDEX(products!$A$1:$I$49,MATCH('Conditional Fomating'!$D318,products!$A$1:$A$49,0),MATCH('Conditional Fomating'!I$1,products!$A$1:$D$1,0))</f>
        <v>Exc</v>
      </c>
      <c r="J318" t="str">
        <f t="shared" si="24"/>
        <v>Excelsa</v>
      </c>
      <c r="K318" t="str">
        <f>INDEX(products!$A$1:$I$49,MATCH('Conditional Fomating'!$D318,products!$A$1:$A$49,0),MATCH('Conditional Fomating'!K$1,products!$A$1:$D$1,0))</f>
        <v>L</v>
      </c>
      <c r="L318" t="str">
        <f t="shared" si="25"/>
        <v>Light</v>
      </c>
      <c r="M318">
        <f>INDEX(products!$A$1:$I$49,MATCH('Conditional Fomating'!$D318,products!$A$1:$A$49,0),MATCH('Conditional Fomating'!M$1,products!$A$1:$D$1,0))</f>
        <v>2.5</v>
      </c>
      <c r="N318">
        <f>_xlfn.XLOOKUP(D318,products!$A$2:$A$49,products!$E$2:$E$49)</f>
        <v>34.154999999999994</v>
      </c>
      <c r="O318">
        <f>_xlfn.XLOOKUP(D318,products!$A$2:$A$49,products!$H$2:$H$49)</f>
        <v>30.397949999999994</v>
      </c>
      <c r="P318">
        <f t="shared" si="26"/>
        <v>204.92999999999995</v>
      </c>
      <c r="Q318">
        <f t="shared" si="27"/>
        <v>182.38769999999997</v>
      </c>
      <c r="R318">
        <f t="shared" si="28"/>
        <v>22.542299999999983</v>
      </c>
      <c r="S318" s="4">
        <f t="shared" si="29"/>
        <v>0.10999999999999995</v>
      </c>
      <c r="T318" t="str">
        <f>_xlfn.XLOOKUP(C318,customers!$A$1:$A$1001,customers!$I$1:$I$1001,,0)</f>
        <v>No</v>
      </c>
    </row>
    <row r="319" spans="1:20"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INDEX(products!$A$1:$I$49,MATCH('Conditional Fomating'!$D319,products!$A$1:$A$49,0),MATCH('Conditional Fomating'!I$1,products!$A$1:$D$1,0))</f>
        <v>Exc</v>
      </c>
      <c r="J319" t="str">
        <f t="shared" si="24"/>
        <v>Excelsa</v>
      </c>
      <c r="K319" t="str">
        <f>INDEX(products!$A$1:$I$49,MATCH('Conditional Fomating'!$D319,products!$A$1:$A$49,0),MATCH('Conditional Fomating'!K$1,products!$A$1:$D$1,0))</f>
        <v>D</v>
      </c>
      <c r="L319" t="str">
        <f t="shared" si="25"/>
        <v>Dark</v>
      </c>
      <c r="M319">
        <f>INDEX(products!$A$1:$I$49,MATCH('Conditional Fomating'!$D319,products!$A$1:$A$49,0),MATCH('Conditional Fomating'!M$1,products!$A$1:$D$1,0))</f>
        <v>0.5</v>
      </c>
      <c r="N319">
        <f>_xlfn.XLOOKUP(D319,products!$A$2:$A$49,products!$E$2:$E$49)</f>
        <v>7.29</v>
      </c>
      <c r="O319">
        <f>_xlfn.XLOOKUP(D319,products!$A$2:$A$49,products!$H$2:$H$49)</f>
        <v>6.4881000000000002</v>
      </c>
      <c r="P319">
        <f t="shared" si="26"/>
        <v>21.87</v>
      </c>
      <c r="Q319">
        <f t="shared" si="27"/>
        <v>19.464300000000001</v>
      </c>
      <c r="R319">
        <f t="shared" si="28"/>
        <v>2.4056999999999995</v>
      </c>
      <c r="S319" s="4">
        <f t="shared" si="29"/>
        <v>0.10999999999999997</v>
      </c>
      <c r="T319" t="str">
        <f>_xlfn.XLOOKUP(C319,customers!$A$1:$A$1001,customers!$I$1:$I$1001,,0)</f>
        <v>No</v>
      </c>
    </row>
    <row r="320" spans="1:20"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INDEX(products!$A$1:$I$49,MATCH('Conditional Fomating'!$D320,products!$A$1:$A$49,0),MATCH('Conditional Fomating'!I$1,products!$A$1:$D$1,0))</f>
        <v>Ara</v>
      </c>
      <c r="J320" t="str">
        <f t="shared" si="24"/>
        <v>Arabica</v>
      </c>
      <c r="K320" t="str">
        <f>INDEX(products!$A$1:$I$49,MATCH('Conditional Fomating'!$D320,products!$A$1:$A$49,0),MATCH('Conditional Fomating'!K$1,products!$A$1:$D$1,0))</f>
        <v>M</v>
      </c>
      <c r="L320" t="str">
        <f t="shared" si="25"/>
        <v>Medium</v>
      </c>
      <c r="M320">
        <f>INDEX(products!$A$1:$I$49,MATCH('Conditional Fomating'!$D320,products!$A$1:$A$49,0),MATCH('Conditional Fomating'!M$1,products!$A$1:$D$1,0))</f>
        <v>2.5</v>
      </c>
      <c r="N320">
        <f>_xlfn.XLOOKUP(D320,products!$A$2:$A$49,products!$E$2:$E$49)</f>
        <v>25.874999999999996</v>
      </c>
      <c r="O320">
        <f>_xlfn.XLOOKUP(D320,products!$A$2:$A$49,products!$H$2:$H$49)</f>
        <v>23.546249999999997</v>
      </c>
      <c r="P320">
        <f t="shared" si="26"/>
        <v>51.749999999999993</v>
      </c>
      <c r="Q320">
        <f t="shared" si="27"/>
        <v>47.092499999999994</v>
      </c>
      <c r="R320">
        <f t="shared" si="28"/>
        <v>4.6574999999999989</v>
      </c>
      <c r="S320" s="4">
        <f t="shared" si="29"/>
        <v>0.09</v>
      </c>
      <c r="T320" t="str">
        <f>_xlfn.XLOOKUP(C320,customers!$A$1:$A$1001,customers!$I$1:$I$1001,,0)</f>
        <v>Yes</v>
      </c>
    </row>
    <row r="321" spans="1:20"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INDEX(products!$A$1:$I$49,MATCH('Conditional Fomating'!$D321,products!$A$1:$A$49,0),MATCH('Conditional Fomating'!I$1,products!$A$1:$D$1,0))</f>
        <v>Exc</v>
      </c>
      <c r="J321" t="str">
        <f t="shared" si="24"/>
        <v>Excelsa</v>
      </c>
      <c r="K321" t="str">
        <f>INDEX(products!$A$1:$I$49,MATCH('Conditional Fomating'!$D321,products!$A$1:$A$49,0),MATCH('Conditional Fomating'!K$1,products!$A$1:$D$1,0))</f>
        <v>M</v>
      </c>
      <c r="L321" t="str">
        <f t="shared" si="25"/>
        <v>Medium</v>
      </c>
      <c r="M321">
        <f>INDEX(products!$A$1:$I$49,MATCH('Conditional Fomating'!$D321,products!$A$1:$A$49,0),MATCH('Conditional Fomating'!M$1,products!$A$1:$D$1,0))</f>
        <v>0.2</v>
      </c>
      <c r="N321">
        <f>_xlfn.XLOOKUP(D321,products!$A$2:$A$49,products!$E$2:$E$49)</f>
        <v>4.125</v>
      </c>
      <c r="O321">
        <f>_xlfn.XLOOKUP(D321,products!$A$2:$A$49,products!$H$2:$H$49)</f>
        <v>3.6712500000000001</v>
      </c>
      <c r="P321">
        <f t="shared" si="26"/>
        <v>8.25</v>
      </c>
      <c r="Q321">
        <f t="shared" si="27"/>
        <v>7.3425000000000002</v>
      </c>
      <c r="R321">
        <f t="shared" si="28"/>
        <v>0.90749999999999975</v>
      </c>
      <c r="S321" s="4">
        <f t="shared" si="29"/>
        <v>0.10999999999999997</v>
      </c>
      <c r="T321" t="str">
        <f>_xlfn.XLOOKUP(C321,customers!$A$1:$A$1001,customers!$I$1:$I$1001,,0)</f>
        <v>Yes</v>
      </c>
    </row>
    <row r="322" spans="1:20"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INDEX(products!$A$1:$I$49,MATCH('Conditional Fomating'!$D322,products!$A$1:$A$49,0),MATCH('Conditional Fomating'!I$1,products!$A$1:$D$1,0))</f>
        <v>Ara</v>
      </c>
      <c r="J322" t="str">
        <f t="shared" si="24"/>
        <v>Arabica</v>
      </c>
      <c r="K322" t="str">
        <f>INDEX(products!$A$1:$I$49,MATCH('Conditional Fomating'!$D322,products!$A$1:$A$49,0),MATCH('Conditional Fomating'!K$1,products!$A$1:$D$1,0))</f>
        <v>L</v>
      </c>
      <c r="L322" t="str">
        <f t="shared" si="25"/>
        <v>Light</v>
      </c>
      <c r="M322">
        <f>INDEX(products!$A$1:$I$49,MATCH('Conditional Fomating'!$D322,products!$A$1:$A$49,0),MATCH('Conditional Fomating'!M$1,products!$A$1:$D$1,0))</f>
        <v>0.2</v>
      </c>
      <c r="N322">
        <f>_xlfn.XLOOKUP(D322,products!$A$2:$A$49,products!$E$2:$E$49)</f>
        <v>3.8849999999999998</v>
      </c>
      <c r="O322">
        <f>_xlfn.XLOOKUP(D322,products!$A$2:$A$49,products!$H$2:$H$49)</f>
        <v>3.5353499999999998</v>
      </c>
      <c r="P322">
        <f t="shared" si="26"/>
        <v>19.424999999999997</v>
      </c>
      <c r="Q322">
        <f t="shared" si="27"/>
        <v>17.676749999999998</v>
      </c>
      <c r="R322">
        <f t="shared" si="28"/>
        <v>1.7482499999999987</v>
      </c>
      <c r="S322" s="4">
        <f t="shared" si="29"/>
        <v>8.9999999999999955E-2</v>
      </c>
      <c r="T322" t="str">
        <f>_xlfn.XLOOKUP(C322,customers!$A$1:$A$1001,customers!$I$1:$I$1001,,0)</f>
        <v>Yes</v>
      </c>
    </row>
    <row r="323" spans="1:20"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INDEX(products!$A$1:$I$49,MATCH('Conditional Fomating'!$D323,products!$A$1:$A$49,0),MATCH('Conditional Fomating'!I$1,products!$A$1:$D$1,0))</f>
        <v>Ara</v>
      </c>
      <c r="J323" t="str">
        <f t="shared" ref="J323:J386" si="30">IF(I323="Rob","Robusta",IF(I323="Exc","Excelsa",IF(I323="Ara","Arabica",IF(I323="Lib","Liberica",""))))</f>
        <v>Arabica</v>
      </c>
      <c r="K323" t="str">
        <f>INDEX(products!$A$1:$I$49,MATCH('Conditional Fomating'!$D323,products!$A$1:$A$49,0),MATCH('Conditional Fomating'!K$1,products!$A$1:$D$1,0))</f>
        <v>M</v>
      </c>
      <c r="L323" t="str">
        <f t="shared" ref="L323:L386" si="31">IF(K323="M","Medium",IF(K323="L","Light",IF(K323="D","Dark","")))</f>
        <v>Medium</v>
      </c>
      <c r="M323">
        <f>INDEX(products!$A$1:$I$49,MATCH('Conditional Fomating'!$D323,products!$A$1:$A$49,0),MATCH('Conditional Fomating'!M$1,products!$A$1:$D$1,0))</f>
        <v>0.2</v>
      </c>
      <c r="N323">
        <f>_xlfn.XLOOKUP(D323,products!$A$2:$A$49,products!$E$2:$E$49)</f>
        <v>3.375</v>
      </c>
      <c r="O323">
        <f>_xlfn.XLOOKUP(D323,products!$A$2:$A$49,products!$H$2:$H$49)</f>
        <v>3.07125</v>
      </c>
      <c r="P323">
        <f t="shared" ref="P323:P386" si="32">N323*E323</f>
        <v>20.25</v>
      </c>
      <c r="Q323">
        <f t="shared" ref="Q323:Q386" si="33">O323*E323</f>
        <v>18.427500000000002</v>
      </c>
      <c r="R323">
        <f t="shared" ref="R323:R386" si="34">P323-Q323</f>
        <v>1.822499999999998</v>
      </c>
      <c r="S323" s="4">
        <f t="shared" ref="S323:S386" si="35">R323/P323</f>
        <v>8.99999999999999E-2</v>
      </c>
      <c r="T323" t="str">
        <f>_xlfn.XLOOKUP(C323,customers!$A$1:$A$1001,customers!$I$1:$I$1001,,0)</f>
        <v>Yes</v>
      </c>
    </row>
    <row r="324" spans="1:20"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INDEX(products!$A$1:$I$49,MATCH('Conditional Fomating'!$D324,products!$A$1:$A$49,0),MATCH('Conditional Fomating'!I$1,products!$A$1:$D$1,0))</f>
        <v>Lib</v>
      </c>
      <c r="J324" t="str">
        <f t="shared" si="30"/>
        <v>Liberica</v>
      </c>
      <c r="K324" t="str">
        <f>INDEX(products!$A$1:$I$49,MATCH('Conditional Fomating'!$D324,products!$A$1:$A$49,0),MATCH('Conditional Fomating'!K$1,products!$A$1:$D$1,0))</f>
        <v>D</v>
      </c>
      <c r="L324" t="str">
        <f t="shared" si="31"/>
        <v>Dark</v>
      </c>
      <c r="M324">
        <f>INDEX(products!$A$1:$I$49,MATCH('Conditional Fomating'!$D324,products!$A$1:$A$49,0),MATCH('Conditional Fomating'!M$1,products!$A$1:$D$1,0))</f>
        <v>0.5</v>
      </c>
      <c r="N324">
        <f>_xlfn.XLOOKUP(D324,products!$A$2:$A$49,products!$E$2:$E$49)</f>
        <v>7.77</v>
      </c>
      <c r="O324">
        <f>_xlfn.XLOOKUP(D324,products!$A$2:$A$49,products!$H$2:$H$49)</f>
        <v>6.7599</v>
      </c>
      <c r="P324">
        <f t="shared" si="32"/>
        <v>23.31</v>
      </c>
      <c r="Q324">
        <f t="shared" si="33"/>
        <v>20.279699999999998</v>
      </c>
      <c r="R324">
        <f t="shared" si="34"/>
        <v>3.0303000000000004</v>
      </c>
      <c r="S324" s="4">
        <f t="shared" si="35"/>
        <v>0.13000000000000003</v>
      </c>
      <c r="T324" t="str">
        <f>_xlfn.XLOOKUP(C324,customers!$A$1:$A$1001,customers!$I$1:$I$1001,,0)</f>
        <v>No</v>
      </c>
    </row>
    <row r="325" spans="1:20"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INDEX(products!$A$1:$I$49,MATCH('Conditional Fomating'!$D325,products!$A$1:$A$49,0),MATCH('Conditional Fomating'!I$1,products!$A$1:$D$1,0))</f>
        <v>Exc</v>
      </c>
      <c r="J325" t="str">
        <f t="shared" si="30"/>
        <v>Excelsa</v>
      </c>
      <c r="K325" t="str">
        <f>INDEX(products!$A$1:$I$49,MATCH('Conditional Fomating'!$D325,products!$A$1:$A$49,0),MATCH('Conditional Fomating'!K$1,products!$A$1:$D$1,0))</f>
        <v>D</v>
      </c>
      <c r="L325" t="str">
        <f t="shared" si="31"/>
        <v>Dark</v>
      </c>
      <c r="M325">
        <f>INDEX(products!$A$1:$I$49,MATCH('Conditional Fomating'!$D325,products!$A$1:$A$49,0),MATCH('Conditional Fomating'!M$1,products!$A$1:$D$1,0))</f>
        <v>0.2</v>
      </c>
      <c r="N325">
        <f>_xlfn.XLOOKUP(D325,products!$A$2:$A$49,products!$E$2:$E$49)</f>
        <v>3.645</v>
      </c>
      <c r="O325">
        <f>_xlfn.XLOOKUP(D325,products!$A$2:$A$49,products!$H$2:$H$49)</f>
        <v>3.2440500000000001</v>
      </c>
      <c r="P325">
        <f t="shared" si="32"/>
        <v>18.225000000000001</v>
      </c>
      <c r="Q325">
        <f t="shared" si="33"/>
        <v>16.22025</v>
      </c>
      <c r="R325">
        <f t="shared" si="34"/>
        <v>2.0047500000000014</v>
      </c>
      <c r="S325" s="4">
        <f t="shared" si="35"/>
        <v>0.11000000000000007</v>
      </c>
      <c r="T325" t="str">
        <f>_xlfn.XLOOKUP(C325,customers!$A$1:$A$1001,customers!$I$1:$I$1001,,0)</f>
        <v>Yes</v>
      </c>
    </row>
    <row r="326" spans="1:20"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v>
      </c>
      <c r="H326" s="2" t="str">
        <f>_xlfn.XLOOKUP(C326,customers!$A$1:$A$1001,customers!$G$1:$G$1001,,0)</f>
        <v>United States</v>
      </c>
      <c r="I326" t="str">
        <f>INDEX(products!$A$1:$I$49,MATCH('Conditional Fomating'!$D326,products!$A$1:$A$49,0),MATCH('Conditional Fomating'!I$1,products!$A$1:$D$1,0))</f>
        <v>Exc</v>
      </c>
      <c r="J326" t="str">
        <f t="shared" si="30"/>
        <v>Excelsa</v>
      </c>
      <c r="K326" t="str">
        <f>INDEX(products!$A$1:$I$49,MATCH('Conditional Fomating'!$D326,products!$A$1:$A$49,0),MATCH('Conditional Fomating'!K$1,products!$A$1:$D$1,0))</f>
        <v>M</v>
      </c>
      <c r="L326" t="str">
        <f t="shared" si="31"/>
        <v>Medium</v>
      </c>
      <c r="M326">
        <f>INDEX(products!$A$1:$I$49,MATCH('Conditional Fomating'!$D326,products!$A$1:$A$49,0),MATCH('Conditional Fomating'!M$1,products!$A$1:$D$1,0))</f>
        <v>1</v>
      </c>
      <c r="N326">
        <f>_xlfn.XLOOKUP(D326,products!$A$2:$A$49,products!$E$2:$E$49)</f>
        <v>13.75</v>
      </c>
      <c r="O326">
        <f>_xlfn.XLOOKUP(D326,products!$A$2:$A$49,products!$H$2:$H$49)</f>
        <v>12.237500000000001</v>
      </c>
      <c r="P326">
        <f t="shared" si="32"/>
        <v>13.75</v>
      </c>
      <c r="Q326">
        <f t="shared" si="33"/>
        <v>12.237500000000001</v>
      </c>
      <c r="R326">
        <f t="shared" si="34"/>
        <v>1.5124999999999993</v>
      </c>
      <c r="S326" s="4">
        <f t="shared" si="35"/>
        <v>0.10999999999999995</v>
      </c>
      <c r="T326" t="str">
        <f>_xlfn.XLOOKUP(C326,customers!$A$1:$A$1001,customers!$I$1:$I$1001,,0)</f>
        <v>No</v>
      </c>
    </row>
    <row r="327" spans="1:20"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INDEX(products!$A$1:$I$49,MATCH('Conditional Fomating'!$D327,products!$A$1:$A$49,0),MATCH('Conditional Fomating'!I$1,products!$A$1:$D$1,0))</f>
        <v>Ara</v>
      </c>
      <c r="J327" t="str">
        <f t="shared" si="30"/>
        <v>Arabica</v>
      </c>
      <c r="K327" t="str">
        <f>INDEX(products!$A$1:$I$49,MATCH('Conditional Fomating'!$D327,products!$A$1:$A$49,0),MATCH('Conditional Fomating'!K$1,products!$A$1:$D$1,0))</f>
        <v>L</v>
      </c>
      <c r="L327" t="str">
        <f t="shared" si="31"/>
        <v>Light</v>
      </c>
      <c r="M327">
        <f>INDEX(products!$A$1:$I$49,MATCH('Conditional Fomating'!$D327,products!$A$1:$A$49,0),MATCH('Conditional Fomating'!M$1,products!$A$1:$D$1,0))</f>
        <v>2.5</v>
      </c>
      <c r="N327">
        <f>_xlfn.XLOOKUP(D327,products!$A$2:$A$49,products!$E$2:$E$49)</f>
        <v>29.784999999999997</v>
      </c>
      <c r="O327">
        <f>_xlfn.XLOOKUP(D327,products!$A$2:$A$49,products!$H$2:$H$49)</f>
        <v>27.104349999999997</v>
      </c>
      <c r="P327">
        <f t="shared" si="32"/>
        <v>29.784999999999997</v>
      </c>
      <c r="Q327">
        <f t="shared" si="33"/>
        <v>27.104349999999997</v>
      </c>
      <c r="R327">
        <f t="shared" si="34"/>
        <v>2.68065</v>
      </c>
      <c r="S327" s="4">
        <f t="shared" si="35"/>
        <v>9.0000000000000011E-2</v>
      </c>
      <c r="T327" t="str">
        <f>_xlfn.XLOOKUP(C327,customers!$A$1:$A$1001,customers!$I$1:$I$1001,,0)</f>
        <v>Yes</v>
      </c>
    </row>
    <row r="328" spans="1:20"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v>
      </c>
      <c r="H328" s="2" t="str">
        <f>_xlfn.XLOOKUP(C328,customers!$A$1:$A$1001,customers!$G$1:$G$1001,,0)</f>
        <v>United States</v>
      </c>
      <c r="I328" t="str">
        <f>INDEX(products!$A$1:$I$49,MATCH('Conditional Fomating'!$D328,products!$A$1:$A$49,0),MATCH('Conditional Fomating'!I$1,products!$A$1:$D$1,0))</f>
        <v>Rob</v>
      </c>
      <c r="J328" t="str">
        <f t="shared" si="30"/>
        <v>Robusta</v>
      </c>
      <c r="K328" t="str">
        <f>INDEX(products!$A$1:$I$49,MATCH('Conditional Fomating'!$D328,products!$A$1:$A$49,0),MATCH('Conditional Fomating'!K$1,products!$A$1:$D$1,0))</f>
        <v>D</v>
      </c>
      <c r="L328" t="str">
        <f t="shared" si="31"/>
        <v>Dark</v>
      </c>
      <c r="M328">
        <f>INDEX(products!$A$1:$I$49,MATCH('Conditional Fomating'!$D328,products!$A$1:$A$49,0),MATCH('Conditional Fomating'!M$1,products!$A$1:$D$1,0))</f>
        <v>1</v>
      </c>
      <c r="N328">
        <f>_xlfn.XLOOKUP(D328,products!$A$2:$A$49,products!$E$2:$E$49)</f>
        <v>8.9499999999999993</v>
      </c>
      <c r="O328">
        <f>_xlfn.XLOOKUP(D328,products!$A$2:$A$49,products!$H$2:$H$49)</f>
        <v>8.4130000000000003</v>
      </c>
      <c r="P328">
        <f t="shared" si="32"/>
        <v>44.75</v>
      </c>
      <c r="Q328">
        <f t="shared" si="33"/>
        <v>42.064999999999998</v>
      </c>
      <c r="R328">
        <f t="shared" si="34"/>
        <v>2.6850000000000023</v>
      </c>
      <c r="S328" s="4">
        <f t="shared" si="35"/>
        <v>6.0000000000000053E-2</v>
      </c>
      <c r="T328" t="str">
        <f>_xlfn.XLOOKUP(C328,customers!$A$1:$A$1001,customers!$I$1:$I$1001,,0)</f>
        <v>No</v>
      </c>
    </row>
    <row r="329" spans="1:20"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INDEX(products!$A$1:$I$49,MATCH('Conditional Fomating'!$D329,products!$A$1:$A$49,0),MATCH('Conditional Fomating'!I$1,products!$A$1:$D$1,0))</f>
        <v>Rob</v>
      </c>
      <c r="J329" t="str">
        <f t="shared" si="30"/>
        <v>Robusta</v>
      </c>
      <c r="K329" t="str">
        <f>INDEX(products!$A$1:$I$49,MATCH('Conditional Fomating'!$D329,products!$A$1:$A$49,0),MATCH('Conditional Fomating'!K$1,products!$A$1:$D$1,0))</f>
        <v>D</v>
      </c>
      <c r="L329" t="str">
        <f t="shared" si="31"/>
        <v>Dark</v>
      </c>
      <c r="M329">
        <f>INDEX(products!$A$1:$I$49,MATCH('Conditional Fomating'!$D329,products!$A$1:$A$49,0),MATCH('Conditional Fomating'!M$1,products!$A$1:$D$1,0))</f>
        <v>1</v>
      </c>
      <c r="N329">
        <f>_xlfn.XLOOKUP(D329,products!$A$2:$A$49,products!$E$2:$E$49)</f>
        <v>8.9499999999999993</v>
      </c>
      <c r="O329">
        <f>_xlfn.XLOOKUP(D329,products!$A$2:$A$49,products!$H$2:$H$49)</f>
        <v>8.4130000000000003</v>
      </c>
      <c r="P329">
        <f t="shared" si="32"/>
        <v>44.75</v>
      </c>
      <c r="Q329">
        <f t="shared" si="33"/>
        <v>42.064999999999998</v>
      </c>
      <c r="R329">
        <f t="shared" si="34"/>
        <v>2.6850000000000023</v>
      </c>
      <c r="S329" s="4">
        <f t="shared" si="35"/>
        <v>6.0000000000000053E-2</v>
      </c>
      <c r="T329" t="str">
        <f>_xlfn.XLOOKUP(C329,customers!$A$1:$A$1001,customers!$I$1:$I$1001,,0)</f>
        <v>Yes</v>
      </c>
    </row>
    <row r="330" spans="1:20"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v>
      </c>
      <c r="H330" s="2" t="str">
        <f>_xlfn.XLOOKUP(C330,customers!$A$1:$A$1001,customers!$G$1:$G$1001,,0)</f>
        <v>United States</v>
      </c>
      <c r="I330" t="str">
        <f>INDEX(products!$A$1:$I$49,MATCH('Conditional Fomating'!$D330,products!$A$1:$A$49,0),MATCH('Conditional Fomating'!I$1,products!$A$1:$D$1,0))</f>
        <v>Lib</v>
      </c>
      <c r="J330" t="str">
        <f t="shared" si="30"/>
        <v>Liberica</v>
      </c>
      <c r="K330" t="str">
        <f>INDEX(products!$A$1:$I$49,MATCH('Conditional Fomating'!$D330,products!$A$1:$A$49,0),MATCH('Conditional Fomating'!K$1,products!$A$1:$D$1,0))</f>
        <v>L</v>
      </c>
      <c r="L330" t="str">
        <f t="shared" si="31"/>
        <v>Light</v>
      </c>
      <c r="M330">
        <f>INDEX(products!$A$1:$I$49,MATCH('Conditional Fomating'!$D330,products!$A$1:$A$49,0),MATCH('Conditional Fomating'!M$1,products!$A$1:$D$1,0))</f>
        <v>0.5</v>
      </c>
      <c r="N330">
        <f>_xlfn.XLOOKUP(D330,products!$A$2:$A$49,products!$E$2:$E$49)</f>
        <v>9.51</v>
      </c>
      <c r="O330">
        <f>_xlfn.XLOOKUP(D330,products!$A$2:$A$49,products!$H$2:$H$49)</f>
        <v>8.2736999999999998</v>
      </c>
      <c r="P330">
        <f t="shared" si="32"/>
        <v>38.04</v>
      </c>
      <c r="Q330">
        <f t="shared" si="33"/>
        <v>33.094799999999999</v>
      </c>
      <c r="R330">
        <f t="shared" si="34"/>
        <v>4.9451999999999998</v>
      </c>
      <c r="S330" s="4">
        <f t="shared" si="35"/>
        <v>0.13</v>
      </c>
      <c r="T330" t="str">
        <f>_xlfn.XLOOKUP(C330,customers!$A$1:$A$1001,customers!$I$1:$I$1001,,0)</f>
        <v>Yes</v>
      </c>
    </row>
    <row r="331" spans="1:20"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INDEX(products!$A$1:$I$49,MATCH('Conditional Fomating'!$D331,products!$A$1:$A$49,0),MATCH('Conditional Fomating'!I$1,products!$A$1:$D$1,0))</f>
        <v>Rob</v>
      </c>
      <c r="J331" t="str">
        <f t="shared" si="30"/>
        <v>Robusta</v>
      </c>
      <c r="K331" t="str">
        <f>INDEX(products!$A$1:$I$49,MATCH('Conditional Fomating'!$D331,products!$A$1:$A$49,0),MATCH('Conditional Fomating'!K$1,products!$A$1:$D$1,0))</f>
        <v>D</v>
      </c>
      <c r="L331" t="str">
        <f t="shared" si="31"/>
        <v>Dark</v>
      </c>
      <c r="M331">
        <f>INDEX(products!$A$1:$I$49,MATCH('Conditional Fomating'!$D331,products!$A$1:$A$49,0),MATCH('Conditional Fomating'!M$1,products!$A$1:$D$1,0))</f>
        <v>0.5</v>
      </c>
      <c r="N331">
        <f>_xlfn.XLOOKUP(D331,products!$A$2:$A$49,products!$E$2:$E$49)</f>
        <v>5.3699999999999992</v>
      </c>
      <c r="O331">
        <f>_xlfn.XLOOKUP(D331,products!$A$2:$A$49,products!$H$2:$H$49)</f>
        <v>5.0477999999999996</v>
      </c>
      <c r="P331">
        <f t="shared" si="32"/>
        <v>21.479999999999997</v>
      </c>
      <c r="Q331">
        <f t="shared" si="33"/>
        <v>20.191199999999998</v>
      </c>
      <c r="R331">
        <f t="shared" si="34"/>
        <v>1.2887999999999984</v>
      </c>
      <c r="S331" s="4">
        <f t="shared" si="35"/>
        <v>5.9999999999999935E-2</v>
      </c>
      <c r="T331" t="str">
        <f>_xlfn.XLOOKUP(C331,customers!$A$1:$A$1001,customers!$I$1:$I$1001,,0)</f>
        <v>Yes</v>
      </c>
    </row>
    <row r="332" spans="1:20"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INDEX(products!$A$1:$I$49,MATCH('Conditional Fomating'!$D332,products!$A$1:$A$49,0),MATCH('Conditional Fomating'!I$1,products!$A$1:$D$1,0))</f>
        <v>Rob</v>
      </c>
      <c r="J332" t="str">
        <f t="shared" si="30"/>
        <v>Robusta</v>
      </c>
      <c r="K332" t="str">
        <f>INDEX(products!$A$1:$I$49,MATCH('Conditional Fomating'!$D332,products!$A$1:$A$49,0),MATCH('Conditional Fomating'!K$1,products!$A$1:$D$1,0))</f>
        <v>D</v>
      </c>
      <c r="L332" t="str">
        <f t="shared" si="31"/>
        <v>Dark</v>
      </c>
      <c r="M332">
        <f>INDEX(products!$A$1:$I$49,MATCH('Conditional Fomating'!$D332,products!$A$1:$A$49,0),MATCH('Conditional Fomating'!M$1,products!$A$1:$D$1,0))</f>
        <v>0.5</v>
      </c>
      <c r="N332">
        <f>_xlfn.XLOOKUP(D332,products!$A$2:$A$49,products!$E$2:$E$49)</f>
        <v>5.3699999999999992</v>
      </c>
      <c r="O332">
        <f>_xlfn.XLOOKUP(D332,products!$A$2:$A$49,products!$H$2:$H$49)</f>
        <v>5.0477999999999996</v>
      </c>
      <c r="P332">
        <f t="shared" si="32"/>
        <v>16.11</v>
      </c>
      <c r="Q332">
        <f t="shared" si="33"/>
        <v>15.1434</v>
      </c>
      <c r="R332">
        <f t="shared" si="34"/>
        <v>0.96659999999999968</v>
      </c>
      <c r="S332" s="4">
        <f t="shared" si="35"/>
        <v>5.9999999999999984E-2</v>
      </c>
      <c r="T332" t="str">
        <f>_xlfn.XLOOKUP(C332,customers!$A$1:$A$1001,customers!$I$1:$I$1001,,0)</f>
        <v>No</v>
      </c>
    </row>
    <row r="333" spans="1:20"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INDEX(products!$A$1:$I$49,MATCH('Conditional Fomating'!$D333,products!$A$1:$A$49,0),MATCH('Conditional Fomating'!I$1,products!$A$1:$D$1,0))</f>
        <v>Rob</v>
      </c>
      <c r="J333" t="str">
        <f t="shared" si="30"/>
        <v>Robusta</v>
      </c>
      <c r="K333" t="str">
        <f>INDEX(products!$A$1:$I$49,MATCH('Conditional Fomating'!$D333,products!$A$1:$A$49,0),MATCH('Conditional Fomating'!K$1,products!$A$1:$D$1,0))</f>
        <v>M</v>
      </c>
      <c r="L333" t="str">
        <f t="shared" si="31"/>
        <v>Medium</v>
      </c>
      <c r="M333">
        <f>INDEX(products!$A$1:$I$49,MATCH('Conditional Fomating'!$D333,products!$A$1:$A$49,0),MATCH('Conditional Fomating'!M$1,products!$A$1:$D$1,0))</f>
        <v>2.5</v>
      </c>
      <c r="N333">
        <f>_xlfn.XLOOKUP(D333,products!$A$2:$A$49,products!$E$2:$E$49)</f>
        <v>22.884999999999998</v>
      </c>
      <c r="O333">
        <f>_xlfn.XLOOKUP(D333,products!$A$2:$A$49,products!$H$2:$H$49)</f>
        <v>21.511899999999997</v>
      </c>
      <c r="P333">
        <f t="shared" si="32"/>
        <v>22.884999999999998</v>
      </c>
      <c r="Q333">
        <f t="shared" si="33"/>
        <v>21.511899999999997</v>
      </c>
      <c r="R333">
        <f t="shared" si="34"/>
        <v>1.3731000000000009</v>
      </c>
      <c r="S333" s="4">
        <f t="shared" si="35"/>
        <v>6.0000000000000046E-2</v>
      </c>
      <c r="T333" t="str">
        <f>_xlfn.XLOOKUP(C333,customers!$A$1:$A$1001,customers!$I$1:$I$1001,,0)</f>
        <v>Yes</v>
      </c>
    </row>
    <row r="334" spans="1:20"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INDEX(products!$A$1:$I$49,MATCH('Conditional Fomating'!$D334,products!$A$1:$A$49,0),MATCH('Conditional Fomating'!I$1,products!$A$1:$D$1,0))</f>
        <v>Ara</v>
      </c>
      <c r="J334" t="str">
        <f t="shared" si="30"/>
        <v>Arabica</v>
      </c>
      <c r="K334" t="str">
        <f>INDEX(products!$A$1:$I$49,MATCH('Conditional Fomating'!$D334,products!$A$1:$A$49,0),MATCH('Conditional Fomating'!K$1,products!$A$1:$D$1,0))</f>
        <v>D</v>
      </c>
      <c r="L334" t="str">
        <f t="shared" si="31"/>
        <v>Dark</v>
      </c>
      <c r="M334">
        <f>INDEX(products!$A$1:$I$49,MATCH('Conditional Fomating'!$D334,products!$A$1:$A$49,0),MATCH('Conditional Fomating'!M$1,products!$A$1:$D$1,0))</f>
        <v>0.5</v>
      </c>
      <c r="N334">
        <f>_xlfn.XLOOKUP(D334,products!$A$2:$A$49,products!$E$2:$E$49)</f>
        <v>5.97</v>
      </c>
      <c r="O334">
        <f>_xlfn.XLOOKUP(D334,products!$A$2:$A$49,products!$H$2:$H$49)</f>
        <v>5.4326999999999996</v>
      </c>
      <c r="P334">
        <f t="shared" si="32"/>
        <v>17.91</v>
      </c>
      <c r="Q334">
        <f t="shared" si="33"/>
        <v>16.298099999999998</v>
      </c>
      <c r="R334">
        <f t="shared" si="34"/>
        <v>1.6119000000000021</v>
      </c>
      <c r="S334" s="4">
        <f t="shared" si="35"/>
        <v>9.0000000000000122E-2</v>
      </c>
      <c r="T334" t="str">
        <f>_xlfn.XLOOKUP(C334,customers!$A$1:$A$1001,customers!$I$1:$I$1001,,0)</f>
        <v>Yes</v>
      </c>
    </row>
    <row r="335" spans="1:20"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INDEX(products!$A$1:$I$49,MATCH('Conditional Fomating'!$D335,products!$A$1:$A$49,0),MATCH('Conditional Fomating'!I$1,products!$A$1:$D$1,0))</f>
        <v>Rob</v>
      </c>
      <c r="J335" t="str">
        <f t="shared" si="30"/>
        <v>Robusta</v>
      </c>
      <c r="K335" t="str">
        <f>INDEX(products!$A$1:$I$49,MATCH('Conditional Fomating'!$D335,products!$A$1:$A$49,0),MATCH('Conditional Fomating'!K$1,products!$A$1:$D$1,0))</f>
        <v>M</v>
      </c>
      <c r="L335" t="str">
        <f t="shared" si="31"/>
        <v>Medium</v>
      </c>
      <c r="M335">
        <f>INDEX(products!$A$1:$I$49,MATCH('Conditional Fomating'!$D335,products!$A$1:$A$49,0),MATCH('Conditional Fomating'!M$1,products!$A$1:$D$1,0))</f>
        <v>0.5</v>
      </c>
      <c r="N335">
        <f>_xlfn.XLOOKUP(D335,products!$A$2:$A$49,products!$E$2:$E$49)</f>
        <v>5.97</v>
      </c>
      <c r="O335">
        <f>_xlfn.XLOOKUP(D335,products!$A$2:$A$49,products!$H$2:$H$49)</f>
        <v>5.6117999999999997</v>
      </c>
      <c r="P335">
        <f t="shared" si="32"/>
        <v>23.88</v>
      </c>
      <c r="Q335">
        <f t="shared" si="33"/>
        <v>22.447199999999999</v>
      </c>
      <c r="R335">
        <f t="shared" si="34"/>
        <v>1.4328000000000003</v>
      </c>
      <c r="S335" s="4">
        <f t="shared" si="35"/>
        <v>6.0000000000000012E-2</v>
      </c>
      <c r="T335" t="str">
        <f>_xlfn.XLOOKUP(C335,customers!$A$1:$A$1001,customers!$I$1:$I$1001,,0)</f>
        <v>Yes</v>
      </c>
    </row>
    <row r="336" spans="1:20"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v>
      </c>
      <c r="H336" s="2" t="str">
        <f>_xlfn.XLOOKUP(C336,customers!$A$1:$A$1001,customers!$G$1:$G$1001,,0)</f>
        <v>United States</v>
      </c>
      <c r="I336" t="str">
        <f>INDEX(products!$A$1:$I$49,MATCH('Conditional Fomating'!$D336,products!$A$1:$A$49,0),MATCH('Conditional Fomating'!I$1,products!$A$1:$D$1,0))</f>
        <v>Rob</v>
      </c>
      <c r="J336" t="str">
        <f t="shared" si="30"/>
        <v>Robusta</v>
      </c>
      <c r="K336" t="str">
        <f>INDEX(products!$A$1:$I$49,MATCH('Conditional Fomating'!$D336,products!$A$1:$A$49,0),MATCH('Conditional Fomating'!K$1,products!$A$1:$D$1,0))</f>
        <v>L</v>
      </c>
      <c r="L336" t="str">
        <f t="shared" si="31"/>
        <v>Light</v>
      </c>
      <c r="M336">
        <f>INDEX(products!$A$1:$I$49,MATCH('Conditional Fomating'!$D336,products!$A$1:$A$49,0),MATCH('Conditional Fomating'!M$1,products!$A$1:$D$1,0))</f>
        <v>1</v>
      </c>
      <c r="N336">
        <f>_xlfn.XLOOKUP(D336,products!$A$2:$A$49,products!$E$2:$E$49)</f>
        <v>11.95</v>
      </c>
      <c r="O336">
        <f>_xlfn.XLOOKUP(D336,products!$A$2:$A$49,products!$H$2:$H$49)</f>
        <v>11.232999999999999</v>
      </c>
      <c r="P336">
        <f t="shared" si="32"/>
        <v>59.75</v>
      </c>
      <c r="Q336">
        <f t="shared" si="33"/>
        <v>56.164999999999992</v>
      </c>
      <c r="R336">
        <f t="shared" si="34"/>
        <v>3.585000000000008</v>
      </c>
      <c r="S336" s="4">
        <f t="shared" si="35"/>
        <v>6.0000000000000137E-2</v>
      </c>
      <c r="T336" t="str">
        <f>_xlfn.XLOOKUP(C336,customers!$A$1:$A$1001,customers!$I$1:$I$1001,,0)</f>
        <v>No</v>
      </c>
    </row>
    <row r="337" spans="1:20"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INDEX(products!$A$1:$I$49,MATCH('Conditional Fomating'!$D337,products!$A$1:$A$49,0),MATCH('Conditional Fomating'!I$1,products!$A$1:$D$1,0))</f>
        <v>Lib</v>
      </c>
      <c r="J337" t="str">
        <f t="shared" si="30"/>
        <v>Liberica</v>
      </c>
      <c r="K337" t="str">
        <f>INDEX(products!$A$1:$I$49,MATCH('Conditional Fomating'!$D337,products!$A$1:$A$49,0),MATCH('Conditional Fomating'!K$1,products!$A$1:$D$1,0))</f>
        <v>L</v>
      </c>
      <c r="L337" t="str">
        <f t="shared" si="31"/>
        <v>Light</v>
      </c>
      <c r="M337">
        <f>INDEX(products!$A$1:$I$49,MATCH('Conditional Fomating'!$D337,products!$A$1:$A$49,0),MATCH('Conditional Fomating'!M$1,products!$A$1:$D$1,0))</f>
        <v>0.2</v>
      </c>
      <c r="N337">
        <f>_xlfn.XLOOKUP(D337,products!$A$2:$A$49,products!$E$2:$E$49)</f>
        <v>4.7549999999999999</v>
      </c>
      <c r="O337">
        <f>_xlfn.XLOOKUP(D337,products!$A$2:$A$49,products!$H$2:$H$49)</f>
        <v>4.1368499999999999</v>
      </c>
      <c r="P337">
        <f t="shared" si="32"/>
        <v>28.53</v>
      </c>
      <c r="Q337">
        <f t="shared" si="33"/>
        <v>24.821100000000001</v>
      </c>
      <c r="R337">
        <f t="shared" si="34"/>
        <v>3.7088999999999999</v>
      </c>
      <c r="S337" s="4">
        <f t="shared" si="35"/>
        <v>0.12999999999999998</v>
      </c>
      <c r="T337" t="str">
        <f>_xlfn.XLOOKUP(C337,customers!$A$1:$A$1001,customers!$I$1:$I$1001,,0)</f>
        <v>Yes</v>
      </c>
    </row>
    <row r="338" spans="1:20"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INDEX(products!$A$1:$I$49,MATCH('Conditional Fomating'!$D338,products!$A$1:$A$49,0),MATCH('Conditional Fomating'!I$1,products!$A$1:$D$1,0))</f>
        <v>Ara</v>
      </c>
      <c r="J338" t="str">
        <f t="shared" si="30"/>
        <v>Arabica</v>
      </c>
      <c r="K338" t="str">
        <f>INDEX(products!$A$1:$I$49,MATCH('Conditional Fomating'!$D338,products!$A$1:$A$49,0),MATCH('Conditional Fomating'!K$1,products!$A$1:$D$1,0))</f>
        <v>M</v>
      </c>
      <c r="L338" t="str">
        <f t="shared" si="31"/>
        <v>Medium</v>
      </c>
      <c r="M338">
        <f>INDEX(products!$A$1:$I$49,MATCH('Conditional Fomating'!$D338,products!$A$1:$A$49,0),MATCH('Conditional Fomating'!M$1,products!$A$1:$D$1,0))</f>
        <v>1</v>
      </c>
      <c r="N338">
        <f>_xlfn.XLOOKUP(D338,products!$A$2:$A$49,products!$E$2:$E$49)</f>
        <v>11.25</v>
      </c>
      <c r="O338">
        <f>_xlfn.XLOOKUP(D338,products!$A$2:$A$49,products!$H$2:$H$49)</f>
        <v>10.237500000000001</v>
      </c>
      <c r="P338">
        <f t="shared" si="32"/>
        <v>45</v>
      </c>
      <c r="Q338">
        <f t="shared" si="33"/>
        <v>40.950000000000003</v>
      </c>
      <c r="R338">
        <f t="shared" si="34"/>
        <v>4.0499999999999972</v>
      </c>
      <c r="S338" s="4">
        <f t="shared" si="35"/>
        <v>8.9999999999999941E-2</v>
      </c>
      <c r="T338" t="str">
        <f>_xlfn.XLOOKUP(C338,customers!$A$1:$A$1001,customers!$I$1:$I$1001,,0)</f>
        <v>No</v>
      </c>
    </row>
    <row r="339" spans="1:20"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v>
      </c>
      <c r="H339" s="2" t="str">
        <f>_xlfn.XLOOKUP(C339,customers!$A$1:$A$1001,customers!$G$1:$G$1001,,0)</f>
        <v>United States</v>
      </c>
      <c r="I339" t="str">
        <f>INDEX(products!$A$1:$I$49,MATCH('Conditional Fomating'!$D339,products!$A$1:$A$49,0),MATCH('Conditional Fomating'!I$1,products!$A$1:$D$1,0))</f>
        <v>Exc</v>
      </c>
      <c r="J339" t="str">
        <f t="shared" si="30"/>
        <v>Excelsa</v>
      </c>
      <c r="K339" t="str">
        <f>INDEX(products!$A$1:$I$49,MATCH('Conditional Fomating'!$D339,products!$A$1:$A$49,0),MATCH('Conditional Fomating'!K$1,products!$A$1:$D$1,0))</f>
        <v>D</v>
      </c>
      <c r="L339" t="str">
        <f t="shared" si="31"/>
        <v>Dark</v>
      </c>
      <c r="M339">
        <f>INDEX(products!$A$1:$I$49,MATCH('Conditional Fomating'!$D339,products!$A$1:$A$49,0),MATCH('Conditional Fomating'!M$1,products!$A$1:$D$1,0))</f>
        <v>2.5</v>
      </c>
      <c r="N339">
        <f>_xlfn.XLOOKUP(D339,products!$A$2:$A$49,products!$E$2:$E$49)</f>
        <v>27.945</v>
      </c>
      <c r="O339">
        <f>_xlfn.XLOOKUP(D339,products!$A$2:$A$49,products!$H$2:$H$49)</f>
        <v>24.87105</v>
      </c>
      <c r="P339">
        <f t="shared" si="32"/>
        <v>55.89</v>
      </c>
      <c r="Q339">
        <f t="shared" si="33"/>
        <v>49.742100000000001</v>
      </c>
      <c r="R339">
        <f t="shared" si="34"/>
        <v>6.1478999999999999</v>
      </c>
      <c r="S339" s="4">
        <f t="shared" si="35"/>
        <v>0.11</v>
      </c>
      <c r="T339" t="str">
        <f>_xlfn.XLOOKUP(C339,customers!$A$1:$A$1001,customers!$I$1:$I$1001,,0)</f>
        <v>No</v>
      </c>
    </row>
    <row r="340" spans="1:20"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INDEX(products!$A$1:$I$49,MATCH('Conditional Fomating'!$D340,products!$A$1:$A$49,0),MATCH('Conditional Fomating'!I$1,products!$A$1:$D$1,0))</f>
        <v>Exc</v>
      </c>
      <c r="J340" t="str">
        <f t="shared" si="30"/>
        <v>Excelsa</v>
      </c>
      <c r="K340" t="str">
        <f>INDEX(products!$A$1:$I$49,MATCH('Conditional Fomating'!$D340,products!$A$1:$A$49,0),MATCH('Conditional Fomating'!K$1,products!$A$1:$D$1,0))</f>
        <v>L</v>
      </c>
      <c r="L340" t="str">
        <f t="shared" si="31"/>
        <v>Light</v>
      </c>
      <c r="M340">
        <f>INDEX(products!$A$1:$I$49,MATCH('Conditional Fomating'!$D340,products!$A$1:$A$49,0),MATCH('Conditional Fomating'!M$1,products!$A$1:$D$1,0))</f>
        <v>1</v>
      </c>
      <c r="N340">
        <f>_xlfn.XLOOKUP(D340,products!$A$2:$A$49,products!$E$2:$E$49)</f>
        <v>14.85</v>
      </c>
      <c r="O340">
        <f>_xlfn.XLOOKUP(D340,products!$A$2:$A$49,products!$H$2:$H$49)</f>
        <v>13.2165</v>
      </c>
      <c r="P340">
        <f t="shared" si="32"/>
        <v>59.4</v>
      </c>
      <c r="Q340">
        <f t="shared" si="33"/>
        <v>52.866</v>
      </c>
      <c r="R340">
        <f t="shared" si="34"/>
        <v>6.5339999999999989</v>
      </c>
      <c r="S340" s="4">
        <f t="shared" si="35"/>
        <v>0.10999999999999999</v>
      </c>
      <c r="T340" t="str">
        <f>_xlfn.XLOOKUP(C340,customers!$A$1:$A$1001,customers!$I$1:$I$1001,,0)</f>
        <v>No</v>
      </c>
    </row>
    <row r="341" spans="1:20"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INDEX(products!$A$1:$I$49,MATCH('Conditional Fomating'!$D341,products!$A$1:$A$49,0),MATCH('Conditional Fomating'!I$1,products!$A$1:$D$1,0))</f>
        <v>Exc</v>
      </c>
      <c r="J341" t="str">
        <f t="shared" si="30"/>
        <v>Excelsa</v>
      </c>
      <c r="K341" t="str">
        <f>INDEX(products!$A$1:$I$49,MATCH('Conditional Fomating'!$D341,products!$A$1:$A$49,0),MATCH('Conditional Fomating'!K$1,products!$A$1:$D$1,0))</f>
        <v>D</v>
      </c>
      <c r="L341" t="str">
        <f t="shared" si="31"/>
        <v>Dark</v>
      </c>
      <c r="M341">
        <f>INDEX(products!$A$1:$I$49,MATCH('Conditional Fomating'!$D341,products!$A$1:$A$49,0),MATCH('Conditional Fomating'!M$1,products!$A$1:$D$1,0))</f>
        <v>0.2</v>
      </c>
      <c r="N341">
        <f>_xlfn.XLOOKUP(D341,products!$A$2:$A$49,products!$E$2:$E$49)</f>
        <v>3.645</v>
      </c>
      <c r="O341">
        <f>_xlfn.XLOOKUP(D341,products!$A$2:$A$49,products!$H$2:$H$49)</f>
        <v>3.2440500000000001</v>
      </c>
      <c r="P341">
        <f t="shared" si="32"/>
        <v>7.29</v>
      </c>
      <c r="Q341">
        <f t="shared" si="33"/>
        <v>6.4881000000000002</v>
      </c>
      <c r="R341">
        <f t="shared" si="34"/>
        <v>0.80189999999999984</v>
      </c>
      <c r="S341" s="4">
        <f t="shared" si="35"/>
        <v>0.10999999999999997</v>
      </c>
      <c r="T341" t="str">
        <f>_xlfn.XLOOKUP(C341,customers!$A$1:$A$1001,customers!$I$1:$I$1001,,0)</f>
        <v>Yes</v>
      </c>
    </row>
    <row r="342" spans="1:20"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INDEX(products!$A$1:$I$49,MATCH('Conditional Fomating'!$D342,products!$A$1:$A$49,0),MATCH('Conditional Fomating'!I$1,products!$A$1:$D$1,0))</f>
        <v>Exc</v>
      </c>
      <c r="J342" t="str">
        <f t="shared" si="30"/>
        <v>Excelsa</v>
      </c>
      <c r="K342" t="str">
        <f>INDEX(products!$A$1:$I$49,MATCH('Conditional Fomating'!$D342,products!$A$1:$A$49,0),MATCH('Conditional Fomating'!K$1,products!$A$1:$D$1,0))</f>
        <v>D</v>
      </c>
      <c r="L342" t="str">
        <f t="shared" si="31"/>
        <v>Dark</v>
      </c>
      <c r="M342">
        <f>INDEX(products!$A$1:$I$49,MATCH('Conditional Fomating'!$D342,products!$A$1:$A$49,0),MATCH('Conditional Fomating'!M$1,products!$A$1:$D$1,0))</f>
        <v>0.5</v>
      </c>
      <c r="N342">
        <f>_xlfn.XLOOKUP(D342,products!$A$2:$A$49,products!$E$2:$E$49)</f>
        <v>7.29</v>
      </c>
      <c r="O342">
        <f>_xlfn.XLOOKUP(D342,products!$A$2:$A$49,products!$H$2:$H$49)</f>
        <v>6.4881000000000002</v>
      </c>
      <c r="P342">
        <f t="shared" si="32"/>
        <v>7.29</v>
      </c>
      <c r="Q342">
        <f t="shared" si="33"/>
        <v>6.4881000000000002</v>
      </c>
      <c r="R342">
        <f t="shared" si="34"/>
        <v>0.80189999999999984</v>
      </c>
      <c r="S342" s="4">
        <f t="shared" si="35"/>
        <v>0.10999999999999997</v>
      </c>
      <c r="T342" t="str">
        <f>_xlfn.XLOOKUP(C342,customers!$A$1:$A$1001,customers!$I$1:$I$1001,,0)</f>
        <v>Yes</v>
      </c>
    </row>
    <row r="343" spans="1:20"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INDEX(products!$A$1:$I$49,MATCH('Conditional Fomating'!$D343,products!$A$1:$A$49,0),MATCH('Conditional Fomating'!I$1,products!$A$1:$D$1,0))</f>
        <v>Exc</v>
      </c>
      <c r="J343" t="str">
        <f t="shared" si="30"/>
        <v>Excelsa</v>
      </c>
      <c r="K343" t="str">
        <f>INDEX(products!$A$1:$I$49,MATCH('Conditional Fomating'!$D343,products!$A$1:$A$49,0),MATCH('Conditional Fomating'!K$1,products!$A$1:$D$1,0))</f>
        <v>L</v>
      </c>
      <c r="L343" t="str">
        <f t="shared" si="31"/>
        <v>Light</v>
      </c>
      <c r="M343">
        <f>INDEX(products!$A$1:$I$49,MATCH('Conditional Fomating'!$D343,products!$A$1:$A$49,0),MATCH('Conditional Fomating'!M$1,products!$A$1:$D$1,0))</f>
        <v>0.5</v>
      </c>
      <c r="N343">
        <f>_xlfn.XLOOKUP(D343,products!$A$2:$A$49,products!$E$2:$E$49)</f>
        <v>8.91</v>
      </c>
      <c r="O343">
        <f>_xlfn.XLOOKUP(D343,products!$A$2:$A$49,products!$H$2:$H$49)</f>
        <v>7.9298999999999999</v>
      </c>
      <c r="P343">
        <f t="shared" si="32"/>
        <v>17.82</v>
      </c>
      <c r="Q343">
        <f t="shared" si="33"/>
        <v>15.8598</v>
      </c>
      <c r="R343">
        <f t="shared" si="34"/>
        <v>1.9602000000000004</v>
      </c>
      <c r="S343" s="4">
        <f t="shared" si="35"/>
        <v>0.11000000000000001</v>
      </c>
      <c r="T343" t="str">
        <f>_xlfn.XLOOKUP(C343,customers!$A$1:$A$1001,customers!$I$1:$I$1001,,0)</f>
        <v>No</v>
      </c>
    </row>
    <row r="344" spans="1:20"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INDEX(products!$A$1:$I$49,MATCH('Conditional Fomating'!$D344,products!$A$1:$A$49,0),MATCH('Conditional Fomating'!I$1,products!$A$1:$D$1,0))</f>
        <v>Lib</v>
      </c>
      <c r="J344" t="str">
        <f t="shared" si="30"/>
        <v>Liberica</v>
      </c>
      <c r="K344" t="str">
        <f>INDEX(products!$A$1:$I$49,MATCH('Conditional Fomating'!$D344,products!$A$1:$A$49,0),MATCH('Conditional Fomating'!K$1,products!$A$1:$D$1,0))</f>
        <v>D</v>
      </c>
      <c r="L344" t="str">
        <f t="shared" si="31"/>
        <v>Dark</v>
      </c>
      <c r="M344">
        <f>INDEX(products!$A$1:$I$49,MATCH('Conditional Fomating'!$D344,products!$A$1:$A$49,0),MATCH('Conditional Fomating'!M$1,products!$A$1:$D$1,0))</f>
        <v>0.5</v>
      </c>
      <c r="N344">
        <f>_xlfn.XLOOKUP(D344,products!$A$2:$A$49,products!$E$2:$E$49)</f>
        <v>7.77</v>
      </c>
      <c r="O344">
        <f>_xlfn.XLOOKUP(D344,products!$A$2:$A$49,products!$H$2:$H$49)</f>
        <v>6.7599</v>
      </c>
      <c r="P344">
        <f t="shared" si="32"/>
        <v>38.849999999999994</v>
      </c>
      <c r="Q344">
        <f t="shared" si="33"/>
        <v>33.799500000000002</v>
      </c>
      <c r="R344">
        <f t="shared" si="34"/>
        <v>5.0504999999999924</v>
      </c>
      <c r="S344" s="4">
        <f t="shared" si="35"/>
        <v>0.12999999999999984</v>
      </c>
      <c r="T344" t="str">
        <f>_xlfn.XLOOKUP(C344,customers!$A$1:$A$1001,customers!$I$1:$I$1001,,0)</f>
        <v>No</v>
      </c>
    </row>
    <row r="345" spans="1:20"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INDEX(products!$A$1:$I$49,MATCH('Conditional Fomating'!$D345,products!$A$1:$A$49,0),MATCH('Conditional Fomating'!I$1,products!$A$1:$D$1,0))</f>
        <v>Rob</v>
      </c>
      <c r="J345" t="str">
        <f t="shared" si="30"/>
        <v>Robusta</v>
      </c>
      <c r="K345" t="str">
        <f>INDEX(products!$A$1:$I$49,MATCH('Conditional Fomating'!$D345,products!$A$1:$A$49,0),MATCH('Conditional Fomating'!K$1,products!$A$1:$D$1,0))</f>
        <v>D</v>
      </c>
      <c r="L345" t="str">
        <f t="shared" si="31"/>
        <v>Dark</v>
      </c>
      <c r="M345">
        <f>INDEX(products!$A$1:$I$49,MATCH('Conditional Fomating'!$D345,products!$A$1:$A$49,0),MATCH('Conditional Fomating'!M$1,products!$A$1:$D$1,0))</f>
        <v>0.5</v>
      </c>
      <c r="N345">
        <f>_xlfn.XLOOKUP(D345,products!$A$2:$A$49,products!$E$2:$E$49)</f>
        <v>5.3699999999999992</v>
      </c>
      <c r="O345">
        <f>_xlfn.XLOOKUP(D345,products!$A$2:$A$49,products!$H$2:$H$49)</f>
        <v>5.0477999999999996</v>
      </c>
      <c r="P345">
        <f t="shared" si="32"/>
        <v>32.22</v>
      </c>
      <c r="Q345">
        <f t="shared" si="33"/>
        <v>30.286799999999999</v>
      </c>
      <c r="R345">
        <f t="shared" si="34"/>
        <v>1.9331999999999994</v>
      </c>
      <c r="S345" s="4">
        <f t="shared" si="35"/>
        <v>5.9999999999999984E-2</v>
      </c>
      <c r="T345" t="str">
        <f>_xlfn.XLOOKUP(C345,customers!$A$1:$A$1001,customers!$I$1:$I$1001,,0)</f>
        <v>No</v>
      </c>
    </row>
    <row r="346" spans="1:20"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v>
      </c>
      <c r="H346" s="2" t="str">
        <f>_xlfn.XLOOKUP(C346,customers!$A$1:$A$1001,customers!$G$1:$G$1001,,0)</f>
        <v>Ireland</v>
      </c>
      <c r="I346" t="str">
        <f>INDEX(products!$A$1:$I$49,MATCH('Conditional Fomating'!$D346,products!$A$1:$A$49,0),MATCH('Conditional Fomating'!I$1,products!$A$1:$D$1,0))</f>
        <v>Rob</v>
      </c>
      <c r="J346" t="str">
        <f t="shared" si="30"/>
        <v>Robusta</v>
      </c>
      <c r="K346" t="str">
        <f>INDEX(products!$A$1:$I$49,MATCH('Conditional Fomating'!$D346,products!$A$1:$A$49,0),MATCH('Conditional Fomating'!K$1,products!$A$1:$D$1,0))</f>
        <v>M</v>
      </c>
      <c r="L346" t="str">
        <f t="shared" si="31"/>
        <v>Medium</v>
      </c>
      <c r="M346">
        <f>INDEX(products!$A$1:$I$49,MATCH('Conditional Fomating'!$D346,products!$A$1:$A$49,0),MATCH('Conditional Fomating'!M$1,products!$A$1:$D$1,0))</f>
        <v>1</v>
      </c>
      <c r="N346">
        <f>_xlfn.XLOOKUP(D346,products!$A$2:$A$49,products!$E$2:$E$49)</f>
        <v>9.9499999999999993</v>
      </c>
      <c r="O346">
        <f>_xlfn.XLOOKUP(D346,products!$A$2:$A$49,products!$H$2:$H$49)</f>
        <v>9.3529999999999998</v>
      </c>
      <c r="P346">
        <f t="shared" si="32"/>
        <v>19.899999999999999</v>
      </c>
      <c r="Q346">
        <f t="shared" si="33"/>
        <v>18.706</v>
      </c>
      <c r="R346">
        <f t="shared" si="34"/>
        <v>1.1939999999999991</v>
      </c>
      <c r="S346" s="4">
        <f t="shared" si="35"/>
        <v>5.9999999999999956E-2</v>
      </c>
      <c r="T346" t="str">
        <f>_xlfn.XLOOKUP(C346,customers!$A$1:$A$1001,customers!$I$1:$I$1001,,0)</f>
        <v>Yes</v>
      </c>
    </row>
    <row r="347" spans="1:20"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INDEX(products!$A$1:$I$49,MATCH('Conditional Fomating'!$D347,products!$A$1:$A$49,0),MATCH('Conditional Fomating'!I$1,products!$A$1:$D$1,0))</f>
        <v>Rob</v>
      </c>
      <c r="J347" t="str">
        <f t="shared" si="30"/>
        <v>Robusta</v>
      </c>
      <c r="K347" t="str">
        <f>INDEX(products!$A$1:$I$49,MATCH('Conditional Fomating'!$D347,products!$A$1:$A$49,0),MATCH('Conditional Fomating'!K$1,products!$A$1:$D$1,0))</f>
        <v>L</v>
      </c>
      <c r="L347" t="str">
        <f t="shared" si="31"/>
        <v>Light</v>
      </c>
      <c r="M347">
        <f>INDEX(products!$A$1:$I$49,MATCH('Conditional Fomating'!$D347,products!$A$1:$A$49,0),MATCH('Conditional Fomating'!M$1,products!$A$1:$D$1,0))</f>
        <v>1</v>
      </c>
      <c r="N347">
        <f>_xlfn.XLOOKUP(D347,products!$A$2:$A$49,products!$E$2:$E$49)</f>
        <v>11.95</v>
      </c>
      <c r="O347">
        <f>_xlfn.XLOOKUP(D347,products!$A$2:$A$49,products!$H$2:$H$49)</f>
        <v>11.232999999999999</v>
      </c>
      <c r="P347">
        <f t="shared" si="32"/>
        <v>59.75</v>
      </c>
      <c r="Q347">
        <f t="shared" si="33"/>
        <v>56.164999999999992</v>
      </c>
      <c r="R347">
        <f t="shared" si="34"/>
        <v>3.585000000000008</v>
      </c>
      <c r="S347" s="4">
        <f t="shared" si="35"/>
        <v>6.0000000000000137E-2</v>
      </c>
      <c r="T347" t="str">
        <f>_xlfn.XLOOKUP(C347,customers!$A$1:$A$1001,customers!$I$1:$I$1001,,0)</f>
        <v>No</v>
      </c>
    </row>
    <row r="348" spans="1:20"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INDEX(products!$A$1:$I$49,MATCH('Conditional Fomating'!$D348,products!$A$1:$A$49,0),MATCH('Conditional Fomating'!I$1,products!$A$1:$D$1,0))</f>
        <v>Ara</v>
      </c>
      <c r="J348" t="str">
        <f t="shared" si="30"/>
        <v>Arabica</v>
      </c>
      <c r="K348" t="str">
        <f>INDEX(products!$A$1:$I$49,MATCH('Conditional Fomating'!$D348,products!$A$1:$A$49,0),MATCH('Conditional Fomating'!K$1,products!$A$1:$D$1,0))</f>
        <v>L</v>
      </c>
      <c r="L348" t="str">
        <f t="shared" si="31"/>
        <v>Light</v>
      </c>
      <c r="M348">
        <f>INDEX(products!$A$1:$I$49,MATCH('Conditional Fomating'!$D348,products!$A$1:$A$49,0),MATCH('Conditional Fomating'!M$1,products!$A$1:$D$1,0))</f>
        <v>0.5</v>
      </c>
      <c r="N348">
        <f>_xlfn.XLOOKUP(D348,products!$A$2:$A$49,products!$E$2:$E$49)</f>
        <v>7.77</v>
      </c>
      <c r="O348">
        <f>_xlfn.XLOOKUP(D348,products!$A$2:$A$49,products!$H$2:$H$49)</f>
        <v>7.0706999999999995</v>
      </c>
      <c r="P348">
        <f t="shared" si="32"/>
        <v>23.31</v>
      </c>
      <c r="Q348">
        <f t="shared" si="33"/>
        <v>21.2121</v>
      </c>
      <c r="R348">
        <f t="shared" si="34"/>
        <v>2.0978999999999992</v>
      </c>
      <c r="S348" s="4">
        <f t="shared" si="35"/>
        <v>8.9999999999999969E-2</v>
      </c>
      <c r="T348" t="str">
        <f>_xlfn.XLOOKUP(C348,customers!$A$1:$A$1001,customers!$I$1:$I$1001,,0)</f>
        <v>Yes</v>
      </c>
    </row>
    <row r="349" spans="1:20"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INDEX(products!$A$1:$I$49,MATCH('Conditional Fomating'!$D349,products!$A$1:$A$49,0),MATCH('Conditional Fomating'!I$1,products!$A$1:$D$1,0))</f>
        <v>Lib</v>
      </c>
      <c r="J349" t="str">
        <f t="shared" si="30"/>
        <v>Liberica</v>
      </c>
      <c r="K349" t="str">
        <f>INDEX(products!$A$1:$I$49,MATCH('Conditional Fomating'!$D349,products!$A$1:$A$49,0),MATCH('Conditional Fomating'!K$1,products!$A$1:$D$1,0))</f>
        <v>M</v>
      </c>
      <c r="L349" t="str">
        <f t="shared" si="31"/>
        <v>Medium</v>
      </c>
      <c r="M349">
        <f>INDEX(products!$A$1:$I$49,MATCH('Conditional Fomating'!$D349,products!$A$1:$A$49,0),MATCH('Conditional Fomating'!M$1,products!$A$1:$D$1,0))</f>
        <v>1</v>
      </c>
      <c r="N349">
        <f>_xlfn.XLOOKUP(D349,products!$A$2:$A$49,products!$E$2:$E$49)</f>
        <v>14.55</v>
      </c>
      <c r="O349">
        <f>_xlfn.XLOOKUP(D349,products!$A$2:$A$49,products!$H$2:$H$49)</f>
        <v>12.6585</v>
      </c>
      <c r="P349">
        <f t="shared" si="32"/>
        <v>43.650000000000006</v>
      </c>
      <c r="Q349">
        <f t="shared" si="33"/>
        <v>37.975499999999997</v>
      </c>
      <c r="R349">
        <f t="shared" si="34"/>
        <v>5.674500000000009</v>
      </c>
      <c r="S349" s="4">
        <f t="shared" si="35"/>
        <v>0.1300000000000002</v>
      </c>
      <c r="T349" t="str">
        <f>_xlfn.XLOOKUP(C349,customers!$A$1:$A$1001,customers!$I$1:$I$1001,,0)</f>
        <v>No</v>
      </c>
    </row>
    <row r="350" spans="1:20"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INDEX(products!$A$1:$I$49,MATCH('Conditional Fomating'!$D350,products!$A$1:$A$49,0),MATCH('Conditional Fomating'!I$1,products!$A$1:$D$1,0))</f>
        <v>Exc</v>
      </c>
      <c r="J350" t="str">
        <f t="shared" si="30"/>
        <v>Excelsa</v>
      </c>
      <c r="K350" t="str">
        <f>INDEX(products!$A$1:$I$49,MATCH('Conditional Fomating'!$D350,products!$A$1:$A$49,0),MATCH('Conditional Fomating'!K$1,products!$A$1:$D$1,0))</f>
        <v>L</v>
      </c>
      <c r="L350" t="str">
        <f t="shared" si="31"/>
        <v>Light</v>
      </c>
      <c r="M350">
        <f>INDEX(products!$A$1:$I$49,MATCH('Conditional Fomating'!$D350,products!$A$1:$A$49,0),MATCH('Conditional Fomating'!M$1,products!$A$1:$D$1,0))</f>
        <v>2.5</v>
      </c>
      <c r="N350">
        <f>_xlfn.XLOOKUP(D350,products!$A$2:$A$49,products!$E$2:$E$49)</f>
        <v>34.154999999999994</v>
      </c>
      <c r="O350">
        <f>_xlfn.XLOOKUP(D350,products!$A$2:$A$49,products!$H$2:$H$49)</f>
        <v>30.397949999999994</v>
      </c>
      <c r="P350">
        <f t="shared" si="32"/>
        <v>204.92999999999995</v>
      </c>
      <c r="Q350">
        <f t="shared" si="33"/>
        <v>182.38769999999997</v>
      </c>
      <c r="R350">
        <f t="shared" si="34"/>
        <v>22.542299999999983</v>
      </c>
      <c r="S350" s="4">
        <f t="shared" si="35"/>
        <v>0.10999999999999995</v>
      </c>
      <c r="T350" t="str">
        <f>_xlfn.XLOOKUP(C350,customers!$A$1:$A$1001,customers!$I$1:$I$1001,,0)</f>
        <v>No</v>
      </c>
    </row>
    <row r="351" spans="1:20"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INDEX(products!$A$1:$I$49,MATCH('Conditional Fomating'!$D351,products!$A$1:$A$49,0),MATCH('Conditional Fomating'!I$1,products!$A$1:$D$1,0))</f>
        <v>Rob</v>
      </c>
      <c r="J351" t="str">
        <f t="shared" si="30"/>
        <v>Robusta</v>
      </c>
      <c r="K351" t="str">
        <f>INDEX(products!$A$1:$I$49,MATCH('Conditional Fomating'!$D351,products!$A$1:$A$49,0),MATCH('Conditional Fomating'!K$1,products!$A$1:$D$1,0))</f>
        <v>L</v>
      </c>
      <c r="L351" t="str">
        <f t="shared" si="31"/>
        <v>Light</v>
      </c>
      <c r="M351">
        <f>INDEX(products!$A$1:$I$49,MATCH('Conditional Fomating'!$D351,products!$A$1:$A$49,0),MATCH('Conditional Fomating'!M$1,products!$A$1:$D$1,0))</f>
        <v>0.2</v>
      </c>
      <c r="N351">
        <f>_xlfn.XLOOKUP(D351,products!$A$2:$A$49,products!$E$2:$E$49)</f>
        <v>3.5849999999999995</v>
      </c>
      <c r="O351">
        <f>_xlfn.XLOOKUP(D351,products!$A$2:$A$49,products!$H$2:$H$49)</f>
        <v>3.3698999999999995</v>
      </c>
      <c r="P351">
        <f t="shared" si="32"/>
        <v>14.339999999999998</v>
      </c>
      <c r="Q351">
        <f t="shared" si="33"/>
        <v>13.479599999999998</v>
      </c>
      <c r="R351">
        <f t="shared" si="34"/>
        <v>0.86040000000000028</v>
      </c>
      <c r="S351" s="4">
        <f t="shared" si="35"/>
        <v>6.0000000000000026E-2</v>
      </c>
      <c r="T351" t="str">
        <f>_xlfn.XLOOKUP(C351,customers!$A$1:$A$1001,customers!$I$1:$I$1001,,0)</f>
        <v>No</v>
      </c>
    </row>
    <row r="352" spans="1:20"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INDEX(products!$A$1:$I$49,MATCH('Conditional Fomating'!$D352,products!$A$1:$A$49,0),MATCH('Conditional Fomating'!I$1,products!$A$1:$D$1,0))</f>
        <v>Ara</v>
      </c>
      <c r="J352" t="str">
        <f t="shared" si="30"/>
        <v>Arabica</v>
      </c>
      <c r="K352" t="str">
        <f>INDEX(products!$A$1:$I$49,MATCH('Conditional Fomating'!$D352,products!$A$1:$A$49,0),MATCH('Conditional Fomating'!K$1,products!$A$1:$D$1,0))</f>
        <v>D</v>
      </c>
      <c r="L352" t="str">
        <f t="shared" si="31"/>
        <v>Dark</v>
      </c>
      <c r="M352">
        <f>INDEX(products!$A$1:$I$49,MATCH('Conditional Fomating'!$D352,products!$A$1:$A$49,0),MATCH('Conditional Fomating'!M$1,products!$A$1:$D$1,0))</f>
        <v>0.5</v>
      </c>
      <c r="N352">
        <f>_xlfn.XLOOKUP(D352,products!$A$2:$A$49,products!$E$2:$E$49)</f>
        <v>5.97</v>
      </c>
      <c r="O352">
        <f>_xlfn.XLOOKUP(D352,products!$A$2:$A$49,products!$H$2:$H$49)</f>
        <v>5.4326999999999996</v>
      </c>
      <c r="P352">
        <f t="shared" si="32"/>
        <v>23.88</v>
      </c>
      <c r="Q352">
        <f t="shared" si="33"/>
        <v>21.730799999999999</v>
      </c>
      <c r="R352">
        <f t="shared" si="34"/>
        <v>2.1492000000000004</v>
      </c>
      <c r="S352" s="4">
        <f t="shared" si="35"/>
        <v>9.0000000000000024E-2</v>
      </c>
      <c r="T352" t="str">
        <f>_xlfn.XLOOKUP(C352,customers!$A$1:$A$1001,customers!$I$1:$I$1001,,0)</f>
        <v>No</v>
      </c>
    </row>
    <row r="353" spans="1:20"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INDEX(products!$A$1:$I$49,MATCH('Conditional Fomating'!$D353,products!$A$1:$A$49,0),MATCH('Conditional Fomating'!I$1,products!$A$1:$D$1,0))</f>
        <v>Ara</v>
      </c>
      <c r="J353" t="str">
        <f t="shared" si="30"/>
        <v>Arabica</v>
      </c>
      <c r="K353" t="str">
        <f>INDEX(products!$A$1:$I$49,MATCH('Conditional Fomating'!$D353,products!$A$1:$A$49,0),MATCH('Conditional Fomating'!K$1,products!$A$1:$D$1,0))</f>
        <v>M</v>
      </c>
      <c r="L353" t="str">
        <f t="shared" si="31"/>
        <v>Medium</v>
      </c>
      <c r="M353">
        <f>INDEX(products!$A$1:$I$49,MATCH('Conditional Fomating'!$D353,products!$A$1:$A$49,0),MATCH('Conditional Fomating'!M$1,products!$A$1:$D$1,0))</f>
        <v>1</v>
      </c>
      <c r="N353">
        <f>_xlfn.XLOOKUP(D353,products!$A$2:$A$49,products!$E$2:$E$49)</f>
        <v>11.25</v>
      </c>
      <c r="O353">
        <f>_xlfn.XLOOKUP(D353,products!$A$2:$A$49,products!$H$2:$H$49)</f>
        <v>10.237500000000001</v>
      </c>
      <c r="P353">
        <f t="shared" si="32"/>
        <v>22.5</v>
      </c>
      <c r="Q353">
        <f t="shared" si="33"/>
        <v>20.475000000000001</v>
      </c>
      <c r="R353">
        <f t="shared" si="34"/>
        <v>2.0249999999999986</v>
      </c>
      <c r="S353" s="4">
        <f t="shared" si="35"/>
        <v>8.9999999999999941E-2</v>
      </c>
      <c r="T353" t="str">
        <f>_xlfn.XLOOKUP(C353,customers!$A$1:$A$1001,customers!$I$1:$I$1001,,0)</f>
        <v>No</v>
      </c>
    </row>
    <row r="354" spans="1:20"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v>
      </c>
      <c r="H354" s="2" t="str">
        <f>_xlfn.XLOOKUP(C354,customers!$A$1:$A$1001,customers!$G$1:$G$1001,,0)</f>
        <v>United States</v>
      </c>
      <c r="I354" t="str">
        <f>INDEX(products!$A$1:$I$49,MATCH('Conditional Fomating'!$D354,products!$A$1:$A$49,0),MATCH('Conditional Fomating'!I$1,products!$A$1:$D$1,0))</f>
        <v>Exc</v>
      </c>
      <c r="J354" t="str">
        <f t="shared" si="30"/>
        <v>Excelsa</v>
      </c>
      <c r="K354" t="str">
        <f>INDEX(products!$A$1:$I$49,MATCH('Conditional Fomating'!$D354,products!$A$1:$A$49,0),MATCH('Conditional Fomating'!K$1,products!$A$1:$D$1,0))</f>
        <v>D</v>
      </c>
      <c r="L354" t="str">
        <f t="shared" si="31"/>
        <v>Dark</v>
      </c>
      <c r="M354">
        <f>INDEX(products!$A$1:$I$49,MATCH('Conditional Fomating'!$D354,products!$A$1:$A$49,0),MATCH('Conditional Fomating'!M$1,products!$A$1:$D$1,0))</f>
        <v>0.5</v>
      </c>
      <c r="N354">
        <f>_xlfn.XLOOKUP(D354,products!$A$2:$A$49,products!$E$2:$E$49)</f>
        <v>7.29</v>
      </c>
      <c r="O354">
        <f>_xlfn.XLOOKUP(D354,products!$A$2:$A$49,products!$H$2:$H$49)</f>
        <v>6.4881000000000002</v>
      </c>
      <c r="P354">
        <f t="shared" si="32"/>
        <v>36.450000000000003</v>
      </c>
      <c r="Q354">
        <f t="shared" si="33"/>
        <v>32.4405</v>
      </c>
      <c r="R354">
        <f t="shared" si="34"/>
        <v>4.0095000000000027</v>
      </c>
      <c r="S354" s="4">
        <f t="shared" si="35"/>
        <v>0.11000000000000007</v>
      </c>
      <c r="T354" t="str">
        <f>_xlfn.XLOOKUP(C354,customers!$A$1:$A$1001,customers!$I$1:$I$1001,,0)</f>
        <v>No</v>
      </c>
    </row>
    <row r="355" spans="1:20"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v>
      </c>
      <c r="H355" s="2" t="str">
        <f>_xlfn.XLOOKUP(C355,customers!$A$1:$A$1001,customers!$G$1:$G$1001,,0)</f>
        <v>United States</v>
      </c>
      <c r="I355" t="str">
        <f>INDEX(products!$A$1:$I$49,MATCH('Conditional Fomating'!$D355,products!$A$1:$A$49,0),MATCH('Conditional Fomating'!I$1,products!$A$1:$D$1,0))</f>
        <v>Ara</v>
      </c>
      <c r="J355" t="str">
        <f t="shared" si="30"/>
        <v>Arabica</v>
      </c>
      <c r="K355" t="str">
        <f>INDEX(products!$A$1:$I$49,MATCH('Conditional Fomating'!$D355,products!$A$1:$A$49,0),MATCH('Conditional Fomating'!K$1,products!$A$1:$D$1,0))</f>
        <v>M</v>
      </c>
      <c r="L355" t="str">
        <f t="shared" si="31"/>
        <v>Medium</v>
      </c>
      <c r="M355">
        <f>INDEX(products!$A$1:$I$49,MATCH('Conditional Fomating'!$D355,products!$A$1:$A$49,0),MATCH('Conditional Fomating'!M$1,products!$A$1:$D$1,0))</f>
        <v>0.5</v>
      </c>
      <c r="N355">
        <f>_xlfn.XLOOKUP(D355,products!$A$2:$A$49,products!$E$2:$E$49)</f>
        <v>6.75</v>
      </c>
      <c r="O355">
        <f>_xlfn.XLOOKUP(D355,products!$A$2:$A$49,products!$H$2:$H$49)</f>
        <v>6.1425000000000001</v>
      </c>
      <c r="P355">
        <f t="shared" si="32"/>
        <v>27</v>
      </c>
      <c r="Q355">
        <f t="shared" si="33"/>
        <v>24.57</v>
      </c>
      <c r="R355">
        <f t="shared" si="34"/>
        <v>2.4299999999999997</v>
      </c>
      <c r="S355" s="4">
        <f t="shared" si="35"/>
        <v>8.9999999999999983E-2</v>
      </c>
      <c r="T355" t="str">
        <f>_xlfn.XLOOKUP(C355,customers!$A$1:$A$1001,customers!$I$1:$I$1001,,0)</f>
        <v>Yes</v>
      </c>
    </row>
    <row r="356" spans="1:20"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INDEX(products!$A$1:$I$49,MATCH('Conditional Fomating'!$D356,products!$A$1:$A$49,0),MATCH('Conditional Fomating'!I$1,products!$A$1:$D$1,0))</f>
        <v>Ara</v>
      </c>
      <c r="J356" t="str">
        <f t="shared" si="30"/>
        <v>Arabica</v>
      </c>
      <c r="K356" t="str">
        <f>INDEX(products!$A$1:$I$49,MATCH('Conditional Fomating'!$D356,products!$A$1:$A$49,0),MATCH('Conditional Fomating'!K$1,products!$A$1:$D$1,0))</f>
        <v>M</v>
      </c>
      <c r="L356" t="str">
        <f t="shared" si="31"/>
        <v>Medium</v>
      </c>
      <c r="M356">
        <f>INDEX(products!$A$1:$I$49,MATCH('Conditional Fomating'!$D356,products!$A$1:$A$49,0),MATCH('Conditional Fomating'!M$1,products!$A$1:$D$1,0))</f>
        <v>2.5</v>
      </c>
      <c r="N356">
        <f>_xlfn.XLOOKUP(D356,products!$A$2:$A$49,products!$E$2:$E$49)</f>
        <v>25.874999999999996</v>
      </c>
      <c r="O356">
        <f>_xlfn.XLOOKUP(D356,products!$A$2:$A$49,products!$H$2:$H$49)</f>
        <v>23.546249999999997</v>
      </c>
      <c r="P356">
        <f t="shared" si="32"/>
        <v>155.24999999999997</v>
      </c>
      <c r="Q356">
        <f t="shared" si="33"/>
        <v>141.27749999999997</v>
      </c>
      <c r="R356">
        <f t="shared" si="34"/>
        <v>13.972499999999997</v>
      </c>
      <c r="S356" s="4">
        <f t="shared" si="35"/>
        <v>0.09</v>
      </c>
      <c r="T356" t="str">
        <f>_xlfn.XLOOKUP(C356,customers!$A$1:$A$1001,customers!$I$1:$I$1001,,0)</f>
        <v>No</v>
      </c>
    </row>
    <row r="357" spans="1:20"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INDEX(products!$A$1:$I$49,MATCH('Conditional Fomating'!$D357,products!$A$1:$A$49,0),MATCH('Conditional Fomating'!I$1,products!$A$1:$D$1,0))</f>
        <v>Ara</v>
      </c>
      <c r="J357" t="str">
        <f t="shared" si="30"/>
        <v>Arabica</v>
      </c>
      <c r="K357" t="str">
        <f>INDEX(products!$A$1:$I$49,MATCH('Conditional Fomating'!$D357,products!$A$1:$A$49,0),MATCH('Conditional Fomating'!K$1,products!$A$1:$D$1,0))</f>
        <v>D</v>
      </c>
      <c r="L357" t="str">
        <f t="shared" si="31"/>
        <v>Dark</v>
      </c>
      <c r="M357">
        <f>INDEX(products!$A$1:$I$49,MATCH('Conditional Fomating'!$D357,products!$A$1:$A$49,0),MATCH('Conditional Fomating'!M$1,products!$A$1:$D$1,0))</f>
        <v>2.5</v>
      </c>
      <c r="N357">
        <f>_xlfn.XLOOKUP(D357,products!$A$2:$A$49,products!$E$2:$E$49)</f>
        <v>22.884999999999998</v>
      </c>
      <c r="O357">
        <f>_xlfn.XLOOKUP(D357,products!$A$2:$A$49,products!$H$2:$H$49)</f>
        <v>20.82535</v>
      </c>
      <c r="P357">
        <f t="shared" si="32"/>
        <v>114.42499999999998</v>
      </c>
      <c r="Q357">
        <f t="shared" si="33"/>
        <v>104.12675</v>
      </c>
      <c r="R357">
        <f t="shared" si="34"/>
        <v>10.298249999999982</v>
      </c>
      <c r="S357" s="4">
        <f t="shared" si="35"/>
        <v>8.9999999999999858E-2</v>
      </c>
      <c r="T357" t="str">
        <f>_xlfn.XLOOKUP(C357,customers!$A$1:$A$1001,customers!$I$1:$I$1001,,0)</f>
        <v>Yes</v>
      </c>
    </row>
    <row r="358" spans="1:20"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INDEX(products!$A$1:$I$49,MATCH('Conditional Fomating'!$D358,products!$A$1:$A$49,0),MATCH('Conditional Fomating'!I$1,products!$A$1:$D$1,0))</f>
        <v>Lib</v>
      </c>
      <c r="J358" t="str">
        <f t="shared" si="30"/>
        <v>Liberica</v>
      </c>
      <c r="K358" t="str">
        <f>INDEX(products!$A$1:$I$49,MATCH('Conditional Fomating'!$D358,products!$A$1:$A$49,0),MATCH('Conditional Fomating'!K$1,products!$A$1:$D$1,0))</f>
        <v>D</v>
      </c>
      <c r="L358" t="str">
        <f t="shared" si="31"/>
        <v>Dark</v>
      </c>
      <c r="M358">
        <f>INDEX(products!$A$1:$I$49,MATCH('Conditional Fomating'!$D358,products!$A$1:$A$49,0),MATCH('Conditional Fomating'!M$1,products!$A$1:$D$1,0))</f>
        <v>1</v>
      </c>
      <c r="N358">
        <f>_xlfn.XLOOKUP(D358,products!$A$2:$A$49,products!$E$2:$E$49)</f>
        <v>12.95</v>
      </c>
      <c r="O358">
        <f>_xlfn.XLOOKUP(D358,products!$A$2:$A$49,products!$H$2:$H$49)</f>
        <v>11.266499999999999</v>
      </c>
      <c r="P358">
        <f t="shared" si="32"/>
        <v>51.8</v>
      </c>
      <c r="Q358">
        <f t="shared" si="33"/>
        <v>45.065999999999995</v>
      </c>
      <c r="R358">
        <f t="shared" si="34"/>
        <v>6.7340000000000018</v>
      </c>
      <c r="S358" s="4">
        <f t="shared" si="35"/>
        <v>0.13000000000000003</v>
      </c>
      <c r="T358" t="str">
        <f>_xlfn.XLOOKUP(C358,customers!$A$1:$A$1001,customers!$I$1:$I$1001,,0)</f>
        <v>Yes</v>
      </c>
    </row>
    <row r="359" spans="1:20"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v>
      </c>
      <c r="H359" s="2" t="str">
        <f>_xlfn.XLOOKUP(C359,customers!$A$1:$A$1001,customers!$G$1:$G$1001,,0)</f>
        <v>United States</v>
      </c>
      <c r="I359" t="str">
        <f>INDEX(products!$A$1:$I$49,MATCH('Conditional Fomating'!$D359,products!$A$1:$A$49,0),MATCH('Conditional Fomating'!I$1,products!$A$1:$D$1,0))</f>
        <v>Ara</v>
      </c>
      <c r="J359" t="str">
        <f t="shared" si="30"/>
        <v>Arabica</v>
      </c>
      <c r="K359" t="str">
        <f>INDEX(products!$A$1:$I$49,MATCH('Conditional Fomating'!$D359,products!$A$1:$A$49,0),MATCH('Conditional Fomating'!K$1,products!$A$1:$D$1,0))</f>
        <v>M</v>
      </c>
      <c r="L359" t="str">
        <f t="shared" si="31"/>
        <v>Medium</v>
      </c>
      <c r="M359">
        <f>INDEX(products!$A$1:$I$49,MATCH('Conditional Fomating'!$D359,products!$A$1:$A$49,0),MATCH('Conditional Fomating'!M$1,products!$A$1:$D$1,0))</f>
        <v>2.5</v>
      </c>
      <c r="N359">
        <f>_xlfn.XLOOKUP(D359,products!$A$2:$A$49,products!$E$2:$E$49)</f>
        <v>25.874999999999996</v>
      </c>
      <c r="O359">
        <f>_xlfn.XLOOKUP(D359,products!$A$2:$A$49,products!$H$2:$H$49)</f>
        <v>23.546249999999997</v>
      </c>
      <c r="P359">
        <f t="shared" si="32"/>
        <v>155.24999999999997</v>
      </c>
      <c r="Q359">
        <f t="shared" si="33"/>
        <v>141.27749999999997</v>
      </c>
      <c r="R359">
        <f t="shared" si="34"/>
        <v>13.972499999999997</v>
      </c>
      <c r="S359" s="4">
        <f t="shared" si="35"/>
        <v>0.09</v>
      </c>
      <c r="T359" t="str">
        <f>_xlfn.XLOOKUP(C359,customers!$A$1:$A$1001,customers!$I$1:$I$1001,,0)</f>
        <v>No</v>
      </c>
    </row>
    <row r="360" spans="1:20"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INDEX(products!$A$1:$I$49,MATCH('Conditional Fomating'!$D360,products!$A$1:$A$49,0),MATCH('Conditional Fomating'!I$1,products!$A$1:$D$1,0))</f>
        <v>Ara</v>
      </c>
      <c r="J360" t="str">
        <f t="shared" si="30"/>
        <v>Arabica</v>
      </c>
      <c r="K360" t="str">
        <f>INDEX(products!$A$1:$I$49,MATCH('Conditional Fomating'!$D360,products!$A$1:$A$49,0),MATCH('Conditional Fomating'!K$1,products!$A$1:$D$1,0))</f>
        <v>L</v>
      </c>
      <c r="L360" t="str">
        <f t="shared" si="31"/>
        <v>Light</v>
      </c>
      <c r="M360">
        <f>INDEX(products!$A$1:$I$49,MATCH('Conditional Fomating'!$D360,products!$A$1:$A$49,0),MATCH('Conditional Fomating'!M$1,products!$A$1:$D$1,0))</f>
        <v>2.5</v>
      </c>
      <c r="N360">
        <f>_xlfn.XLOOKUP(D360,products!$A$2:$A$49,products!$E$2:$E$49)</f>
        <v>29.784999999999997</v>
      </c>
      <c r="O360">
        <f>_xlfn.XLOOKUP(D360,products!$A$2:$A$49,products!$H$2:$H$49)</f>
        <v>27.104349999999997</v>
      </c>
      <c r="P360">
        <f t="shared" si="32"/>
        <v>29.784999999999997</v>
      </c>
      <c r="Q360">
        <f t="shared" si="33"/>
        <v>27.104349999999997</v>
      </c>
      <c r="R360">
        <f t="shared" si="34"/>
        <v>2.68065</v>
      </c>
      <c r="S360" s="4">
        <f t="shared" si="35"/>
        <v>9.0000000000000011E-2</v>
      </c>
      <c r="T360" t="str">
        <f>_xlfn.XLOOKUP(C360,customers!$A$1:$A$1001,customers!$I$1:$I$1001,,0)</f>
        <v>No</v>
      </c>
    </row>
    <row r="361" spans="1:20"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INDEX(products!$A$1:$I$49,MATCH('Conditional Fomating'!$D361,products!$A$1:$A$49,0),MATCH('Conditional Fomating'!I$1,products!$A$1:$D$1,0))</f>
        <v>Rob</v>
      </c>
      <c r="J361" t="str">
        <f t="shared" si="30"/>
        <v>Robusta</v>
      </c>
      <c r="K361" t="str">
        <f>INDEX(products!$A$1:$I$49,MATCH('Conditional Fomating'!$D361,products!$A$1:$A$49,0),MATCH('Conditional Fomating'!K$1,products!$A$1:$D$1,0))</f>
        <v>L</v>
      </c>
      <c r="L361" t="str">
        <f t="shared" si="31"/>
        <v>Light</v>
      </c>
      <c r="M361">
        <f>INDEX(products!$A$1:$I$49,MATCH('Conditional Fomating'!$D361,products!$A$1:$A$49,0),MATCH('Conditional Fomating'!M$1,products!$A$1:$D$1,0))</f>
        <v>0.2</v>
      </c>
      <c r="N361">
        <f>_xlfn.XLOOKUP(D361,products!$A$2:$A$49,products!$E$2:$E$49)</f>
        <v>3.5849999999999995</v>
      </c>
      <c r="O361">
        <f>_xlfn.XLOOKUP(D361,products!$A$2:$A$49,products!$H$2:$H$49)</f>
        <v>3.3698999999999995</v>
      </c>
      <c r="P361">
        <f t="shared" si="32"/>
        <v>21.509999999999998</v>
      </c>
      <c r="Q361">
        <f t="shared" si="33"/>
        <v>20.219399999999997</v>
      </c>
      <c r="R361">
        <f t="shared" si="34"/>
        <v>1.2906000000000013</v>
      </c>
      <c r="S361" s="4">
        <f t="shared" si="35"/>
        <v>6.0000000000000067E-2</v>
      </c>
      <c r="T361" t="str">
        <f>_xlfn.XLOOKUP(C361,customers!$A$1:$A$1001,customers!$I$1:$I$1001,,0)</f>
        <v>No</v>
      </c>
    </row>
    <row r="362" spans="1:20"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INDEX(products!$A$1:$I$49,MATCH('Conditional Fomating'!$D362,products!$A$1:$A$49,0),MATCH('Conditional Fomating'!I$1,products!$A$1:$D$1,0))</f>
        <v>Rob</v>
      </c>
      <c r="J362" t="str">
        <f t="shared" si="30"/>
        <v>Robusta</v>
      </c>
      <c r="K362" t="str">
        <f>INDEX(products!$A$1:$I$49,MATCH('Conditional Fomating'!$D362,products!$A$1:$A$49,0),MATCH('Conditional Fomating'!K$1,products!$A$1:$D$1,0))</f>
        <v>D</v>
      </c>
      <c r="L362" t="str">
        <f t="shared" si="31"/>
        <v>Dark</v>
      </c>
      <c r="M362">
        <f>INDEX(products!$A$1:$I$49,MATCH('Conditional Fomating'!$D362,products!$A$1:$A$49,0),MATCH('Conditional Fomating'!M$1,products!$A$1:$D$1,0))</f>
        <v>2.5</v>
      </c>
      <c r="N362">
        <f>_xlfn.XLOOKUP(D362,products!$A$2:$A$49,products!$E$2:$E$49)</f>
        <v>20.584999999999997</v>
      </c>
      <c r="O362">
        <f>_xlfn.XLOOKUP(D362,products!$A$2:$A$49,products!$H$2:$H$49)</f>
        <v>19.349899999999998</v>
      </c>
      <c r="P362">
        <f t="shared" si="32"/>
        <v>41.169999999999995</v>
      </c>
      <c r="Q362">
        <f t="shared" si="33"/>
        <v>38.699799999999996</v>
      </c>
      <c r="R362">
        <f t="shared" si="34"/>
        <v>2.4701999999999984</v>
      </c>
      <c r="S362" s="4">
        <f t="shared" si="35"/>
        <v>5.999999999999997E-2</v>
      </c>
      <c r="T362" t="str">
        <f>_xlfn.XLOOKUP(C362,customers!$A$1:$A$1001,customers!$I$1:$I$1001,,0)</f>
        <v>No</v>
      </c>
    </row>
    <row r="363" spans="1:20"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INDEX(products!$A$1:$I$49,MATCH('Conditional Fomating'!$D363,products!$A$1:$A$49,0),MATCH('Conditional Fomating'!I$1,products!$A$1:$D$1,0))</f>
        <v>Rob</v>
      </c>
      <c r="J363" t="str">
        <f t="shared" si="30"/>
        <v>Robusta</v>
      </c>
      <c r="K363" t="str">
        <f>INDEX(products!$A$1:$I$49,MATCH('Conditional Fomating'!$D363,products!$A$1:$A$49,0),MATCH('Conditional Fomating'!K$1,products!$A$1:$D$1,0))</f>
        <v>M</v>
      </c>
      <c r="L363" t="str">
        <f t="shared" si="31"/>
        <v>Medium</v>
      </c>
      <c r="M363">
        <f>INDEX(products!$A$1:$I$49,MATCH('Conditional Fomating'!$D363,products!$A$1:$A$49,0),MATCH('Conditional Fomating'!M$1,products!$A$1:$D$1,0))</f>
        <v>0.5</v>
      </c>
      <c r="N363">
        <f>_xlfn.XLOOKUP(D363,products!$A$2:$A$49,products!$E$2:$E$49)</f>
        <v>5.97</v>
      </c>
      <c r="O363">
        <f>_xlfn.XLOOKUP(D363,products!$A$2:$A$49,products!$H$2:$H$49)</f>
        <v>5.6117999999999997</v>
      </c>
      <c r="P363">
        <f t="shared" si="32"/>
        <v>5.97</v>
      </c>
      <c r="Q363">
        <f t="shared" si="33"/>
        <v>5.6117999999999997</v>
      </c>
      <c r="R363">
        <f t="shared" si="34"/>
        <v>0.35820000000000007</v>
      </c>
      <c r="S363" s="4">
        <f t="shared" si="35"/>
        <v>6.0000000000000012E-2</v>
      </c>
      <c r="T363" t="str">
        <f>_xlfn.XLOOKUP(C363,customers!$A$1:$A$1001,customers!$I$1:$I$1001,,0)</f>
        <v>No</v>
      </c>
    </row>
    <row r="364" spans="1:20"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INDEX(products!$A$1:$I$49,MATCH('Conditional Fomating'!$D364,products!$A$1:$A$49,0),MATCH('Conditional Fomating'!I$1,products!$A$1:$D$1,0))</f>
        <v>Exc</v>
      </c>
      <c r="J364" t="str">
        <f t="shared" si="30"/>
        <v>Excelsa</v>
      </c>
      <c r="K364" t="str">
        <f>INDEX(products!$A$1:$I$49,MATCH('Conditional Fomating'!$D364,products!$A$1:$A$49,0),MATCH('Conditional Fomating'!K$1,products!$A$1:$D$1,0))</f>
        <v>L</v>
      </c>
      <c r="L364" t="str">
        <f t="shared" si="31"/>
        <v>Light</v>
      </c>
      <c r="M364">
        <f>INDEX(products!$A$1:$I$49,MATCH('Conditional Fomating'!$D364,products!$A$1:$A$49,0),MATCH('Conditional Fomating'!M$1,products!$A$1:$D$1,0))</f>
        <v>1</v>
      </c>
      <c r="N364">
        <f>_xlfn.XLOOKUP(D364,products!$A$2:$A$49,products!$E$2:$E$49)</f>
        <v>14.85</v>
      </c>
      <c r="O364">
        <f>_xlfn.XLOOKUP(D364,products!$A$2:$A$49,products!$H$2:$H$49)</f>
        <v>13.2165</v>
      </c>
      <c r="P364">
        <f t="shared" si="32"/>
        <v>74.25</v>
      </c>
      <c r="Q364">
        <f t="shared" si="33"/>
        <v>66.082499999999996</v>
      </c>
      <c r="R364">
        <f t="shared" si="34"/>
        <v>8.167500000000004</v>
      </c>
      <c r="S364" s="4">
        <f t="shared" si="35"/>
        <v>0.11000000000000006</v>
      </c>
      <c r="T364" t="str">
        <f>_xlfn.XLOOKUP(C364,customers!$A$1:$A$1001,customers!$I$1:$I$1001,,0)</f>
        <v>Yes</v>
      </c>
    </row>
    <row r="365" spans="1:20"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INDEX(products!$A$1:$I$49,MATCH('Conditional Fomating'!$D365,products!$A$1:$A$49,0),MATCH('Conditional Fomating'!I$1,products!$A$1:$D$1,0))</f>
        <v>Lib</v>
      </c>
      <c r="J365" t="str">
        <f t="shared" si="30"/>
        <v>Liberica</v>
      </c>
      <c r="K365" t="str">
        <f>INDEX(products!$A$1:$I$49,MATCH('Conditional Fomating'!$D365,products!$A$1:$A$49,0),MATCH('Conditional Fomating'!K$1,products!$A$1:$D$1,0))</f>
        <v>M</v>
      </c>
      <c r="L365" t="str">
        <f t="shared" si="31"/>
        <v>Medium</v>
      </c>
      <c r="M365">
        <f>INDEX(products!$A$1:$I$49,MATCH('Conditional Fomating'!$D365,products!$A$1:$A$49,0),MATCH('Conditional Fomating'!M$1,products!$A$1:$D$1,0))</f>
        <v>1</v>
      </c>
      <c r="N365">
        <f>_xlfn.XLOOKUP(D365,products!$A$2:$A$49,products!$E$2:$E$49)</f>
        <v>14.55</v>
      </c>
      <c r="O365">
        <f>_xlfn.XLOOKUP(D365,products!$A$2:$A$49,products!$H$2:$H$49)</f>
        <v>12.6585</v>
      </c>
      <c r="P365">
        <f t="shared" si="32"/>
        <v>87.300000000000011</v>
      </c>
      <c r="Q365">
        <f t="shared" si="33"/>
        <v>75.950999999999993</v>
      </c>
      <c r="R365">
        <f t="shared" si="34"/>
        <v>11.349000000000018</v>
      </c>
      <c r="S365" s="4">
        <f t="shared" si="35"/>
        <v>0.1300000000000002</v>
      </c>
      <c r="T365" t="str">
        <f>_xlfn.XLOOKUP(C365,customers!$A$1:$A$1001,customers!$I$1:$I$1001,,0)</f>
        <v>No</v>
      </c>
    </row>
    <row r="366" spans="1:20"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INDEX(products!$A$1:$I$49,MATCH('Conditional Fomating'!$D366,products!$A$1:$A$49,0),MATCH('Conditional Fomating'!I$1,products!$A$1:$D$1,0))</f>
        <v>Exc</v>
      </c>
      <c r="J366" t="str">
        <f t="shared" si="30"/>
        <v>Excelsa</v>
      </c>
      <c r="K366" t="str">
        <f>INDEX(products!$A$1:$I$49,MATCH('Conditional Fomating'!$D366,products!$A$1:$A$49,0),MATCH('Conditional Fomating'!K$1,products!$A$1:$D$1,0))</f>
        <v>D</v>
      </c>
      <c r="L366" t="str">
        <f t="shared" si="31"/>
        <v>Dark</v>
      </c>
      <c r="M366">
        <f>INDEX(products!$A$1:$I$49,MATCH('Conditional Fomating'!$D366,products!$A$1:$A$49,0),MATCH('Conditional Fomating'!M$1,products!$A$1:$D$1,0))</f>
        <v>1</v>
      </c>
      <c r="N366">
        <f>_xlfn.XLOOKUP(D366,products!$A$2:$A$49,products!$E$2:$E$49)</f>
        <v>12.15</v>
      </c>
      <c r="O366">
        <f>_xlfn.XLOOKUP(D366,products!$A$2:$A$49,products!$H$2:$H$49)</f>
        <v>10.813500000000001</v>
      </c>
      <c r="P366">
        <f t="shared" si="32"/>
        <v>72.900000000000006</v>
      </c>
      <c r="Q366">
        <f t="shared" si="33"/>
        <v>64.881</v>
      </c>
      <c r="R366">
        <f t="shared" si="34"/>
        <v>8.0190000000000055</v>
      </c>
      <c r="S366" s="4">
        <f t="shared" si="35"/>
        <v>0.11000000000000007</v>
      </c>
      <c r="T366" t="str">
        <f>_xlfn.XLOOKUP(C366,customers!$A$1:$A$1001,customers!$I$1:$I$1001,,0)</f>
        <v>Yes</v>
      </c>
    </row>
    <row r="367" spans="1:20"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INDEX(products!$A$1:$I$49,MATCH('Conditional Fomating'!$D367,products!$A$1:$A$49,0),MATCH('Conditional Fomating'!I$1,products!$A$1:$D$1,0))</f>
        <v>Lib</v>
      </c>
      <c r="J367" t="str">
        <f t="shared" si="30"/>
        <v>Liberica</v>
      </c>
      <c r="K367" t="str">
        <f>INDEX(products!$A$1:$I$49,MATCH('Conditional Fomating'!$D367,products!$A$1:$A$49,0),MATCH('Conditional Fomating'!K$1,products!$A$1:$D$1,0))</f>
        <v>D</v>
      </c>
      <c r="L367" t="str">
        <f t="shared" si="31"/>
        <v>Dark</v>
      </c>
      <c r="M367">
        <f>INDEX(products!$A$1:$I$49,MATCH('Conditional Fomating'!$D367,products!$A$1:$A$49,0),MATCH('Conditional Fomating'!M$1,products!$A$1:$D$1,0))</f>
        <v>0.5</v>
      </c>
      <c r="N367">
        <f>_xlfn.XLOOKUP(D367,products!$A$2:$A$49,products!$E$2:$E$49)</f>
        <v>7.77</v>
      </c>
      <c r="O367">
        <f>_xlfn.XLOOKUP(D367,products!$A$2:$A$49,products!$H$2:$H$49)</f>
        <v>6.7599</v>
      </c>
      <c r="P367">
        <f t="shared" si="32"/>
        <v>7.77</v>
      </c>
      <c r="Q367">
        <f t="shared" si="33"/>
        <v>6.7599</v>
      </c>
      <c r="R367">
        <f t="shared" si="34"/>
        <v>1.0100999999999996</v>
      </c>
      <c r="S367" s="4">
        <f t="shared" si="35"/>
        <v>0.12999999999999995</v>
      </c>
      <c r="T367" t="str">
        <f>_xlfn.XLOOKUP(C367,customers!$A$1:$A$1001,customers!$I$1:$I$1001,,0)</f>
        <v>No</v>
      </c>
    </row>
    <row r="368" spans="1:20"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v>
      </c>
      <c r="H368" s="2" t="str">
        <f>_xlfn.XLOOKUP(C368,customers!$A$1:$A$1001,customers!$G$1:$G$1001,,0)</f>
        <v>United States</v>
      </c>
      <c r="I368" t="str">
        <f>INDEX(products!$A$1:$I$49,MATCH('Conditional Fomating'!$D368,products!$A$1:$A$49,0),MATCH('Conditional Fomating'!I$1,products!$A$1:$D$1,0))</f>
        <v>Exc</v>
      </c>
      <c r="J368" t="str">
        <f t="shared" si="30"/>
        <v>Excelsa</v>
      </c>
      <c r="K368" t="str">
        <f>INDEX(products!$A$1:$I$49,MATCH('Conditional Fomating'!$D368,products!$A$1:$A$49,0),MATCH('Conditional Fomating'!K$1,products!$A$1:$D$1,0))</f>
        <v>D</v>
      </c>
      <c r="L368" t="str">
        <f t="shared" si="31"/>
        <v>Dark</v>
      </c>
      <c r="M368">
        <f>INDEX(products!$A$1:$I$49,MATCH('Conditional Fomating'!$D368,products!$A$1:$A$49,0),MATCH('Conditional Fomating'!M$1,products!$A$1:$D$1,0))</f>
        <v>0.5</v>
      </c>
      <c r="N368">
        <f>_xlfn.XLOOKUP(D368,products!$A$2:$A$49,products!$E$2:$E$49)</f>
        <v>7.29</v>
      </c>
      <c r="O368">
        <f>_xlfn.XLOOKUP(D368,products!$A$2:$A$49,products!$H$2:$H$49)</f>
        <v>6.4881000000000002</v>
      </c>
      <c r="P368">
        <f t="shared" si="32"/>
        <v>43.74</v>
      </c>
      <c r="Q368">
        <f t="shared" si="33"/>
        <v>38.928600000000003</v>
      </c>
      <c r="R368">
        <f t="shared" si="34"/>
        <v>4.811399999999999</v>
      </c>
      <c r="S368" s="4">
        <f t="shared" si="35"/>
        <v>0.10999999999999997</v>
      </c>
      <c r="T368" t="str">
        <f>_xlfn.XLOOKUP(C368,customers!$A$1:$A$1001,customers!$I$1:$I$1001,,0)</f>
        <v>No</v>
      </c>
    </row>
    <row r="369" spans="1:20"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v>
      </c>
      <c r="H369" s="2" t="str">
        <f>_xlfn.XLOOKUP(C369,customers!$A$1:$A$1001,customers!$G$1:$G$1001,,0)</f>
        <v>United States</v>
      </c>
      <c r="I369" t="str">
        <f>INDEX(products!$A$1:$I$49,MATCH('Conditional Fomating'!$D369,products!$A$1:$A$49,0),MATCH('Conditional Fomating'!I$1,products!$A$1:$D$1,0))</f>
        <v>Lib</v>
      </c>
      <c r="J369" t="str">
        <f t="shared" si="30"/>
        <v>Liberica</v>
      </c>
      <c r="K369" t="str">
        <f>INDEX(products!$A$1:$I$49,MATCH('Conditional Fomating'!$D369,products!$A$1:$A$49,0),MATCH('Conditional Fomating'!K$1,products!$A$1:$D$1,0))</f>
        <v>M</v>
      </c>
      <c r="L369" t="str">
        <f t="shared" si="31"/>
        <v>Medium</v>
      </c>
      <c r="M369">
        <f>INDEX(products!$A$1:$I$49,MATCH('Conditional Fomating'!$D369,products!$A$1:$A$49,0),MATCH('Conditional Fomating'!M$1,products!$A$1:$D$1,0))</f>
        <v>0.2</v>
      </c>
      <c r="N369">
        <f>_xlfn.XLOOKUP(D369,products!$A$2:$A$49,products!$E$2:$E$49)</f>
        <v>4.3650000000000002</v>
      </c>
      <c r="O369">
        <f>_xlfn.XLOOKUP(D369,products!$A$2:$A$49,products!$H$2:$H$49)</f>
        <v>3.7975500000000002</v>
      </c>
      <c r="P369">
        <f t="shared" si="32"/>
        <v>8.73</v>
      </c>
      <c r="Q369">
        <f t="shared" si="33"/>
        <v>7.5951000000000004</v>
      </c>
      <c r="R369">
        <f t="shared" si="34"/>
        <v>1.1349</v>
      </c>
      <c r="S369" s="4">
        <f t="shared" si="35"/>
        <v>0.13</v>
      </c>
      <c r="T369" t="str">
        <f>_xlfn.XLOOKUP(C369,customers!$A$1:$A$1001,customers!$I$1:$I$1001,,0)</f>
        <v>Yes</v>
      </c>
    </row>
    <row r="370" spans="1:20"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INDEX(products!$A$1:$I$49,MATCH('Conditional Fomating'!$D370,products!$A$1:$A$49,0),MATCH('Conditional Fomating'!I$1,products!$A$1:$D$1,0))</f>
        <v>Exc</v>
      </c>
      <c r="J370" t="str">
        <f t="shared" si="30"/>
        <v>Excelsa</v>
      </c>
      <c r="K370" t="str">
        <f>INDEX(products!$A$1:$I$49,MATCH('Conditional Fomating'!$D370,products!$A$1:$A$49,0),MATCH('Conditional Fomating'!K$1,products!$A$1:$D$1,0))</f>
        <v>M</v>
      </c>
      <c r="L370" t="str">
        <f t="shared" si="31"/>
        <v>Medium</v>
      </c>
      <c r="M370">
        <f>INDEX(products!$A$1:$I$49,MATCH('Conditional Fomating'!$D370,products!$A$1:$A$49,0),MATCH('Conditional Fomating'!M$1,products!$A$1:$D$1,0))</f>
        <v>2.5</v>
      </c>
      <c r="N370">
        <f>_xlfn.XLOOKUP(D370,products!$A$2:$A$49,products!$E$2:$E$49)</f>
        <v>31.624999999999996</v>
      </c>
      <c r="O370">
        <f>_xlfn.XLOOKUP(D370,products!$A$2:$A$49,products!$H$2:$H$49)</f>
        <v>28.146249999999995</v>
      </c>
      <c r="P370">
        <f t="shared" si="32"/>
        <v>63.249999999999993</v>
      </c>
      <c r="Q370">
        <f t="shared" si="33"/>
        <v>56.29249999999999</v>
      </c>
      <c r="R370">
        <f t="shared" si="34"/>
        <v>6.9575000000000031</v>
      </c>
      <c r="S370" s="4">
        <f t="shared" si="35"/>
        <v>0.11000000000000006</v>
      </c>
      <c r="T370" t="str">
        <f>_xlfn.XLOOKUP(C370,customers!$A$1:$A$1001,customers!$I$1:$I$1001,,0)</f>
        <v>No</v>
      </c>
    </row>
    <row r="371" spans="1:20"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v>
      </c>
      <c r="H371" s="2" t="str">
        <f>_xlfn.XLOOKUP(C371,customers!$A$1:$A$1001,customers!$G$1:$G$1001,,0)</f>
        <v>United States</v>
      </c>
      <c r="I371" t="str">
        <f>INDEX(products!$A$1:$I$49,MATCH('Conditional Fomating'!$D371,products!$A$1:$A$49,0),MATCH('Conditional Fomating'!I$1,products!$A$1:$D$1,0))</f>
        <v>Exc</v>
      </c>
      <c r="J371" t="str">
        <f t="shared" si="30"/>
        <v>Excelsa</v>
      </c>
      <c r="K371" t="str">
        <f>INDEX(products!$A$1:$I$49,MATCH('Conditional Fomating'!$D371,products!$A$1:$A$49,0),MATCH('Conditional Fomating'!K$1,products!$A$1:$D$1,0))</f>
        <v>L</v>
      </c>
      <c r="L371" t="str">
        <f t="shared" si="31"/>
        <v>Light</v>
      </c>
      <c r="M371">
        <f>INDEX(products!$A$1:$I$49,MATCH('Conditional Fomating'!$D371,products!$A$1:$A$49,0),MATCH('Conditional Fomating'!M$1,products!$A$1:$D$1,0))</f>
        <v>0.5</v>
      </c>
      <c r="N371">
        <f>_xlfn.XLOOKUP(D371,products!$A$2:$A$49,products!$E$2:$E$49)</f>
        <v>8.91</v>
      </c>
      <c r="O371">
        <f>_xlfn.XLOOKUP(D371,products!$A$2:$A$49,products!$H$2:$H$49)</f>
        <v>7.9298999999999999</v>
      </c>
      <c r="P371">
        <f t="shared" si="32"/>
        <v>8.91</v>
      </c>
      <c r="Q371">
        <f t="shared" si="33"/>
        <v>7.9298999999999999</v>
      </c>
      <c r="R371">
        <f t="shared" si="34"/>
        <v>0.98010000000000019</v>
      </c>
      <c r="S371" s="4">
        <f t="shared" si="35"/>
        <v>0.11000000000000001</v>
      </c>
      <c r="T371" t="str">
        <f>_xlfn.XLOOKUP(C371,customers!$A$1:$A$1001,customers!$I$1:$I$1001,,0)</f>
        <v>Yes</v>
      </c>
    </row>
    <row r="372" spans="1:20"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INDEX(products!$A$1:$I$49,MATCH('Conditional Fomating'!$D372,products!$A$1:$A$49,0),MATCH('Conditional Fomating'!I$1,products!$A$1:$D$1,0))</f>
        <v>Exc</v>
      </c>
      <c r="J372" t="str">
        <f t="shared" si="30"/>
        <v>Excelsa</v>
      </c>
      <c r="K372" t="str">
        <f>INDEX(products!$A$1:$I$49,MATCH('Conditional Fomating'!$D372,products!$A$1:$A$49,0),MATCH('Conditional Fomating'!K$1,products!$A$1:$D$1,0))</f>
        <v>D</v>
      </c>
      <c r="L372" t="str">
        <f t="shared" si="31"/>
        <v>Dark</v>
      </c>
      <c r="M372">
        <f>INDEX(products!$A$1:$I$49,MATCH('Conditional Fomating'!$D372,products!$A$1:$A$49,0),MATCH('Conditional Fomating'!M$1,products!$A$1:$D$1,0))</f>
        <v>1</v>
      </c>
      <c r="N372">
        <f>_xlfn.XLOOKUP(D372,products!$A$2:$A$49,products!$E$2:$E$49)</f>
        <v>12.15</v>
      </c>
      <c r="O372">
        <f>_xlfn.XLOOKUP(D372,products!$A$2:$A$49,products!$H$2:$H$49)</f>
        <v>10.813500000000001</v>
      </c>
      <c r="P372">
        <f t="shared" si="32"/>
        <v>24.3</v>
      </c>
      <c r="Q372">
        <f t="shared" si="33"/>
        <v>21.627000000000002</v>
      </c>
      <c r="R372">
        <f t="shared" si="34"/>
        <v>2.6729999999999983</v>
      </c>
      <c r="S372" s="4">
        <f t="shared" si="35"/>
        <v>0.10999999999999993</v>
      </c>
      <c r="T372" t="str">
        <f>_xlfn.XLOOKUP(C372,customers!$A$1:$A$1001,customers!$I$1:$I$1001,,0)</f>
        <v>Yes</v>
      </c>
    </row>
    <row r="373" spans="1:20"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INDEX(products!$A$1:$I$49,MATCH('Conditional Fomating'!$D373,products!$A$1:$A$49,0),MATCH('Conditional Fomating'!I$1,products!$A$1:$D$1,0))</f>
        <v>Ara</v>
      </c>
      <c r="J373" t="str">
        <f t="shared" si="30"/>
        <v>Arabica</v>
      </c>
      <c r="K373" t="str">
        <f>INDEX(products!$A$1:$I$49,MATCH('Conditional Fomating'!$D373,products!$A$1:$A$49,0),MATCH('Conditional Fomating'!K$1,products!$A$1:$D$1,0))</f>
        <v>L</v>
      </c>
      <c r="L373" t="str">
        <f t="shared" si="31"/>
        <v>Light</v>
      </c>
      <c r="M373">
        <f>INDEX(products!$A$1:$I$49,MATCH('Conditional Fomating'!$D373,products!$A$1:$A$49,0),MATCH('Conditional Fomating'!M$1,products!$A$1:$D$1,0))</f>
        <v>0.5</v>
      </c>
      <c r="N373">
        <f>_xlfn.XLOOKUP(D373,products!$A$2:$A$49,products!$E$2:$E$49)</f>
        <v>7.77</v>
      </c>
      <c r="O373">
        <f>_xlfn.XLOOKUP(D373,products!$A$2:$A$49,products!$H$2:$H$49)</f>
        <v>7.0706999999999995</v>
      </c>
      <c r="P373">
        <f t="shared" si="32"/>
        <v>46.62</v>
      </c>
      <c r="Q373">
        <f t="shared" si="33"/>
        <v>42.424199999999999</v>
      </c>
      <c r="R373">
        <f t="shared" si="34"/>
        <v>4.1957999999999984</v>
      </c>
      <c r="S373" s="4">
        <f t="shared" si="35"/>
        <v>8.9999999999999969E-2</v>
      </c>
      <c r="T373" t="str">
        <f>_xlfn.XLOOKUP(C373,customers!$A$1:$A$1001,customers!$I$1:$I$1001,,0)</f>
        <v>Yes</v>
      </c>
    </row>
    <row r="374" spans="1:20"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INDEX(products!$A$1:$I$49,MATCH('Conditional Fomating'!$D374,products!$A$1:$A$49,0),MATCH('Conditional Fomating'!I$1,products!$A$1:$D$1,0))</f>
        <v>Rob</v>
      </c>
      <c r="J374" t="str">
        <f t="shared" si="30"/>
        <v>Robusta</v>
      </c>
      <c r="K374" t="str">
        <f>INDEX(products!$A$1:$I$49,MATCH('Conditional Fomating'!$D374,products!$A$1:$A$49,0),MATCH('Conditional Fomating'!K$1,products!$A$1:$D$1,0))</f>
        <v>L</v>
      </c>
      <c r="L374" t="str">
        <f t="shared" si="31"/>
        <v>Light</v>
      </c>
      <c r="M374">
        <f>INDEX(products!$A$1:$I$49,MATCH('Conditional Fomating'!$D374,products!$A$1:$A$49,0),MATCH('Conditional Fomating'!M$1,products!$A$1:$D$1,0))</f>
        <v>0.5</v>
      </c>
      <c r="N374">
        <f>_xlfn.XLOOKUP(D374,products!$A$2:$A$49,products!$E$2:$E$49)</f>
        <v>7.169999999999999</v>
      </c>
      <c r="O374">
        <f>_xlfn.XLOOKUP(D374,products!$A$2:$A$49,products!$H$2:$H$49)</f>
        <v>6.7397999999999989</v>
      </c>
      <c r="P374">
        <f t="shared" si="32"/>
        <v>43.019999999999996</v>
      </c>
      <c r="Q374">
        <f t="shared" si="33"/>
        <v>40.438799999999993</v>
      </c>
      <c r="R374">
        <f t="shared" si="34"/>
        <v>2.5812000000000026</v>
      </c>
      <c r="S374" s="4">
        <f t="shared" si="35"/>
        <v>6.0000000000000067E-2</v>
      </c>
      <c r="T374" t="str">
        <f>_xlfn.XLOOKUP(C374,customers!$A$1:$A$1001,customers!$I$1:$I$1001,,0)</f>
        <v>No</v>
      </c>
    </row>
    <row r="375" spans="1:20"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v>
      </c>
      <c r="H375" s="2" t="str">
        <f>_xlfn.XLOOKUP(C375,customers!$A$1:$A$1001,customers!$G$1:$G$1001,,0)</f>
        <v>Ireland</v>
      </c>
      <c r="I375" t="str">
        <f>INDEX(products!$A$1:$I$49,MATCH('Conditional Fomating'!$D375,products!$A$1:$A$49,0),MATCH('Conditional Fomating'!I$1,products!$A$1:$D$1,0))</f>
        <v>Ara</v>
      </c>
      <c r="J375" t="str">
        <f t="shared" si="30"/>
        <v>Arabica</v>
      </c>
      <c r="K375" t="str">
        <f>INDEX(products!$A$1:$I$49,MATCH('Conditional Fomating'!$D375,products!$A$1:$A$49,0),MATCH('Conditional Fomating'!K$1,products!$A$1:$D$1,0))</f>
        <v>D</v>
      </c>
      <c r="L375" t="str">
        <f t="shared" si="31"/>
        <v>Dark</v>
      </c>
      <c r="M375">
        <f>INDEX(products!$A$1:$I$49,MATCH('Conditional Fomating'!$D375,products!$A$1:$A$49,0),MATCH('Conditional Fomating'!M$1,products!$A$1:$D$1,0))</f>
        <v>0.5</v>
      </c>
      <c r="N375">
        <f>_xlfn.XLOOKUP(D375,products!$A$2:$A$49,products!$E$2:$E$49)</f>
        <v>5.97</v>
      </c>
      <c r="O375">
        <f>_xlfn.XLOOKUP(D375,products!$A$2:$A$49,products!$H$2:$H$49)</f>
        <v>5.4326999999999996</v>
      </c>
      <c r="P375">
        <f t="shared" si="32"/>
        <v>17.91</v>
      </c>
      <c r="Q375">
        <f t="shared" si="33"/>
        <v>16.298099999999998</v>
      </c>
      <c r="R375">
        <f t="shared" si="34"/>
        <v>1.6119000000000021</v>
      </c>
      <c r="S375" s="4">
        <f t="shared" si="35"/>
        <v>9.0000000000000122E-2</v>
      </c>
      <c r="T375" t="str">
        <f>_xlfn.XLOOKUP(C375,customers!$A$1:$A$1001,customers!$I$1:$I$1001,,0)</f>
        <v>Yes</v>
      </c>
    </row>
    <row r="376" spans="1:20"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INDEX(products!$A$1:$I$49,MATCH('Conditional Fomating'!$D376,products!$A$1:$A$49,0),MATCH('Conditional Fomating'!I$1,products!$A$1:$D$1,0))</f>
        <v>Lib</v>
      </c>
      <c r="J376" t="str">
        <f t="shared" si="30"/>
        <v>Liberica</v>
      </c>
      <c r="K376" t="str">
        <f>INDEX(products!$A$1:$I$49,MATCH('Conditional Fomating'!$D376,products!$A$1:$A$49,0),MATCH('Conditional Fomating'!K$1,products!$A$1:$D$1,0))</f>
        <v>L</v>
      </c>
      <c r="L376" t="str">
        <f t="shared" si="31"/>
        <v>Light</v>
      </c>
      <c r="M376">
        <f>INDEX(products!$A$1:$I$49,MATCH('Conditional Fomating'!$D376,products!$A$1:$A$49,0),MATCH('Conditional Fomating'!M$1,products!$A$1:$D$1,0))</f>
        <v>0.5</v>
      </c>
      <c r="N376">
        <f>_xlfn.XLOOKUP(D376,products!$A$2:$A$49,products!$E$2:$E$49)</f>
        <v>9.51</v>
      </c>
      <c r="O376">
        <f>_xlfn.XLOOKUP(D376,products!$A$2:$A$49,products!$H$2:$H$49)</f>
        <v>8.2736999999999998</v>
      </c>
      <c r="P376">
        <f t="shared" si="32"/>
        <v>38.04</v>
      </c>
      <c r="Q376">
        <f t="shared" si="33"/>
        <v>33.094799999999999</v>
      </c>
      <c r="R376">
        <f t="shared" si="34"/>
        <v>4.9451999999999998</v>
      </c>
      <c r="S376" s="4">
        <f t="shared" si="35"/>
        <v>0.13</v>
      </c>
      <c r="T376" t="str">
        <f>_xlfn.XLOOKUP(C376,customers!$A$1:$A$1001,customers!$I$1:$I$1001,,0)</f>
        <v>Yes</v>
      </c>
    </row>
    <row r="377" spans="1:20"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INDEX(products!$A$1:$I$49,MATCH('Conditional Fomating'!$D377,products!$A$1:$A$49,0),MATCH('Conditional Fomating'!I$1,products!$A$1:$D$1,0))</f>
        <v>Ara</v>
      </c>
      <c r="J377" t="str">
        <f t="shared" si="30"/>
        <v>Arabica</v>
      </c>
      <c r="K377" t="str">
        <f>INDEX(products!$A$1:$I$49,MATCH('Conditional Fomating'!$D377,products!$A$1:$A$49,0),MATCH('Conditional Fomating'!K$1,products!$A$1:$D$1,0))</f>
        <v>M</v>
      </c>
      <c r="L377" t="str">
        <f t="shared" si="31"/>
        <v>Medium</v>
      </c>
      <c r="M377">
        <f>INDEX(products!$A$1:$I$49,MATCH('Conditional Fomating'!$D377,products!$A$1:$A$49,0),MATCH('Conditional Fomating'!M$1,products!$A$1:$D$1,0))</f>
        <v>0.2</v>
      </c>
      <c r="N377">
        <f>_xlfn.XLOOKUP(D377,products!$A$2:$A$49,products!$E$2:$E$49)</f>
        <v>3.375</v>
      </c>
      <c r="O377">
        <f>_xlfn.XLOOKUP(D377,products!$A$2:$A$49,products!$H$2:$H$49)</f>
        <v>3.07125</v>
      </c>
      <c r="P377">
        <f t="shared" si="32"/>
        <v>6.75</v>
      </c>
      <c r="Q377">
        <f t="shared" si="33"/>
        <v>6.1425000000000001</v>
      </c>
      <c r="R377">
        <f t="shared" si="34"/>
        <v>0.60749999999999993</v>
      </c>
      <c r="S377" s="4">
        <f t="shared" si="35"/>
        <v>8.9999999999999983E-2</v>
      </c>
      <c r="T377" t="str">
        <f>_xlfn.XLOOKUP(C377,customers!$A$1:$A$1001,customers!$I$1:$I$1001,,0)</f>
        <v>Yes</v>
      </c>
    </row>
    <row r="378" spans="1:20"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INDEX(products!$A$1:$I$49,MATCH('Conditional Fomating'!$D378,products!$A$1:$A$49,0),MATCH('Conditional Fomating'!I$1,products!$A$1:$D$1,0))</f>
        <v>Rob</v>
      </c>
      <c r="J378" t="str">
        <f t="shared" si="30"/>
        <v>Robusta</v>
      </c>
      <c r="K378" t="str">
        <f>INDEX(products!$A$1:$I$49,MATCH('Conditional Fomating'!$D378,products!$A$1:$A$49,0),MATCH('Conditional Fomating'!K$1,products!$A$1:$D$1,0))</f>
        <v>M</v>
      </c>
      <c r="L378" t="str">
        <f t="shared" si="31"/>
        <v>Medium</v>
      </c>
      <c r="M378">
        <f>INDEX(products!$A$1:$I$49,MATCH('Conditional Fomating'!$D378,products!$A$1:$A$49,0),MATCH('Conditional Fomating'!M$1,products!$A$1:$D$1,0))</f>
        <v>0.5</v>
      </c>
      <c r="N378">
        <f>_xlfn.XLOOKUP(D378,products!$A$2:$A$49,products!$E$2:$E$49)</f>
        <v>5.97</v>
      </c>
      <c r="O378">
        <f>_xlfn.XLOOKUP(D378,products!$A$2:$A$49,products!$H$2:$H$49)</f>
        <v>5.6117999999999997</v>
      </c>
      <c r="P378">
        <f t="shared" si="32"/>
        <v>5.97</v>
      </c>
      <c r="Q378">
        <f t="shared" si="33"/>
        <v>5.6117999999999997</v>
      </c>
      <c r="R378">
        <f t="shared" si="34"/>
        <v>0.35820000000000007</v>
      </c>
      <c r="S378" s="4">
        <f t="shared" si="35"/>
        <v>6.0000000000000012E-2</v>
      </c>
      <c r="T378" t="str">
        <f>_xlfn.XLOOKUP(C378,customers!$A$1:$A$1001,customers!$I$1:$I$1001,,0)</f>
        <v>Yes</v>
      </c>
    </row>
    <row r="379" spans="1:20"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INDEX(products!$A$1:$I$49,MATCH('Conditional Fomating'!$D379,products!$A$1:$A$49,0),MATCH('Conditional Fomating'!I$1,products!$A$1:$D$1,0))</f>
        <v>Rob</v>
      </c>
      <c r="J379" t="str">
        <f t="shared" si="30"/>
        <v>Robusta</v>
      </c>
      <c r="K379" t="str">
        <f>INDEX(products!$A$1:$I$49,MATCH('Conditional Fomating'!$D379,products!$A$1:$A$49,0),MATCH('Conditional Fomating'!K$1,products!$A$1:$D$1,0))</f>
        <v>D</v>
      </c>
      <c r="L379" t="str">
        <f t="shared" si="31"/>
        <v>Dark</v>
      </c>
      <c r="M379">
        <f>INDEX(products!$A$1:$I$49,MATCH('Conditional Fomating'!$D379,products!$A$1:$A$49,0),MATCH('Conditional Fomating'!M$1,products!$A$1:$D$1,0))</f>
        <v>0.2</v>
      </c>
      <c r="N379">
        <f>_xlfn.XLOOKUP(D379,products!$A$2:$A$49,products!$E$2:$E$49)</f>
        <v>2.6849999999999996</v>
      </c>
      <c r="O379">
        <f>_xlfn.XLOOKUP(D379,products!$A$2:$A$49,products!$H$2:$H$49)</f>
        <v>2.5238999999999998</v>
      </c>
      <c r="P379">
        <f t="shared" si="32"/>
        <v>8.0549999999999997</v>
      </c>
      <c r="Q379">
        <f t="shared" si="33"/>
        <v>7.5716999999999999</v>
      </c>
      <c r="R379">
        <f t="shared" si="34"/>
        <v>0.48329999999999984</v>
      </c>
      <c r="S379" s="4">
        <f t="shared" si="35"/>
        <v>5.9999999999999984E-2</v>
      </c>
      <c r="T379" t="str">
        <f>_xlfn.XLOOKUP(C379,customers!$A$1:$A$1001,customers!$I$1:$I$1001,,0)</f>
        <v>No</v>
      </c>
    </row>
    <row r="380" spans="1:20"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INDEX(products!$A$1:$I$49,MATCH('Conditional Fomating'!$D380,products!$A$1:$A$49,0),MATCH('Conditional Fomating'!I$1,products!$A$1:$D$1,0))</f>
        <v>Ara</v>
      </c>
      <c r="J380" t="str">
        <f t="shared" si="30"/>
        <v>Arabica</v>
      </c>
      <c r="K380" t="str">
        <f>INDEX(products!$A$1:$I$49,MATCH('Conditional Fomating'!$D380,products!$A$1:$A$49,0),MATCH('Conditional Fomating'!K$1,products!$A$1:$D$1,0))</f>
        <v>L</v>
      </c>
      <c r="L380" t="str">
        <f t="shared" si="31"/>
        <v>Light</v>
      </c>
      <c r="M380">
        <f>INDEX(products!$A$1:$I$49,MATCH('Conditional Fomating'!$D380,products!$A$1:$A$49,0),MATCH('Conditional Fomating'!M$1,products!$A$1:$D$1,0))</f>
        <v>0.5</v>
      </c>
      <c r="N380">
        <f>_xlfn.XLOOKUP(D380,products!$A$2:$A$49,products!$E$2:$E$49)</f>
        <v>7.77</v>
      </c>
      <c r="O380">
        <f>_xlfn.XLOOKUP(D380,products!$A$2:$A$49,products!$H$2:$H$49)</f>
        <v>7.0706999999999995</v>
      </c>
      <c r="P380">
        <f t="shared" si="32"/>
        <v>23.31</v>
      </c>
      <c r="Q380">
        <f t="shared" si="33"/>
        <v>21.2121</v>
      </c>
      <c r="R380">
        <f t="shared" si="34"/>
        <v>2.0978999999999992</v>
      </c>
      <c r="S380" s="4">
        <f t="shared" si="35"/>
        <v>8.9999999999999969E-2</v>
      </c>
      <c r="T380" t="str">
        <f>_xlfn.XLOOKUP(C380,customers!$A$1:$A$1001,customers!$I$1:$I$1001,,0)</f>
        <v>Yes</v>
      </c>
    </row>
    <row r="381" spans="1:20"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INDEX(products!$A$1:$I$49,MATCH('Conditional Fomating'!$D381,products!$A$1:$A$49,0),MATCH('Conditional Fomating'!I$1,products!$A$1:$D$1,0))</f>
        <v>Rob</v>
      </c>
      <c r="J381" t="str">
        <f t="shared" si="30"/>
        <v>Robusta</v>
      </c>
      <c r="K381" t="str">
        <f>INDEX(products!$A$1:$I$49,MATCH('Conditional Fomating'!$D381,products!$A$1:$A$49,0),MATCH('Conditional Fomating'!K$1,products!$A$1:$D$1,0))</f>
        <v>L</v>
      </c>
      <c r="L381" t="str">
        <f t="shared" si="31"/>
        <v>Light</v>
      </c>
      <c r="M381">
        <f>INDEX(products!$A$1:$I$49,MATCH('Conditional Fomating'!$D381,products!$A$1:$A$49,0),MATCH('Conditional Fomating'!M$1,products!$A$1:$D$1,0))</f>
        <v>0.5</v>
      </c>
      <c r="N381">
        <f>_xlfn.XLOOKUP(D381,products!$A$2:$A$49,products!$E$2:$E$49)</f>
        <v>7.169999999999999</v>
      </c>
      <c r="O381">
        <f>_xlfn.XLOOKUP(D381,products!$A$2:$A$49,products!$H$2:$H$49)</f>
        <v>6.7397999999999989</v>
      </c>
      <c r="P381">
        <f t="shared" si="32"/>
        <v>43.019999999999996</v>
      </c>
      <c r="Q381">
        <f t="shared" si="33"/>
        <v>40.438799999999993</v>
      </c>
      <c r="R381">
        <f t="shared" si="34"/>
        <v>2.5812000000000026</v>
      </c>
      <c r="S381" s="4">
        <f t="shared" si="35"/>
        <v>6.0000000000000067E-2</v>
      </c>
      <c r="T381" t="str">
        <f>_xlfn.XLOOKUP(C381,customers!$A$1:$A$1001,customers!$I$1:$I$1001,,0)</f>
        <v>Yes</v>
      </c>
    </row>
    <row r="382" spans="1:20"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v>
      </c>
      <c r="H382" s="2" t="str">
        <f>_xlfn.XLOOKUP(C382,customers!$A$1:$A$1001,customers!$G$1:$G$1001,,0)</f>
        <v>United States</v>
      </c>
      <c r="I382" t="str">
        <f>INDEX(products!$A$1:$I$49,MATCH('Conditional Fomating'!$D382,products!$A$1:$A$49,0),MATCH('Conditional Fomating'!I$1,products!$A$1:$D$1,0))</f>
        <v>Lib</v>
      </c>
      <c r="J382" t="str">
        <f t="shared" si="30"/>
        <v>Liberica</v>
      </c>
      <c r="K382" t="str">
        <f>INDEX(products!$A$1:$I$49,MATCH('Conditional Fomating'!$D382,products!$A$1:$A$49,0),MATCH('Conditional Fomating'!K$1,products!$A$1:$D$1,0))</f>
        <v>D</v>
      </c>
      <c r="L382" t="str">
        <f t="shared" si="31"/>
        <v>Dark</v>
      </c>
      <c r="M382">
        <f>INDEX(products!$A$1:$I$49,MATCH('Conditional Fomating'!$D382,products!$A$1:$A$49,0),MATCH('Conditional Fomating'!M$1,products!$A$1:$D$1,0))</f>
        <v>0.5</v>
      </c>
      <c r="N382">
        <f>_xlfn.XLOOKUP(D382,products!$A$2:$A$49,products!$E$2:$E$49)</f>
        <v>7.77</v>
      </c>
      <c r="O382">
        <f>_xlfn.XLOOKUP(D382,products!$A$2:$A$49,products!$H$2:$H$49)</f>
        <v>6.7599</v>
      </c>
      <c r="P382">
        <f t="shared" si="32"/>
        <v>23.31</v>
      </c>
      <c r="Q382">
        <f t="shared" si="33"/>
        <v>20.279699999999998</v>
      </c>
      <c r="R382">
        <f t="shared" si="34"/>
        <v>3.0303000000000004</v>
      </c>
      <c r="S382" s="4">
        <f t="shared" si="35"/>
        <v>0.13000000000000003</v>
      </c>
      <c r="T382" t="str">
        <f>_xlfn.XLOOKUP(C382,customers!$A$1:$A$1001,customers!$I$1:$I$1001,,0)</f>
        <v>No</v>
      </c>
    </row>
    <row r="383" spans="1:20"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INDEX(products!$A$1:$I$49,MATCH('Conditional Fomating'!$D383,products!$A$1:$A$49,0),MATCH('Conditional Fomating'!I$1,products!$A$1:$D$1,0))</f>
        <v>Ara</v>
      </c>
      <c r="J383" t="str">
        <f t="shared" si="30"/>
        <v>Arabica</v>
      </c>
      <c r="K383" t="str">
        <f>INDEX(products!$A$1:$I$49,MATCH('Conditional Fomating'!$D383,products!$A$1:$A$49,0),MATCH('Conditional Fomating'!K$1,products!$A$1:$D$1,0))</f>
        <v>D</v>
      </c>
      <c r="L383" t="str">
        <f t="shared" si="31"/>
        <v>Dark</v>
      </c>
      <c r="M383">
        <f>INDEX(products!$A$1:$I$49,MATCH('Conditional Fomating'!$D383,products!$A$1:$A$49,0),MATCH('Conditional Fomating'!M$1,products!$A$1:$D$1,0))</f>
        <v>0.2</v>
      </c>
      <c r="N383">
        <f>_xlfn.XLOOKUP(D383,products!$A$2:$A$49,products!$E$2:$E$49)</f>
        <v>2.9849999999999999</v>
      </c>
      <c r="O383">
        <f>_xlfn.XLOOKUP(D383,products!$A$2:$A$49,products!$H$2:$H$49)</f>
        <v>2.7163499999999998</v>
      </c>
      <c r="P383">
        <f t="shared" si="32"/>
        <v>14.924999999999999</v>
      </c>
      <c r="Q383">
        <f t="shared" si="33"/>
        <v>13.58175</v>
      </c>
      <c r="R383">
        <f t="shared" si="34"/>
        <v>1.3432499999999994</v>
      </c>
      <c r="S383" s="4">
        <f t="shared" si="35"/>
        <v>8.9999999999999969E-2</v>
      </c>
      <c r="T383" t="str">
        <f>_xlfn.XLOOKUP(C383,customers!$A$1:$A$1001,customers!$I$1:$I$1001,,0)</f>
        <v>Yes</v>
      </c>
    </row>
    <row r="384" spans="1:20"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INDEX(products!$A$1:$I$49,MATCH('Conditional Fomating'!$D384,products!$A$1:$A$49,0),MATCH('Conditional Fomating'!I$1,products!$A$1:$D$1,0))</f>
        <v>Exc</v>
      </c>
      <c r="J384" t="str">
        <f t="shared" si="30"/>
        <v>Excelsa</v>
      </c>
      <c r="K384" t="str">
        <f>INDEX(products!$A$1:$I$49,MATCH('Conditional Fomating'!$D384,products!$A$1:$A$49,0),MATCH('Conditional Fomating'!K$1,products!$A$1:$D$1,0))</f>
        <v>D</v>
      </c>
      <c r="L384" t="str">
        <f t="shared" si="31"/>
        <v>Dark</v>
      </c>
      <c r="M384">
        <f>INDEX(products!$A$1:$I$49,MATCH('Conditional Fomating'!$D384,products!$A$1:$A$49,0),MATCH('Conditional Fomating'!M$1,products!$A$1:$D$1,0))</f>
        <v>0.5</v>
      </c>
      <c r="N384">
        <f>_xlfn.XLOOKUP(D384,products!$A$2:$A$49,products!$E$2:$E$49)</f>
        <v>7.29</v>
      </c>
      <c r="O384">
        <f>_xlfn.XLOOKUP(D384,products!$A$2:$A$49,products!$H$2:$H$49)</f>
        <v>6.4881000000000002</v>
      </c>
      <c r="P384">
        <f t="shared" si="32"/>
        <v>21.87</v>
      </c>
      <c r="Q384">
        <f t="shared" si="33"/>
        <v>19.464300000000001</v>
      </c>
      <c r="R384">
        <f t="shared" si="34"/>
        <v>2.4056999999999995</v>
      </c>
      <c r="S384" s="4">
        <f t="shared" si="35"/>
        <v>0.10999999999999997</v>
      </c>
      <c r="T384" t="str">
        <f>_xlfn.XLOOKUP(C384,customers!$A$1:$A$1001,customers!$I$1:$I$1001,,0)</f>
        <v>No</v>
      </c>
    </row>
    <row r="385" spans="1:20"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v>
      </c>
      <c r="H385" s="2" t="str">
        <f>_xlfn.XLOOKUP(C385,customers!$A$1:$A$1001,customers!$G$1:$G$1001,,0)</f>
        <v>United States</v>
      </c>
      <c r="I385" t="str">
        <f>INDEX(products!$A$1:$I$49,MATCH('Conditional Fomating'!$D385,products!$A$1:$A$49,0),MATCH('Conditional Fomating'!I$1,products!$A$1:$D$1,0))</f>
        <v>Exc</v>
      </c>
      <c r="J385" t="str">
        <f t="shared" si="30"/>
        <v>Excelsa</v>
      </c>
      <c r="K385" t="str">
        <f>INDEX(products!$A$1:$I$49,MATCH('Conditional Fomating'!$D385,products!$A$1:$A$49,0),MATCH('Conditional Fomating'!K$1,products!$A$1:$D$1,0))</f>
        <v>L</v>
      </c>
      <c r="L385" t="str">
        <f t="shared" si="31"/>
        <v>Light</v>
      </c>
      <c r="M385">
        <f>INDEX(products!$A$1:$I$49,MATCH('Conditional Fomating'!$D385,products!$A$1:$A$49,0),MATCH('Conditional Fomating'!M$1,products!$A$1:$D$1,0))</f>
        <v>0.5</v>
      </c>
      <c r="N385">
        <f>_xlfn.XLOOKUP(D385,products!$A$2:$A$49,products!$E$2:$E$49)</f>
        <v>8.91</v>
      </c>
      <c r="O385">
        <f>_xlfn.XLOOKUP(D385,products!$A$2:$A$49,products!$H$2:$H$49)</f>
        <v>7.9298999999999999</v>
      </c>
      <c r="P385">
        <f t="shared" si="32"/>
        <v>53.46</v>
      </c>
      <c r="Q385">
        <f t="shared" si="33"/>
        <v>47.5794</v>
      </c>
      <c r="R385">
        <f t="shared" si="34"/>
        <v>5.8806000000000012</v>
      </c>
      <c r="S385" s="4">
        <f t="shared" si="35"/>
        <v>0.11000000000000001</v>
      </c>
      <c r="T385" t="str">
        <f>_xlfn.XLOOKUP(C385,customers!$A$1:$A$1001,customers!$I$1:$I$1001,,0)</f>
        <v>Yes</v>
      </c>
    </row>
    <row r="386" spans="1:20"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v>
      </c>
      <c r="H386" s="2" t="str">
        <f>_xlfn.XLOOKUP(C386,customers!$A$1:$A$1001,customers!$G$1:$G$1001,,0)</f>
        <v>United States</v>
      </c>
      <c r="I386" t="str">
        <f>INDEX(products!$A$1:$I$49,MATCH('Conditional Fomating'!$D386,products!$A$1:$A$49,0),MATCH('Conditional Fomating'!I$1,products!$A$1:$D$1,0))</f>
        <v>Ara</v>
      </c>
      <c r="J386" t="str">
        <f t="shared" si="30"/>
        <v>Arabica</v>
      </c>
      <c r="K386" t="str">
        <f>INDEX(products!$A$1:$I$49,MATCH('Conditional Fomating'!$D386,products!$A$1:$A$49,0),MATCH('Conditional Fomating'!K$1,products!$A$1:$D$1,0))</f>
        <v>L</v>
      </c>
      <c r="L386" t="str">
        <f t="shared" si="31"/>
        <v>Light</v>
      </c>
      <c r="M386">
        <f>INDEX(products!$A$1:$I$49,MATCH('Conditional Fomating'!$D386,products!$A$1:$A$49,0),MATCH('Conditional Fomating'!M$1,products!$A$1:$D$1,0))</f>
        <v>2.5</v>
      </c>
      <c r="N386">
        <f>_xlfn.XLOOKUP(D386,products!$A$2:$A$49,products!$E$2:$E$49)</f>
        <v>29.784999999999997</v>
      </c>
      <c r="O386">
        <f>_xlfn.XLOOKUP(D386,products!$A$2:$A$49,products!$H$2:$H$49)</f>
        <v>27.104349999999997</v>
      </c>
      <c r="P386">
        <f t="shared" si="32"/>
        <v>119.13999999999999</v>
      </c>
      <c r="Q386">
        <f t="shared" si="33"/>
        <v>108.41739999999999</v>
      </c>
      <c r="R386">
        <f t="shared" si="34"/>
        <v>10.7226</v>
      </c>
      <c r="S386" s="4">
        <f t="shared" si="35"/>
        <v>9.0000000000000011E-2</v>
      </c>
      <c r="T386" t="str">
        <f>_xlfn.XLOOKUP(C386,customers!$A$1:$A$1001,customers!$I$1:$I$1001,,0)</f>
        <v>No</v>
      </c>
    </row>
    <row r="387" spans="1:20"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INDEX(products!$A$1:$I$49,MATCH('Conditional Fomating'!$D387,products!$A$1:$A$49,0),MATCH('Conditional Fomating'!I$1,products!$A$1:$D$1,0))</f>
        <v>Lib</v>
      </c>
      <c r="J387" t="str">
        <f t="shared" ref="J387:J450" si="36">IF(I387="Rob","Robusta",IF(I387="Exc","Excelsa",IF(I387="Ara","Arabica",IF(I387="Lib","Liberica",""))))</f>
        <v>Liberica</v>
      </c>
      <c r="K387" t="str">
        <f>INDEX(products!$A$1:$I$49,MATCH('Conditional Fomating'!$D387,products!$A$1:$A$49,0),MATCH('Conditional Fomating'!K$1,products!$A$1:$D$1,0))</f>
        <v>M</v>
      </c>
      <c r="L387" t="str">
        <f t="shared" ref="L387:L450" si="37">IF(K387="M","Medium",IF(K387="L","Light",IF(K387="D","Dark","")))</f>
        <v>Medium</v>
      </c>
      <c r="M387">
        <f>INDEX(products!$A$1:$I$49,MATCH('Conditional Fomating'!$D387,products!$A$1:$A$49,0),MATCH('Conditional Fomating'!M$1,products!$A$1:$D$1,0))</f>
        <v>0.5</v>
      </c>
      <c r="N387">
        <f>_xlfn.XLOOKUP(D387,products!$A$2:$A$49,products!$E$2:$E$49)</f>
        <v>8.73</v>
      </c>
      <c r="O387">
        <f>_xlfn.XLOOKUP(D387,products!$A$2:$A$49,products!$H$2:$H$49)</f>
        <v>7.5951000000000004</v>
      </c>
      <c r="P387">
        <f t="shared" ref="P387:P450" si="38">N387*E387</f>
        <v>43.650000000000006</v>
      </c>
      <c r="Q387">
        <f t="shared" ref="Q387:Q450" si="39">O387*E387</f>
        <v>37.975500000000004</v>
      </c>
      <c r="R387">
        <f t="shared" ref="R387:R450" si="40">P387-Q387</f>
        <v>5.6745000000000019</v>
      </c>
      <c r="S387" s="4">
        <f t="shared" ref="S387:S450" si="41">R387/P387</f>
        <v>0.13000000000000003</v>
      </c>
      <c r="T387" t="str">
        <f>_xlfn.XLOOKUP(C387,customers!$A$1:$A$1001,customers!$I$1:$I$1001,,0)</f>
        <v>Yes</v>
      </c>
    </row>
    <row r="388" spans="1:20"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v>
      </c>
      <c r="H388" s="2" t="str">
        <f>_xlfn.XLOOKUP(C388,customers!$A$1:$A$1001,customers!$G$1:$G$1001,,0)</f>
        <v>United States</v>
      </c>
      <c r="I388" t="str">
        <f>INDEX(products!$A$1:$I$49,MATCH('Conditional Fomating'!$D388,products!$A$1:$A$49,0),MATCH('Conditional Fomating'!I$1,products!$A$1:$D$1,0))</f>
        <v>Ara</v>
      </c>
      <c r="J388" t="str">
        <f t="shared" si="36"/>
        <v>Arabica</v>
      </c>
      <c r="K388" t="str">
        <f>INDEX(products!$A$1:$I$49,MATCH('Conditional Fomating'!$D388,products!$A$1:$A$49,0),MATCH('Conditional Fomating'!K$1,products!$A$1:$D$1,0))</f>
        <v>D</v>
      </c>
      <c r="L388" t="str">
        <f t="shared" si="37"/>
        <v>Dark</v>
      </c>
      <c r="M388">
        <f>INDEX(products!$A$1:$I$49,MATCH('Conditional Fomating'!$D388,products!$A$1:$A$49,0),MATCH('Conditional Fomating'!M$1,products!$A$1:$D$1,0))</f>
        <v>0.2</v>
      </c>
      <c r="N388">
        <f>_xlfn.XLOOKUP(D388,products!$A$2:$A$49,products!$E$2:$E$49)</f>
        <v>2.9849999999999999</v>
      </c>
      <c r="O388">
        <f>_xlfn.XLOOKUP(D388,products!$A$2:$A$49,products!$H$2:$H$49)</f>
        <v>2.7163499999999998</v>
      </c>
      <c r="P388">
        <f t="shared" si="38"/>
        <v>17.91</v>
      </c>
      <c r="Q388">
        <f t="shared" si="39"/>
        <v>16.298099999999998</v>
      </c>
      <c r="R388">
        <f t="shared" si="40"/>
        <v>1.6119000000000021</v>
      </c>
      <c r="S388" s="4">
        <f t="shared" si="41"/>
        <v>9.0000000000000122E-2</v>
      </c>
      <c r="T388" t="str">
        <f>_xlfn.XLOOKUP(C388,customers!$A$1:$A$1001,customers!$I$1:$I$1001,,0)</f>
        <v>Yes</v>
      </c>
    </row>
    <row r="389" spans="1:20"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INDEX(products!$A$1:$I$49,MATCH('Conditional Fomating'!$D389,products!$A$1:$A$49,0),MATCH('Conditional Fomating'!I$1,products!$A$1:$D$1,0))</f>
        <v>Exc</v>
      </c>
      <c r="J389" t="str">
        <f t="shared" si="36"/>
        <v>Excelsa</v>
      </c>
      <c r="K389" t="str">
        <f>INDEX(products!$A$1:$I$49,MATCH('Conditional Fomating'!$D389,products!$A$1:$A$49,0),MATCH('Conditional Fomating'!K$1,products!$A$1:$D$1,0))</f>
        <v>L</v>
      </c>
      <c r="L389" t="str">
        <f t="shared" si="37"/>
        <v>Light</v>
      </c>
      <c r="M389">
        <f>INDEX(products!$A$1:$I$49,MATCH('Conditional Fomating'!$D389,products!$A$1:$A$49,0),MATCH('Conditional Fomating'!M$1,products!$A$1:$D$1,0))</f>
        <v>1</v>
      </c>
      <c r="N389">
        <f>_xlfn.XLOOKUP(D389,products!$A$2:$A$49,products!$E$2:$E$49)</f>
        <v>14.85</v>
      </c>
      <c r="O389">
        <f>_xlfn.XLOOKUP(D389,products!$A$2:$A$49,products!$H$2:$H$49)</f>
        <v>13.2165</v>
      </c>
      <c r="P389">
        <f t="shared" si="38"/>
        <v>74.25</v>
      </c>
      <c r="Q389">
        <f t="shared" si="39"/>
        <v>66.082499999999996</v>
      </c>
      <c r="R389">
        <f t="shared" si="40"/>
        <v>8.167500000000004</v>
      </c>
      <c r="S389" s="4">
        <f t="shared" si="41"/>
        <v>0.11000000000000006</v>
      </c>
      <c r="T389" t="str">
        <f>_xlfn.XLOOKUP(C389,customers!$A$1:$A$1001,customers!$I$1:$I$1001,,0)</f>
        <v>Yes</v>
      </c>
    </row>
    <row r="390" spans="1:20"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INDEX(products!$A$1:$I$49,MATCH('Conditional Fomating'!$D390,products!$A$1:$A$49,0),MATCH('Conditional Fomating'!I$1,products!$A$1:$D$1,0))</f>
        <v>Lib</v>
      </c>
      <c r="J390" t="str">
        <f t="shared" si="36"/>
        <v>Liberica</v>
      </c>
      <c r="K390" t="str">
        <f>INDEX(products!$A$1:$I$49,MATCH('Conditional Fomating'!$D390,products!$A$1:$A$49,0),MATCH('Conditional Fomating'!K$1,products!$A$1:$D$1,0))</f>
        <v>D</v>
      </c>
      <c r="L390" t="str">
        <f t="shared" si="37"/>
        <v>Dark</v>
      </c>
      <c r="M390">
        <f>INDEX(products!$A$1:$I$49,MATCH('Conditional Fomating'!$D390,products!$A$1:$A$49,0),MATCH('Conditional Fomating'!M$1,products!$A$1:$D$1,0))</f>
        <v>0.2</v>
      </c>
      <c r="N390">
        <f>_xlfn.XLOOKUP(D390,products!$A$2:$A$49,products!$E$2:$E$49)</f>
        <v>3.8849999999999998</v>
      </c>
      <c r="O390">
        <f>_xlfn.XLOOKUP(D390,products!$A$2:$A$49,products!$H$2:$H$49)</f>
        <v>3.37995</v>
      </c>
      <c r="P390">
        <f t="shared" si="38"/>
        <v>11.654999999999999</v>
      </c>
      <c r="Q390">
        <f t="shared" si="39"/>
        <v>10.139849999999999</v>
      </c>
      <c r="R390">
        <f t="shared" si="40"/>
        <v>1.5151500000000002</v>
      </c>
      <c r="S390" s="4">
        <f t="shared" si="41"/>
        <v>0.13000000000000003</v>
      </c>
      <c r="T390" t="str">
        <f>_xlfn.XLOOKUP(C390,customers!$A$1:$A$1001,customers!$I$1:$I$1001,,0)</f>
        <v>Yes</v>
      </c>
    </row>
    <row r="391" spans="1:20"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INDEX(products!$A$1:$I$49,MATCH('Conditional Fomating'!$D391,products!$A$1:$A$49,0),MATCH('Conditional Fomating'!I$1,products!$A$1:$D$1,0))</f>
        <v>Lib</v>
      </c>
      <c r="J391" t="str">
        <f t="shared" si="36"/>
        <v>Liberica</v>
      </c>
      <c r="K391" t="str">
        <f>INDEX(products!$A$1:$I$49,MATCH('Conditional Fomating'!$D391,products!$A$1:$A$49,0),MATCH('Conditional Fomating'!K$1,products!$A$1:$D$1,0))</f>
        <v>D</v>
      </c>
      <c r="L391" t="str">
        <f t="shared" si="37"/>
        <v>Dark</v>
      </c>
      <c r="M391">
        <f>INDEX(products!$A$1:$I$49,MATCH('Conditional Fomating'!$D391,products!$A$1:$A$49,0),MATCH('Conditional Fomating'!M$1,products!$A$1:$D$1,0))</f>
        <v>0.5</v>
      </c>
      <c r="N391">
        <f>_xlfn.XLOOKUP(D391,products!$A$2:$A$49,products!$E$2:$E$49)</f>
        <v>7.77</v>
      </c>
      <c r="O391">
        <f>_xlfn.XLOOKUP(D391,products!$A$2:$A$49,products!$H$2:$H$49)</f>
        <v>6.7599</v>
      </c>
      <c r="P391">
        <f t="shared" si="38"/>
        <v>23.31</v>
      </c>
      <c r="Q391">
        <f t="shared" si="39"/>
        <v>20.279699999999998</v>
      </c>
      <c r="R391">
        <f t="shared" si="40"/>
        <v>3.0303000000000004</v>
      </c>
      <c r="S391" s="4">
        <f t="shared" si="41"/>
        <v>0.13000000000000003</v>
      </c>
      <c r="T391" t="str">
        <f>_xlfn.XLOOKUP(C391,customers!$A$1:$A$1001,customers!$I$1:$I$1001,,0)</f>
        <v>Yes</v>
      </c>
    </row>
    <row r="392" spans="1:20"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INDEX(products!$A$1:$I$49,MATCH('Conditional Fomating'!$D392,products!$A$1:$A$49,0),MATCH('Conditional Fomating'!I$1,products!$A$1:$D$1,0))</f>
        <v>Exc</v>
      </c>
      <c r="J392" t="str">
        <f t="shared" si="36"/>
        <v>Excelsa</v>
      </c>
      <c r="K392" t="str">
        <f>INDEX(products!$A$1:$I$49,MATCH('Conditional Fomating'!$D392,products!$A$1:$A$49,0),MATCH('Conditional Fomating'!K$1,products!$A$1:$D$1,0))</f>
        <v>D</v>
      </c>
      <c r="L392" t="str">
        <f t="shared" si="37"/>
        <v>Dark</v>
      </c>
      <c r="M392">
        <f>INDEX(products!$A$1:$I$49,MATCH('Conditional Fomating'!$D392,products!$A$1:$A$49,0),MATCH('Conditional Fomating'!M$1,products!$A$1:$D$1,0))</f>
        <v>0.5</v>
      </c>
      <c r="N392">
        <f>_xlfn.XLOOKUP(D392,products!$A$2:$A$49,products!$E$2:$E$49)</f>
        <v>7.29</v>
      </c>
      <c r="O392">
        <f>_xlfn.XLOOKUP(D392,products!$A$2:$A$49,products!$H$2:$H$49)</f>
        <v>6.4881000000000002</v>
      </c>
      <c r="P392">
        <f t="shared" si="38"/>
        <v>14.58</v>
      </c>
      <c r="Q392">
        <f t="shared" si="39"/>
        <v>12.9762</v>
      </c>
      <c r="R392">
        <f t="shared" si="40"/>
        <v>1.6037999999999997</v>
      </c>
      <c r="S392" s="4">
        <f t="shared" si="41"/>
        <v>0.10999999999999997</v>
      </c>
      <c r="T392" t="str">
        <f>_xlfn.XLOOKUP(C392,customers!$A$1:$A$1001,customers!$I$1:$I$1001,,0)</f>
        <v>Yes</v>
      </c>
    </row>
    <row r="393" spans="1:20"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INDEX(products!$A$1:$I$49,MATCH('Conditional Fomating'!$D393,products!$A$1:$A$49,0),MATCH('Conditional Fomating'!I$1,products!$A$1:$D$1,0))</f>
        <v>Ara</v>
      </c>
      <c r="J393" t="str">
        <f t="shared" si="36"/>
        <v>Arabica</v>
      </c>
      <c r="K393" t="str">
        <f>INDEX(products!$A$1:$I$49,MATCH('Conditional Fomating'!$D393,products!$A$1:$A$49,0),MATCH('Conditional Fomating'!K$1,products!$A$1:$D$1,0))</f>
        <v>M</v>
      </c>
      <c r="L393" t="str">
        <f t="shared" si="37"/>
        <v>Medium</v>
      </c>
      <c r="M393">
        <f>INDEX(products!$A$1:$I$49,MATCH('Conditional Fomating'!$D393,products!$A$1:$A$49,0),MATCH('Conditional Fomating'!M$1,products!$A$1:$D$1,0))</f>
        <v>0.5</v>
      </c>
      <c r="N393">
        <f>_xlfn.XLOOKUP(D393,products!$A$2:$A$49,products!$E$2:$E$49)</f>
        <v>6.75</v>
      </c>
      <c r="O393">
        <f>_xlfn.XLOOKUP(D393,products!$A$2:$A$49,products!$H$2:$H$49)</f>
        <v>6.1425000000000001</v>
      </c>
      <c r="P393">
        <f t="shared" si="38"/>
        <v>13.5</v>
      </c>
      <c r="Q393">
        <f t="shared" si="39"/>
        <v>12.285</v>
      </c>
      <c r="R393">
        <f t="shared" si="40"/>
        <v>1.2149999999999999</v>
      </c>
      <c r="S393" s="4">
        <f t="shared" si="41"/>
        <v>8.9999999999999983E-2</v>
      </c>
      <c r="T393" t="str">
        <f>_xlfn.XLOOKUP(C393,customers!$A$1:$A$1001,customers!$I$1:$I$1001,,0)</f>
        <v>No</v>
      </c>
    </row>
    <row r="394" spans="1:20"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INDEX(products!$A$1:$I$49,MATCH('Conditional Fomating'!$D394,products!$A$1:$A$49,0),MATCH('Conditional Fomating'!I$1,products!$A$1:$D$1,0))</f>
        <v>Exc</v>
      </c>
      <c r="J394" t="str">
        <f t="shared" si="36"/>
        <v>Excelsa</v>
      </c>
      <c r="K394" t="str">
        <f>INDEX(products!$A$1:$I$49,MATCH('Conditional Fomating'!$D394,products!$A$1:$A$49,0),MATCH('Conditional Fomating'!K$1,products!$A$1:$D$1,0))</f>
        <v>L</v>
      </c>
      <c r="L394" t="str">
        <f t="shared" si="37"/>
        <v>Light</v>
      </c>
      <c r="M394">
        <f>INDEX(products!$A$1:$I$49,MATCH('Conditional Fomating'!$D394,products!$A$1:$A$49,0),MATCH('Conditional Fomating'!M$1,products!$A$1:$D$1,0))</f>
        <v>1</v>
      </c>
      <c r="N394">
        <f>_xlfn.XLOOKUP(D394,products!$A$2:$A$49,products!$E$2:$E$49)</f>
        <v>14.85</v>
      </c>
      <c r="O394">
        <f>_xlfn.XLOOKUP(D394,products!$A$2:$A$49,products!$H$2:$H$49)</f>
        <v>13.2165</v>
      </c>
      <c r="P394">
        <f t="shared" si="38"/>
        <v>89.1</v>
      </c>
      <c r="Q394">
        <f t="shared" si="39"/>
        <v>79.299000000000007</v>
      </c>
      <c r="R394">
        <f t="shared" si="40"/>
        <v>9.8009999999999877</v>
      </c>
      <c r="S394" s="4">
        <f t="shared" si="41"/>
        <v>0.10999999999999988</v>
      </c>
      <c r="T394" t="str">
        <f>_xlfn.XLOOKUP(C394,customers!$A$1:$A$1001,customers!$I$1:$I$1001,,0)</f>
        <v>No</v>
      </c>
    </row>
    <row r="395" spans="1:20"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INDEX(products!$A$1:$I$49,MATCH('Conditional Fomating'!$D395,products!$A$1:$A$49,0),MATCH('Conditional Fomating'!I$1,products!$A$1:$D$1,0))</f>
        <v>Ara</v>
      </c>
      <c r="J395" t="str">
        <f t="shared" si="36"/>
        <v>Arabica</v>
      </c>
      <c r="K395" t="str">
        <f>INDEX(products!$A$1:$I$49,MATCH('Conditional Fomating'!$D395,products!$A$1:$A$49,0),MATCH('Conditional Fomating'!K$1,products!$A$1:$D$1,0))</f>
        <v>L</v>
      </c>
      <c r="L395" t="str">
        <f t="shared" si="37"/>
        <v>Light</v>
      </c>
      <c r="M395">
        <f>INDEX(products!$A$1:$I$49,MATCH('Conditional Fomating'!$D395,products!$A$1:$A$49,0),MATCH('Conditional Fomating'!M$1,products!$A$1:$D$1,0))</f>
        <v>0.2</v>
      </c>
      <c r="N395">
        <f>_xlfn.XLOOKUP(D395,products!$A$2:$A$49,products!$E$2:$E$49)</f>
        <v>3.8849999999999998</v>
      </c>
      <c r="O395">
        <f>_xlfn.XLOOKUP(D395,products!$A$2:$A$49,products!$H$2:$H$49)</f>
        <v>3.5353499999999998</v>
      </c>
      <c r="P395">
        <f t="shared" si="38"/>
        <v>3.8849999999999998</v>
      </c>
      <c r="Q395">
        <f t="shared" si="39"/>
        <v>3.5353499999999998</v>
      </c>
      <c r="R395">
        <f t="shared" si="40"/>
        <v>0.34965000000000002</v>
      </c>
      <c r="S395" s="4">
        <f t="shared" si="41"/>
        <v>9.0000000000000011E-2</v>
      </c>
      <c r="T395" t="str">
        <f>_xlfn.XLOOKUP(C395,customers!$A$1:$A$1001,customers!$I$1:$I$1001,,0)</f>
        <v>No</v>
      </c>
    </row>
    <row r="396" spans="1:20"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INDEX(products!$A$1:$I$49,MATCH('Conditional Fomating'!$D396,products!$A$1:$A$49,0),MATCH('Conditional Fomating'!I$1,products!$A$1:$D$1,0))</f>
        <v>Rob</v>
      </c>
      <c r="J396" t="str">
        <f t="shared" si="36"/>
        <v>Robusta</v>
      </c>
      <c r="K396" t="str">
        <f>INDEX(products!$A$1:$I$49,MATCH('Conditional Fomating'!$D396,products!$A$1:$A$49,0),MATCH('Conditional Fomating'!K$1,products!$A$1:$D$1,0))</f>
        <v>L</v>
      </c>
      <c r="L396" t="str">
        <f t="shared" si="37"/>
        <v>Light</v>
      </c>
      <c r="M396">
        <f>INDEX(products!$A$1:$I$49,MATCH('Conditional Fomating'!$D396,products!$A$1:$A$49,0),MATCH('Conditional Fomating'!M$1,products!$A$1:$D$1,0))</f>
        <v>2.5</v>
      </c>
      <c r="N396">
        <f>_xlfn.XLOOKUP(D396,products!$A$2:$A$49,products!$E$2:$E$49)</f>
        <v>27.484999999999996</v>
      </c>
      <c r="O396">
        <f>_xlfn.XLOOKUP(D396,products!$A$2:$A$49,products!$H$2:$H$49)</f>
        <v>25.835899999999995</v>
      </c>
      <c r="P396">
        <f t="shared" si="38"/>
        <v>109.93999999999998</v>
      </c>
      <c r="Q396">
        <f t="shared" si="39"/>
        <v>103.34359999999998</v>
      </c>
      <c r="R396">
        <f t="shared" si="40"/>
        <v>6.5964000000000027</v>
      </c>
      <c r="S396" s="4">
        <f t="shared" si="41"/>
        <v>6.0000000000000032E-2</v>
      </c>
      <c r="T396" t="str">
        <f>_xlfn.XLOOKUP(C396,customers!$A$1:$A$1001,customers!$I$1:$I$1001,,0)</f>
        <v>No</v>
      </c>
    </row>
    <row r="397" spans="1:20"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INDEX(products!$A$1:$I$49,MATCH('Conditional Fomating'!$D397,products!$A$1:$A$49,0),MATCH('Conditional Fomating'!I$1,products!$A$1:$D$1,0))</f>
        <v>Lib</v>
      </c>
      <c r="J397" t="str">
        <f t="shared" si="36"/>
        <v>Liberica</v>
      </c>
      <c r="K397" t="str">
        <f>INDEX(products!$A$1:$I$49,MATCH('Conditional Fomating'!$D397,products!$A$1:$A$49,0),MATCH('Conditional Fomating'!K$1,products!$A$1:$D$1,0))</f>
        <v>D</v>
      </c>
      <c r="L397" t="str">
        <f t="shared" si="37"/>
        <v>Dark</v>
      </c>
      <c r="M397">
        <f>INDEX(products!$A$1:$I$49,MATCH('Conditional Fomating'!$D397,products!$A$1:$A$49,0),MATCH('Conditional Fomating'!M$1,products!$A$1:$D$1,0))</f>
        <v>0.5</v>
      </c>
      <c r="N397">
        <f>_xlfn.XLOOKUP(D397,products!$A$2:$A$49,products!$E$2:$E$49)</f>
        <v>7.77</v>
      </c>
      <c r="O397">
        <f>_xlfn.XLOOKUP(D397,products!$A$2:$A$49,products!$H$2:$H$49)</f>
        <v>6.7599</v>
      </c>
      <c r="P397">
        <f t="shared" si="38"/>
        <v>46.62</v>
      </c>
      <c r="Q397">
        <f t="shared" si="39"/>
        <v>40.559399999999997</v>
      </c>
      <c r="R397">
        <f t="shared" si="40"/>
        <v>6.0606000000000009</v>
      </c>
      <c r="S397" s="4">
        <f t="shared" si="41"/>
        <v>0.13000000000000003</v>
      </c>
      <c r="T397" t="str">
        <f>_xlfn.XLOOKUP(C397,customers!$A$1:$A$1001,customers!$I$1:$I$1001,,0)</f>
        <v>Yes</v>
      </c>
    </row>
    <row r="398" spans="1:20"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INDEX(products!$A$1:$I$49,MATCH('Conditional Fomating'!$D398,products!$A$1:$A$49,0),MATCH('Conditional Fomating'!I$1,products!$A$1:$D$1,0))</f>
        <v>Ara</v>
      </c>
      <c r="J398" t="str">
        <f t="shared" si="36"/>
        <v>Arabica</v>
      </c>
      <c r="K398" t="str">
        <f>INDEX(products!$A$1:$I$49,MATCH('Conditional Fomating'!$D398,products!$A$1:$A$49,0),MATCH('Conditional Fomating'!K$1,products!$A$1:$D$1,0))</f>
        <v>L</v>
      </c>
      <c r="L398" t="str">
        <f t="shared" si="37"/>
        <v>Light</v>
      </c>
      <c r="M398">
        <f>INDEX(products!$A$1:$I$49,MATCH('Conditional Fomating'!$D398,products!$A$1:$A$49,0),MATCH('Conditional Fomating'!M$1,products!$A$1:$D$1,0))</f>
        <v>0.5</v>
      </c>
      <c r="N398">
        <f>_xlfn.XLOOKUP(D398,products!$A$2:$A$49,products!$E$2:$E$49)</f>
        <v>7.77</v>
      </c>
      <c r="O398">
        <f>_xlfn.XLOOKUP(D398,products!$A$2:$A$49,products!$H$2:$H$49)</f>
        <v>7.0706999999999995</v>
      </c>
      <c r="P398">
        <f t="shared" si="38"/>
        <v>38.849999999999994</v>
      </c>
      <c r="Q398">
        <f t="shared" si="39"/>
        <v>35.353499999999997</v>
      </c>
      <c r="R398">
        <f t="shared" si="40"/>
        <v>3.4964999999999975</v>
      </c>
      <c r="S398" s="4">
        <f t="shared" si="41"/>
        <v>8.9999999999999955E-2</v>
      </c>
      <c r="T398" t="str">
        <f>_xlfn.XLOOKUP(C398,customers!$A$1:$A$1001,customers!$I$1:$I$1001,,0)</f>
        <v>No</v>
      </c>
    </row>
    <row r="399" spans="1:20"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INDEX(products!$A$1:$I$49,MATCH('Conditional Fomating'!$D399,products!$A$1:$A$49,0),MATCH('Conditional Fomating'!I$1,products!$A$1:$D$1,0))</f>
        <v>Lib</v>
      </c>
      <c r="J399" t="str">
        <f t="shared" si="36"/>
        <v>Liberica</v>
      </c>
      <c r="K399" t="str">
        <f>INDEX(products!$A$1:$I$49,MATCH('Conditional Fomating'!$D399,products!$A$1:$A$49,0),MATCH('Conditional Fomating'!K$1,products!$A$1:$D$1,0))</f>
        <v>D</v>
      </c>
      <c r="L399" t="str">
        <f t="shared" si="37"/>
        <v>Dark</v>
      </c>
      <c r="M399">
        <f>INDEX(products!$A$1:$I$49,MATCH('Conditional Fomating'!$D399,products!$A$1:$A$49,0),MATCH('Conditional Fomating'!M$1,products!$A$1:$D$1,0))</f>
        <v>0.5</v>
      </c>
      <c r="N399">
        <f>_xlfn.XLOOKUP(D399,products!$A$2:$A$49,products!$E$2:$E$49)</f>
        <v>7.77</v>
      </c>
      <c r="O399">
        <f>_xlfn.XLOOKUP(D399,products!$A$2:$A$49,products!$H$2:$H$49)</f>
        <v>6.7599</v>
      </c>
      <c r="P399">
        <f t="shared" si="38"/>
        <v>31.08</v>
      </c>
      <c r="Q399">
        <f t="shared" si="39"/>
        <v>27.0396</v>
      </c>
      <c r="R399">
        <f t="shared" si="40"/>
        <v>4.0403999999999982</v>
      </c>
      <c r="S399" s="4">
        <f t="shared" si="41"/>
        <v>0.12999999999999995</v>
      </c>
      <c r="T399" t="str">
        <f>_xlfn.XLOOKUP(C399,customers!$A$1:$A$1001,customers!$I$1:$I$1001,,0)</f>
        <v>Yes</v>
      </c>
    </row>
    <row r="400" spans="1:20"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INDEX(products!$A$1:$I$49,MATCH('Conditional Fomating'!$D400,products!$A$1:$A$49,0),MATCH('Conditional Fomating'!I$1,products!$A$1:$D$1,0))</f>
        <v>Ara</v>
      </c>
      <c r="J400" t="str">
        <f t="shared" si="36"/>
        <v>Arabica</v>
      </c>
      <c r="K400" t="str">
        <f>INDEX(products!$A$1:$I$49,MATCH('Conditional Fomating'!$D400,products!$A$1:$A$49,0),MATCH('Conditional Fomating'!K$1,products!$A$1:$D$1,0))</f>
        <v>D</v>
      </c>
      <c r="L400" t="str">
        <f t="shared" si="37"/>
        <v>Dark</v>
      </c>
      <c r="M400">
        <f>INDEX(products!$A$1:$I$49,MATCH('Conditional Fomating'!$D400,products!$A$1:$A$49,0),MATCH('Conditional Fomating'!M$1,products!$A$1:$D$1,0))</f>
        <v>0.2</v>
      </c>
      <c r="N400">
        <f>_xlfn.XLOOKUP(D400,products!$A$2:$A$49,products!$E$2:$E$49)</f>
        <v>2.9849999999999999</v>
      </c>
      <c r="O400">
        <f>_xlfn.XLOOKUP(D400,products!$A$2:$A$49,products!$H$2:$H$49)</f>
        <v>2.7163499999999998</v>
      </c>
      <c r="P400">
        <f t="shared" si="38"/>
        <v>17.91</v>
      </c>
      <c r="Q400">
        <f t="shared" si="39"/>
        <v>16.298099999999998</v>
      </c>
      <c r="R400">
        <f t="shared" si="40"/>
        <v>1.6119000000000021</v>
      </c>
      <c r="S400" s="4">
        <f t="shared" si="41"/>
        <v>9.0000000000000122E-2</v>
      </c>
      <c r="T400" t="str">
        <f>_xlfn.XLOOKUP(C400,customers!$A$1:$A$1001,customers!$I$1:$I$1001,,0)</f>
        <v>Yes</v>
      </c>
    </row>
    <row r="401" spans="1:20"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INDEX(products!$A$1:$I$49,MATCH('Conditional Fomating'!$D401,products!$A$1:$A$49,0),MATCH('Conditional Fomating'!I$1,products!$A$1:$D$1,0))</f>
        <v>Exc</v>
      </c>
      <c r="J401" t="str">
        <f t="shared" si="36"/>
        <v>Excelsa</v>
      </c>
      <c r="K401" t="str">
        <f>INDEX(products!$A$1:$I$49,MATCH('Conditional Fomating'!$D401,products!$A$1:$A$49,0),MATCH('Conditional Fomating'!K$1,products!$A$1:$D$1,0))</f>
        <v>D</v>
      </c>
      <c r="L401" t="str">
        <f t="shared" si="37"/>
        <v>Dark</v>
      </c>
      <c r="M401">
        <f>INDEX(products!$A$1:$I$49,MATCH('Conditional Fomating'!$D401,products!$A$1:$A$49,0),MATCH('Conditional Fomating'!M$1,products!$A$1:$D$1,0))</f>
        <v>2.5</v>
      </c>
      <c r="N401">
        <f>_xlfn.XLOOKUP(D401,products!$A$2:$A$49,products!$E$2:$E$49)</f>
        <v>27.945</v>
      </c>
      <c r="O401">
        <f>_xlfn.XLOOKUP(D401,products!$A$2:$A$49,products!$H$2:$H$49)</f>
        <v>24.87105</v>
      </c>
      <c r="P401">
        <f t="shared" si="38"/>
        <v>167.67000000000002</v>
      </c>
      <c r="Q401">
        <f t="shared" si="39"/>
        <v>149.22630000000001</v>
      </c>
      <c r="R401">
        <f t="shared" si="40"/>
        <v>18.443700000000007</v>
      </c>
      <c r="S401" s="4">
        <f t="shared" si="41"/>
        <v>0.11000000000000003</v>
      </c>
      <c r="T401" t="str">
        <f>_xlfn.XLOOKUP(C401,customers!$A$1:$A$1001,customers!$I$1:$I$1001,,0)</f>
        <v>No</v>
      </c>
    </row>
    <row r="402" spans="1:20"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INDEX(products!$A$1:$I$49,MATCH('Conditional Fomating'!$D402,products!$A$1:$A$49,0),MATCH('Conditional Fomating'!I$1,products!$A$1:$D$1,0))</f>
        <v>Lib</v>
      </c>
      <c r="J402" t="str">
        <f t="shared" si="36"/>
        <v>Liberica</v>
      </c>
      <c r="K402" t="str">
        <f>INDEX(products!$A$1:$I$49,MATCH('Conditional Fomating'!$D402,products!$A$1:$A$49,0),MATCH('Conditional Fomating'!K$1,products!$A$1:$D$1,0))</f>
        <v>L</v>
      </c>
      <c r="L402" t="str">
        <f t="shared" si="37"/>
        <v>Light</v>
      </c>
      <c r="M402">
        <f>INDEX(products!$A$1:$I$49,MATCH('Conditional Fomating'!$D402,products!$A$1:$A$49,0),MATCH('Conditional Fomating'!M$1,products!$A$1:$D$1,0))</f>
        <v>1</v>
      </c>
      <c r="N402">
        <f>_xlfn.XLOOKUP(D402,products!$A$2:$A$49,products!$E$2:$E$49)</f>
        <v>15.85</v>
      </c>
      <c r="O402">
        <f>_xlfn.XLOOKUP(D402,products!$A$2:$A$49,products!$H$2:$H$49)</f>
        <v>13.7895</v>
      </c>
      <c r="P402">
        <f t="shared" si="38"/>
        <v>63.4</v>
      </c>
      <c r="Q402">
        <f t="shared" si="39"/>
        <v>55.158000000000001</v>
      </c>
      <c r="R402">
        <f t="shared" si="40"/>
        <v>8.2419999999999973</v>
      </c>
      <c r="S402" s="4">
        <f t="shared" si="41"/>
        <v>0.12999999999999995</v>
      </c>
      <c r="T402" t="str">
        <f>_xlfn.XLOOKUP(C402,customers!$A$1:$A$1001,customers!$I$1:$I$1001,,0)</f>
        <v>No</v>
      </c>
    </row>
    <row r="403" spans="1:20"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INDEX(products!$A$1:$I$49,MATCH('Conditional Fomating'!$D403,products!$A$1:$A$49,0),MATCH('Conditional Fomating'!I$1,products!$A$1:$D$1,0))</f>
        <v>Lib</v>
      </c>
      <c r="J403" t="str">
        <f t="shared" si="36"/>
        <v>Liberica</v>
      </c>
      <c r="K403" t="str">
        <f>INDEX(products!$A$1:$I$49,MATCH('Conditional Fomating'!$D403,products!$A$1:$A$49,0),MATCH('Conditional Fomating'!K$1,products!$A$1:$D$1,0))</f>
        <v>M</v>
      </c>
      <c r="L403" t="str">
        <f t="shared" si="37"/>
        <v>Medium</v>
      </c>
      <c r="M403">
        <f>INDEX(products!$A$1:$I$49,MATCH('Conditional Fomating'!$D403,products!$A$1:$A$49,0),MATCH('Conditional Fomating'!M$1,products!$A$1:$D$1,0))</f>
        <v>0.2</v>
      </c>
      <c r="N403">
        <f>_xlfn.XLOOKUP(D403,products!$A$2:$A$49,products!$E$2:$E$49)</f>
        <v>4.3650000000000002</v>
      </c>
      <c r="O403">
        <f>_xlfn.XLOOKUP(D403,products!$A$2:$A$49,products!$H$2:$H$49)</f>
        <v>3.7975500000000002</v>
      </c>
      <c r="P403">
        <f t="shared" si="38"/>
        <v>8.73</v>
      </c>
      <c r="Q403">
        <f t="shared" si="39"/>
        <v>7.5951000000000004</v>
      </c>
      <c r="R403">
        <f t="shared" si="40"/>
        <v>1.1349</v>
      </c>
      <c r="S403" s="4">
        <f t="shared" si="41"/>
        <v>0.13</v>
      </c>
      <c r="T403" t="str">
        <f>_xlfn.XLOOKUP(C403,customers!$A$1:$A$1001,customers!$I$1:$I$1001,,0)</f>
        <v>Yes</v>
      </c>
    </row>
    <row r="404" spans="1:20"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INDEX(products!$A$1:$I$49,MATCH('Conditional Fomating'!$D404,products!$A$1:$A$49,0),MATCH('Conditional Fomating'!I$1,products!$A$1:$D$1,0))</f>
        <v>Rob</v>
      </c>
      <c r="J404" t="str">
        <f t="shared" si="36"/>
        <v>Robusta</v>
      </c>
      <c r="K404" t="str">
        <f>INDEX(products!$A$1:$I$49,MATCH('Conditional Fomating'!$D404,products!$A$1:$A$49,0),MATCH('Conditional Fomating'!K$1,products!$A$1:$D$1,0))</f>
        <v>D</v>
      </c>
      <c r="L404" t="str">
        <f t="shared" si="37"/>
        <v>Dark</v>
      </c>
      <c r="M404">
        <f>INDEX(products!$A$1:$I$49,MATCH('Conditional Fomating'!$D404,products!$A$1:$A$49,0),MATCH('Conditional Fomating'!M$1,products!$A$1:$D$1,0))</f>
        <v>1</v>
      </c>
      <c r="N404">
        <f>_xlfn.XLOOKUP(D404,products!$A$2:$A$49,products!$E$2:$E$49)</f>
        <v>8.9499999999999993</v>
      </c>
      <c r="O404">
        <f>_xlfn.XLOOKUP(D404,products!$A$2:$A$49,products!$H$2:$H$49)</f>
        <v>8.4130000000000003</v>
      </c>
      <c r="P404">
        <f t="shared" si="38"/>
        <v>26.849999999999998</v>
      </c>
      <c r="Q404">
        <f t="shared" si="39"/>
        <v>25.239000000000001</v>
      </c>
      <c r="R404">
        <f t="shared" si="40"/>
        <v>1.6109999999999971</v>
      </c>
      <c r="S404" s="4">
        <f t="shared" si="41"/>
        <v>5.9999999999999894E-2</v>
      </c>
      <c r="T404" t="str">
        <f>_xlfn.XLOOKUP(C404,customers!$A$1:$A$1001,customers!$I$1:$I$1001,,0)</f>
        <v>Yes</v>
      </c>
    </row>
    <row r="405" spans="1:20"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INDEX(products!$A$1:$I$49,MATCH('Conditional Fomating'!$D405,products!$A$1:$A$49,0),MATCH('Conditional Fomating'!I$1,products!$A$1:$D$1,0))</f>
        <v>Lib</v>
      </c>
      <c r="J405" t="str">
        <f t="shared" si="36"/>
        <v>Liberica</v>
      </c>
      <c r="K405" t="str">
        <f>INDEX(products!$A$1:$I$49,MATCH('Conditional Fomating'!$D405,products!$A$1:$A$49,0),MATCH('Conditional Fomating'!K$1,products!$A$1:$D$1,0))</f>
        <v>L</v>
      </c>
      <c r="L405" t="str">
        <f t="shared" si="37"/>
        <v>Light</v>
      </c>
      <c r="M405">
        <f>INDEX(products!$A$1:$I$49,MATCH('Conditional Fomating'!$D405,products!$A$1:$A$49,0),MATCH('Conditional Fomating'!M$1,products!$A$1:$D$1,0))</f>
        <v>0.2</v>
      </c>
      <c r="N405">
        <f>_xlfn.XLOOKUP(D405,products!$A$2:$A$49,products!$E$2:$E$49)</f>
        <v>4.7549999999999999</v>
      </c>
      <c r="O405">
        <f>_xlfn.XLOOKUP(D405,products!$A$2:$A$49,products!$H$2:$H$49)</f>
        <v>4.1368499999999999</v>
      </c>
      <c r="P405">
        <f t="shared" si="38"/>
        <v>9.51</v>
      </c>
      <c r="Q405">
        <f t="shared" si="39"/>
        <v>8.2736999999999998</v>
      </c>
      <c r="R405">
        <f t="shared" si="40"/>
        <v>1.2363</v>
      </c>
      <c r="S405" s="4">
        <f t="shared" si="41"/>
        <v>0.13</v>
      </c>
      <c r="T405" t="str">
        <f>_xlfn.XLOOKUP(C405,customers!$A$1:$A$1001,customers!$I$1:$I$1001,,0)</f>
        <v>No</v>
      </c>
    </row>
    <row r="406" spans="1:20"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INDEX(products!$A$1:$I$49,MATCH('Conditional Fomating'!$D406,products!$A$1:$A$49,0),MATCH('Conditional Fomating'!I$1,products!$A$1:$D$1,0))</f>
        <v>Ara</v>
      </c>
      <c r="J406" t="str">
        <f t="shared" si="36"/>
        <v>Arabica</v>
      </c>
      <c r="K406" t="str">
        <f>INDEX(products!$A$1:$I$49,MATCH('Conditional Fomating'!$D406,products!$A$1:$A$49,0),MATCH('Conditional Fomating'!K$1,products!$A$1:$D$1,0))</f>
        <v>D</v>
      </c>
      <c r="L406" t="str">
        <f t="shared" si="37"/>
        <v>Dark</v>
      </c>
      <c r="M406">
        <f>INDEX(products!$A$1:$I$49,MATCH('Conditional Fomating'!$D406,products!$A$1:$A$49,0),MATCH('Conditional Fomating'!M$1,products!$A$1:$D$1,0))</f>
        <v>1</v>
      </c>
      <c r="N406">
        <f>_xlfn.XLOOKUP(D406,products!$A$2:$A$49,products!$E$2:$E$49)</f>
        <v>9.9499999999999993</v>
      </c>
      <c r="O406">
        <f>_xlfn.XLOOKUP(D406,products!$A$2:$A$49,products!$H$2:$H$49)</f>
        <v>9.0544999999999991</v>
      </c>
      <c r="P406">
        <f t="shared" si="38"/>
        <v>39.799999999999997</v>
      </c>
      <c r="Q406">
        <f t="shared" si="39"/>
        <v>36.217999999999996</v>
      </c>
      <c r="R406">
        <f t="shared" si="40"/>
        <v>3.5820000000000007</v>
      </c>
      <c r="S406" s="4">
        <f t="shared" si="41"/>
        <v>9.0000000000000024E-2</v>
      </c>
      <c r="T406" t="str">
        <f>_xlfn.XLOOKUP(C406,customers!$A$1:$A$1001,customers!$I$1:$I$1001,,0)</f>
        <v>No</v>
      </c>
    </row>
    <row r="407" spans="1:20"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INDEX(products!$A$1:$I$49,MATCH('Conditional Fomating'!$D407,products!$A$1:$A$49,0),MATCH('Conditional Fomating'!I$1,products!$A$1:$D$1,0))</f>
        <v>Exc</v>
      </c>
      <c r="J407" t="str">
        <f t="shared" si="36"/>
        <v>Excelsa</v>
      </c>
      <c r="K407" t="str">
        <f>INDEX(products!$A$1:$I$49,MATCH('Conditional Fomating'!$D407,products!$A$1:$A$49,0),MATCH('Conditional Fomating'!K$1,products!$A$1:$D$1,0))</f>
        <v>M</v>
      </c>
      <c r="L407" t="str">
        <f t="shared" si="37"/>
        <v>Medium</v>
      </c>
      <c r="M407">
        <f>INDEX(products!$A$1:$I$49,MATCH('Conditional Fomating'!$D407,products!$A$1:$A$49,0),MATCH('Conditional Fomating'!M$1,products!$A$1:$D$1,0))</f>
        <v>0.5</v>
      </c>
      <c r="N407">
        <f>_xlfn.XLOOKUP(D407,products!$A$2:$A$49,products!$E$2:$E$49)</f>
        <v>8.25</v>
      </c>
      <c r="O407">
        <f>_xlfn.XLOOKUP(D407,products!$A$2:$A$49,products!$H$2:$H$49)</f>
        <v>7.3425000000000002</v>
      </c>
      <c r="P407">
        <f t="shared" si="38"/>
        <v>24.75</v>
      </c>
      <c r="Q407">
        <f t="shared" si="39"/>
        <v>22.0275</v>
      </c>
      <c r="R407">
        <f t="shared" si="40"/>
        <v>2.7225000000000001</v>
      </c>
      <c r="S407" s="4">
        <f t="shared" si="41"/>
        <v>0.11</v>
      </c>
      <c r="T407" t="str">
        <f>_xlfn.XLOOKUP(C407,customers!$A$1:$A$1001,customers!$I$1:$I$1001,,0)</f>
        <v>Yes</v>
      </c>
    </row>
    <row r="408" spans="1:20"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INDEX(products!$A$1:$I$49,MATCH('Conditional Fomating'!$D408,products!$A$1:$A$49,0),MATCH('Conditional Fomating'!I$1,products!$A$1:$D$1,0))</f>
        <v>Exc</v>
      </c>
      <c r="J408" t="str">
        <f t="shared" si="36"/>
        <v>Excelsa</v>
      </c>
      <c r="K408" t="str">
        <f>INDEX(products!$A$1:$I$49,MATCH('Conditional Fomating'!$D408,products!$A$1:$A$49,0),MATCH('Conditional Fomating'!K$1,products!$A$1:$D$1,0))</f>
        <v>M</v>
      </c>
      <c r="L408" t="str">
        <f t="shared" si="37"/>
        <v>Medium</v>
      </c>
      <c r="M408">
        <f>INDEX(products!$A$1:$I$49,MATCH('Conditional Fomating'!$D408,products!$A$1:$A$49,0),MATCH('Conditional Fomating'!M$1,products!$A$1:$D$1,0))</f>
        <v>1</v>
      </c>
      <c r="N408">
        <f>_xlfn.XLOOKUP(D408,products!$A$2:$A$49,products!$E$2:$E$49)</f>
        <v>13.75</v>
      </c>
      <c r="O408">
        <f>_xlfn.XLOOKUP(D408,products!$A$2:$A$49,products!$H$2:$H$49)</f>
        <v>12.237500000000001</v>
      </c>
      <c r="P408">
        <f t="shared" si="38"/>
        <v>68.75</v>
      </c>
      <c r="Q408">
        <f t="shared" si="39"/>
        <v>61.1875</v>
      </c>
      <c r="R408">
        <f t="shared" si="40"/>
        <v>7.5625</v>
      </c>
      <c r="S408" s="4">
        <f t="shared" si="41"/>
        <v>0.11</v>
      </c>
      <c r="T408" t="str">
        <f>_xlfn.XLOOKUP(C408,customers!$A$1:$A$1001,customers!$I$1:$I$1001,,0)</f>
        <v>Yes</v>
      </c>
    </row>
    <row r="409" spans="1:20"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v>
      </c>
      <c r="H409" s="2" t="str">
        <f>_xlfn.XLOOKUP(C409,customers!$A$1:$A$1001,customers!$G$1:$G$1001,,0)</f>
        <v>Ireland</v>
      </c>
      <c r="I409" t="str">
        <f>INDEX(products!$A$1:$I$49,MATCH('Conditional Fomating'!$D409,products!$A$1:$A$49,0),MATCH('Conditional Fomating'!I$1,products!$A$1:$D$1,0))</f>
        <v>Exc</v>
      </c>
      <c r="J409" t="str">
        <f t="shared" si="36"/>
        <v>Excelsa</v>
      </c>
      <c r="K409" t="str">
        <f>INDEX(products!$A$1:$I$49,MATCH('Conditional Fomating'!$D409,products!$A$1:$A$49,0),MATCH('Conditional Fomating'!K$1,products!$A$1:$D$1,0))</f>
        <v>M</v>
      </c>
      <c r="L409" t="str">
        <f t="shared" si="37"/>
        <v>Medium</v>
      </c>
      <c r="M409">
        <f>INDEX(products!$A$1:$I$49,MATCH('Conditional Fomating'!$D409,products!$A$1:$A$49,0),MATCH('Conditional Fomating'!M$1,products!$A$1:$D$1,0))</f>
        <v>0.5</v>
      </c>
      <c r="N409">
        <f>_xlfn.XLOOKUP(D409,products!$A$2:$A$49,products!$E$2:$E$49)</f>
        <v>8.25</v>
      </c>
      <c r="O409">
        <f>_xlfn.XLOOKUP(D409,products!$A$2:$A$49,products!$H$2:$H$49)</f>
        <v>7.3425000000000002</v>
      </c>
      <c r="P409">
        <f t="shared" si="38"/>
        <v>49.5</v>
      </c>
      <c r="Q409">
        <f t="shared" si="39"/>
        <v>44.055</v>
      </c>
      <c r="R409">
        <f t="shared" si="40"/>
        <v>5.4450000000000003</v>
      </c>
      <c r="S409" s="4">
        <f t="shared" si="41"/>
        <v>0.11</v>
      </c>
      <c r="T409" t="str">
        <f>_xlfn.XLOOKUP(C409,customers!$A$1:$A$1001,customers!$I$1:$I$1001,,0)</f>
        <v>No</v>
      </c>
    </row>
    <row r="410" spans="1:20"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INDEX(products!$A$1:$I$49,MATCH('Conditional Fomating'!$D410,products!$A$1:$A$49,0),MATCH('Conditional Fomating'!I$1,products!$A$1:$D$1,0))</f>
        <v>Ara</v>
      </c>
      <c r="J410" t="str">
        <f t="shared" si="36"/>
        <v>Arabica</v>
      </c>
      <c r="K410" t="str">
        <f>INDEX(products!$A$1:$I$49,MATCH('Conditional Fomating'!$D410,products!$A$1:$A$49,0),MATCH('Conditional Fomating'!K$1,products!$A$1:$D$1,0))</f>
        <v>M</v>
      </c>
      <c r="L410" t="str">
        <f t="shared" si="37"/>
        <v>Medium</v>
      </c>
      <c r="M410">
        <f>INDEX(products!$A$1:$I$49,MATCH('Conditional Fomating'!$D410,products!$A$1:$A$49,0),MATCH('Conditional Fomating'!M$1,products!$A$1:$D$1,0))</f>
        <v>2.5</v>
      </c>
      <c r="N410">
        <f>_xlfn.XLOOKUP(D410,products!$A$2:$A$49,products!$E$2:$E$49)</f>
        <v>25.874999999999996</v>
      </c>
      <c r="O410">
        <f>_xlfn.XLOOKUP(D410,products!$A$2:$A$49,products!$H$2:$H$49)</f>
        <v>23.546249999999997</v>
      </c>
      <c r="P410">
        <f t="shared" si="38"/>
        <v>51.749999999999993</v>
      </c>
      <c r="Q410">
        <f t="shared" si="39"/>
        <v>47.092499999999994</v>
      </c>
      <c r="R410">
        <f t="shared" si="40"/>
        <v>4.6574999999999989</v>
      </c>
      <c r="S410" s="4">
        <f t="shared" si="41"/>
        <v>0.09</v>
      </c>
      <c r="T410" t="str">
        <f>_xlfn.XLOOKUP(C410,customers!$A$1:$A$1001,customers!$I$1:$I$1001,,0)</f>
        <v>Yes</v>
      </c>
    </row>
    <row r="411" spans="1:20"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v>
      </c>
      <c r="H411" s="2" t="str">
        <f>_xlfn.XLOOKUP(C411,customers!$A$1:$A$1001,customers!$G$1:$G$1001,,0)</f>
        <v>Ireland</v>
      </c>
      <c r="I411" t="str">
        <f>INDEX(products!$A$1:$I$49,MATCH('Conditional Fomating'!$D411,products!$A$1:$A$49,0),MATCH('Conditional Fomating'!I$1,products!$A$1:$D$1,0))</f>
        <v>Lib</v>
      </c>
      <c r="J411" t="str">
        <f t="shared" si="36"/>
        <v>Liberica</v>
      </c>
      <c r="K411" t="str">
        <f>INDEX(products!$A$1:$I$49,MATCH('Conditional Fomating'!$D411,products!$A$1:$A$49,0),MATCH('Conditional Fomating'!K$1,products!$A$1:$D$1,0))</f>
        <v>L</v>
      </c>
      <c r="L411" t="str">
        <f t="shared" si="37"/>
        <v>Light</v>
      </c>
      <c r="M411">
        <f>INDEX(products!$A$1:$I$49,MATCH('Conditional Fomating'!$D411,products!$A$1:$A$49,0),MATCH('Conditional Fomating'!M$1,products!$A$1:$D$1,0))</f>
        <v>1</v>
      </c>
      <c r="N411">
        <f>_xlfn.XLOOKUP(D411,products!$A$2:$A$49,products!$E$2:$E$49)</f>
        <v>15.85</v>
      </c>
      <c r="O411">
        <f>_xlfn.XLOOKUP(D411,products!$A$2:$A$49,products!$H$2:$H$49)</f>
        <v>13.7895</v>
      </c>
      <c r="P411">
        <f t="shared" si="38"/>
        <v>47.55</v>
      </c>
      <c r="Q411">
        <f t="shared" si="39"/>
        <v>41.368499999999997</v>
      </c>
      <c r="R411">
        <f t="shared" si="40"/>
        <v>6.1814999999999998</v>
      </c>
      <c r="S411" s="4">
        <f t="shared" si="41"/>
        <v>0.13</v>
      </c>
      <c r="T411" t="str">
        <f>_xlfn.XLOOKUP(C411,customers!$A$1:$A$1001,customers!$I$1:$I$1001,,0)</f>
        <v>Yes</v>
      </c>
    </row>
    <row r="412" spans="1:20"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v>
      </c>
      <c r="H412" s="2" t="str">
        <f>_xlfn.XLOOKUP(C412,customers!$A$1:$A$1001,customers!$G$1:$G$1001,,0)</f>
        <v>United States</v>
      </c>
      <c r="I412" t="str">
        <f>INDEX(products!$A$1:$I$49,MATCH('Conditional Fomating'!$D412,products!$A$1:$A$49,0),MATCH('Conditional Fomating'!I$1,products!$A$1:$D$1,0))</f>
        <v>Ara</v>
      </c>
      <c r="J412" t="str">
        <f t="shared" si="36"/>
        <v>Arabica</v>
      </c>
      <c r="K412" t="str">
        <f>INDEX(products!$A$1:$I$49,MATCH('Conditional Fomating'!$D412,products!$A$1:$A$49,0),MATCH('Conditional Fomating'!K$1,products!$A$1:$D$1,0))</f>
        <v>L</v>
      </c>
      <c r="L412" t="str">
        <f t="shared" si="37"/>
        <v>Light</v>
      </c>
      <c r="M412">
        <f>INDEX(products!$A$1:$I$49,MATCH('Conditional Fomating'!$D412,products!$A$1:$A$49,0),MATCH('Conditional Fomating'!M$1,products!$A$1:$D$1,0))</f>
        <v>0.2</v>
      </c>
      <c r="N412">
        <f>_xlfn.XLOOKUP(D412,products!$A$2:$A$49,products!$E$2:$E$49)</f>
        <v>3.8849999999999998</v>
      </c>
      <c r="O412">
        <f>_xlfn.XLOOKUP(D412,products!$A$2:$A$49,products!$H$2:$H$49)</f>
        <v>3.5353499999999998</v>
      </c>
      <c r="P412">
        <f t="shared" si="38"/>
        <v>15.54</v>
      </c>
      <c r="Q412">
        <f t="shared" si="39"/>
        <v>14.141399999999999</v>
      </c>
      <c r="R412">
        <f t="shared" si="40"/>
        <v>1.3986000000000001</v>
      </c>
      <c r="S412" s="4">
        <f t="shared" si="41"/>
        <v>9.0000000000000011E-2</v>
      </c>
      <c r="T412" t="str">
        <f>_xlfn.XLOOKUP(C412,customers!$A$1:$A$1001,customers!$I$1:$I$1001,,0)</f>
        <v>No</v>
      </c>
    </row>
    <row r="413" spans="1:20"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v>
      </c>
      <c r="H413" s="2" t="str">
        <f>_xlfn.XLOOKUP(C413,customers!$A$1:$A$1001,customers!$G$1:$G$1001,,0)</f>
        <v>United States</v>
      </c>
      <c r="I413" t="str">
        <f>INDEX(products!$A$1:$I$49,MATCH('Conditional Fomating'!$D413,products!$A$1:$A$49,0),MATCH('Conditional Fomating'!I$1,products!$A$1:$D$1,0))</f>
        <v>Lib</v>
      </c>
      <c r="J413" t="str">
        <f t="shared" si="36"/>
        <v>Liberica</v>
      </c>
      <c r="K413" t="str">
        <f>INDEX(products!$A$1:$I$49,MATCH('Conditional Fomating'!$D413,products!$A$1:$A$49,0),MATCH('Conditional Fomating'!K$1,products!$A$1:$D$1,0))</f>
        <v>M</v>
      </c>
      <c r="L413" t="str">
        <f t="shared" si="37"/>
        <v>Medium</v>
      </c>
      <c r="M413">
        <f>INDEX(products!$A$1:$I$49,MATCH('Conditional Fomating'!$D413,products!$A$1:$A$49,0),MATCH('Conditional Fomating'!M$1,products!$A$1:$D$1,0))</f>
        <v>1</v>
      </c>
      <c r="N413">
        <f>_xlfn.XLOOKUP(D413,products!$A$2:$A$49,products!$E$2:$E$49)</f>
        <v>14.55</v>
      </c>
      <c r="O413">
        <f>_xlfn.XLOOKUP(D413,products!$A$2:$A$49,products!$H$2:$H$49)</f>
        <v>12.6585</v>
      </c>
      <c r="P413">
        <f t="shared" si="38"/>
        <v>87.300000000000011</v>
      </c>
      <c r="Q413">
        <f t="shared" si="39"/>
        <v>75.950999999999993</v>
      </c>
      <c r="R413">
        <f t="shared" si="40"/>
        <v>11.349000000000018</v>
      </c>
      <c r="S413" s="4">
        <f t="shared" si="41"/>
        <v>0.1300000000000002</v>
      </c>
      <c r="T413" t="str">
        <f>_xlfn.XLOOKUP(C413,customers!$A$1:$A$1001,customers!$I$1:$I$1001,,0)</f>
        <v>Yes</v>
      </c>
    </row>
    <row r="414" spans="1:20"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v>
      </c>
      <c r="H414" s="2" t="str">
        <f>_xlfn.XLOOKUP(C414,customers!$A$1:$A$1001,customers!$G$1:$G$1001,,0)</f>
        <v>United States</v>
      </c>
      <c r="I414" t="str">
        <f>INDEX(products!$A$1:$I$49,MATCH('Conditional Fomating'!$D414,products!$A$1:$A$49,0),MATCH('Conditional Fomating'!I$1,products!$A$1:$D$1,0))</f>
        <v>Ara</v>
      </c>
      <c r="J414" t="str">
        <f t="shared" si="36"/>
        <v>Arabica</v>
      </c>
      <c r="K414" t="str">
        <f>INDEX(products!$A$1:$I$49,MATCH('Conditional Fomating'!$D414,products!$A$1:$A$49,0),MATCH('Conditional Fomating'!K$1,products!$A$1:$D$1,0))</f>
        <v>M</v>
      </c>
      <c r="L414" t="str">
        <f t="shared" si="37"/>
        <v>Medium</v>
      </c>
      <c r="M414">
        <f>INDEX(products!$A$1:$I$49,MATCH('Conditional Fomating'!$D414,products!$A$1:$A$49,0),MATCH('Conditional Fomating'!M$1,products!$A$1:$D$1,0))</f>
        <v>1</v>
      </c>
      <c r="N414">
        <f>_xlfn.XLOOKUP(D414,products!$A$2:$A$49,products!$E$2:$E$49)</f>
        <v>11.25</v>
      </c>
      <c r="O414">
        <f>_xlfn.XLOOKUP(D414,products!$A$2:$A$49,products!$H$2:$H$49)</f>
        <v>10.237500000000001</v>
      </c>
      <c r="P414">
        <f t="shared" si="38"/>
        <v>56.25</v>
      </c>
      <c r="Q414">
        <f t="shared" si="39"/>
        <v>51.1875</v>
      </c>
      <c r="R414">
        <f t="shared" si="40"/>
        <v>5.0625</v>
      </c>
      <c r="S414" s="4">
        <f t="shared" si="41"/>
        <v>0.09</v>
      </c>
      <c r="T414" t="str">
        <f>_xlfn.XLOOKUP(C414,customers!$A$1:$A$1001,customers!$I$1:$I$1001,,0)</f>
        <v>Yes</v>
      </c>
    </row>
    <row r="415" spans="1:20"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INDEX(products!$A$1:$I$49,MATCH('Conditional Fomating'!$D415,products!$A$1:$A$49,0),MATCH('Conditional Fomating'!I$1,products!$A$1:$D$1,0))</f>
        <v>Lib</v>
      </c>
      <c r="J415" t="str">
        <f t="shared" si="36"/>
        <v>Liberica</v>
      </c>
      <c r="K415" t="str">
        <f>INDEX(products!$A$1:$I$49,MATCH('Conditional Fomating'!$D415,products!$A$1:$A$49,0),MATCH('Conditional Fomating'!K$1,products!$A$1:$D$1,0))</f>
        <v>L</v>
      </c>
      <c r="L415" t="str">
        <f t="shared" si="37"/>
        <v>Light</v>
      </c>
      <c r="M415">
        <f>INDEX(products!$A$1:$I$49,MATCH('Conditional Fomating'!$D415,products!$A$1:$A$49,0),MATCH('Conditional Fomating'!M$1,products!$A$1:$D$1,0))</f>
        <v>2.5</v>
      </c>
      <c r="N415">
        <f>_xlfn.XLOOKUP(D415,products!$A$2:$A$49,products!$E$2:$E$49)</f>
        <v>36.454999999999998</v>
      </c>
      <c r="O415">
        <f>_xlfn.XLOOKUP(D415,products!$A$2:$A$49,products!$H$2:$H$49)</f>
        <v>31.71585</v>
      </c>
      <c r="P415">
        <f t="shared" si="38"/>
        <v>36.454999999999998</v>
      </c>
      <c r="Q415">
        <f t="shared" si="39"/>
        <v>31.71585</v>
      </c>
      <c r="R415">
        <f t="shared" si="40"/>
        <v>4.7391499999999986</v>
      </c>
      <c r="S415" s="4">
        <f t="shared" si="41"/>
        <v>0.12999999999999998</v>
      </c>
      <c r="T415" t="str">
        <f>_xlfn.XLOOKUP(C415,customers!$A$1:$A$1001,customers!$I$1:$I$1001,,0)</f>
        <v>Yes</v>
      </c>
    </row>
    <row r="416" spans="1:20"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v>
      </c>
      <c r="H416" s="2" t="str">
        <f>_xlfn.XLOOKUP(C416,customers!$A$1:$A$1001,customers!$G$1:$G$1001,,0)</f>
        <v>United States</v>
      </c>
      <c r="I416" t="str">
        <f>INDEX(products!$A$1:$I$49,MATCH('Conditional Fomating'!$D416,products!$A$1:$A$49,0),MATCH('Conditional Fomating'!I$1,products!$A$1:$D$1,0))</f>
        <v>Rob</v>
      </c>
      <c r="J416" t="str">
        <f t="shared" si="36"/>
        <v>Robusta</v>
      </c>
      <c r="K416" t="str">
        <f>INDEX(products!$A$1:$I$49,MATCH('Conditional Fomating'!$D416,products!$A$1:$A$49,0),MATCH('Conditional Fomating'!K$1,products!$A$1:$D$1,0))</f>
        <v>L</v>
      </c>
      <c r="L416" t="str">
        <f t="shared" si="37"/>
        <v>Light</v>
      </c>
      <c r="M416">
        <f>INDEX(products!$A$1:$I$49,MATCH('Conditional Fomating'!$D416,products!$A$1:$A$49,0),MATCH('Conditional Fomating'!M$1,products!$A$1:$D$1,0))</f>
        <v>0.2</v>
      </c>
      <c r="N416">
        <f>_xlfn.XLOOKUP(D416,products!$A$2:$A$49,products!$E$2:$E$49)</f>
        <v>3.5849999999999995</v>
      </c>
      <c r="O416">
        <f>_xlfn.XLOOKUP(D416,products!$A$2:$A$49,products!$H$2:$H$49)</f>
        <v>3.3698999999999995</v>
      </c>
      <c r="P416">
        <f t="shared" si="38"/>
        <v>10.754999999999999</v>
      </c>
      <c r="Q416">
        <f t="shared" si="39"/>
        <v>10.109699999999998</v>
      </c>
      <c r="R416">
        <f t="shared" si="40"/>
        <v>0.64530000000000065</v>
      </c>
      <c r="S416" s="4">
        <f t="shared" si="41"/>
        <v>6.0000000000000067E-2</v>
      </c>
      <c r="T416" t="str">
        <f>_xlfn.XLOOKUP(C416,customers!$A$1:$A$1001,customers!$I$1:$I$1001,,0)</f>
        <v>Yes</v>
      </c>
    </row>
    <row r="417" spans="1:20"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INDEX(products!$A$1:$I$49,MATCH('Conditional Fomating'!$D417,products!$A$1:$A$49,0),MATCH('Conditional Fomating'!I$1,products!$A$1:$D$1,0))</f>
        <v>Rob</v>
      </c>
      <c r="J417" t="str">
        <f t="shared" si="36"/>
        <v>Robusta</v>
      </c>
      <c r="K417" t="str">
        <f>INDEX(products!$A$1:$I$49,MATCH('Conditional Fomating'!$D417,products!$A$1:$A$49,0),MATCH('Conditional Fomating'!K$1,products!$A$1:$D$1,0))</f>
        <v>M</v>
      </c>
      <c r="L417" t="str">
        <f t="shared" si="37"/>
        <v>Medium</v>
      </c>
      <c r="M417">
        <f>INDEX(products!$A$1:$I$49,MATCH('Conditional Fomating'!$D417,products!$A$1:$A$49,0),MATCH('Conditional Fomating'!M$1,products!$A$1:$D$1,0))</f>
        <v>0.2</v>
      </c>
      <c r="N417">
        <f>_xlfn.XLOOKUP(D417,products!$A$2:$A$49,products!$E$2:$E$49)</f>
        <v>2.9849999999999999</v>
      </c>
      <c r="O417">
        <f>_xlfn.XLOOKUP(D417,products!$A$2:$A$49,products!$H$2:$H$49)</f>
        <v>2.8058999999999998</v>
      </c>
      <c r="P417">
        <f t="shared" si="38"/>
        <v>8.9550000000000001</v>
      </c>
      <c r="Q417">
        <f t="shared" si="39"/>
        <v>8.4177</v>
      </c>
      <c r="R417">
        <f t="shared" si="40"/>
        <v>0.53730000000000011</v>
      </c>
      <c r="S417" s="4">
        <f t="shared" si="41"/>
        <v>6.0000000000000012E-2</v>
      </c>
      <c r="T417" t="str">
        <f>_xlfn.XLOOKUP(C417,customers!$A$1:$A$1001,customers!$I$1:$I$1001,,0)</f>
        <v>No</v>
      </c>
    </row>
    <row r="418" spans="1:20"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v>
      </c>
      <c r="H418" s="2" t="str">
        <f>_xlfn.XLOOKUP(C418,customers!$A$1:$A$1001,customers!$G$1:$G$1001,,0)</f>
        <v>United States</v>
      </c>
      <c r="I418" t="str">
        <f>INDEX(products!$A$1:$I$49,MATCH('Conditional Fomating'!$D418,products!$A$1:$A$49,0),MATCH('Conditional Fomating'!I$1,products!$A$1:$D$1,0))</f>
        <v>Ara</v>
      </c>
      <c r="J418" t="str">
        <f t="shared" si="36"/>
        <v>Arabica</v>
      </c>
      <c r="K418" t="str">
        <f>INDEX(products!$A$1:$I$49,MATCH('Conditional Fomating'!$D418,products!$A$1:$A$49,0),MATCH('Conditional Fomating'!K$1,products!$A$1:$D$1,0))</f>
        <v>L</v>
      </c>
      <c r="L418" t="str">
        <f t="shared" si="37"/>
        <v>Light</v>
      </c>
      <c r="M418">
        <f>INDEX(products!$A$1:$I$49,MATCH('Conditional Fomating'!$D418,products!$A$1:$A$49,0),MATCH('Conditional Fomating'!M$1,products!$A$1:$D$1,0))</f>
        <v>0.5</v>
      </c>
      <c r="N418">
        <f>_xlfn.XLOOKUP(D418,products!$A$2:$A$49,products!$E$2:$E$49)</f>
        <v>7.77</v>
      </c>
      <c r="O418">
        <f>_xlfn.XLOOKUP(D418,products!$A$2:$A$49,products!$H$2:$H$49)</f>
        <v>7.0706999999999995</v>
      </c>
      <c r="P418">
        <f t="shared" si="38"/>
        <v>23.31</v>
      </c>
      <c r="Q418">
        <f t="shared" si="39"/>
        <v>21.2121</v>
      </c>
      <c r="R418">
        <f t="shared" si="40"/>
        <v>2.0978999999999992</v>
      </c>
      <c r="S418" s="4">
        <f t="shared" si="41"/>
        <v>8.9999999999999969E-2</v>
      </c>
      <c r="T418" t="str">
        <f>_xlfn.XLOOKUP(C418,customers!$A$1:$A$1001,customers!$I$1:$I$1001,,0)</f>
        <v>Yes</v>
      </c>
    </row>
    <row r="419" spans="1:20"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v>
      </c>
      <c r="H419" s="2" t="str">
        <f>_xlfn.XLOOKUP(C419,customers!$A$1:$A$1001,customers!$G$1:$G$1001,,0)</f>
        <v>United States</v>
      </c>
      <c r="I419" t="str">
        <f>INDEX(products!$A$1:$I$49,MATCH('Conditional Fomating'!$D419,products!$A$1:$A$49,0),MATCH('Conditional Fomating'!I$1,products!$A$1:$D$1,0))</f>
        <v>Ara</v>
      </c>
      <c r="J419" t="str">
        <f t="shared" si="36"/>
        <v>Arabica</v>
      </c>
      <c r="K419" t="str">
        <f>INDEX(products!$A$1:$I$49,MATCH('Conditional Fomating'!$D419,products!$A$1:$A$49,0),MATCH('Conditional Fomating'!K$1,products!$A$1:$D$1,0))</f>
        <v>L</v>
      </c>
      <c r="L419" t="str">
        <f t="shared" si="37"/>
        <v>Light</v>
      </c>
      <c r="M419">
        <f>INDEX(products!$A$1:$I$49,MATCH('Conditional Fomating'!$D419,products!$A$1:$A$49,0),MATCH('Conditional Fomating'!M$1,products!$A$1:$D$1,0))</f>
        <v>2.5</v>
      </c>
      <c r="N419">
        <f>_xlfn.XLOOKUP(D419,products!$A$2:$A$49,products!$E$2:$E$49)</f>
        <v>29.784999999999997</v>
      </c>
      <c r="O419">
        <f>_xlfn.XLOOKUP(D419,products!$A$2:$A$49,products!$H$2:$H$49)</f>
        <v>27.104349999999997</v>
      </c>
      <c r="P419">
        <f t="shared" si="38"/>
        <v>29.784999999999997</v>
      </c>
      <c r="Q419">
        <f t="shared" si="39"/>
        <v>27.104349999999997</v>
      </c>
      <c r="R419">
        <f t="shared" si="40"/>
        <v>2.68065</v>
      </c>
      <c r="S419" s="4">
        <f t="shared" si="41"/>
        <v>9.0000000000000011E-2</v>
      </c>
      <c r="T419" t="str">
        <f>_xlfn.XLOOKUP(C419,customers!$A$1:$A$1001,customers!$I$1:$I$1001,,0)</f>
        <v>Yes</v>
      </c>
    </row>
    <row r="420" spans="1:20"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INDEX(products!$A$1:$I$49,MATCH('Conditional Fomating'!$D420,products!$A$1:$A$49,0),MATCH('Conditional Fomating'!I$1,products!$A$1:$D$1,0))</f>
        <v>Ara</v>
      </c>
      <c r="J420" t="str">
        <f t="shared" si="36"/>
        <v>Arabica</v>
      </c>
      <c r="K420" t="str">
        <f>INDEX(products!$A$1:$I$49,MATCH('Conditional Fomating'!$D420,products!$A$1:$A$49,0),MATCH('Conditional Fomating'!K$1,products!$A$1:$D$1,0))</f>
        <v>L</v>
      </c>
      <c r="L420" t="str">
        <f t="shared" si="37"/>
        <v>Light</v>
      </c>
      <c r="M420">
        <f>INDEX(products!$A$1:$I$49,MATCH('Conditional Fomating'!$D420,products!$A$1:$A$49,0),MATCH('Conditional Fomating'!M$1,products!$A$1:$D$1,0))</f>
        <v>2.5</v>
      </c>
      <c r="N420">
        <f>_xlfn.XLOOKUP(D420,products!$A$2:$A$49,products!$E$2:$E$49)</f>
        <v>29.784999999999997</v>
      </c>
      <c r="O420">
        <f>_xlfn.XLOOKUP(D420,products!$A$2:$A$49,products!$H$2:$H$49)</f>
        <v>27.104349999999997</v>
      </c>
      <c r="P420">
        <f t="shared" si="38"/>
        <v>148.92499999999998</v>
      </c>
      <c r="Q420">
        <f t="shared" si="39"/>
        <v>135.52175</v>
      </c>
      <c r="R420">
        <f t="shared" si="40"/>
        <v>13.403249999999986</v>
      </c>
      <c r="S420" s="4">
        <f t="shared" si="41"/>
        <v>8.9999999999999913E-2</v>
      </c>
      <c r="T420" t="str">
        <f>_xlfn.XLOOKUP(C420,customers!$A$1:$A$1001,customers!$I$1:$I$1001,,0)</f>
        <v>Yes</v>
      </c>
    </row>
    <row r="421" spans="1:20"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INDEX(products!$A$1:$I$49,MATCH('Conditional Fomating'!$D421,products!$A$1:$A$49,0),MATCH('Conditional Fomating'!I$1,products!$A$1:$D$1,0))</f>
        <v>Lib</v>
      </c>
      <c r="J421" t="str">
        <f t="shared" si="36"/>
        <v>Liberica</v>
      </c>
      <c r="K421" t="str">
        <f>INDEX(products!$A$1:$I$49,MATCH('Conditional Fomating'!$D421,products!$A$1:$A$49,0),MATCH('Conditional Fomating'!K$1,products!$A$1:$D$1,0))</f>
        <v>M</v>
      </c>
      <c r="L421" t="str">
        <f t="shared" si="37"/>
        <v>Medium</v>
      </c>
      <c r="M421">
        <f>INDEX(products!$A$1:$I$49,MATCH('Conditional Fomating'!$D421,products!$A$1:$A$49,0),MATCH('Conditional Fomating'!M$1,products!$A$1:$D$1,0))</f>
        <v>0.5</v>
      </c>
      <c r="N421">
        <f>_xlfn.XLOOKUP(D421,products!$A$2:$A$49,products!$E$2:$E$49)</f>
        <v>8.73</v>
      </c>
      <c r="O421">
        <f>_xlfn.XLOOKUP(D421,products!$A$2:$A$49,products!$H$2:$H$49)</f>
        <v>7.5951000000000004</v>
      </c>
      <c r="P421">
        <f t="shared" si="38"/>
        <v>8.73</v>
      </c>
      <c r="Q421">
        <f t="shared" si="39"/>
        <v>7.5951000000000004</v>
      </c>
      <c r="R421">
        <f t="shared" si="40"/>
        <v>1.1349</v>
      </c>
      <c r="S421" s="4">
        <f t="shared" si="41"/>
        <v>0.13</v>
      </c>
      <c r="T421" t="str">
        <f>_xlfn.XLOOKUP(C421,customers!$A$1:$A$1001,customers!$I$1:$I$1001,,0)</f>
        <v>Yes</v>
      </c>
    </row>
    <row r="422" spans="1:20"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INDEX(products!$A$1:$I$49,MATCH('Conditional Fomating'!$D422,products!$A$1:$A$49,0),MATCH('Conditional Fomating'!I$1,products!$A$1:$D$1,0))</f>
        <v>Lib</v>
      </c>
      <c r="J422" t="str">
        <f t="shared" si="36"/>
        <v>Liberica</v>
      </c>
      <c r="K422" t="str">
        <f>INDEX(products!$A$1:$I$49,MATCH('Conditional Fomating'!$D422,products!$A$1:$A$49,0),MATCH('Conditional Fomating'!K$1,products!$A$1:$D$1,0))</f>
        <v>D</v>
      </c>
      <c r="L422" t="str">
        <f t="shared" si="37"/>
        <v>Dark</v>
      </c>
      <c r="M422">
        <f>INDEX(products!$A$1:$I$49,MATCH('Conditional Fomating'!$D422,products!$A$1:$A$49,0),MATCH('Conditional Fomating'!M$1,products!$A$1:$D$1,0))</f>
        <v>0.5</v>
      </c>
      <c r="N422">
        <f>_xlfn.XLOOKUP(D422,products!$A$2:$A$49,products!$E$2:$E$49)</f>
        <v>7.77</v>
      </c>
      <c r="O422">
        <f>_xlfn.XLOOKUP(D422,products!$A$2:$A$49,products!$H$2:$H$49)</f>
        <v>6.7599</v>
      </c>
      <c r="P422">
        <f t="shared" si="38"/>
        <v>31.08</v>
      </c>
      <c r="Q422">
        <f t="shared" si="39"/>
        <v>27.0396</v>
      </c>
      <c r="R422">
        <f t="shared" si="40"/>
        <v>4.0403999999999982</v>
      </c>
      <c r="S422" s="4">
        <f t="shared" si="41"/>
        <v>0.12999999999999995</v>
      </c>
      <c r="T422" t="str">
        <f>_xlfn.XLOOKUP(C422,customers!$A$1:$A$1001,customers!$I$1:$I$1001,,0)</f>
        <v>No</v>
      </c>
    </row>
    <row r="423" spans="1:20"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INDEX(products!$A$1:$I$49,MATCH('Conditional Fomating'!$D423,products!$A$1:$A$49,0),MATCH('Conditional Fomating'!I$1,products!$A$1:$D$1,0))</f>
        <v>Ara</v>
      </c>
      <c r="J423" t="str">
        <f t="shared" si="36"/>
        <v>Arabica</v>
      </c>
      <c r="K423" t="str">
        <f>INDEX(products!$A$1:$I$49,MATCH('Conditional Fomating'!$D423,products!$A$1:$A$49,0),MATCH('Conditional Fomating'!K$1,products!$A$1:$D$1,0))</f>
        <v>D</v>
      </c>
      <c r="L423" t="str">
        <f t="shared" si="37"/>
        <v>Dark</v>
      </c>
      <c r="M423">
        <f>INDEX(products!$A$1:$I$49,MATCH('Conditional Fomating'!$D423,products!$A$1:$A$49,0),MATCH('Conditional Fomating'!M$1,products!$A$1:$D$1,0))</f>
        <v>2.5</v>
      </c>
      <c r="N423">
        <f>_xlfn.XLOOKUP(D423,products!$A$2:$A$49,products!$E$2:$E$49)</f>
        <v>22.884999999999998</v>
      </c>
      <c r="O423">
        <f>_xlfn.XLOOKUP(D423,products!$A$2:$A$49,products!$H$2:$H$49)</f>
        <v>20.82535</v>
      </c>
      <c r="P423">
        <f t="shared" si="38"/>
        <v>137.31</v>
      </c>
      <c r="Q423">
        <f t="shared" si="39"/>
        <v>124.9521</v>
      </c>
      <c r="R423">
        <f t="shared" si="40"/>
        <v>12.357900000000001</v>
      </c>
      <c r="S423" s="4">
        <f t="shared" si="41"/>
        <v>9.0000000000000011E-2</v>
      </c>
      <c r="T423" t="str">
        <f>_xlfn.XLOOKUP(C423,customers!$A$1:$A$1001,customers!$I$1:$I$1001,,0)</f>
        <v>No</v>
      </c>
    </row>
    <row r="424" spans="1:20"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v>
      </c>
      <c r="H424" s="2" t="str">
        <f>_xlfn.XLOOKUP(C424,customers!$A$1:$A$1001,customers!$G$1:$G$1001,,0)</f>
        <v>United States</v>
      </c>
      <c r="I424" t="str">
        <f>INDEX(products!$A$1:$I$49,MATCH('Conditional Fomating'!$D424,products!$A$1:$A$49,0),MATCH('Conditional Fomating'!I$1,products!$A$1:$D$1,0))</f>
        <v>Ara</v>
      </c>
      <c r="J424" t="str">
        <f t="shared" si="36"/>
        <v>Arabica</v>
      </c>
      <c r="K424" t="str">
        <f>INDEX(products!$A$1:$I$49,MATCH('Conditional Fomating'!$D424,products!$A$1:$A$49,0),MATCH('Conditional Fomating'!K$1,products!$A$1:$D$1,0))</f>
        <v>D</v>
      </c>
      <c r="L424" t="str">
        <f t="shared" si="37"/>
        <v>Dark</v>
      </c>
      <c r="M424">
        <f>INDEX(products!$A$1:$I$49,MATCH('Conditional Fomating'!$D424,products!$A$1:$A$49,0),MATCH('Conditional Fomating'!M$1,products!$A$1:$D$1,0))</f>
        <v>0.5</v>
      </c>
      <c r="N424">
        <f>_xlfn.XLOOKUP(D424,products!$A$2:$A$49,products!$E$2:$E$49)</f>
        <v>5.97</v>
      </c>
      <c r="O424">
        <f>_xlfn.XLOOKUP(D424,products!$A$2:$A$49,products!$H$2:$H$49)</f>
        <v>5.4326999999999996</v>
      </c>
      <c r="P424">
        <f t="shared" si="38"/>
        <v>29.849999999999998</v>
      </c>
      <c r="Q424">
        <f t="shared" si="39"/>
        <v>27.163499999999999</v>
      </c>
      <c r="R424">
        <f t="shared" si="40"/>
        <v>2.6864999999999988</v>
      </c>
      <c r="S424" s="4">
        <f t="shared" si="41"/>
        <v>8.9999999999999969E-2</v>
      </c>
      <c r="T424" t="str">
        <f>_xlfn.XLOOKUP(C424,customers!$A$1:$A$1001,customers!$I$1:$I$1001,,0)</f>
        <v>No</v>
      </c>
    </row>
    <row r="425" spans="1:20"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v>
      </c>
      <c r="H425" s="2" t="str">
        <f>_xlfn.XLOOKUP(C425,customers!$A$1:$A$1001,customers!$G$1:$G$1001,,0)</f>
        <v>United States</v>
      </c>
      <c r="I425" t="str">
        <f>INDEX(products!$A$1:$I$49,MATCH('Conditional Fomating'!$D425,products!$A$1:$A$49,0),MATCH('Conditional Fomating'!I$1,products!$A$1:$D$1,0))</f>
        <v>Rob</v>
      </c>
      <c r="J425" t="str">
        <f t="shared" si="36"/>
        <v>Robusta</v>
      </c>
      <c r="K425" t="str">
        <f>INDEX(products!$A$1:$I$49,MATCH('Conditional Fomating'!$D425,products!$A$1:$A$49,0),MATCH('Conditional Fomating'!K$1,products!$A$1:$D$1,0))</f>
        <v>M</v>
      </c>
      <c r="L425" t="str">
        <f t="shared" si="37"/>
        <v>Medium</v>
      </c>
      <c r="M425">
        <f>INDEX(products!$A$1:$I$49,MATCH('Conditional Fomating'!$D425,products!$A$1:$A$49,0),MATCH('Conditional Fomating'!M$1,products!$A$1:$D$1,0))</f>
        <v>0.5</v>
      </c>
      <c r="N425">
        <f>_xlfn.XLOOKUP(D425,products!$A$2:$A$49,products!$E$2:$E$49)</f>
        <v>5.97</v>
      </c>
      <c r="O425">
        <f>_xlfn.XLOOKUP(D425,products!$A$2:$A$49,products!$H$2:$H$49)</f>
        <v>5.6117999999999997</v>
      </c>
      <c r="P425">
        <f t="shared" si="38"/>
        <v>17.91</v>
      </c>
      <c r="Q425">
        <f t="shared" si="39"/>
        <v>16.8354</v>
      </c>
      <c r="R425">
        <f t="shared" si="40"/>
        <v>1.0746000000000002</v>
      </c>
      <c r="S425" s="4">
        <f t="shared" si="41"/>
        <v>6.0000000000000012E-2</v>
      </c>
      <c r="T425" t="str">
        <f>_xlfn.XLOOKUP(C425,customers!$A$1:$A$1001,customers!$I$1:$I$1001,,0)</f>
        <v>No</v>
      </c>
    </row>
    <row r="426" spans="1:20"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INDEX(products!$A$1:$I$49,MATCH('Conditional Fomating'!$D426,products!$A$1:$A$49,0),MATCH('Conditional Fomating'!I$1,products!$A$1:$D$1,0))</f>
        <v>Exc</v>
      </c>
      <c r="J426" t="str">
        <f t="shared" si="36"/>
        <v>Excelsa</v>
      </c>
      <c r="K426" t="str">
        <f>INDEX(products!$A$1:$I$49,MATCH('Conditional Fomating'!$D426,products!$A$1:$A$49,0),MATCH('Conditional Fomating'!K$1,products!$A$1:$D$1,0))</f>
        <v>L</v>
      </c>
      <c r="L426" t="str">
        <f t="shared" si="37"/>
        <v>Light</v>
      </c>
      <c r="M426">
        <f>INDEX(products!$A$1:$I$49,MATCH('Conditional Fomating'!$D426,products!$A$1:$A$49,0),MATCH('Conditional Fomating'!M$1,products!$A$1:$D$1,0))</f>
        <v>0.5</v>
      </c>
      <c r="N426">
        <f>_xlfn.XLOOKUP(D426,products!$A$2:$A$49,products!$E$2:$E$49)</f>
        <v>8.91</v>
      </c>
      <c r="O426">
        <f>_xlfn.XLOOKUP(D426,products!$A$2:$A$49,products!$H$2:$H$49)</f>
        <v>7.9298999999999999</v>
      </c>
      <c r="P426">
        <f t="shared" si="38"/>
        <v>26.73</v>
      </c>
      <c r="Q426">
        <f t="shared" si="39"/>
        <v>23.7897</v>
      </c>
      <c r="R426">
        <f t="shared" si="40"/>
        <v>2.9403000000000006</v>
      </c>
      <c r="S426" s="4">
        <f t="shared" si="41"/>
        <v>0.11000000000000001</v>
      </c>
      <c r="T426" t="str">
        <f>_xlfn.XLOOKUP(C426,customers!$A$1:$A$1001,customers!$I$1:$I$1001,,0)</f>
        <v>Yes</v>
      </c>
    </row>
    <row r="427" spans="1:20"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INDEX(products!$A$1:$I$49,MATCH('Conditional Fomating'!$D427,products!$A$1:$A$49,0),MATCH('Conditional Fomating'!I$1,products!$A$1:$D$1,0))</f>
        <v>Rob</v>
      </c>
      <c r="J427" t="str">
        <f t="shared" si="36"/>
        <v>Robusta</v>
      </c>
      <c r="K427" t="str">
        <f>INDEX(products!$A$1:$I$49,MATCH('Conditional Fomating'!$D427,products!$A$1:$A$49,0),MATCH('Conditional Fomating'!K$1,products!$A$1:$D$1,0))</f>
        <v>D</v>
      </c>
      <c r="L427" t="str">
        <f t="shared" si="37"/>
        <v>Dark</v>
      </c>
      <c r="M427">
        <f>INDEX(products!$A$1:$I$49,MATCH('Conditional Fomating'!$D427,products!$A$1:$A$49,0),MATCH('Conditional Fomating'!M$1,products!$A$1:$D$1,0))</f>
        <v>1</v>
      </c>
      <c r="N427">
        <f>_xlfn.XLOOKUP(D427,products!$A$2:$A$49,products!$E$2:$E$49)</f>
        <v>8.9499999999999993</v>
      </c>
      <c r="O427">
        <f>_xlfn.XLOOKUP(D427,products!$A$2:$A$49,products!$H$2:$H$49)</f>
        <v>8.4130000000000003</v>
      </c>
      <c r="P427">
        <f t="shared" si="38"/>
        <v>17.899999999999999</v>
      </c>
      <c r="Q427">
        <f t="shared" si="39"/>
        <v>16.826000000000001</v>
      </c>
      <c r="R427">
        <f t="shared" si="40"/>
        <v>1.0739999999999981</v>
      </c>
      <c r="S427" s="4">
        <f t="shared" si="41"/>
        <v>5.9999999999999894E-2</v>
      </c>
      <c r="T427" t="str">
        <f>_xlfn.XLOOKUP(C427,customers!$A$1:$A$1001,customers!$I$1:$I$1001,,0)</f>
        <v>No</v>
      </c>
    </row>
    <row r="428" spans="1:20"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INDEX(products!$A$1:$I$49,MATCH('Conditional Fomating'!$D428,products!$A$1:$A$49,0),MATCH('Conditional Fomating'!I$1,products!$A$1:$D$1,0))</f>
        <v>Rob</v>
      </c>
      <c r="J428" t="str">
        <f t="shared" si="36"/>
        <v>Robusta</v>
      </c>
      <c r="K428" t="str">
        <f>INDEX(products!$A$1:$I$49,MATCH('Conditional Fomating'!$D428,products!$A$1:$A$49,0),MATCH('Conditional Fomating'!K$1,products!$A$1:$D$1,0))</f>
        <v>L</v>
      </c>
      <c r="L428" t="str">
        <f t="shared" si="37"/>
        <v>Light</v>
      </c>
      <c r="M428">
        <f>INDEX(products!$A$1:$I$49,MATCH('Conditional Fomating'!$D428,products!$A$1:$A$49,0),MATCH('Conditional Fomating'!M$1,products!$A$1:$D$1,0))</f>
        <v>0.2</v>
      </c>
      <c r="N428">
        <f>_xlfn.XLOOKUP(D428,products!$A$2:$A$49,products!$E$2:$E$49)</f>
        <v>3.5849999999999995</v>
      </c>
      <c r="O428">
        <f>_xlfn.XLOOKUP(D428,products!$A$2:$A$49,products!$H$2:$H$49)</f>
        <v>3.3698999999999995</v>
      </c>
      <c r="P428">
        <f t="shared" si="38"/>
        <v>14.339999999999998</v>
      </c>
      <c r="Q428">
        <f t="shared" si="39"/>
        <v>13.479599999999998</v>
      </c>
      <c r="R428">
        <f t="shared" si="40"/>
        <v>0.86040000000000028</v>
      </c>
      <c r="S428" s="4">
        <f t="shared" si="41"/>
        <v>6.0000000000000026E-2</v>
      </c>
      <c r="T428" t="str">
        <f>_xlfn.XLOOKUP(C428,customers!$A$1:$A$1001,customers!$I$1:$I$1001,,0)</f>
        <v>Yes</v>
      </c>
    </row>
    <row r="429" spans="1:20"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v>
      </c>
      <c r="H429" s="2" t="str">
        <f>_xlfn.XLOOKUP(C429,customers!$A$1:$A$1001,customers!$G$1:$G$1001,,0)</f>
        <v>United States</v>
      </c>
      <c r="I429" t="str">
        <f>INDEX(products!$A$1:$I$49,MATCH('Conditional Fomating'!$D429,products!$A$1:$A$49,0),MATCH('Conditional Fomating'!I$1,products!$A$1:$D$1,0))</f>
        <v>Ara</v>
      </c>
      <c r="J429" t="str">
        <f t="shared" si="36"/>
        <v>Arabica</v>
      </c>
      <c r="K429" t="str">
        <f>INDEX(products!$A$1:$I$49,MATCH('Conditional Fomating'!$D429,products!$A$1:$A$49,0),MATCH('Conditional Fomating'!K$1,products!$A$1:$D$1,0))</f>
        <v>M</v>
      </c>
      <c r="L429" t="str">
        <f t="shared" si="37"/>
        <v>Medium</v>
      </c>
      <c r="M429">
        <f>INDEX(products!$A$1:$I$49,MATCH('Conditional Fomating'!$D429,products!$A$1:$A$49,0),MATCH('Conditional Fomating'!M$1,products!$A$1:$D$1,0))</f>
        <v>2.5</v>
      </c>
      <c r="N429">
        <f>_xlfn.XLOOKUP(D429,products!$A$2:$A$49,products!$E$2:$E$49)</f>
        <v>25.874999999999996</v>
      </c>
      <c r="O429">
        <f>_xlfn.XLOOKUP(D429,products!$A$2:$A$49,products!$H$2:$H$49)</f>
        <v>23.546249999999997</v>
      </c>
      <c r="P429">
        <f t="shared" si="38"/>
        <v>77.624999999999986</v>
      </c>
      <c r="Q429">
        <f t="shared" si="39"/>
        <v>70.638749999999987</v>
      </c>
      <c r="R429">
        <f t="shared" si="40"/>
        <v>6.9862499999999983</v>
      </c>
      <c r="S429" s="4">
        <f t="shared" si="41"/>
        <v>0.09</v>
      </c>
      <c r="T429" t="str">
        <f>_xlfn.XLOOKUP(C429,customers!$A$1:$A$1001,customers!$I$1:$I$1001,,0)</f>
        <v>Yes</v>
      </c>
    </row>
    <row r="430" spans="1:20"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INDEX(products!$A$1:$I$49,MATCH('Conditional Fomating'!$D430,products!$A$1:$A$49,0),MATCH('Conditional Fomating'!I$1,products!$A$1:$D$1,0))</f>
        <v>Rob</v>
      </c>
      <c r="J430" t="str">
        <f t="shared" si="36"/>
        <v>Robusta</v>
      </c>
      <c r="K430" t="str">
        <f>INDEX(products!$A$1:$I$49,MATCH('Conditional Fomating'!$D430,products!$A$1:$A$49,0),MATCH('Conditional Fomating'!K$1,products!$A$1:$D$1,0))</f>
        <v>L</v>
      </c>
      <c r="L430" t="str">
        <f t="shared" si="37"/>
        <v>Light</v>
      </c>
      <c r="M430">
        <f>INDEX(products!$A$1:$I$49,MATCH('Conditional Fomating'!$D430,products!$A$1:$A$49,0),MATCH('Conditional Fomating'!M$1,products!$A$1:$D$1,0))</f>
        <v>1</v>
      </c>
      <c r="N430">
        <f>_xlfn.XLOOKUP(D430,products!$A$2:$A$49,products!$E$2:$E$49)</f>
        <v>11.95</v>
      </c>
      <c r="O430">
        <f>_xlfn.XLOOKUP(D430,products!$A$2:$A$49,products!$H$2:$H$49)</f>
        <v>11.232999999999999</v>
      </c>
      <c r="P430">
        <f t="shared" si="38"/>
        <v>59.75</v>
      </c>
      <c r="Q430">
        <f t="shared" si="39"/>
        <v>56.164999999999992</v>
      </c>
      <c r="R430">
        <f t="shared" si="40"/>
        <v>3.585000000000008</v>
      </c>
      <c r="S430" s="4">
        <f t="shared" si="41"/>
        <v>6.0000000000000137E-2</v>
      </c>
      <c r="T430" t="str">
        <f>_xlfn.XLOOKUP(C430,customers!$A$1:$A$1001,customers!$I$1:$I$1001,,0)</f>
        <v>No</v>
      </c>
    </row>
    <row r="431" spans="1:20"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INDEX(products!$A$1:$I$49,MATCH('Conditional Fomating'!$D431,products!$A$1:$A$49,0),MATCH('Conditional Fomating'!I$1,products!$A$1:$D$1,0))</f>
        <v>Ara</v>
      </c>
      <c r="J431" t="str">
        <f t="shared" si="36"/>
        <v>Arabica</v>
      </c>
      <c r="K431" t="str">
        <f>INDEX(products!$A$1:$I$49,MATCH('Conditional Fomating'!$D431,products!$A$1:$A$49,0),MATCH('Conditional Fomating'!K$1,products!$A$1:$D$1,0))</f>
        <v>L</v>
      </c>
      <c r="L431" t="str">
        <f t="shared" si="37"/>
        <v>Light</v>
      </c>
      <c r="M431">
        <f>INDEX(products!$A$1:$I$49,MATCH('Conditional Fomating'!$D431,products!$A$1:$A$49,0),MATCH('Conditional Fomating'!M$1,products!$A$1:$D$1,0))</f>
        <v>1</v>
      </c>
      <c r="N431">
        <f>_xlfn.XLOOKUP(D431,products!$A$2:$A$49,products!$E$2:$E$49)</f>
        <v>12.95</v>
      </c>
      <c r="O431">
        <f>_xlfn.XLOOKUP(D431,products!$A$2:$A$49,products!$H$2:$H$49)</f>
        <v>11.7845</v>
      </c>
      <c r="P431">
        <f t="shared" si="38"/>
        <v>77.699999999999989</v>
      </c>
      <c r="Q431">
        <f t="shared" si="39"/>
        <v>70.706999999999994</v>
      </c>
      <c r="R431">
        <f t="shared" si="40"/>
        <v>6.992999999999995</v>
      </c>
      <c r="S431" s="4">
        <f t="shared" si="41"/>
        <v>8.9999999999999955E-2</v>
      </c>
      <c r="T431" t="str">
        <f>_xlfn.XLOOKUP(C431,customers!$A$1:$A$1001,customers!$I$1:$I$1001,,0)</f>
        <v>No</v>
      </c>
    </row>
    <row r="432" spans="1:20"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INDEX(products!$A$1:$I$49,MATCH('Conditional Fomating'!$D432,products!$A$1:$A$49,0),MATCH('Conditional Fomating'!I$1,products!$A$1:$D$1,0))</f>
        <v>Rob</v>
      </c>
      <c r="J432" t="str">
        <f t="shared" si="36"/>
        <v>Robusta</v>
      </c>
      <c r="K432" t="str">
        <f>INDEX(products!$A$1:$I$49,MATCH('Conditional Fomating'!$D432,products!$A$1:$A$49,0),MATCH('Conditional Fomating'!K$1,products!$A$1:$D$1,0))</f>
        <v>D</v>
      </c>
      <c r="L432" t="str">
        <f t="shared" si="37"/>
        <v>Dark</v>
      </c>
      <c r="M432">
        <f>INDEX(products!$A$1:$I$49,MATCH('Conditional Fomating'!$D432,products!$A$1:$A$49,0),MATCH('Conditional Fomating'!M$1,products!$A$1:$D$1,0))</f>
        <v>0.2</v>
      </c>
      <c r="N432">
        <f>_xlfn.XLOOKUP(D432,products!$A$2:$A$49,products!$E$2:$E$49)</f>
        <v>2.6849999999999996</v>
      </c>
      <c r="O432">
        <f>_xlfn.XLOOKUP(D432,products!$A$2:$A$49,products!$H$2:$H$49)</f>
        <v>2.5238999999999998</v>
      </c>
      <c r="P432">
        <f t="shared" si="38"/>
        <v>5.3699999999999992</v>
      </c>
      <c r="Q432">
        <f t="shared" si="39"/>
        <v>5.0477999999999996</v>
      </c>
      <c r="R432">
        <f t="shared" si="40"/>
        <v>0.3221999999999996</v>
      </c>
      <c r="S432" s="4">
        <f t="shared" si="41"/>
        <v>5.9999999999999935E-2</v>
      </c>
      <c r="T432" t="str">
        <f>_xlfn.XLOOKUP(C432,customers!$A$1:$A$1001,customers!$I$1:$I$1001,,0)</f>
        <v>Yes</v>
      </c>
    </row>
    <row r="433" spans="1:20"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INDEX(products!$A$1:$I$49,MATCH('Conditional Fomating'!$D433,products!$A$1:$A$49,0),MATCH('Conditional Fomating'!I$1,products!$A$1:$D$1,0))</f>
        <v>Exc</v>
      </c>
      <c r="J433" t="str">
        <f t="shared" si="36"/>
        <v>Excelsa</v>
      </c>
      <c r="K433" t="str">
        <f>INDEX(products!$A$1:$I$49,MATCH('Conditional Fomating'!$D433,products!$A$1:$A$49,0),MATCH('Conditional Fomating'!K$1,products!$A$1:$D$1,0))</f>
        <v>D</v>
      </c>
      <c r="L433" t="str">
        <f t="shared" si="37"/>
        <v>Dark</v>
      </c>
      <c r="M433">
        <f>INDEX(products!$A$1:$I$49,MATCH('Conditional Fomating'!$D433,products!$A$1:$A$49,0),MATCH('Conditional Fomating'!M$1,products!$A$1:$D$1,0))</f>
        <v>2.5</v>
      </c>
      <c r="N433">
        <f>_xlfn.XLOOKUP(D433,products!$A$2:$A$49,products!$E$2:$E$49)</f>
        <v>27.945</v>
      </c>
      <c r="O433">
        <f>_xlfn.XLOOKUP(D433,products!$A$2:$A$49,products!$H$2:$H$49)</f>
        <v>24.87105</v>
      </c>
      <c r="P433">
        <f t="shared" si="38"/>
        <v>83.835000000000008</v>
      </c>
      <c r="Q433">
        <f t="shared" si="39"/>
        <v>74.613150000000005</v>
      </c>
      <c r="R433">
        <f t="shared" si="40"/>
        <v>9.2218500000000034</v>
      </c>
      <c r="S433" s="4">
        <f t="shared" si="41"/>
        <v>0.11000000000000003</v>
      </c>
      <c r="T433" t="str">
        <f>_xlfn.XLOOKUP(C433,customers!$A$1:$A$1001,customers!$I$1:$I$1001,,0)</f>
        <v>Yes</v>
      </c>
    </row>
    <row r="434" spans="1:20"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v>
      </c>
      <c r="H434" s="2" t="str">
        <f>_xlfn.XLOOKUP(C434,customers!$A$1:$A$1001,customers!$G$1:$G$1001,,0)</f>
        <v>United States</v>
      </c>
      <c r="I434" t="str">
        <f>INDEX(products!$A$1:$I$49,MATCH('Conditional Fomating'!$D434,products!$A$1:$A$49,0),MATCH('Conditional Fomating'!I$1,products!$A$1:$D$1,0))</f>
        <v>Ara</v>
      </c>
      <c r="J434" t="str">
        <f t="shared" si="36"/>
        <v>Arabica</v>
      </c>
      <c r="K434" t="str">
        <f>INDEX(products!$A$1:$I$49,MATCH('Conditional Fomating'!$D434,products!$A$1:$A$49,0),MATCH('Conditional Fomating'!K$1,products!$A$1:$D$1,0))</f>
        <v>M</v>
      </c>
      <c r="L434" t="str">
        <f t="shared" si="37"/>
        <v>Medium</v>
      </c>
      <c r="M434">
        <f>INDEX(products!$A$1:$I$49,MATCH('Conditional Fomating'!$D434,products!$A$1:$A$49,0),MATCH('Conditional Fomating'!M$1,products!$A$1:$D$1,0))</f>
        <v>1</v>
      </c>
      <c r="N434">
        <f>_xlfn.XLOOKUP(D434,products!$A$2:$A$49,products!$E$2:$E$49)</f>
        <v>11.25</v>
      </c>
      <c r="O434">
        <f>_xlfn.XLOOKUP(D434,products!$A$2:$A$49,products!$H$2:$H$49)</f>
        <v>10.237500000000001</v>
      </c>
      <c r="P434">
        <f t="shared" si="38"/>
        <v>22.5</v>
      </c>
      <c r="Q434">
        <f t="shared" si="39"/>
        <v>20.475000000000001</v>
      </c>
      <c r="R434">
        <f t="shared" si="40"/>
        <v>2.0249999999999986</v>
      </c>
      <c r="S434" s="4">
        <f t="shared" si="41"/>
        <v>8.9999999999999941E-2</v>
      </c>
      <c r="T434" t="str">
        <f>_xlfn.XLOOKUP(C434,customers!$A$1:$A$1001,customers!$I$1:$I$1001,,0)</f>
        <v>No</v>
      </c>
    </row>
    <row r="435" spans="1:20"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INDEX(products!$A$1:$I$49,MATCH('Conditional Fomating'!$D435,products!$A$1:$A$49,0),MATCH('Conditional Fomating'!I$1,products!$A$1:$D$1,0))</f>
        <v>Lib</v>
      </c>
      <c r="J435" t="str">
        <f t="shared" si="36"/>
        <v>Liberica</v>
      </c>
      <c r="K435" t="str">
        <f>INDEX(products!$A$1:$I$49,MATCH('Conditional Fomating'!$D435,products!$A$1:$A$49,0),MATCH('Conditional Fomating'!K$1,products!$A$1:$D$1,0))</f>
        <v>M</v>
      </c>
      <c r="L435" t="str">
        <f t="shared" si="37"/>
        <v>Medium</v>
      </c>
      <c r="M435">
        <f>INDEX(products!$A$1:$I$49,MATCH('Conditional Fomating'!$D435,products!$A$1:$A$49,0),MATCH('Conditional Fomating'!M$1,products!$A$1:$D$1,0))</f>
        <v>2.5</v>
      </c>
      <c r="N435">
        <f>_xlfn.XLOOKUP(D435,products!$A$2:$A$49,products!$E$2:$E$49)</f>
        <v>33.464999999999996</v>
      </c>
      <c r="O435">
        <f>_xlfn.XLOOKUP(D435,products!$A$2:$A$49,products!$H$2:$H$49)</f>
        <v>29.114549999999998</v>
      </c>
      <c r="P435">
        <f t="shared" si="38"/>
        <v>200.78999999999996</v>
      </c>
      <c r="Q435">
        <f t="shared" si="39"/>
        <v>174.68729999999999</v>
      </c>
      <c r="R435">
        <f t="shared" si="40"/>
        <v>26.10269999999997</v>
      </c>
      <c r="S435" s="4">
        <f t="shared" si="41"/>
        <v>0.12999999999999987</v>
      </c>
      <c r="T435" t="str">
        <f>_xlfn.XLOOKUP(C435,customers!$A$1:$A$1001,customers!$I$1:$I$1001,,0)</f>
        <v>Yes</v>
      </c>
    </row>
    <row r="436" spans="1:20"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v>
      </c>
      <c r="H436" s="2" t="str">
        <f>_xlfn.XLOOKUP(C436,customers!$A$1:$A$1001,customers!$G$1:$G$1001,,0)</f>
        <v>United States</v>
      </c>
      <c r="I436" t="str">
        <f>INDEX(products!$A$1:$I$49,MATCH('Conditional Fomating'!$D436,products!$A$1:$A$49,0),MATCH('Conditional Fomating'!I$1,products!$A$1:$D$1,0))</f>
        <v>Ara</v>
      </c>
      <c r="J436" t="str">
        <f t="shared" si="36"/>
        <v>Arabica</v>
      </c>
      <c r="K436" t="str">
        <f>INDEX(products!$A$1:$I$49,MATCH('Conditional Fomating'!$D436,products!$A$1:$A$49,0),MATCH('Conditional Fomating'!K$1,products!$A$1:$D$1,0))</f>
        <v>M</v>
      </c>
      <c r="L436" t="str">
        <f t="shared" si="37"/>
        <v>Medium</v>
      </c>
      <c r="M436">
        <f>INDEX(products!$A$1:$I$49,MATCH('Conditional Fomating'!$D436,products!$A$1:$A$49,0),MATCH('Conditional Fomating'!M$1,products!$A$1:$D$1,0))</f>
        <v>1</v>
      </c>
      <c r="N436">
        <f>_xlfn.XLOOKUP(D436,products!$A$2:$A$49,products!$E$2:$E$49)</f>
        <v>11.25</v>
      </c>
      <c r="O436">
        <f>_xlfn.XLOOKUP(D436,products!$A$2:$A$49,products!$H$2:$H$49)</f>
        <v>10.237500000000001</v>
      </c>
      <c r="P436">
        <f t="shared" si="38"/>
        <v>67.5</v>
      </c>
      <c r="Q436">
        <f t="shared" si="39"/>
        <v>61.425000000000004</v>
      </c>
      <c r="R436">
        <f t="shared" si="40"/>
        <v>6.0749999999999957</v>
      </c>
      <c r="S436" s="4">
        <f t="shared" si="41"/>
        <v>8.9999999999999941E-2</v>
      </c>
      <c r="T436" t="str">
        <f>_xlfn.XLOOKUP(C436,customers!$A$1:$A$1001,customers!$I$1:$I$1001,,0)</f>
        <v>No</v>
      </c>
    </row>
    <row r="437" spans="1:20"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INDEX(products!$A$1:$I$49,MATCH('Conditional Fomating'!$D437,products!$A$1:$A$49,0),MATCH('Conditional Fomating'!I$1,products!$A$1:$D$1,0))</f>
        <v>Exc</v>
      </c>
      <c r="J437" t="str">
        <f t="shared" si="36"/>
        <v>Excelsa</v>
      </c>
      <c r="K437" t="str">
        <f>INDEX(products!$A$1:$I$49,MATCH('Conditional Fomating'!$D437,products!$A$1:$A$49,0),MATCH('Conditional Fomating'!K$1,products!$A$1:$D$1,0))</f>
        <v>M</v>
      </c>
      <c r="L437" t="str">
        <f t="shared" si="37"/>
        <v>Medium</v>
      </c>
      <c r="M437">
        <f>INDEX(products!$A$1:$I$49,MATCH('Conditional Fomating'!$D437,products!$A$1:$A$49,0),MATCH('Conditional Fomating'!M$1,products!$A$1:$D$1,0))</f>
        <v>0.5</v>
      </c>
      <c r="N437">
        <f>_xlfn.XLOOKUP(D437,products!$A$2:$A$49,products!$E$2:$E$49)</f>
        <v>8.25</v>
      </c>
      <c r="O437">
        <f>_xlfn.XLOOKUP(D437,products!$A$2:$A$49,products!$H$2:$H$49)</f>
        <v>7.3425000000000002</v>
      </c>
      <c r="P437">
        <f t="shared" si="38"/>
        <v>8.25</v>
      </c>
      <c r="Q437">
        <f t="shared" si="39"/>
        <v>7.3425000000000002</v>
      </c>
      <c r="R437">
        <f t="shared" si="40"/>
        <v>0.90749999999999975</v>
      </c>
      <c r="S437" s="4">
        <f t="shared" si="41"/>
        <v>0.10999999999999997</v>
      </c>
      <c r="T437" t="str">
        <f>_xlfn.XLOOKUP(C437,customers!$A$1:$A$1001,customers!$I$1:$I$1001,,0)</f>
        <v>No</v>
      </c>
    </row>
    <row r="438" spans="1:20"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INDEX(products!$A$1:$I$49,MATCH('Conditional Fomating'!$D438,products!$A$1:$A$49,0),MATCH('Conditional Fomating'!I$1,products!$A$1:$D$1,0))</f>
        <v>Lib</v>
      </c>
      <c r="J438" t="str">
        <f t="shared" si="36"/>
        <v>Liberica</v>
      </c>
      <c r="K438" t="str">
        <f>INDEX(products!$A$1:$I$49,MATCH('Conditional Fomating'!$D438,products!$A$1:$A$49,0),MATCH('Conditional Fomating'!K$1,products!$A$1:$D$1,0))</f>
        <v>L</v>
      </c>
      <c r="L438" t="str">
        <f t="shared" si="37"/>
        <v>Light</v>
      </c>
      <c r="M438">
        <f>INDEX(products!$A$1:$I$49,MATCH('Conditional Fomating'!$D438,products!$A$1:$A$49,0),MATCH('Conditional Fomating'!M$1,products!$A$1:$D$1,0))</f>
        <v>0.2</v>
      </c>
      <c r="N438">
        <f>_xlfn.XLOOKUP(D438,products!$A$2:$A$49,products!$E$2:$E$49)</f>
        <v>4.7549999999999999</v>
      </c>
      <c r="O438">
        <f>_xlfn.XLOOKUP(D438,products!$A$2:$A$49,products!$H$2:$H$49)</f>
        <v>4.1368499999999999</v>
      </c>
      <c r="P438">
        <f t="shared" si="38"/>
        <v>9.51</v>
      </c>
      <c r="Q438">
        <f t="shared" si="39"/>
        <v>8.2736999999999998</v>
      </c>
      <c r="R438">
        <f t="shared" si="40"/>
        <v>1.2363</v>
      </c>
      <c r="S438" s="4">
        <f t="shared" si="41"/>
        <v>0.13</v>
      </c>
      <c r="T438" t="str">
        <f>_xlfn.XLOOKUP(C438,customers!$A$1:$A$1001,customers!$I$1:$I$1001,,0)</f>
        <v>Yes</v>
      </c>
    </row>
    <row r="439" spans="1:20"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v>
      </c>
      <c r="H439" s="2" t="str">
        <f>_xlfn.XLOOKUP(C439,customers!$A$1:$A$1001,customers!$G$1:$G$1001,,0)</f>
        <v>United States</v>
      </c>
      <c r="I439" t="str">
        <f>INDEX(products!$A$1:$I$49,MATCH('Conditional Fomating'!$D439,products!$A$1:$A$49,0),MATCH('Conditional Fomating'!I$1,products!$A$1:$D$1,0))</f>
        <v>Lib</v>
      </c>
      <c r="J439" t="str">
        <f t="shared" si="36"/>
        <v>Liberica</v>
      </c>
      <c r="K439" t="str">
        <f>INDEX(products!$A$1:$I$49,MATCH('Conditional Fomating'!$D439,products!$A$1:$A$49,0),MATCH('Conditional Fomating'!K$1,products!$A$1:$D$1,0))</f>
        <v>D</v>
      </c>
      <c r="L439" t="str">
        <f t="shared" si="37"/>
        <v>Dark</v>
      </c>
      <c r="M439">
        <f>INDEX(products!$A$1:$I$49,MATCH('Conditional Fomating'!$D439,products!$A$1:$A$49,0),MATCH('Conditional Fomating'!M$1,products!$A$1:$D$1,0))</f>
        <v>2.5</v>
      </c>
      <c r="N439">
        <f>_xlfn.XLOOKUP(D439,products!$A$2:$A$49,products!$E$2:$E$49)</f>
        <v>29.784999999999997</v>
      </c>
      <c r="O439">
        <f>_xlfn.XLOOKUP(D439,products!$A$2:$A$49,products!$H$2:$H$49)</f>
        <v>25.912949999999995</v>
      </c>
      <c r="P439">
        <f t="shared" si="38"/>
        <v>29.784999999999997</v>
      </c>
      <c r="Q439">
        <f t="shared" si="39"/>
        <v>25.912949999999995</v>
      </c>
      <c r="R439">
        <f t="shared" si="40"/>
        <v>3.8720500000000015</v>
      </c>
      <c r="S439" s="4">
        <f t="shared" si="41"/>
        <v>0.13000000000000006</v>
      </c>
      <c r="T439" t="str">
        <f>_xlfn.XLOOKUP(C439,customers!$A$1:$A$1001,customers!$I$1:$I$1001,,0)</f>
        <v>No</v>
      </c>
    </row>
    <row r="440" spans="1:20"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INDEX(products!$A$1:$I$49,MATCH('Conditional Fomating'!$D440,products!$A$1:$A$49,0),MATCH('Conditional Fomating'!I$1,products!$A$1:$D$1,0))</f>
        <v>Lib</v>
      </c>
      <c r="J440" t="str">
        <f t="shared" si="36"/>
        <v>Liberica</v>
      </c>
      <c r="K440" t="str">
        <f>INDEX(products!$A$1:$I$49,MATCH('Conditional Fomating'!$D440,products!$A$1:$A$49,0),MATCH('Conditional Fomating'!K$1,products!$A$1:$D$1,0))</f>
        <v>D</v>
      </c>
      <c r="L440" t="str">
        <f t="shared" si="37"/>
        <v>Dark</v>
      </c>
      <c r="M440">
        <f>INDEX(products!$A$1:$I$49,MATCH('Conditional Fomating'!$D440,products!$A$1:$A$49,0),MATCH('Conditional Fomating'!M$1,products!$A$1:$D$1,0))</f>
        <v>0.5</v>
      </c>
      <c r="N440">
        <f>_xlfn.XLOOKUP(D440,products!$A$2:$A$49,products!$E$2:$E$49)</f>
        <v>7.77</v>
      </c>
      <c r="O440">
        <f>_xlfn.XLOOKUP(D440,products!$A$2:$A$49,products!$H$2:$H$49)</f>
        <v>6.7599</v>
      </c>
      <c r="P440">
        <f t="shared" si="38"/>
        <v>15.54</v>
      </c>
      <c r="Q440">
        <f t="shared" si="39"/>
        <v>13.5198</v>
      </c>
      <c r="R440">
        <f t="shared" si="40"/>
        <v>2.0201999999999991</v>
      </c>
      <c r="S440" s="4">
        <f t="shared" si="41"/>
        <v>0.12999999999999995</v>
      </c>
      <c r="T440" t="str">
        <f>_xlfn.XLOOKUP(C440,customers!$A$1:$A$1001,customers!$I$1:$I$1001,,0)</f>
        <v>No</v>
      </c>
    </row>
    <row r="441" spans="1:20"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INDEX(products!$A$1:$I$49,MATCH('Conditional Fomating'!$D441,products!$A$1:$A$49,0),MATCH('Conditional Fomating'!I$1,products!$A$1:$D$1,0))</f>
        <v>Exc</v>
      </c>
      <c r="J441" t="str">
        <f t="shared" si="36"/>
        <v>Excelsa</v>
      </c>
      <c r="K441" t="str">
        <f>INDEX(products!$A$1:$I$49,MATCH('Conditional Fomating'!$D441,products!$A$1:$A$49,0),MATCH('Conditional Fomating'!K$1,products!$A$1:$D$1,0))</f>
        <v>L</v>
      </c>
      <c r="L441" t="str">
        <f t="shared" si="37"/>
        <v>Light</v>
      </c>
      <c r="M441">
        <f>INDEX(products!$A$1:$I$49,MATCH('Conditional Fomating'!$D441,products!$A$1:$A$49,0),MATCH('Conditional Fomating'!M$1,products!$A$1:$D$1,0))</f>
        <v>0.5</v>
      </c>
      <c r="N441">
        <f>_xlfn.XLOOKUP(D441,products!$A$2:$A$49,products!$E$2:$E$49)</f>
        <v>8.91</v>
      </c>
      <c r="O441">
        <f>_xlfn.XLOOKUP(D441,products!$A$2:$A$49,products!$H$2:$H$49)</f>
        <v>7.9298999999999999</v>
      </c>
      <c r="P441">
        <f t="shared" si="38"/>
        <v>35.64</v>
      </c>
      <c r="Q441">
        <f t="shared" si="39"/>
        <v>31.7196</v>
      </c>
      <c r="R441">
        <f t="shared" si="40"/>
        <v>3.9204000000000008</v>
      </c>
      <c r="S441" s="4">
        <f t="shared" si="41"/>
        <v>0.11000000000000001</v>
      </c>
      <c r="T441" t="str">
        <f>_xlfn.XLOOKUP(C441,customers!$A$1:$A$1001,customers!$I$1:$I$1001,,0)</f>
        <v>No</v>
      </c>
    </row>
    <row r="442" spans="1:20"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INDEX(products!$A$1:$I$49,MATCH('Conditional Fomating'!$D442,products!$A$1:$A$49,0),MATCH('Conditional Fomating'!I$1,products!$A$1:$D$1,0))</f>
        <v>Ara</v>
      </c>
      <c r="J442" t="str">
        <f t="shared" si="36"/>
        <v>Arabica</v>
      </c>
      <c r="K442" t="str">
        <f>INDEX(products!$A$1:$I$49,MATCH('Conditional Fomating'!$D442,products!$A$1:$A$49,0),MATCH('Conditional Fomating'!K$1,products!$A$1:$D$1,0))</f>
        <v>M</v>
      </c>
      <c r="L442" t="str">
        <f t="shared" si="37"/>
        <v>Medium</v>
      </c>
      <c r="M442">
        <f>INDEX(products!$A$1:$I$49,MATCH('Conditional Fomating'!$D442,products!$A$1:$A$49,0),MATCH('Conditional Fomating'!M$1,products!$A$1:$D$1,0))</f>
        <v>2.5</v>
      </c>
      <c r="N442">
        <f>_xlfn.XLOOKUP(D442,products!$A$2:$A$49,products!$E$2:$E$49)</f>
        <v>25.874999999999996</v>
      </c>
      <c r="O442">
        <f>_xlfn.XLOOKUP(D442,products!$A$2:$A$49,products!$H$2:$H$49)</f>
        <v>23.546249999999997</v>
      </c>
      <c r="P442">
        <f t="shared" si="38"/>
        <v>103.49999999999999</v>
      </c>
      <c r="Q442">
        <f t="shared" si="39"/>
        <v>94.184999999999988</v>
      </c>
      <c r="R442">
        <f t="shared" si="40"/>
        <v>9.3149999999999977</v>
      </c>
      <c r="S442" s="4">
        <f t="shared" si="41"/>
        <v>0.09</v>
      </c>
      <c r="T442" t="str">
        <f>_xlfn.XLOOKUP(C442,customers!$A$1:$A$1001,customers!$I$1:$I$1001,,0)</f>
        <v>Yes</v>
      </c>
    </row>
    <row r="443" spans="1:20"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INDEX(products!$A$1:$I$49,MATCH('Conditional Fomating'!$D443,products!$A$1:$A$49,0),MATCH('Conditional Fomating'!I$1,products!$A$1:$D$1,0))</f>
        <v>Exc</v>
      </c>
      <c r="J443" t="str">
        <f t="shared" si="36"/>
        <v>Excelsa</v>
      </c>
      <c r="K443" t="str">
        <f>INDEX(products!$A$1:$I$49,MATCH('Conditional Fomating'!$D443,products!$A$1:$A$49,0),MATCH('Conditional Fomating'!K$1,products!$A$1:$D$1,0))</f>
        <v>D</v>
      </c>
      <c r="L443" t="str">
        <f t="shared" si="37"/>
        <v>Dark</v>
      </c>
      <c r="M443">
        <f>INDEX(products!$A$1:$I$49,MATCH('Conditional Fomating'!$D443,products!$A$1:$A$49,0),MATCH('Conditional Fomating'!M$1,products!$A$1:$D$1,0))</f>
        <v>1</v>
      </c>
      <c r="N443">
        <f>_xlfn.XLOOKUP(D443,products!$A$2:$A$49,products!$E$2:$E$49)</f>
        <v>12.15</v>
      </c>
      <c r="O443">
        <f>_xlfn.XLOOKUP(D443,products!$A$2:$A$49,products!$H$2:$H$49)</f>
        <v>10.813500000000001</v>
      </c>
      <c r="P443">
        <f t="shared" si="38"/>
        <v>36.450000000000003</v>
      </c>
      <c r="Q443">
        <f t="shared" si="39"/>
        <v>32.4405</v>
      </c>
      <c r="R443">
        <f t="shared" si="40"/>
        <v>4.0095000000000027</v>
      </c>
      <c r="S443" s="4">
        <f t="shared" si="41"/>
        <v>0.11000000000000007</v>
      </c>
      <c r="T443" t="str">
        <f>_xlfn.XLOOKUP(C443,customers!$A$1:$A$1001,customers!$I$1:$I$1001,,0)</f>
        <v>Yes</v>
      </c>
    </row>
    <row r="444" spans="1:20"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INDEX(products!$A$1:$I$49,MATCH('Conditional Fomating'!$D444,products!$A$1:$A$49,0),MATCH('Conditional Fomating'!I$1,products!$A$1:$D$1,0))</f>
        <v>Rob</v>
      </c>
      <c r="J444" t="str">
        <f t="shared" si="36"/>
        <v>Robusta</v>
      </c>
      <c r="K444" t="str">
        <f>INDEX(products!$A$1:$I$49,MATCH('Conditional Fomating'!$D444,products!$A$1:$A$49,0),MATCH('Conditional Fomating'!K$1,products!$A$1:$D$1,0))</f>
        <v>L</v>
      </c>
      <c r="L444" t="str">
        <f t="shared" si="37"/>
        <v>Light</v>
      </c>
      <c r="M444">
        <f>INDEX(products!$A$1:$I$49,MATCH('Conditional Fomating'!$D444,products!$A$1:$A$49,0),MATCH('Conditional Fomating'!M$1,products!$A$1:$D$1,0))</f>
        <v>0.5</v>
      </c>
      <c r="N444">
        <f>_xlfn.XLOOKUP(D444,products!$A$2:$A$49,products!$E$2:$E$49)</f>
        <v>7.169999999999999</v>
      </c>
      <c r="O444">
        <f>_xlfn.XLOOKUP(D444,products!$A$2:$A$49,products!$H$2:$H$49)</f>
        <v>6.7397999999999989</v>
      </c>
      <c r="P444">
        <f t="shared" si="38"/>
        <v>35.849999999999994</v>
      </c>
      <c r="Q444">
        <f t="shared" si="39"/>
        <v>33.698999999999998</v>
      </c>
      <c r="R444">
        <f t="shared" si="40"/>
        <v>2.1509999999999962</v>
      </c>
      <c r="S444" s="4">
        <f t="shared" si="41"/>
        <v>5.9999999999999908E-2</v>
      </c>
      <c r="T444" t="str">
        <f>_xlfn.XLOOKUP(C444,customers!$A$1:$A$1001,customers!$I$1:$I$1001,,0)</f>
        <v>No</v>
      </c>
    </row>
    <row r="445" spans="1:20"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INDEX(products!$A$1:$I$49,MATCH('Conditional Fomating'!$D445,products!$A$1:$A$49,0),MATCH('Conditional Fomating'!I$1,products!$A$1:$D$1,0))</f>
        <v>Exc</v>
      </c>
      <c r="J445" t="str">
        <f t="shared" si="36"/>
        <v>Excelsa</v>
      </c>
      <c r="K445" t="str">
        <f>INDEX(products!$A$1:$I$49,MATCH('Conditional Fomating'!$D445,products!$A$1:$A$49,0),MATCH('Conditional Fomating'!K$1,products!$A$1:$D$1,0))</f>
        <v>L</v>
      </c>
      <c r="L445" t="str">
        <f t="shared" si="37"/>
        <v>Light</v>
      </c>
      <c r="M445">
        <f>INDEX(products!$A$1:$I$49,MATCH('Conditional Fomating'!$D445,products!$A$1:$A$49,0),MATCH('Conditional Fomating'!M$1,products!$A$1:$D$1,0))</f>
        <v>0.2</v>
      </c>
      <c r="N445">
        <f>_xlfn.XLOOKUP(D445,products!$A$2:$A$49,products!$E$2:$E$49)</f>
        <v>4.4550000000000001</v>
      </c>
      <c r="O445">
        <f>_xlfn.XLOOKUP(D445,products!$A$2:$A$49,products!$H$2:$H$49)</f>
        <v>3.96495</v>
      </c>
      <c r="P445">
        <f t="shared" si="38"/>
        <v>22.274999999999999</v>
      </c>
      <c r="Q445">
        <f t="shared" si="39"/>
        <v>19.824750000000002</v>
      </c>
      <c r="R445">
        <f t="shared" si="40"/>
        <v>2.4502499999999969</v>
      </c>
      <c r="S445" s="4">
        <f t="shared" si="41"/>
        <v>0.10999999999999988</v>
      </c>
      <c r="T445" t="str">
        <f>_xlfn.XLOOKUP(C445,customers!$A$1:$A$1001,customers!$I$1:$I$1001,,0)</f>
        <v>Yes</v>
      </c>
    </row>
    <row r="446" spans="1:20"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INDEX(products!$A$1:$I$49,MATCH('Conditional Fomating'!$D446,products!$A$1:$A$49,0),MATCH('Conditional Fomating'!I$1,products!$A$1:$D$1,0))</f>
        <v>Exc</v>
      </c>
      <c r="J446" t="str">
        <f t="shared" si="36"/>
        <v>Excelsa</v>
      </c>
      <c r="K446" t="str">
        <f>INDEX(products!$A$1:$I$49,MATCH('Conditional Fomating'!$D446,products!$A$1:$A$49,0),MATCH('Conditional Fomating'!K$1,products!$A$1:$D$1,0))</f>
        <v>M</v>
      </c>
      <c r="L446" t="str">
        <f t="shared" si="37"/>
        <v>Medium</v>
      </c>
      <c r="M446">
        <f>INDEX(products!$A$1:$I$49,MATCH('Conditional Fomating'!$D446,products!$A$1:$A$49,0),MATCH('Conditional Fomating'!M$1,products!$A$1:$D$1,0))</f>
        <v>0.2</v>
      </c>
      <c r="N446">
        <f>_xlfn.XLOOKUP(D446,products!$A$2:$A$49,products!$E$2:$E$49)</f>
        <v>4.125</v>
      </c>
      <c r="O446">
        <f>_xlfn.XLOOKUP(D446,products!$A$2:$A$49,products!$H$2:$H$49)</f>
        <v>3.6712500000000001</v>
      </c>
      <c r="P446">
        <f t="shared" si="38"/>
        <v>24.75</v>
      </c>
      <c r="Q446">
        <f t="shared" si="39"/>
        <v>22.0275</v>
      </c>
      <c r="R446">
        <f t="shared" si="40"/>
        <v>2.7225000000000001</v>
      </c>
      <c r="S446" s="4">
        <f t="shared" si="41"/>
        <v>0.11</v>
      </c>
      <c r="T446" t="str">
        <f>_xlfn.XLOOKUP(C446,customers!$A$1:$A$1001,customers!$I$1:$I$1001,,0)</f>
        <v>No</v>
      </c>
    </row>
    <row r="447" spans="1:20"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INDEX(products!$A$1:$I$49,MATCH('Conditional Fomating'!$D447,products!$A$1:$A$49,0),MATCH('Conditional Fomating'!I$1,products!$A$1:$D$1,0))</f>
        <v>Lib</v>
      </c>
      <c r="J447" t="str">
        <f t="shared" si="36"/>
        <v>Liberica</v>
      </c>
      <c r="K447" t="str">
        <f>INDEX(products!$A$1:$I$49,MATCH('Conditional Fomating'!$D447,products!$A$1:$A$49,0),MATCH('Conditional Fomating'!K$1,products!$A$1:$D$1,0))</f>
        <v>M</v>
      </c>
      <c r="L447" t="str">
        <f t="shared" si="37"/>
        <v>Medium</v>
      </c>
      <c r="M447">
        <f>INDEX(products!$A$1:$I$49,MATCH('Conditional Fomating'!$D447,products!$A$1:$A$49,0),MATCH('Conditional Fomating'!M$1,products!$A$1:$D$1,0))</f>
        <v>2.5</v>
      </c>
      <c r="N447">
        <f>_xlfn.XLOOKUP(D447,products!$A$2:$A$49,products!$E$2:$E$49)</f>
        <v>33.464999999999996</v>
      </c>
      <c r="O447">
        <f>_xlfn.XLOOKUP(D447,products!$A$2:$A$49,products!$H$2:$H$49)</f>
        <v>29.114549999999998</v>
      </c>
      <c r="P447">
        <f t="shared" si="38"/>
        <v>66.929999999999993</v>
      </c>
      <c r="Q447">
        <f t="shared" si="39"/>
        <v>58.229099999999995</v>
      </c>
      <c r="R447">
        <f t="shared" si="40"/>
        <v>8.7008999999999972</v>
      </c>
      <c r="S447" s="4">
        <f t="shared" si="41"/>
        <v>0.12999999999999998</v>
      </c>
      <c r="T447" t="str">
        <f>_xlfn.XLOOKUP(C447,customers!$A$1:$A$1001,customers!$I$1:$I$1001,,0)</f>
        <v>Yes</v>
      </c>
    </row>
    <row r="448" spans="1:20"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INDEX(products!$A$1:$I$49,MATCH('Conditional Fomating'!$D448,products!$A$1:$A$49,0),MATCH('Conditional Fomating'!I$1,products!$A$1:$D$1,0))</f>
        <v>Lib</v>
      </c>
      <c r="J448" t="str">
        <f t="shared" si="36"/>
        <v>Liberica</v>
      </c>
      <c r="K448" t="str">
        <f>INDEX(products!$A$1:$I$49,MATCH('Conditional Fomating'!$D448,products!$A$1:$A$49,0),MATCH('Conditional Fomating'!K$1,products!$A$1:$D$1,0))</f>
        <v>M</v>
      </c>
      <c r="L448" t="str">
        <f t="shared" si="37"/>
        <v>Medium</v>
      </c>
      <c r="M448">
        <f>INDEX(products!$A$1:$I$49,MATCH('Conditional Fomating'!$D448,products!$A$1:$A$49,0),MATCH('Conditional Fomating'!M$1,products!$A$1:$D$1,0))</f>
        <v>0.5</v>
      </c>
      <c r="N448">
        <f>_xlfn.XLOOKUP(D448,products!$A$2:$A$49,products!$E$2:$E$49)</f>
        <v>8.73</v>
      </c>
      <c r="O448">
        <f>_xlfn.XLOOKUP(D448,products!$A$2:$A$49,products!$H$2:$H$49)</f>
        <v>7.5951000000000004</v>
      </c>
      <c r="P448">
        <f t="shared" si="38"/>
        <v>8.73</v>
      </c>
      <c r="Q448">
        <f t="shared" si="39"/>
        <v>7.5951000000000004</v>
      </c>
      <c r="R448">
        <f t="shared" si="40"/>
        <v>1.1349</v>
      </c>
      <c r="S448" s="4">
        <f t="shared" si="41"/>
        <v>0.13</v>
      </c>
      <c r="T448" t="str">
        <f>_xlfn.XLOOKUP(C448,customers!$A$1:$A$1001,customers!$I$1:$I$1001,,0)</f>
        <v>Yes</v>
      </c>
    </row>
    <row r="449" spans="1:20"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INDEX(products!$A$1:$I$49,MATCH('Conditional Fomating'!$D449,products!$A$1:$A$49,0),MATCH('Conditional Fomating'!I$1,products!$A$1:$D$1,0))</f>
        <v>Rob</v>
      </c>
      <c r="J449" t="str">
        <f t="shared" si="36"/>
        <v>Robusta</v>
      </c>
      <c r="K449" t="str">
        <f>INDEX(products!$A$1:$I$49,MATCH('Conditional Fomating'!$D449,products!$A$1:$A$49,0),MATCH('Conditional Fomating'!K$1,products!$A$1:$D$1,0))</f>
        <v>M</v>
      </c>
      <c r="L449" t="str">
        <f t="shared" si="37"/>
        <v>Medium</v>
      </c>
      <c r="M449">
        <f>INDEX(products!$A$1:$I$49,MATCH('Conditional Fomating'!$D449,products!$A$1:$A$49,0),MATCH('Conditional Fomating'!M$1,products!$A$1:$D$1,0))</f>
        <v>0.5</v>
      </c>
      <c r="N449">
        <f>_xlfn.XLOOKUP(D449,products!$A$2:$A$49,products!$E$2:$E$49)</f>
        <v>5.97</v>
      </c>
      <c r="O449">
        <f>_xlfn.XLOOKUP(D449,products!$A$2:$A$49,products!$H$2:$H$49)</f>
        <v>5.6117999999999997</v>
      </c>
      <c r="P449">
        <f t="shared" si="38"/>
        <v>17.91</v>
      </c>
      <c r="Q449">
        <f t="shared" si="39"/>
        <v>16.8354</v>
      </c>
      <c r="R449">
        <f t="shared" si="40"/>
        <v>1.0746000000000002</v>
      </c>
      <c r="S449" s="4">
        <f t="shared" si="41"/>
        <v>6.0000000000000012E-2</v>
      </c>
      <c r="T449" t="str">
        <f>_xlfn.XLOOKUP(C449,customers!$A$1:$A$1001,customers!$I$1:$I$1001,,0)</f>
        <v>No</v>
      </c>
    </row>
    <row r="450" spans="1:20"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INDEX(products!$A$1:$I$49,MATCH('Conditional Fomating'!$D450,products!$A$1:$A$49,0),MATCH('Conditional Fomating'!I$1,products!$A$1:$D$1,0))</f>
        <v>Rob</v>
      </c>
      <c r="J450" t="str">
        <f t="shared" si="36"/>
        <v>Robusta</v>
      </c>
      <c r="K450" t="str">
        <f>INDEX(products!$A$1:$I$49,MATCH('Conditional Fomating'!$D450,products!$A$1:$A$49,0),MATCH('Conditional Fomating'!K$1,products!$A$1:$D$1,0))</f>
        <v>L</v>
      </c>
      <c r="L450" t="str">
        <f t="shared" si="37"/>
        <v>Light</v>
      </c>
      <c r="M450">
        <f>INDEX(products!$A$1:$I$49,MATCH('Conditional Fomating'!$D450,products!$A$1:$A$49,0),MATCH('Conditional Fomating'!M$1,products!$A$1:$D$1,0))</f>
        <v>0.5</v>
      </c>
      <c r="N450">
        <f>_xlfn.XLOOKUP(D450,products!$A$2:$A$49,products!$E$2:$E$49)</f>
        <v>7.169999999999999</v>
      </c>
      <c r="O450">
        <f>_xlfn.XLOOKUP(D450,products!$A$2:$A$49,products!$H$2:$H$49)</f>
        <v>6.7397999999999989</v>
      </c>
      <c r="P450">
        <f t="shared" si="38"/>
        <v>7.169999999999999</v>
      </c>
      <c r="Q450">
        <f t="shared" si="39"/>
        <v>6.7397999999999989</v>
      </c>
      <c r="R450">
        <f t="shared" si="40"/>
        <v>0.43020000000000014</v>
      </c>
      <c r="S450" s="4">
        <f t="shared" si="41"/>
        <v>6.0000000000000026E-2</v>
      </c>
      <c r="T450" t="str">
        <f>_xlfn.XLOOKUP(C450,customers!$A$1:$A$1001,customers!$I$1:$I$1001,,0)</f>
        <v>No</v>
      </c>
    </row>
    <row r="451" spans="1:20"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INDEX(products!$A$1:$I$49,MATCH('Conditional Fomating'!$D451,products!$A$1:$A$49,0),MATCH('Conditional Fomating'!I$1,products!$A$1:$D$1,0))</f>
        <v>Rob</v>
      </c>
      <c r="J451" t="str">
        <f t="shared" ref="J451:J514" si="42">IF(I451="Rob","Robusta",IF(I451="Exc","Excelsa",IF(I451="Ara","Arabica",IF(I451="Lib","Liberica",""))))</f>
        <v>Robusta</v>
      </c>
      <c r="K451" t="str">
        <f>INDEX(products!$A$1:$I$49,MATCH('Conditional Fomating'!$D451,products!$A$1:$A$49,0),MATCH('Conditional Fomating'!K$1,products!$A$1:$D$1,0))</f>
        <v>D</v>
      </c>
      <c r="L451" t="str">
        <f t="shared" ref="L451:L514" si="43">IF(K451="M","Medium",IF(K451="L","Light",IF(K451="D","Dark","")))</f>
        <v>Dark</v>
      </c>
      <c r="M451">
        <f>INDEX(products!$A$1:$I$49,MATCH('Conditional Fomating'!$D451,products!$A$1:$A$49,0),MATCH('Conditional Fomating'!M$1,products!$A$1:$D$1,0))</f>
        <v>0.2</v>
      </c>
      <c r="N451">
        <f>_xlfn.XLOOKUP(D451,products!$A$2:$A$49,products!$E$2:$E$49)</f>
        <v>2.6849999999999996</v>
      </c>
      <c r="O451">
        <f>_xlfn.XLOOKUP(D451,products!$A$2:$A$49,products!$H$2:$H$49)</f>
        <v>2.5238999999999998</v>
      </c>
      <c r="P451">
        <f t="shared" ref="P451:P514" si="44">N451*E451</f>
        <v>5.3699999999999992</v>
      </c>
      <c r="Q451">
        <f t="shared" ref="Q451:Q514" si="45">O451*E451</f>
        <v>5.0477999999999996</v>
      </c>
      <c r="R451">
        <f t="shared" ref="R451:R514" si="46">P451-Q451</f>
        <v>0.3221999999999996</v>
      </c>
      <c r="S451" s="4">
        <f t="shared" ref="S451:S514" si="47">R451/P451</f>
        <v>5.9999999999999935E-2</v>
      </c>
      <c r="T451" t="str">
        <f>_xlfn.XLOOKUP(C451,customers!$A$1:$A$1001,customers!$I$1:$I$1001,,0)</f>
        <v>No</v>
      </c>
    </row>
    <row r="452" spans="1:20"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INDEX(products!$A$1:$I$49,MATCH('Conditional Fomating'!$D452,products!$A$1:$A$49,0),MATCH('Conditional Fomating'!I$1,products!$A$1:$D$1,0))</f>
        <v>Lib</v>
      </c>
      <c r="J452" t="str">
        <f t="shared" si="42"/>
        <v>Liberica</v>
      </c>
      <c r="K452" t="str">
        <f>INDEX(products!$A$1:$I$49,MATCH('Conditional Fomating'!$D452,products!$A$1:$A$49,0),MATCH('Conditional Fomating'!K$1,products!$A$1:$D$1,0))</f>
        <v>L</v>
      </c>
      <c r="L452" t="str">
        <f t="shared" si="43"/>
        <v>Light</v>
      </c>
      <c r="M452">
        <f>INDEX(products!$A$1:$I$49,MATCH('Conditional Fomating'!$D452,products!$A$1:$A$49,0),MATCH('Conditional Fomating'!M$1,products!$A$1:$D$1,0))</f>
        <v>0.2</v>
      </c>
      <c r="N452">
        <f>_xlfn.XLOOKUP(D452,products!$A$2:$A$49,products!$E$2:$E$49)</f>
        <v>4.7549999999999999</v>
      </c>
      <c r="O452">
        <f>_xlfn.XLOOKUP(D452,products!$A$2:$A$49,products!$H$2:$H$49)</f>
        <v>4.1368499999999999</v>
      </c>
      <c r="P452">
        <f t="shared" si="44"/>
        <v>23.774999999999999</v>
      </c>
      <c r="Q452">
        <f t="shared" si="45"/>
        <v>20.684249999999999</v>
      </c>
      <c r="R452">
        <f t="shared" si="46"/>
        <v>3.0907499999999999</v>
      </c>
      <c r="S452" s="4">
        <f t="shared" si="47"/>
        <v>0.13</v>
      </c>
      <c r="T452" t="str">
        <f>_xlfn.XLOOKUP(C452,customers!$A$1:$A$1001,customers!$I$1:$I$1001,,0)</f>
        <v>No</v>
      </c>
    </row>
    <row r="453" spans="1:20"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INDEX(products!$A$1:$I$49,MATCH('Conditional Fomating'!$D453,products!$A$1:$A$49,0),MATCH('Conditional Fomating'!I$1,products!$A$1:$D$1,0))</f>
        <v>Rob</v>
      </c>
      <c r="J453" t="str">
        <f t="shared" si="42"/>
        <v>Robusta</v>
      </c>
      <c r="K453" t="str">
        <f>INDEX(products!$A$1:$I$49,MATCH('Conditional Fomating'!$D453,products!$A$1:$A$49,0),MATCH('Conditional Fomating'!K$1,products!$A$1:$D$1,0))</f>
        <v>D</v>
      </c>
      <c r="L453" t="str">
        <f t="shared" si="43"/>
        <v>Dark</v>
      </c>
      <c r="M453">
        <f>INDEX(products!$A$1:$I$49,MATCH('Conditional Fomating'!$D453,products!$A$1:$A$49,0),MATCH('Conditional Fomating'!M$1,products!$A$1:$D$1,0))</f>
        <v>2.5</v>
      </c>
      <c r="N453">
        <f>_xlfn.XLOOKUP(D453,products!$A$2:$A$49,products!$E$2:$E$49)</f>
        <v>20.584999999999997</v>
      </c>
      <c r="O453">
        <f>_xlfn.XLOOKUP(D453,products!$A$2:$A$49,products!$H$2:$H$49)</f>
        <v>19.349899999999998</v>
      </c>
      <c r="P453">
        <f t="shared" si="44"/>
        <v>41.169999999999995</v>
      </c>
      <c r="Q453">
        <f t="shared" si="45"/>
        <v>38.699799999999996</v>
      </c>
      <c r="R453">
        <f t="shared" si="46"/>
        <v>2.4701999999999984</v>
      </c>
      <c r="S453" s="4">
        <f t="shared" si="47"/>
        <v>5.999999999999997E-2</v>
      </c>
      <c r="T453" t="str">
        <f>_xlfn.XLOOKUP(C453,customers!$A$1:$A$1001,customers!$I$1:$I$1001,,0)</f>
        <v>Yes</v>
      </c>
    </row>
    <row r="454" spans="1:20"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INDEX(products!$A$1:$I$49,MATCH('Conditional Fomating'!$D454,products!$A$1:$A$49,0),MATCH('Conditional Fomating'!I$1,products!$A$1:$D$1,0))</f>
        <v>Ara</v>
      </c>
      <c r="J454" t="str">
        <f t="shared" si="42"/>
        <v>Arabica</v>
      </c>
      <c r="K454" t="str">
        <f>INDEX(products!$A$1:$I$49,MATCH('Conditional Fomating'!$D454,products!$A$1:$A$49,0),MATCH('Conditional Fomating'!K$1,products!$A$1:$D$1,0))</f>
        <v>L</v>
      </c>
      <c r="L454" t="str">
        <f t="shared" si="43"/>
        <v>Light</v>
      </c>
      <c r="M454">
        <f>INDEX(products!$A$1:$I$49,MATCH('Conditional Fomating'!$D454,products!$A$1:$A$49,0),MATCH('Conditional Fomating'!M$1,products!$A$1:$D$1,0))</f>
        <v>0.2</v>
      </c>
      <c r="N454">
        <f>_xlfn.XLOOKUP(D454,products!$A$2:$A$49,products!$E$2:$E$49)</f>
        <v>3.8849999999999998</v>
      </c>
      <c r="O454">
        <f>_xlfn.XLOOKUP(D454,products!$A$2:$A$49,products!$H$2:$H$49)</f>
        <v>3.5353499999999998</v>
      </c>
      <c r="P454">
        <f t="shared" si="44"/>
        <v>11.654999999999999</v>
      </c>
      <c r="Q454">
        <f t="shared" si="45"/>
        <v>10.60605</v>
      </c>
      <c r="R454">
        <f t="shared" si="46"/>
        <v>1.0489499999999996</v>
      </c>
      <c r="S454" s="4">
        <f t="shared" si="47"/>
        <v>8.9999999999999969E-2</v>
      </c>
      <c r="T454" t="str">
        <f>_xlfn.XLOOKUP(C454,customers!$A$1:$A$1001,customers!$I$1:$I$1001,,0)</f>
        <v>No</v>
      </c>
    </row>
    <row r="455" spans="1:20"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INDEX(products!$A$1:$I$49,MATCH('Conditional Fomating'!$D455,products!$A$1:$A$49,0),MATCH('Conditional Fomating'!I$1,products!$A$1:$D$1,0))</f>
        <v>Lib</v>
      </c>
      <c r="J455" t="str">
        <f t="shared" si="42"/>
        <v>Liberica</v>
      </c>
      <c r="K455" t="str">
        <f>INDEX(products!$A$1:$I$49,MATCH('Conditional Fomating'!$D455,products!$A$1:$A$49,0),MATCH('Conditional Fomating'!K$1,products!$A$1:$D$1,0))</f>
        <v>L</v>
      </c>
      <c r="L455" t="str">
        <f t="shared" si="43"/>
        <v>Light</v>
      </c>
      <c r="M455">
        <f>INDEX(products!$A$1:$I$49,MATCH('Conditional Fomating'!$D455,products!$A$1:$A$49,0),MATCH('Conditional Fomating'!M$1,products!$A$1:$D$1,0))</f>
        <v>0.5</v>
      </c>
      <c r="N455">
        <f>_xlfn.XLOOKUP(D455,products!$A$2:$A$49,products!$E$2:$E$49)</f>
        <v>9.51</v>
      </c>
      <c r="O455">
        <f>_xlfn.XLOOKUP(D455,products!$A$2:$A$49,products!$H$2:$H$49)</f>
        <v>8.2736999999999998</v>
      </c>
      <c r="P455">
        <f t="shared" si="44"/>
        <v>38.04</v>
      </c>
      <c r="Q455">
        <f t="shared" si="45"/>
        <v>33.094799999999999</v>
      </c>
      <c r="R455">
        <f t="shared" si="46"/>
        <v>4.9451999999999998</v>
      </c>
      <c r="S455" s="4">
        <f t="shared" si="47"/>
        <v>0.13</v>
      </c>
      <c r="T455" t="str">
        <f>_xlfn.XLOOKUP(C455,customers!$A$1:$A$1001,customers!$I$1:$I$1001,,0)</f>
        <v>No</v>
      </c>
    </row>
    <row r="456" spans="1:20"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INDEX(products!$A$1:$I$49,MATCH('Conditional Fomating'!$D456,products!$A$1:$A$49,0),MATCH('Conditional Fomating'!I$1,products!$A$1:$D$1,0))</f>
        <v>Rob</v>
      </c>
      <c r="J456" t="str">
        <f t="shared" si="42"/>
        <v>Robusta</v>
      </c>
      <c r="K456" t="str">
        <f>INDEX(products!$A$1:$I$49,MATCH('Conditional Fomating'!$D456,products!$A$1:$A$49,0),MATCH('Conditional Fomating'!K$1,products!$A$1:$D$1,0))</f>
        <v>D</v>
      </c>
      <c r="L456" t="str">
        <f t="shared" si="43"/>
        <v>Dark</v>
      </c>
      <c r="M456">
        <f>INDEX(products!$A$1:$I$49,MATCH('Conditional Fomating'!$D456,products!$A$1:$A$49,0),MATCH('Conditional Fomating'!M$1,products!$A$1:$D$1,0))</f>
        <v>2.5</v>
      </c>
      <c r="N456">
        <f>_xlfn.XLOOKUP(D456,products!$A$2:$A$49,products!$E$2:$E$49)</f>
        <v>20.584999999999997</v>
      </c>
      <c r="O456">
        <f>_xlfn.XLOOKUP(D456,products!$A$2:$A$49,products!$H$2:$H$49)</f>
        <v>19.349899999999998</v>
      </c>
      <c r="P456">
        <f t="shared" si="44"/>
        <v>82.339999999999989</v>
      </c>
      <c r="Q456">
        <f t="shared" si="45"/>
        <v>77.399599999999992</v>
      </c>
      <c r="R456">
        <f t="shared" si="46"/>
        <v>4.9403999999999968</v>
      </c>
      <c r="S456" s="4">
        <f t="shared" si="47"/>
        <v>5.999999999999997E-2</v>
      </c>
      <c r="T456" t="str">
        <f>_xlfn.XLOOKUP(C456,customers!$A$1:$A$1001,customers!$I$1:$I$1001,,0)</f>
        <v>Yes</v>
      </c>
    </row>
    <row r="457" spans="1:20"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INDEX(products!$A$1:$I$49,MATCH('Conditional Fomating'!$D457,products!$A$1:$A$49,0),MATCH('Conditional Fomating'!I$1,products!$A$1:$D$1,0))</f>
        <v>Lib</v>
      </c>
      <c r="J457" t="str">
        <f t="shared" si="42"/>
        <v>Liberica</v>
      </c>
      <c r="K457" t="str">
        <f>INDEX(products!$A$1:$I$49,MATCH('Conditional Fomating'!$D457,products!$A$1:$A$49,0),MATCH('Conditional Fomating'!K$1,products!$A$1:$D$1,0))</f>
        <v>L</v>
      </c>
      <c r="L457" t="str">
        <f t="shared" si="43"/>
        <v>Light</v>
      </c>
      <c r="M457">
        <f>INDEX(products!$A$1:$I$49,MATCH('Conditional Fomating'!$D457,products!$A$1:$A$49,0),MATCH('Conditional Fomating'!M$1,products!$A$1:$D$1,0))</f>
        <v>0.2</v>
      </c>
      <c r="N457">
        <f>_xlfn.XLOOKUP(D457,products!$A$2:$A$49,products!$E$2:$E$49)</f>
        <v>4.7549999999999999</v>
      </c>
      <c r="O457">
        <f>_xlfn.XLOOKUP(D457,products!$A$2:$A$49,products!$H$2:$H$49)</f>
        <v>4.1368499999999999</v>
      </c>
      <c r="P457">
        <f t="shared" si="44"/>
        <v>9.51</v>
      </c>
      <c r="Q457">
        <f t="shared" si="45"/>
        <v>8.2736999999999998</v>
      </c>
      <c r="R457">
        <f t="shared" si="46"/>
        <v>1.2363</v>
      </c>
      <c r="S457" s="4">
        <f t="shared" si="47"/>
        <v>0.13</v>
      </c>
      <c r="T457" t="str">
        <f>_xlfn.XLOOKUP(C457,customers!$A$1:$A$1001,customers!$I$1:$I$1001,,0)</f>
        <v>Yes</v>
      </c>
    </row>
    <row r="458" spans="1:20"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INDEX(products!$A$1:$I$49,MATCH('Conditional Fomating'!$D458,products!$A$1:$A$49,0),MATCH('Conditional Fomating'!I$1,products!$A$1:$D$1,0))</f>
        <v>Rob</v>
      </c>
      <c r="J458" t="str">
        <f t="shared" si="42"/>
        <v>Robusta</v>
      </c>
      <c r="K458" t="str">
        <f>INDEX(products!$A$1:$I$49,MATCH('Conditional Fomating'!$D458,products!$A$1:$A$49,0),MATCH('Conditional Fomating'!K$1,products!$A$1:$D$1,0))</f>
        <v>D</v>
      </c>
      <c r="L458" t="str">
        <f t="shared" si="43"/>
        <v>Dark</v>
      </c>
      <c r="M458">
        <f>INDEX(products!$A$1:$I$49,MATCH('Conditional Fomating'!$D458,products!$A$1:$A$49,0),MATCH('Conditional Fomating'!M$1,products!$A$1:$D$1,0))</f>
        <v>2.5</v>
      </c>
      <c r="N458">
        <f>_xlfn.XLOOKUP(D458,products!$A$2:$A$49,products!$E$2:$E$49)</f>
        <v>20.584999999999997</v>
      </c>
      <c r="O458">
        <f>_xlfn.XLOOKUP(D458,products!$A$2:$A$49,products!$H$2:$H$49)</f>
        <v>19.349899999999998</v>
      </c>
      <c r="P458">
        <f t="shared" si="44"/>
        <v>41.169999999999995</v>
      </c>
      <c r="Q458">
        <f t="shared" si="45"/>
        <v>38.699799999999996</v>
      </c>
      <c r="R458">
        <f t="shared" si="46"/>
        <v>2.4701999999999984</v>
      </c>
      <c r="S458" s="4">
        <f t="shared" si="47"/>
        <v>5.999999999999997E-2</v>
      </c>
      <c r="T458" t="str">
        <f>_xlfn.XLOOKUP(C458,customers!$A$1:$A$1001,customers!$I$1:$I$1001,,0)</f>
        <v>No</v>
      </c>
    </row>
    <row r="459" spans="1:20"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INDEX(products!$A$1:$I$49,MATCH('Conditional Fomating'!$D459,products!$A$1:$A$49,0),MATCH('Conditional Fomating'!I$1,products!$A$1:$D$1,0))</f>
        <v>Lib</v>
      </c>
      <c r="J459" t="str">
        <f t="shared" si="42"/>
        <v>Liberica</v>
      </c>
      <c r="K459" t="str">
        <f>INDEX(products!$A$1:$I$49,MATCH('Conditional Fomating'!$D459,products!$A$1:$A$49,0),MATCH('Conditional Fomating'!K$1,products!$A$1:$D$1,0))</f>
        <v>L</v>
      </c>
      <c r="L459" t="str">
        <f t="shared" si="43"/>
        <v>Light</v>
      </c>
      <c r="M459">
        <f>INDEX(products!$A$1:$I$49,MATCH('Conditional Fomating'!$D459,products!$A$1:$A$49,0),MATCH('Conditional Fomating'!M$1,products!$A$1:$D$1,0))</f>
        <v>0.5</v>
      </c>
      <c r="N459">
        <f>_xlfn.XLOOKUP(D459,products!$A$2:$A$49,products!$E$2:$E$49)</f>
        <v>9.51</v>
      </c>
      <c r="O459">
        <f>_xlfn.XLOOKUP(D459,products!$A$2:$A$49,products!$H$2:$H$49)</f>
        <v>8.2736999999999998</v>
      </c>
      <c r="P459">
        <f t="shared" si="44"/>
        <v>47.55</v>
      </c>
      <c r="Q459">
        <f t="shared" si="45"/>
        <v>41.368499999999997</v>
      </c>
      <c r="R459">
        <f t="shared" si="46"/>
        <v>6.1814999999999998</v>
      </c>
      <c r="S459" s="4">
        <f t="shared" si="47"/>
        <v>0.13</v>
      </c>
      <c r="T459" t="str">
        <f>_xlfn.XLOOKUP(C459,customers!$A$1:$A$1001,customers!$I$1:$I$1001,,0)</f>
        <v>No</v>
      </c>
    </row>
    <row r="460" spans="1:20"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INDEX(products!$A$1:$I$49,MATCH('Conditional Fomating'!$D460,products!$A$1:$A$49,0),MATCH('Conditional Fomating'!I$1,products!$A$1:$D$1,0))</f>
        <v>Ara</v>
      </c>
      <c r="J460" t="str">
        <f t="shared" si="42"/>
        <v>Arabica</v>
      </c>
      <c r="K460" t="str">
        <f>INDEX(products!$A$1:$I$49,MATCH('Conditional Fomating'!$D460,products!$A$1:$A$49,0),MATCH('Conditional Fomating'!K$1,products!$A$1:$D$1,0))</f>
        <v>M</v>
      </c>
      <c r="L460" t="str">
        <f t="shared" si="43"/>
        <v>Medium</v>
      </c>
      <c r="M460">
        <f>INDEX(products!$A$1:$I$49,MATCH('Conditional Fomating'!$D460,products!$A$1:$A$49,0),MATCH('Conditional Fomating'!M$1,products!$A$1:$D$1,0))</f>
        <v>1</v>
      </c>
      <c r="N460">
        <f>_xlfn.XLOOKUP(D460,products!$A$2:$A$49,products!$E$2:$E$49)</f>
        <v>11.25</v>
      </c>
      <c r="O460">
        <f>_xlfn.XLOOKUP(D460,products!$A$2:$A$49,products!$H$2:$H$49)</f>
        <v>10.237500000000001</v>
      </c>
      <c r="P460">
        <f t="shared" si="44"/>
        <v>45</v>
      </c>
      <c r="Q460">
        <f t="shared" si="45"/>
        <v>40.950000000000003</v>
      </c>
      <c r="R460">
        <f t="shared" si="46"/>
        <v>4.0499999999999972</v>
      </c>
      <c r="S460" s="4">
        <f t="shared" si="47"/>
        <v>8.9999999999999941E-2</v>
      </c>
      <c r="T460" t="str">
        <f>_xlfn.XLOOKUP(C460,customers!$A$1:$A$1001,customers!$I$1:$I$1001,,0)</f>
        <v>No</v>
      </c>
    </row>
    <row r="461" spans="1:20"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INDEX(products!$A$1:$I$49,MATCH('Conditional Fomating'!$D461,products!$A$1:$A$49,0),MATCH('Conditional Fomating'!I$1,products!$A$1:$D$1,0))</f>
        <v>Lib</v>
      </c>
      <c r="J461" t="str">
        <f t="shared" si="42"/>
        <v>Liberica</v>
      </c>
      <c r="K461" t="str">
        <f>INDEX(products!$A$1:$I$49,MATCH('Conditional Fomating'!$D461,products!$A$1:$A$49,0),MATCH('Conditional Fomating'!K$1,products!$A$1:$D$1,0))</f>
        <v>L</v>
      </c>
      <c r="L461" t="str">
        <f t="shared" si="43"/>
        <v>Light</v>
      </c>
      <c r="M461">
        <f>INDEX(products!$A$1:$I$49,MATCH('Conditional Fomating'!$D461,products!$A$1:$A$49,0),MATCH('Conditional Fomating'!M$1,products!$A$1:$D$1,0))</f>
        <v>0.2</v>
      </c>
      <c r="N461">
        <f>_xlfn.XLOOKUP(D461,products!$A$2:$A$49,products!$E$2:$E$49)</f>
        <v>4.7549999999999999</v>
      </c>
      <c r="O461">
        <f>_xlfn.XLOOKUP(D461,products!$A$2:$A$49,products!$H$2:$H$49)</f>
        <v>4.1368499999999999</v>
      </c>
      <c r="P461">
        <f t="shared" si="44"/>
        <v>23.774999999999999</v>
      </c>
      <c r="Q461">
        <f t="shared" si="45"/>
        <v>20.684249999999999</v>
      </c>
      <c r="R461">
        <f t="shared" si="46"/>
        <v>3.0907499999999999</v>
      </c>
      <c r="S461" s="4">
        <f t="shared" si="47"/>
        <v>0.13</v>
      </c>
      <c r="T461" t="str">
        <f>_xlfn.XLOOKUP(C461,customers!$A$1:$A$1001,customers!$I$1:$I$1001,,0)</f>
        <v>No</v>
      </c>
    </row>
    <row r="462" spans="1:20"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INDEX(products!$A$1:$I$49,MATCH('Conditional Fomating'!$D462,products!$A$1:$A$49,0),MATCH('Conditional Fomating'!I$1,products!$A$1:$D$1,0))</f>
        <v>Rob</v>
      </c>
      <c r="J462" t="str">
        <f t="shared" si="42"/>
        <v>Robusta</v>
      </c>
      <c r="K462" t="str">
        <f>INDEX(products!$A$1:$I$49,MATCH('Conditional Fomating'!$D462,products!$A$1:$A$49,0),MATCH('Conditional Fomating'!K$1,products!$A$1:$D$1,0))</f>
        <v>D</v>
      </c>
      <c r="L462" t="str">
        <f t="shared" si="43"/>
        <v>Dark</v>
      </c>
      <c r="M462">
        <f>INDEX(products!$A$1:$I$49,MATCH('Conditional Fomating'!$D462,products!$A$1:$A$49,0),MATCH('Conditional Fomating'!M$1,products!$A$1:$D$1,0))</f>
        <v>0.5</v>
      </c>
      <c r="N462">
        <f>_xlfn.XLOOKUP(D462,products!$A$2:$A$49,products!$E$2:$E$49)</f>
        <v>5.3699999999999992</v>
      </c>
      <c r="O462">
        <f>_xlfn.XLOOKUP(D462,products!$A$2:$A$49,products!$H$2:$H$49)</f>
        <v>5.0477999999999996</v>
      </c>
      <c r="P462">
        <f t="shared" si="44"/>
        <v>16.11</v>
      </c>
      <c r="Q462">
        <f t="shared" si="45"/>
        <v>15.1434</v>
      </c>
      <c r="R462">
        <f t="shared" si="46"/>
        <v>0.96659999999999968</v>
      </c>
      <c r="S462" s="4">
        <f t="shared" si="47"/>
        <v>5.9999999999999984E-2</v>
      </c>
      <c r="T462" t="str">
        <f>_xlfn.XLOOKUP(C462,customers!$A$1:$A$1001,customers!$I$1:$I$1001,,0)</f>
        <v>Yes</v>
      </c>
    </row>
    <row r="463" spans="1:20"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INDEX(products!$A$1:$I$49,MATCH('Conditional Fomating'!$D463,products!$A$1:$A$49,0),MATCH('Conditional Fomating'!I$1,products!$A$1:$D$1,0))</f>
        <v>Rob</v>
      </c>
      <c r="J463" t="str">
        <f t="shared" si="42"/>
        <v>Robusta</v>
      </c>
      <c r="K463" t="str">
        <f>INDEX(products!$A$1:$I$49,MATCH('Conditional Fomating'!$D463,products!$A$1:$A$49,0),MATCH('Conditional Fomating'!K$1,products!$A$1:$D$1,0))</f>
        <v>D</v>
      </c>
      <c r="L463" t="str">
        <f t="shared" si="43"/>
        <v>Dark</v>
      </c>
      <c r="M463">
        <f>INDEX(products!$A$1:$I$49,MATCH('Conditional Fomating'!$D463,products!$A$1:$A$49,0),MATCH('Conditional Fomating'!M$1,products!$A$1:$D$1,0))</f>
        <v>0.2</v>
      </c>
      <c r="N463">
        <f>_xlfn.XLOOKUP(D463,products!$A$2:$A$49,products!$E$2:$E$49)</f>
        <v>2.6849999999999996</v>
      </c>
      <c r="O463">
        <f>_xlfn.XLOOKUP(D463,products!$A$2:$A$49,products!$H$2:$H$49)</f>
        <v>2.5238999999999998</v>
      </c>
      <c r="P463">
        <f t="shared" si="44"/>
        <v>10.739999999999998</v>
      </c>
      <c r="Q463">
        <f t="shared" si="45"/>
        <v>10.095599999999999</v>
      </c>
      <c r="R463">
        <f t="shared" si="46"/>
        <v>0.6443999999999992</v>
      </c>
      <c r="S463" s="4">
        <f t="shared" si="47"/>
        <v>5.9999999999999935E-2</v>
      </c>
      <c r="T463" t="str">
        <f>_xlfn.XLOOKUP(C463,customers!$A$1:$A$1001,customers!$I$1:$I$1001,,0)</f>
        <v>Yes</v>
      </c>
    </row>
    <row r="464" spans="1:20"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INDEX(products!$A$1:$I$49,MATCH('Conditional Fomating'!$D464,products!$A$1:$A$49,0),MATCH('Conditional Fomating'!I$1,products!$A$1:$D$1,0))</f>
        <v>Ara</v>
      </c>
      <c r="J464" t="str">
        <f t="shared" si="42"/>
        <v>Arabica</v>
      </c>
      <c r="K464" t="str">
        <f>INDEX(products!$A$1:$I$49,MATCH('Conditional Fomating'!$D464,products!$A$1:$A$49,0),MATCH('Conditional Fomating'!K$1,products!$A$1:$D$1,0))</f>
        <v>D</v>
      </c>
      <c r="L464" t="str">
        <f t="shared" si="43"/>
        <v>Dark</v>
      </c>
      <c r="M464">
        <f>INDEX(products!$A$1:$I$49,MATCH('Conditional Fomating'!$D464,products!$A$1:$A$49,0),MATCH('Conditional Fomating'!M$1,products!$A$1:$D$1,0))</f>
        <v>1</v>
      </c>
      <c r="N464">
        <f>_xlfn.XLOOKUP(D464,products!$A$2:$A$49,products!$E$2:$E$49)</f>
        <v>9.9499999999999993</v>
      </c>
      <c r="O464">
        <f>_xlfn.XLOOKUP(D464,products!$A$2:$A$49,products!$H$2:$H$49)</f>
        <v>9.0544999999999991</v>
      </c>
      <c r="P464">
        <f t="shared" si="44"/>
        <v>49.75</v>
      </c>
      <c r="Q464">
        <f t="shared" si="45"/>
        <v>45.272499999999994</v>
      </c>
      <c r="R464">
        <f t="shared" si="46"/>
        <v>4.4775000000000063</v>
      </c>
      <c r="S464" s="4">
        <f t="shared" si="47"/>
        <v>9.0000000000000122E-2</v>
      </c>
      <c r="T464" t="str">
        <f>_xlfn.XLOOKUP(C464,customers!$A$1:$A$1001,customers!$I$1:$I$1001,,0)</f>
        <v>Yes</v>
      </c>
    </row>
    <row r="465" spans="1:20"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INDEX(products!$A$1:$I$49,MATCH('Conditional Fomating'!$D465,products!$A$1:$A$49,0),MATCH('Conditional Fomating'!I$1,products!$A$1:$D$1,0))</f>
        <v>Exc</v>
      </c>
      <c r="J465" t="str">
        <f t="shared" si="42"/>
        <v>Excelsa</v>
      </c>
      <c r="K465" t="str">
        <f>INDEX(products!$A$1:$I$49,MATCH('Conditional Fomating'!$D465,products!$A$1:$A$49,0),MATCH('Conditional Fomating'!K$1,products!$A$1:$D$1,0))</f>
        <v>M</v>
      </c>
      <c r="L465" t="str">
        <f t="shared" si="43"/>
        <v>Medium</v>
      </c>
      <c r="M465">
        <f>INDEX(products!$A$1:$I$49,MATCH('Conditional Fomating'!$D465,products!$A$1:$A$49,0),MATCH('Conditional Fomating'!M$1,products!$A$1:$D$1,0))</f>
        <v>1</v>
      </c>
      <c r="N465">
        <f>_xlfn.XLOOKUP(D465,products!$A$2:$A$49,products!$E$2:$E$49)</f>
        <v>13.75</v>
      </c>
      <c r="O465">
        <f>_xlfn.XLOOKUP(D465,products!$A$2:$A$49,products!$H$2:$H$49)</f>
        <v>12.237500000000001</v>
      </c>
      <c r="P465">
        <f t="shared" si="44"/>
        <v>27.5</v>
      </c>
      <c r="Q465">
        <f t="shared" si="45"/>
        <v>24.475000000000001</v>
      </c>
      <c r="R465">
        <f t="shared" si="46"/>
        <v>3.0249999999999986</v>
      </c>
      <c r="S465" s="4">
        <f t="shared" si="47"/>
        <v>0.10999999999999995</v>
      </c>
      <c r="T465" t="str">
        <f>_xlfn.XLOOKUP(C465,customers!$A$1:$A$1001,customers!$I$1:$I$1001,,0)</f>
        <v>No</v>
      </c>
    </row>
    <row r="466" spans="1:20"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INDEX(products!$A$1:$I$49,MATCH('Conditional Fomating'!$D466,products!$A$1:$A$49,0),MATCH('Conditional Fomating'!I$1,products!$A$1:$D$1,0))</f>
        <v>Lib</v>
      </c>
      <c r="J466" t="str">
        <f t="shared" si="42"/>
        <v>Liberica</v>
      </c>
      <c r="K466" t="str">
        <f>INDEX(products!$A$1:$I$49,MATCH('Conditional Fomating'!$D466,products!$A$1:$A$49,0),MATCH('Conditional Fomating'!K$1,products!$A$1:$D$1,0))</f>
        <v>D</v>
      </c>
      <c r="L466" t="str">
        <f t="shared" si="43"/>
        <v>Dark</v>
      </c>
      <c r="M466">
        <f>INDEX(products!$A$1:$I$49,MATCH('Conditional Fomating'!$D466,products!$A$1:$A$49,0),MATCH('Conditional Fomating'!M$1,products!$A$1:$D$1,0))</f>
        <v>2.5</v>
      </c>
      <c r="N466">
        <f>_xlfn.XLOOKUP(D466,products!$A$2:$A$49,products!$E$2:$E$49)</f>
        <v>29.784999999999997</v>
      </c>
      <c r="O466">
        <f>_xlfn.XLOOKUP(D466,products!$A$2:$A$49,products!$H$2:$H$49)</f>
        <v>25.912949999999995</v>
      </c>
      <c r="P466">
        <f t="shared" si="44"/>
        <v>119.13999999999999</v>
      </c>
      <c r="Q466">
        <f t="shared" si="45"/>
        <v>103.65179999999998</v>
      </c>
      <c r="R466">
        <f t="shared" si="46"/>
        <v>15.488200000000006</v>
      </c>
      <c r="S466" s="4">
        <f t="shared" si="47"/>
        <v>0.13000000000000006</v>
      </c>
      <c r="T466" t="str">
        <f>_xlfn.XLOOKUP(C466,customers!$A$1:$A$1001,customers!$I$1:$I$1001,,0)</f>
        <v>No</v>
      </c>
    </row>
    <row r="467" spans="1:20"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INDEX(products!$A$1:$I$49,MATCH('Conditional Fomating'!$D467,products!$A$1:$A$49,0),MATCH('Conditional Fomating'!I$1,products!$A$1:$D$1,0))</f>
        <v>Rob</v>
      </c>
      <c r="J467" t="str">
        <f t="shared" si="42"/>
        <v>Robusta</v>
      </c>
      <c r="K467" t="str">
        <f>INDEX(products!$A$1:$I$49,MATCH('Conditional Fomating'!$D467,products!$A$1:$A$49,0),MATCH('Conditional Fomating'!K$1,products!$A$1:$D$1,0))</f>
        <v>D</v>
      </c>
      <c r="L467" t="str">
        <f t="shared" si="43"/>
        <v>Dark</v>
      </c>
      <c r="M467">
        <f>INDEX(products!$A$1:$I$49,MATCH('Conditional Fomating'!$D467,products!$A$1:$A$49,0),MATCH('Conditional Fomating'!M$1,products!$A$1:$D$1,0))</f>
        <v>2.5</v>
      </c>
      <c r="N467">
        <f>_xlfn.XLOOKUP(D467,products!$A$2:$A$49,products!$E$2:$E$49)</f>
        <v>20.584999999999997</v>
      </c>
      <c r="O467">
        <f>_xlfn.XLOOKUP(D467,products!$A$2:$A$49,products!$H$2:$H$49)</f>
        <v>19.349899999999998</v>
      </c>
      <c r="P467">
        <f t="shared" si="44"/>
        <v>20.584999999999997</v>
      </c>
      <c r="Q467">
        <f t="shared" si="45"/>
        <v>19.349899999999998</v>
      </c>
      <c r="R467">
        <f t="shared" si="46"/>
        <v>1.2350999999999992</v>
      </c>
      <c r="S467" s="4">
        <f t="shared" si="47"/>
        <v>5.999999999999997E-2</v>
      </c>
      <c r="T467" t="str">
        <f>_xlfn.XLOOKUP(C467,customers!$A$1:$A$1001,customers!$I$1:$I$1001,,0)</f>
        <v>Yes</v>
      </c>
    </row>
    <row r="468" spans="1:20"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INDEX(products!$A$1:$I$49,MATCH('Conditional Fomating'!$D468,products!$A$1:$A$49,0),MATCH('Conditional Fomating'!I$1,products!$A$1:$D$1,0))</f>
        <v>Ara</v>
      </c>
      <c r="J468" t="str">
        <f t="shared" si="42"/>
        <v>Arabica</v>
      </c>
      <c r="K468" t="str">
        <f>INDEX(products!$A$1:$I$49,MATCH('Conditional Fomating'!$D468,products!$A$1:$A$49,0),MATCH('Conditional Fomating'!K$1,products!$A$1:$D$1,0))</f>
        <v>D</v>
      </c>
      <c r="L468" t="str">
        <f t="shared" si="43"/>
        <v>Dark</v>
      </c>
      <c r="M468">
        <f>INDEX(products!$A$1:$I$49,MATCH('Conditional Fomating'!$D468,products!$A$1:$A$49,0),MATCH('Conditional Fomating'!M$1,products!$A$1:$D$1,0))</f>
        <v>0.2</v>
      </c>
      <c r="N468">
        <f>_xlfn.XLOOKUP(D468,products!$A$2:$A$49,products!$E$2:$E$49)</f>
        <v>2.9849999999999999</v>
      </c>
      <c r="O468">
        <f>_xlfn.XLOOKUP(D468,products!$A$2:$A$49,products!$H$2:$H$49)</f>
        <v>2.7163499999999998</v>
      </c>
      <c r="P468">
        <f t="shared" si="44"/>
        <v>8.9550000000000001</v>
      </c>
      <c r="Q468">
        <f t="shared" si="45"/>
        <v>8.149049999999999</v>
      </c>
      <c r="R468">
        <f t="shared" si="46"/>
        <v>0.80595000000000105</v>
      </c>
      <c r="S468" s="4">
        <f t="shared" si="47"/>
        <v>9.0000000000000122E-2</v>
      </c>
      <c r="T468" t="str">
        <f>_xlfn.XLOOKUP(C468,customers!$A$1:$A$1001,customers!$I$1:$I$1001,,0)</f>
        <v>Yes</v>
      </c>
    </row>
    <row r="469" spans="1:20"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INDEX(products!$A$1:$I$49,MATCH('Conditional Fomating'!$D469,products!$A$1:$A$49,0),MATCH('Conditional Fomating'!I$1,products!$A$1:$D$1,0))</f>
        <v>Ara</v>
      </c>
      <c r="J469" t="str">
        <f t="shared" si="42"/>
        <v>Arabica</v>
      </c>
      <c r="K469" t="str">
        <f>INDEX(products!$A$1:$I$49,MATCH('Conditional Fomating'!$D469,products!$A$1:$A$49,0),MATCH('Conditional Fomating'!K$1,products!$A$1:$D$1,0))</f>
        <v>D</v>
      </c>
      <c r="L469" t="str">
        <f t="shared" si="43"/>
        <v>Dark</v>
      </c>
      <c r="M469">
        <f>INDEX(products!$A$1:$I$49,MATCH('Conditional Fomating'!$D469,products!$A$1:$A$49,0),MATCH('Conditional Fomating'!M$1,products!$A$1:$D$1,0))</f>
        <v>0.5</v>
      </c>
      <c r="N469">
        <f>_xlfn.XLOOKUP(D469,products!$A$2:$A$49,products!$E$2:$E$49)</f>
        <v>5.97</v>
      </c>
      <c r="O469">
        <f>_xlfn.XLOOKUP(D469,products!$A$2:$A$49,products!$H$2:$H$49)</f>
        <v>5.4326999999999996</v>
      </c>
      <c r="P469">
        <f t="shared" si="44"/>
        <v>5.97</v>
      </c>
      <c r="Q469">
        <f t="shared" si="45"/>
        <v>5.4326999999999996</v>
      </c>
      <c r="R469">
        <f t="shared" si="46"/>
        <v>0.53730000000000011</v>
      </c>
      <c r="S469" s="4">
        <f t="shared" si="47"/>
        <v>9.0000000000000024E-2</v>
      </c>
      <c r="T469" t="str">
        <f>_xlfn.XLOOKUP(C469,customers!$A$1:$A$1001,customers!$I$1:$I$1001,,0)</f>
        <v>No</v>
      </c>
    </row>
    <row r="470" spans="1:20"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INDEX(products!$A$1:$I$49,MATCH('Conditional Fomating'!$D470,products!$A$1:$A$49,0),MATCH('Conditional Fomating'!I$1,products!$A$1:$D$1,0))</f>
        <v>Exc</v>
      </c>
      <c r="J470" t="str">
        <f t="shared" si="42"/>
        <v>Excelsa</v>
      </c>
      <c r="K470" t="str">
        <f>INDEX(products!$A$1:$I$49,MATCH('Conditional Fomating'!$D470,products!$A$1:$A$49,0),MATCH('Conditional Fomating'!K$1,products!$A$1:$D$1,0))</f>
        <v>M</v>
      </c>
      <c r="L470" t="str">
        <f t="shared" si="43"/>
        <v>Medium</v>
      </c>
      <c r="M470">
        <f>INDEX(products!$A$1:$I$49,MATCH('Conditional Fomating'!$D470,products!$A$1:$A$49,0),MATCH('Conditional Fomating'!M$1,products!$A$1:$D$1,0))</f>
        <v>1</v>
      </c>
      <c r="N470">
        <f>_xlfn.XLOOKUP(D470,products!$A$2:$A$49,products!$E$2:$E$49)</f>
        <v>13.75</v>
      </c>
      <c r="O470">
        <f>_xlfn.XLOOKUP(D470,products!$A$2:$A$49,products!$H$2:$H$49)</f>
        <v>12.237500000000001</v>
      </c>
      <c r="P470">
        <f t="shared" si="44"/>
        <v>41.25</v>
      </c>
      <c r="Q470">
        <f t="shared" si="45"/>
        <v>36.712500000000006</v>
      </c>
      <c r="R470">
        <f t="shared" si="46"/>
        <v>4.5374999999999943</v>
      </c>
      <c r="S470" s="4">
        <f t="shared" si="47"/>
        <v>0.10999999999999986</v>
      </c>
      <c r="T470" t="str">
        <f>_xlfn.XLOOKUP(C470,customers!$A$1:$A$1001,customers!$I$1:$I$1001,,0)</f>
        <v>Yes</v>
      </c>
    </row>
    <row r="471" spans="1:20"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INDEX(products!$A$1:$I$49,MATCH('Conditional Fomating'!$D471,products!$A$1:$A$49,0),MATCH('Conditional Fomating'!I$1,products!$A$1:$D$1,0))</f>
        <v>Exc</v>
      </c>
      <c r="J471" t="str">
        <f t="shared" si="42"/>
        <v>Excelsa</v>
      </c>
      <c r="K471" t="str">
        <f>INDEX(products!$A$1:$I$49,MATCH('Conditional Fomating'!$D471,products!$A$1:$A$49,0),MATCH('Conditional Fomating'!K$1,products!$A$1:$D$1,0))</f>
        <v>L</v>
      </c>
      <c r="L471" t="str">
        <f t="shared" si="43"/>
        <v>Light</v>
      </c>
      <c r="M471">
        <f>INDEX(products!$A$1:$I$49,MATCH('Conditional Fomating'!$D471,products!$A$1:$A$49,0),MATCH('Conditional Fomating'!M$1,products!$A$1:$D$1,0))</f>
        <v>0.2</v>
      </c>
      <c r="N471">
        <f>_xlfn.XLOOKUP(D471,products!$A$2:$A$49,products!$E$2:$E$49)</f>
        <v>4.4550000000000001</v>
      </c>
      <c r="O471">
        <f>_xlfn.XLOOKUP(D471,products!$A$2:$A$49,products!$H$2:$H$49)</f>
        <v>3.96495</v>
      </c>
      <c r="P471">
        <f t="shared" si="44"/>
        <v>22.274999999999999</v>
      </c>
      <c r="Q471">
        <f t="shared" si="45"/>
        <v>19.824750000000002</v>
      </c>
      <c r="R471">
        <f t="shared" si="46"/>
        <v>2.4502499999999969</v>
      </c>
      <c r="S471" s="4">
        <f t="shared" si="47"/>
        <v>0.10999999999999988</v>
      </c>
      <c r="T471" t="str">
        <f>_xlfn.XLOOKUP(C471,customers!$A$1:$A$1001,customers!$I$1:$I$1001,,0)</f>
        <v>Yes</v>
      </c>
    </row>
    <row r="472" spans="1:20"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INDEX(products!$A$1:$I$49,MATCH('Conditional Fomating'!$D472,products!$A$1:$A$49,0),MATCH('Conditional Fomating'!I$1,products!$A$1:$D$1,0))</f>
        <v>Ara</v>
      </c>
      <c r="J472" t="str">
        <f t="shared" si="42"/>
        <v>Arabica</v>
      </c>
      <c r="K472" t="str">
        <f>INDEX(products!$A$1:$I$49,MATCH('Conditional Fomating'!$D472,products!$A$1:$A$49,0),MATCH('Conditional Fomating'!K$1,products!$A$1:$D$1,0))</f>
        <v>M</v>
      </c>
      <c r="L472" t="str">
        <f t="shared" si="43"/>
        <v>Medium</v>
      </c>
      <c r="M472">
        <f>INDEX(products!$A$1:$I$49,MATCH('Conditional Fomating'!$D472,products!$A$1:$A$49,0),MATCH('Conditional Fomating'!M$1,products!$A$1:$D$1,0))</f>
        <v>0.5</v>
      </c>
      <c r="N472">
        <f>_xlfn.XLOOKUP(D472,products!$A$2:$A$49,products!$E$2:$E$49)</f>
        <v>6.75</v>
      </c>
      <c r="O472">
        <f>_xlfn.XLOOKUP(D472,products!$A$2:$A$49,products!$H$2:$H$49)</f>
        <v>6.1425000000000001</v>
      </c>
      <c r="P472">
        <f t="shared" si="44"/>
        <v>6.75</v>
      </c>
      <c r="Q472">
        <f t="shared" si="45"/>
        <v>6.1425000000000001</v>
      </c>
      <c r="R472">
        <f t="shared" si="46"/>
        <v>0.60749999999999993</v>
      </c>
      <c r="S472" s="4">
        <f t="shared" si="47"/>
        <v>8.9999999999999983E-2</v>
      </c>
      <c r="T472" t="str">
        <f>_xlfn.XLOOKUP(C472,customers!$A$1:$A$1001,customers!$I$1:$I$1001,,0)</f>
        <v>Yes</v>
      </c>
    </row>
    <row r="473" spans="1:20"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v>
      </c>
      <c r="H473" s="2" t="str">
        <f>_xlfn.XLOOKUP(C473,customers!$A$1:$A$1001,customers!$G$1:$G$1001,,0)</f>
        <v>United States</v>
      </c>
      <c r="I473" t="str">
        <f>INDEX(products!$A$1:$I$49,MATCH('Conditional Fomating'!$D473,products!$A$1:$A$49,0),MATCH('Conditional Fomating'!I$1,products!$A$1:$D$1,0))</f>
        <v>Lib</v>
      </c>
      <c r="J473" t="str">
        <f t="shared" si="42"/>
        <v>Liberica</v>
      </c>
      <c r="K473" t="str">
        <f>INDEX(products!$A$1:$I$49,MATCH('Conditional Fomating'!$D473,products!$A$1:$A$49,0),MATCH('Conditional Fomating'!K$1,products!$A$1:$D$1,0))</f>
        <v>M</v>
      </c>
      <c r="L473" t="str">
        <f t="shared" si="43"/>
        <v>Medium</v>
      </c>
      <c r="M473">
        <f>INDEX(products!$A$1:$I$49,MATCH('Conditional Fomating'!$D473,products!$A$1:$A$49,0),MATCH('Conditional Fomating'!M$1,products!$A$1:$D$1,0))</f>
        <v>2.5</v>
      </c>
      <c r="N473">
        <f>_xlfn.XLOOKUP(D473,products!$A$2:$A$49,products!$E$2:$E$49)</f>
        <v>33.464999999999996</v>
      </c>
      <c r="O473">
        <f>_xlfn.XLOOKUP(D473,products!$A$2:$A$49,products!$H$2:$H$49)</f>
        <v>29.114549999999998</v>
      </c>
      <c r="P473">
        <f t="shared" si="44"/>
        <v>133.85999999999999</v>
      </c>
      <c r="Q473">
        <f t="shared" si="45"/>
        <v>116.45819999999999</v>
      </c>
      <c r="R473">
        <f t="shared" si="46"/>
        <v>17.401799999999994</v>
      </c>
      <c r="S473" s="4">
        <f t="shared" si="47"/>
        <v>0.12999999999999998</v>
      </c>
      <c r="T473" t="str">
        <f>_xlfn.XLOOKUP(C473,customers!$A$1:$A$1001,customers!$I$1:$I$1001,,0)</f>
        <v>Yes</v>
      </c>
    </row>
    <row r="474" spans="1:20"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INDEX(products!$A$1:$I$49,MATCH('Conditional Fomating'!$D474,products!$A$1:$A$49,0),MATCH('Conditional Fomating'!I$1,products!$A$1:$D$1,0))</f>
        <v>Ara</v>
      </c>
      <c r="J474" t="str">
        <f t="shared" si="42"/>
        <v>Arabica</v>
      </c>
      <c r="K474" t="str">
        <f>INDEX(products!$A$1:$I$49,MATCH('Conditional Fomating'!$D474,products!$A$1:$A$49,0),MATCH('Conditional Fomating'!K$1,products!$A$1:$D$1,0))</f>
        <v>D</v>
      </c>
      <c r="L474" t="str">
        <f t="shared" si="43"/>
        <v>Dark</v>
      </c>
      <c r="M474">
        <f>INDEX(products!$A$1:$I$49,MATCH('Conditional Fomating'!$D474,products!$A$1:$A$49,0),MATCH('Conditional Fomating'!M$1,products!$A$1:$D$1,0))</f>
        <v>0.2</v>
      </c>
      <c r="N474">
        <f>_xlfn.XLOOKUP(D474,products!$A$2:$A$49,products!$E$2:$E$49)</f>
        <v>2.9849999999999999</v>
      </c>
      <c r="O474">
        <f>_xlfn.XLOOKUP(D474,products!$A$2:$A$49,products!$H$2:$H$49)</f>
        <v>2.7163499999999998</v>
      </c>
      <c r="P474">
        <f t="shared" si="44"/>
        <v>5.97</v>
      </c>
      <c r="Q474">
        <f t="shared" si="45"/>
        <v>5.4326999999999996</v>
      </c>
      <c r="R474">
        <f t="shared" si="46"/>
        <v>0.53730000000000011</v>
      </c>
      <c r="S474" s="4">
        <f t="shared" si="47"/>
        <v>9.0000000000000024E-2</v>
      </c>
      <c r="T474" t="str">
        <f>_xlfn.XLOOKUP(C474,customers!$A$1:$A$1001,customers!$I$1:$I$1001,,0)</f>
        <v>No</v>
      </c>
    </row>
    <row r="475" spans="1:20"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INDEX(products!$A$1:$I$49,MATCH('Conditional Fomating'!$D475,products!$A$1:$A$49,0),MATCH('Conditional Fomating'!I$1,products!$A$1:$D$1,0))</f>
        <v>Ara</v>
      </c>
      <c r="J475" t="str">
        <f t="shared" si="42"/>
        <v>Arabica</v>
      </c>
      <c r="K475" t="str">
        <f>INDEX(products!$A$1:$I$49,MATCH('Conditional Fomating'!$D475,products!$A$1:$A$49,0),MATCH('Conditional Fomating'!K$1,products!$A$1:$D$1,0))</f>
        <v>L</v>
      </c>
      <c r="L475" t="str">
        <f t="shared" si="43"/>
        <v>Light</v>
      </c>
      <c r="M475">
        <f>INDEX(products!$A$1:$I$49,MATCH('Conditional Fomating'!$D475,products!$A$1:$A$49,0),MATCH('Conditional Fomating'!M$1,products!$A$1:$D$1,0))</f>
        <v>1</v>
      </c>
      <c r="N475">
        <f>_xlfn.XLOOKUP(D475,products!$A$2:$A$49,products!$E$2:$E$49)</f>
        <v>12.95</v>
      </c>
      <c r="O475">
        <f>_xlfn.XLOOKUP(D475,products!$A$2:$A$49,products!$H$2:$H$49)</f>
        <v>11.7845</v>
      </c>
      <c r="P475">
        <f t="shared" si="44"/>
        <v>25.9</v>
      </c>
      <c r="Q475">
        <f t="shared" si="45"/>
        <v>23.568999999999999</v>
      </c>
      <c r="R475">
        <f t="shared" si="46"/>
        <v>2.3309999999999995</v>
      </c>
      <c r="S475" s="4">
        <f t="shared" si="47"/>
        <v>8.9999999999999983E-2</v>
      </c>
      <c r="T475" t="str">
        <f>_xlfn.XLOOKUP(C475,customers!$A$1:$A$1001,customers!$I$1:$I$1001,,0)</f>
        <v>No</v>
      </c>
    </row>
    <row r="476" spans="1:20"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INDEX(products!$A$1:$I$49,MATCH('Conditional Fomating'!$D476,products!$A$1:$A$49,0),MATCH('Conditional Fomating'!I$1,products!$A$1:$D$1,0))</f>
        <v>Exc</v>
      </c>
      <c r="J476" t="str">
        <f t="shared" si="42"/>
        <v>Excelsa</v>
      </c>
      <c r="K476" t="str">
        <f>INDEX(products!$A$1:$I$49,MATCH('Conditional Fomating'!$D476,products!$A$1:$A$49,0),MATCH('Conditional Fomating'!K$1,products!$A$1:$D$1,0))</f>
        <v>M</v>
      </c>
      <c r="L476" t="str">
        <f t="shared" si="43"/>
        <v>Medium</v>
      </c>
      <c r="M476">
        <f>INDEX(products!$A$1:$I$49,MATCH('Conditional Fomating'!$D476,products!$A$1:$A$49,0),MATCH('Conditional Fomating'!M$1,products!$A$1:$D$1,0))</f>
        <v>2.5</v>
      </c>
      <c r="N476">
        <f>_xlfn.XLOOKUP(D476,products!$A$2:$A$49,products!$E$2:$E$49)</f>
        <v>31.624999999999996</v>
      </c>
      <c r="O476">
        <f>_xlfn.XLOOKUP(D476,products!$A$2:$A$49,products!$H$2:$H$49)</f>
        <v>28.146249999999995</v>
      </c>
      <c r="P476">
        <f t="shared" si="44"/>
        <v>31.624999999999996</v>
      </c>
      <c r="Q476">
        <f t="shared" si="45"/>
        <v>28.146249999999995</v>
      </c>
      <c r="R476">
        <f t="shared" si="46"/>
        <v>3.4787500000000016</v>
      </c>
      <c r="S476" s="4">
        <f t="shared" si="47"/>
        <v>0.11000000000000006</v>
      </c>
      <c r="T476" t="str">
        <f>_xlfn.XLOOKUP(C476,customers!$A$1:$A$1001,customers!$I$1:$I$1001,,0)</f>
        <v>Yes</v>
      </c>
    </row>
    <row r="477" spans="1:20"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INDEX(products!$A$1:$I$49,MATCH('Conditional Fomating'!$D477,products!$A$1:$A$49,0),MATCH('Conditional Fomating'!I$1,products!$A$1:$D$1,0))</f>
        <v>Lib</v>
      </c>
      <c r="J477" t="str">
        <f t="shared" si="42"/>
        <v>Liberica</v>
      </c>
      <c r="K477" t="str">
        <f>INDEX(products!$A$1:$I$49,MATCH('Conditional Fomating'!$D477,products!$A$1:$A$49,0),MATCH('Conditional Fomating'!K$1,products!$A$1:$D$1,0))</f>
        <v>M</v>
      </c>
      <c r="L477" t="str">
        <f t="shared" si="43"/>
        <v>Medium</v>
      </c>
      <c r="M477">
        <f>INDEX(products!$A$1:$I$49,MATCH('Conditional Fomating'!$D477,products!$A$1:$A$49,0),MATCH('Conditional Fomating'!M$1,products!$A$1:$D$1,0))</f>
        <v>0.2</v>
      </c>
      <c r="N477">
        <f>_xlfn.XLOOKUP(D477,products!$A$2:$A$49,products!$E$2:$E$49)</f>
        <v>4.3650000000000002</v>
      </c>
      <c r="O477">
        <f>_xlfn.XLOOKUP(D477,products!$A$2:$A$49,products!$H$2:$H$49)</f>
        <v>3.7975500000000002</v>
      </c>
      <c r="P477">
        <f t="shared" si="44"/>
        <v>8.73</v>
      </c>
      <c r="Q477">
        <f t="shared" si="45"/>
        <v>7.5951000000000004</v>
      </c>
      <c r="R477">
        <f t="shared" si="46"/>
        <v>1.1349</v>
      </c>
      <c r="S477" s="4">
        <f t="shared" si="47"/>
        <v>0.13</v>
      </c>
      <c r="T477" t="str">
        <f>_xlfn.XLOOKUP(C477,customers!$A$1:$A$1001,customers!$I$1:$I$1001,,0)</f>
        <v>No</v>
      </c>
    </row>
    <row r="478" spans="1:20"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INDEX(products!$A$1:$I$49,MATCH('Conditional Fomating'!$D478,products!$A$1:$A$49,0),MATCH('Conditional Fomating'!I$1,products!$A$1:$D$1,0))</f>
        <v>Exc</v>
      </c>
      <c r="J478" t="str">
        <f t="shared" si="42"/>
        <v>Excelsa</v>
      </c>
      <c r="K478" t="str">
        <f>INDEX(products!$A$1:$I$49,MATCH('Conditional Fomating'!$D478,products!$A$1:$A$49,0),MATCH('Conditional Fomating'!K$1,products!$A$1:$D$1,0))</f>
        <v>L</v>
      </c>
      <c r="L478" t="str">
        <f t="shared" si="43"/>
        <v>Light</v>
      </c>
      <c r="M478">
        <f>INDEX(products!$A$1:$I$49,MATCH('Conditional Fomating'!$D478,products!$A$1:$A$49,0),MATCH('Conditional Fomating'!M$1,products!$A$1:$D$1,0))</f>
        <v>0.2</v>
      </c>
      <c r="N478">
        <f>_xlfn.XLOOKUP(D478,products!$A$2:$A$49,products!$E$2:$E$49)</f>
        <v>4.4550000000000001</v>
      </c>
      <c r="O478">
        <f>_xlfn.XLOOKUP(D478,products!$A$2:$A$49,products!$H$2:$H$49)</f>
        <v>3.96495</v>
      </c>
      <c r="P478">
        <f t="shared" si="44"/>
        <v>26.73</v>
      </c>
      <c r="Q478">
        <f t="shared" si="45"/>
        <v>23.7897</v>
      </c>
      <c r="R478">
        <f t="shared" si="46"/>
        <v>2.9403000000000006</v>
      </c>
      <c r="S478" s="4">
        <f t="shared" si="47"/>
        <v>0.11000000000000001</v>
      </c>
      <c r="T478" t="str">
        <f>_xlfn.XLOOKUP(C478,customers!$A$1:$A$1001,customers!$I$1:$I$1001,,0)</f>
        <v>Yes</v>
      </c>
    </row>
    <row r="479" spans="1:20"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INDEX(products!$A$1:$I$49,MATCH('Conditional Fomating'!$D479,products!$A$1:$A$49,0),MATCH('Conditional Fomating'!I$1,products!$A$1:$D$1,0))</f>
        <v>Lib</v>
      </c>
      <c r="J479" t="str">
        <f t="shared" si="42"/>
        <v>Liberica</v>
      </c>
      <c r="K479" t="str">
        <f>INDEX(products!$A$1:$I$49,MATCH('Conditional Fomating'!$D479,products!$A$1:$A$49,0),MATCH('Conditional Fomating'!K$1,products!$A$1:$D$1,0))</f>
        <v>M</v>
      </c>
      <c r="L479" t="str">
        <f t="shared" si="43"/>
        <v>Medium</v>
      </c>
      <c r="M479">
        <f>INDEX(products!$A$1:$I$49,MATCH('Conditional Fomating'!$D479,products!$A$1:$A$49,0),MATCH('Conditional Fomating'!M$1,products!$A$1:$D$1,0))</f>
        <v>0.2</v>
      </c>
      <c r="N479">
        <f>_xlfn.XLOOKUP(D479,products!$A$2:$A$49,products!$E$2:$E$49)</f>
        <v>4.3650000000000002</v>
      </c>
      <c r="O479">
        <f>_xlfn.XLOOKUP(D479,products!$A$2:$A$49,products!$H$2:$H$49)</f>
        <v>3.7975500000000002</v>
      </c>
      <c r="P479">
        <f t="shared" si="44"/>
        <v>26.19</v>
      </c>
      <c r="Q479">
        <f t="shared" si="45"/>
        <v>22.785299999999999</v>
      </c>
      <c r="R479">
        <f t="shared" si="46"/>
        <v>3.4047000000000018</v>
      </c>
      <c r="S479" s="4">
        <f t="shared" si="47"/>
        <v>0.13000000000000006</v>
      </c>
      <c r="T479" t="str">
        <f>_xlfn.XLOOKUP(C479,customers!$A$1:$A$1001,customers!$I$1:$I$1001,,0)</f>
        <v>No</v>
      </c>
    </row>
    <row r="480" spans="1:20"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INDEX(products!$A$1:$I$49,MATCH('Conditional Fomating'!$D480,products!$A$1:$A$49,0),MATCH('Conditional Fomating'!I$1,products!$A$1:$D$1,0))</f>
        <v>Rob</v>
      </c>
      <c r="J480" t="str">
        <f t="shared" si="42"/>
        <v>Robusta</v>
      </c>
      <c r="K480" t="str">
        <f>INDEX(products!$A$1:$I$49,MATCH('Conditional Fomating'!$D480,products!$A$1:$A$49,0),MATCH('Conditional Fomating'!K$1,products!$A$1:$D$1,0))</f>
        <v>D</v>
      </c>
      <c r="L480" t="str">
        <f t="shared" si="43"/>
        <v>Dark</v>
      </c>
      <c r="M480">
        <f>INDEX(products!$A$1:$I$49,MATCH('Conditional Fomating'!$D480,products!$A$1:$A$49,0),MATCH('Conditional Fomating'!M$1,products!$A$1:$D$1,0))</f>
        <v>1</v>
      </c>
      <c r="N480">
        <f>_xlfn.XLOOKUP(D480,products!$A$2:$A$49,products!$E$2:$E$49)</f>
        <v>8.9499999999999993</v>
      </c>
      <c r="O480">
        <f>_xlfn.XLOOKUP(D480,products!$A$2:$A$49,products!$H$2:$H$49)</f>
        <v>8.4130000000000003</v>
      </c>
      <c r="P480">
        <f t="shared" si="44"/>
        <v>53.699999999999996</v>
      </c>
      <c r="Q480">
        <f t="shared" si="45"/>
        <v>50.478000000000002</v>
      </c>
      <c r="R480">
        <f t="shared" si="46"/>
        <v>3.2219999999999942</v>
      </c>
      <c r="S480" s="4">
        <f t="shared" si="47"/>
        <v>5.9999999999999894E-2</v>
      </c>
      <c r="T480" t="str">
        <f>_xlfn.XLOOKUP(C480,customers!$A$1:$A$1001,customers!$I$1:$I$1001,,0)</f>
        <v>Yes</v>
      </c>
    </row>
    <row r="481" spans="1:20"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INDEX(products!$A$1:$I$49,MATCH('Conditional Fomating'!$D481,products!$A$1:$A$49,0),MATCH('Conditional Fomating'!I$1,products!$A$1:$D$1,0))</f>
        <v>Exc</v>
      </c>
      <c r="J481" t="str">
        <f t="shared" si="42"/>
        <v>Excelsa</v>
      </c>
      <c r="K481" t="str">
        <f>INDEX(products!$A$1:$I$49,MATCH('Conditional Fomating'!$D481,products!$A$1:$A$49,0),MATCH('Conditional Fomating'!K$1,products!$A$1:$D$1,0))</f>
        <v>M</v>
      </c>
      <c r="L481" t="str">
        <f t="shared" si="43"/>
        <v>Medium</v>
      </c>
      <c r="M481">
        <f>INDEX(products!$A$1:$I$49,MATCH('Conditional Fomating'!$D481,products!$A$1:$A$49,0),MATCH('Conditional Fomating'!M$1,products!$A$1:$D$1,0))</f>
        <v>2.5</v>
      </c>
      <c r="N481">
        <f>_xlfn.XLOOKUP(D481,products!$A$2:$A$49,products!$E$2:$E$49)</f>
        <v>31.624999999999996</v>
      </c>
      <c r="O481">
        <f>_xlfn.XLOOKUP(D481,products!$A$2:$A$49,products!$H$2:$H$49)</f>
        <v>28.146249999999995</v>
      </c>
      <c r="P481">
        <f t="shared" si="44"/>
        <v>126.49999999999999</v>
      </c>
      <c r="Q481">
        <f t="shared" si="45"/>
        <v>112.58499999999998</v>
      </c>
      <c r="R481">
        <f t="shared" si="46"/>
        <v>13.915000000000006</v>
      </c>
      <c r="S481" s="4">
        <f t="shared" si="47"/>
        <v>0.11000000000000006</v>
      </c>
      <c r="T481" t="str">
        <f>_xlfn.XLOOKUP(C481,customers!$A$1:$A$1001,customers!$I$1:$I$1001,,0)</f>
        <v>Yes</v>
      </c>
    </row>
    <row r="482" spans="1:20"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INDEX(products!$A$1:$I$49,MATCH('Conditional Fomating'!$D482,products!$A$1:$A$49,0),MATCH('Conditional Fomating'!I$1,products!$A$1:$D$1,0))</f>
        <v>Exc</v>
      </c>
      <c r="J482" t="str">
        <f t="shared" si="42"/>
        <v>Excelsa</v>
      </c>
      <c r="K482" t="str">
        <f>INDEX(products!$A$1:$I$49,MATCH('Conditional Fomating'!$D482,products!$A$1:$A$49,0),MATCH('Conditional Fomating'!K$1,products!$A$1:$D$1,0))</f>
        <v>M</v>
      </c>
      <c r="L482" t="str">
        <f t="shared" si="43"/>
        <v>Medium</v>
      </c>
      <c r="M482">
        <f>INDEX(products!$A$1:$I$49,MATCH('Conditional Fomating'!$D482,products!$A$1:$A$49,0),MATCH('Conditional Fomating'!M$1,products!$A$1:$D$1,0))</f>
        <v>0.2</v>
      </c>
      <c r="N482">
        <f>_xlfn.XLOOKUP(D482,products!$A$2:$A$49,products!$E$2:$E$49)</f>
        <v>4.125</v>
      </c>
      <c r="O482">
        <f>_xlfn.XLOOKUP(D482,products!$A$2:$A$49,products!$H$2:$H$49)</f>
        <v>3.6712500000000001</v>
      </c>
      <c r="P482">
        <f t="shared" si="44"/>
        <v>4.125</v>
      </c>
      <c r="Q482">
        <f t="shared" si="45"/>
        <v>3.6712500000000001</v>
      </c>
      <c r="R482">
        <f t="shared" si="46"/>
        <v>0.45374999999999988</v>
      </c>
      <c r="S482" s="4">
        <f t="shared" si="47"/>
        <v>0.10999999999999997</v>
      </c>
      <c r="T482" t="str">
        <f>_xlfn.XLOOKUP(C482,customers!$A$1:$A$1001,customers!$I$1:$I$1001,,0)</f>
        <v>Yes</v>
      </c>
    </row>
    <row r="483" spans="1:20"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INDEX(products!$A$1:$I$49,MATCH('Conditional Fomating'!$D483,products!$A$1:$A$49,0),MATCH('Conditional Fomating'!I$1,products!$A$1:$D$1,0))</f>
        <v>Rob</v>
      </c>
      <c r="J483" t="str">
        <f t="shared" si="42"/>
        <v>Robusta</v>
      </c>
      <c r="K483" t="str">
        <f>INDEX(products!$A$1:$I$49,MATCH('Conditional Fomating'!$D483,products!$A$1:$A$49,0),MATCH('Conditional Fomating'!K$1,products!$A$1:$D$1,0))</f>
        <v>L</v>
      </c>
      <c r="L483" t="str">
        <f t="shared" si="43"/>
        <v>Light</v>
      </c>
      <c r="M483">
        <f>INDEX(products!$A$1:$I$49,MATCH('Conditional Fomating'!$D483,products!$A$1:$A$49,0),MATCH('Conditional Fomating'!M$1,products!$A$1:$D$1,0))</f>
        <v>1</v>
      </c>
      <c r="N483">
        <f>_xlfn.XLOOKUP(D483,products!$A$2:$A$49,products!$E$2:$E$49)</f>
        <v>11.95</v>
      </c>
      <c r="O483">
        <f>_xlfn.XLOOKUP(D483,products!$A$2:$A$49,products!$H$2:$H$49)</f>
        <v>11.232999999999999</v>
      </c>
      <c r="P483">
        <f t="shared" si="44"/>
        <v>23.9</v>
      </c>
      <c r="Q483">
        <f t="shared" si="45"/>
        <v>22.465999999999998</v>
      </c>
      <c r="R483">
        <f t="shared" si="46"/>
        <v>1.4340000000000011</v>
      </c>
      <c r="S483" s="4">
        <f t="shared" si="47"/>
        <v>6.0000000000000046E-2</v>
      </c>
      <c r="T483" t="str">
        <f>_xlfn.XLOOKUP(C483,customers!$A$1:$A$1001,customers!$I$1:$I$1001,,0)</f>
        <v>No</v>
      </c>
    </row>
    <row r="484" spans="1:20"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INDEX(products!$A$1:$I$49,MATCH('Conditional Fomating'!$D484,products!$A$1:$A$49,0),MATCH('Conditional Fomating'!I$1,products!$A$1:$D$1,0))</f>
        <v>Exc</v>
      </c>
      <c r="J484" t="str">
        <f t="shared" si="42"/>
        <v>Excelsa</v>
      </c>
      <c r="K484" t="str">
        <f>INDEX(products!$A$1:$I$49,MATCH('Conditional Fomating'!$D484,products!$A$1:$A$49,0),MATCH('Conditional Fomating'!K$1,products!$A$1:$D$1,0))</f>
        <v>D</v>
      </c>
      <c r="L484" t="str">
        <f t="shared" si="43"/>
        <v>Dark</v>
      </c>
      <c r="M484">
        <f>INDEX(products!$A$1:$I$49,MATCH('Conditional Fomating'!$D484,products!$A$1:$A$49,0),MATCH('Conditional Fomating'!M$1,products!$A$1:$D$1,0))</f>
        <v>2.5</v>
      </c>
      <c r="N484">
        <f>_xlfn.XLOOKUP(D484,products!$A$2:$A$49,products!$E$2:$E$49)</f>
        <v>27.945</v>
      </c>
      <c r="O484">
        <f>_xlfn.XLOOKUP(D484,products!$A$2:$A$49,products!$H$2:$H$49)</f>
        <v>24.87105</v>
      </c>
      <c r="P484">
        <f t="shared" si="44"/>
        <v>139.72499999999999</v>
      </c>
      <c r="Q484">
        <f t="shared" si="45"/>
        <v>124.35525</v>
      </c>
      <c r="R484">
        <f t="shared" si="46"/>
        <v>15.369749999999996</v>
      </c>
      <c r="S484" s="4">
        <f t="shared" si="47"/>
        <v>0.10999999999999997</v>
      </c>
      <c r="T484" t="str">
        <f>_xlfn.XLOOKUP(C484,customers!$A$1:$A$1001,customers!$I$1:$I$1001,,0)</f>
        <v>Yes</v>
      </c>
    </row>
    <row r="485" spans="1:20"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v>
      </c>
      <c r="H485" s="2" t="str">
        <f>_xlfn.XLOOKUP(C485,customers!$A$1:$A$1001,customers!$G$1:$G$1001,,0)</f>
        <v>United States</v>
      </c>
      <c r="I485" t="str">
        <f>INDEX(products!$A$1:$I$49,MATCH('Conditional Fomating'!$D485,products!$A$1:$A$49,0),MATCH('Conditional Fomating'!I$1,products!$A$1:$D$1,0))</f>
        <v>Lib</v>
      </c>
      <c r="J485" t="str">
        <f t="shared" si="42"/>
        <v>Liberica</v>
      </c>
      <c r="K485" t="str">
        <f>INDEX(products!$A$1:$I$49,MATCH('Conditional Fomating'!$D485,products!$A$1:$A$49,0),MATCH('Conditional Fomating'!K$1,products!$A$1:$D$1,0))</f>
        <v>D</v>
      </c>
      <c r="L485" t="str">
        <f t="shared" si="43"/>
        <v>Dark</v>
      </c>
      <c r="M485">
        <f>INDEX(products!$A$1:$I$49,MATCH('Conditional Fomating'!$D485,products!$A$1:$A$49,0),MATCH('Conditional Fomating'!M$1,products!$A$1:$D$1,0))</f>
        <v>2.5</v>
      </c>
      <c r="N485">
        <f>_xlfn.XLOOKUP(D485,products!$A$2:$A$49,products!$E$2:$E$49)</f>
        <v>29.784999999999997</v>
      </c>
      <c r="O485">
        <f>_xlfn.XLOOKUP(D485,products!$A$2:$A$49,products!$H$2:$H$49)</f>
        <v>25.912949999999995</v>
      </c>
      <c r="P485">
        <f t="shared" si="44"/>
        <v>59.569999999999993</v>
      </c>
      <c r="Q485">
        <f t="shared" si="45"/>
        <v>51.82589999999999</v>
      </c>
      <c r="R485">
        <f t="shared" si="46"/>
        <v>7.7441000000000031</v>
      </c>
      <c r="S485" s="4">
        <f t="shared" si="47"/>
        <v>0.13000000000000006</v>
      </c>
      <c r="T485" t="str">
        <f>_xlfn.XLOOKUP(C485,customers!$A$1:$A$1001,customers!$I$1:$I$1001,,0)</f>
        <v>Yes</v>
      </c>
    </row>
    <row r="486" spans="1:20"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INDEX(products!$A$1:$I$49,MATCH('Conditional Fomating'!$D486,products!$A$1:$A$49,0),MATCH('Conditional Fomating'!I$1,products!$A$1:$D$1,0))</f>
        <v>Lib</v>
      </c>
      <c r="J486" t="str">
        <f t="shared" si="42"/>
        <v>Liberica</v>
      </c>
      <c r="K486" t="str">
        <f>INDEX(products!$A$1:$I$49,MATCH('Conditional Fomating'!$D486,products!$A$1:$A$49,0),MATCH('Conditional Fomating'!K$1,products!$A$1:$D$1,0))</f>
        <v>L</v>
      </c>
      <c r="L486" t="str">
        <f t="shared" si="43"/>
        <v>Light</v>
      </c>
      <c r="M486">
        <f>INDEX(products!$A$1:$I$49,MATCH('Conditional Fomating'!$D486,products!$A$1:$A$49,0),MATCH('Conditional Fomating'!M$1,products!$A$1:$D$1,0))</f>
        <v>0.5</v>
      </c>
      <c r="N486">
        <f>_xlfn.XLOOKUP(D486,products!$A$2:$A$49,products!$E$2:$E$49)</f>
        <v>9.51</v>
      </c>
      <c r="O486">
        <f>_xlfn.XLOOKUP(D486,products!$A$2:$A$49,products!$H$2:$H$49)</f>
        <v>8.2736999999999998</v>
      </c>
      <c r="P486">
        <f t="shared" si="44"/>
        <v>57.06</v>
      </c>
      <c r="Q486">
        <f t="shared" si="45"/>
        <v>49.642200000000003</v>
      </c>
      <c r="R486">
        <f t="shared" si="46"/>
        <v>7.4177999999999997</v>
      </c>
      <c r="S486" s="4">
        <f t="shared" si="47"/>
        <v>0.12999999999999998</v>
      </c>
      <c r="T486" t="str">
        <f>_xlfn.XLOOKUP(C486,customers!$A$1:$A$1001,customers!$I$1:$I$1001,,0)</f>
        <v>No</v>
      </c>
    </row>
    <row r="487" spans="1:20"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INDEX(products!$A$1:$I$49,MATCH('Conditional Fomating'!$D487,products!$A$1:$A$49,0),MATCH('Conditional Fomating'!I$1,products!$A$1:$D$1,0))</f>
        <v>Rob</v>
      </c>
      <c r="J487" t="str">
        <f t="shared" si="42"/>
        <v>Robusta</v>
      </c>
      <c r="K487" t="str">
        <f>INDEX(products!$A$1:$I$49,MATCH('Conditional Fomating'!$D487,products!$A$1:$A$49,0),MATCH('Conditional Fomating'!K$1,products!$A$1:$D$1,0))</f>
        <v>L</v>
      </c>
      <c r="L487" t="str">
        <f t="shared" si="43"/>
        <v>Light</v>
      </c>
      <c r="M487">
        <f>INDEX(products!$A$1:$I$49,MATCH('Conditional Fomating'!$D487,products!$A$1:$A$49,0),MATCH('Conditional Fomating'!M$1,products!$A$1:$D$1,0))</f>
        <v>0.2</v>
      </c>
      <c r="N487">
        <f>_xlfn.XLOOKUP(D487,products!$A$2:$A$49,products!$E$2:$E$49)</f>
        <v>3.5849999999999995</v>
      </c>
      <c r="O487">
        <f>_xlfn.XLOOKUP(D487,products!$A$2:$A$49,products!$H$2:$H$49)</f>
        <v>3.3698999999999995</v>
      </c>
      <c r="P487">
        <f t="shared" si="44"/>
        <v>21.509999999999998</v>
      </c>
      <c r="Q487">
        <f t="shared" si="45"/>
        <v>20.219399999999997</v>
      </c>
      <c r="R487">
        <f t="shared" si="46"/>
        <v>1.2906000000000013</v>
      </c>
      <c r="S487" s="4">
        <f t="shared" si="47"/>
        <v>6.0000000000000067E-2</v>
      </c>
      <c r="T487" t="str">
        <f>_xlfn.XLOOKUP(C487,customers!$A$1:$A$1001,customers!$I$1:$I$1001,,0)</f>
        <v>Yes</v>
      </c>
    </row>
    <row r="488" spans="1:20"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INDEX(products!$A$1:$I$49,MATCH('Conditional Fomating'!$D488,products!$A$1:$A$49,0),MATCH('Conditional Fomating'!I$1,products!$A$1:$D$1,0))</f>
        <v>Lib</v>
      </c>
      <c r="J488" t="str">
        <f t="shared" si="42"/>
        <v>Liberica</v>
      </c>
      <c r="K488" t="str">
        <f>INDEX(products!$A$1:$I$49,MATCH('Conditional Fomating'!$D488,products!$A$1:$A$49,0),MATCH('Conditional Fomating'!K$1,products!$A$1:$D$1,0))</f>
        <v>M</v>
      </c>
      <c r="L488" t="str">
        <f t="shared" si="43"/>
        <v>Medium</v>
      </c>
      <c r="M488">
        <f>INDEX(products!$A$1:$I$49,MATCH('Conditional Fomating'!$D488,products!$A$1:$A$49,0),MATCH('Conditional Fomating'!M$1,products!$A$1:$D$1,0))</f>
        <v>0.5</v>
      </c>
      <c r="N488">
        <f>_xlfn.XLOOKUP(D488,products!$A$2:$A$49,products!$E$2:$E$49)</f>
        <v>8.73</v>
      </c>
      <c r="O488">
        <f>_xlfn.XLOOKUP(D488,products!$A$2:$A$49,products!$H$2:$H$49)</f>
        <v>7.5951000000000004</v>
      </c>
      <c r="P488">
        <f t="shared" si="44"/>
        <v>52.38</v>
      </c>
      <c r="Q488">
        <f t="shared" si="45"/>
        <v>45.570599999999999</v>
      </c>
      <c r="R488">
        <f t="shared" si="46"/>
        <v>6.8094000000000037</v>
      </c>
      <c r="S488" s="4">
        <f t="shared" si="47"/>
        <v>0.13000000000000006</v>
      </c>
      <c r="T488" t="str">
        <f>_xlfn.XLOOKUP(C488,customers!$A$1:$A$1001,customers!$I$1:$I$1001,,0)</f>
        <v>Yes</v>
      </c>
    </row>
    <row r="489" spans="1:20"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INDEX(products!$A$1:$I$49,MATCH('Conditional Fomating'!$D489,products!$A$1:$A$49,0),MATCH('Conditional Fomating'!I$1,products!$A$1:$D$1,0))</f>
        <v>Exc</v>
      </c>
      <c r="J489" t="str">
        <f t="shared" si="42"/>
        <v>Excelsa</v>
      </c>
      <c r="K489" t="str">
        <f>INDEX(products!$A$1:$I$49,MATCH('Conditional Fomating'!$D489,products!$A$1:$A$49,0),MATCH('Conditional Fomating'!K$1,products!$A$1:$D$1,0))</f>
        <v>D</v>
      </c>
      <c r="L489" t="str">
        <f t="shared" si="43"/>
        <v>Dark</v>
      </c>
      <c r="M489">
        <f>INDEX(products!$A$1:$I$49,MATCH('Conditional Fomating'!$D489,products!$A$1:$A$49,0),MATCH('Conditional Fomating'!M$1,products!$A$1:$D$1,0))</f>
        <v>1</v>
      </c>
      <c r="N489">
        <f>_xlfn.XLOOKUP(D489,products!$A$2:$A$49,products!$E$2:$E$49)</f>
        <v>12.15</v>
      </c>
      <c r="O489">
        <f>_xlfn.XLOOKUP(D489,products!$A$2:$A$49,products!$H$2:$H$49)</f>
        <v>10.813500000000001</v>
      </c>
      <c r="P489">
        <f t="shared" si="44"/>
        <v>72.900000000000006</v>
      </c>
      <c r="Q489">
        <f t="shared" si="45"/>
        <v>64.881</v>
      </c>
      <c r="R489">
        <f t="shared" si="46"/>
        <v>8.0190000000000055</v>
      </c>
      <c r="S489" s="4">
        <f t="shared" si="47"/>
        <v>0.11000000000000007</v>
      </c>
      <c r="T489" t="str">
        <f>_xlfn.XLOOKUP(C489,customers!$A$1:$A$1001,customers!$I$1:$I$1001,,0)</f>
        <v>No</v>
      </c>
    </row>
    <row r="490" spans="1:20"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INDEX(products!$A$1:$I$49,MATCH('Conditional Fomating'!$D490,products!$A$1:$A$49,0),MATCH('Conditional Fomating'!I$1,products!$A$1:$D$1,0))</f>
        <v>Rob</v>
      </c>
      <c r="J490" t="str">
        <f t="shared" si="42"/>
        <v>Robusta</v>
      </c>
      <c r="K490" t="str">
        <f>INDEX(products!$A$1:$I$49,MATCH('Conditional Fomating'!$D490,products!$A$1:$A$49,0),MATCH('Conditional Fomating'!K$1,products!$A$1:$D$1,0))</f>
        <v>M</v>
      </c>
      <c r="L490" t="str">
        <f t="shared" si="43"/>
        <v>Medium</v>
      </c>
      <c r="M490">
        <f>INDEX(products!$A$1:$I$49,MATCH('Conditional Fomating'!$D490,products!$A$1:$A$49,0),MATCH('Conditional Fomating'!M$1,products!$A$1:$D$1,0))</f>
        <v>0.2</v>
      </c>
      <c r="N490">
        <f>_xlfn.XLOOKUP(D490,products!$A$2:$A$49,products!$E$2:$E$49)</f>
        <v>2.9849999999999999</v>
      </c>
      <c r="O490">
        <f>_xlfn.XLOOKUP(D490,products!$A$2:$A$49,products!$H$2:$H$49)</f>
        <v>2.8058999999999998</v>
      </c>
      <c r="P490">
        <f t="shared" si="44"/>
        <v>14.924999999999999</v>
      </c>
      <c r="Q490">
        <f t="shared" si="45"/>
        <v>14.029499999999999</v>
      </c>
      <c r="R490">
        <f t="shared" si="46"/>
        <v>0.89550000000000018</v>
      </c>
      <c r="S490" s="4">
        <f t="shared" si="47"/>
        <v>6.0000000000000019E-2</v>
      </c>
      <c r="T490" t="str">
        <f>_xlfn.XLOOKUP(C490,customers!$A$1:$A$1001,customers!$I$1:$I$1001,,0)</f>
        <v>Yes</v>
      </c>
    </row>
    <row r="491" spans="1:20"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INDEX(products!$A$1:$I$49,MATCH('Conditional Fomating'!$D491,products!$A$1:$A$49,0),MATCH('Conditional Fomating'!I$1,products!$A$1:$D$1,0))</f>
        <v>Lib</v>
      </c>
      <c r="J491" t="str">
        <f t="shared" si="42"/>
        <v>Liberica</v>
      </c>
      <c r="K491" t="str">
        <f>INDEX(products!$A$1:$I$49,MATCH('Conditional Fomating'!$D491,products!$A$1:$A$49,0),MATCH('Conditional Fomating'!K$1,products!$A$1:$D$1,0))</f>
        <v>L</v>
      </c>
      <c r="L491" t="str">
        <f t="shared" si="43"/>
        <v>Light</v>
      </c>
      <c r="M491">
        <f>INDEX(products!$A$1:$I$49,MATCH('Conditional Fomating'!$D491,products!$A$1:$A$49,0),MATCH('Conditional Fomating'!M$1,products!$A$1:$D$1,0))</f>
        <v>1</v>
      </c>
      <c r="N491">
        <f>_xlfn.XLOOKUP(D491,products!$A$2:$A$49,products!$E$2:$E$49)</f>
        <v>15.85</v>
      </c>
      <c r="O491">
        <f>_xlfn.XLOOKUP(D491,products!$A$2:$A$49,products!$H$2:$H$49)</f>
        <v>13.7895</v>
      </c>
      <c r="P491">
        <f t="shared" si="44"/>
        <v>95.1</v>
      </c>
      <c r="Q491">
        <f t="shared" si="45"/>
        <v>82.736999999999995</v>
      </c>
      <c r="R491">
        <f t="shared" si="46"/>
        <v>12.363</v>
      </c>
      <c r="S491" s="4">
        <f t="shared" si="47"/>
        <v>0.13</v>
      </c>
      <c r="T491" t="str">
        <f>_xlfn.XLOOKUP(C491,customers!$A$1:$A$1001,customers!$I$1:$I$1001,,0)</f>
        <v>No</v>
      </c>
    </row>
    <row r="492" spans="1:20"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INDEX(products!$A$1:$I$49,MATCH('Conditional Fomating'!$D492,products!$A$1:$A$49,0),MATCH('Conditional Fomating'!I$1,products!$A$1:$D$1,0))</f>
        <v>Lib</v>
      </c>
      <c r="J492" t="str">
        <f t="shared" si="42"/>
        <v>Liberica</v>
      </c>
      <c r="K492" t="str">
        <f>INDEX(products!$A$1:$I$49,MATCH('Conditional Fomating'!$D492,products!$A$1:$A$49,0),MATCH('Conditional Fomating'!K$1,products!$A$1:$D$1,0))</f>
        <v>D</v>
      </c>
      <c r="L492" t="str">
        <f t="shared" si="43"/>
        <v>Dark</v>
      </c>
      <c r="M492">
        <f>INDEX(products!$A$1:$I$49,MATCH('Conditional Fomating'!$D492,products!$A$1:$A$49,0),MATCH('Conditional Fomating'!M$1,products!$A$1:$D$1,0))</f>
        <v>0.5</v>
      </c>
      <c r="N492">
        <f>_xlfn.XLOOKUP(D492,products!$A$2:$A$49,products!$E$2:$E$49)</f>
        <v>7.77</v>
      </c>
      <c r="O492">
        <f>_xlfn.XLOOKUP(D492,products!$A$2:$A$49,products!$H$2:$H$49)</f>
        <v>6.7599</v>
      </c>
      <c r="P492">
        <f t="shared" si="44"/>
        <v>15.54</v>
      </c>
      <c r="Q492">
        <f t="shared" si="45"/>
        <v>13.5198</v>
      </c>
      <c r="R492">
        <f t="shared" si="46"/>
        <v>2.0201999999999991</v>
      </c>
      <c r="S492" s="4">
        <f t="shared" si="47"/>
        <v>0.12999999999999995</v>
      </c>
      <c r="T492" t="str">
        <f>_xlfn.XLOOKUP(C492,customers!$A$1:$A$1001,customers!$I$1:$I$1001,,0)</f>
        <v>No</v>
      </c>
    </row>
    <row r="493" spans="1:20"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v>
      </c>
      <c r="H493" s="2" t="str">
        <f>_xlfn.XLOOKUP(C493,customers!$A$1:$A$1001,customers!$G$1:$G$1001,,0)</f>
        <v>United States</v>
      </c>
      <c r="I493" t="str">
        <f>INDEX(products!$A$1:$I$49,MATCH('Conditional Fomating'!$D493,products!$A$1:$A$49,0),MATCH('Conditional Fomating'!I$1,products!$A$1:$D$1,0))</f>
        <v>Lib</v>
      </c>
      <c r="J493" t="str">
        <f t="shared" si="42"/>
        <v>Liberica</v>
      </c>
      <c r="K493" t="str">
        <f>INDEX(products!$A$1:$I$49,MATCH('Conditional Fomating'!$D493,products!$A$1:$A$49,0),MATCH('Conditional Fomating'!K$1,products!$A$1:$D$1,0))</f>
        <v>D</v>
      </c>
      <c r="L493" t="str">
        <f t="shared" si="43"/>
        <v>Dark</v>
      </c>
      <c r="M493">
        <f>INDEX(products!$A$1:$I$49,MATCH('Conditional Fomating'!$D493,products!$A$1:$A$49,0),MATCH('Conditional Fomating'!M$1,products!$A$1:$D$1,0))</f>
        <v>0.2</v>
      </c>
      <c r="N493">
        <f>_xlfn.XLOOKUP(D493,products!$A$2:$A$49,products!$E$2:$E$49)</f>
        <v>3.8849999999999998</v>
      </c>
      <c r="O493">
        <f>_xlfn.XLOOKUP(D493,products!$A$2:$A$49,products!$H$2:$H$49)</f>
        <v>3.37995</v>
      </c>
      <c r="P493">
        <f t="shared" si="44"/>
        <v>23.31</v>
      </c>
      <c r="Q493">
        <f t="shared" si="45"/>
        <v>20.279699999999998</v>
      </c>
      <c r="R493">
        <f t="shared" si="46"/>
        <v>3.0303000000000004</v>
      </c>
      <c r="S493" s="4">
        <f t="shared" si="47"/>
        <v>0.13000000000000003</v>
      </c>
      <c r="T493" t="str">
        <f>_xlfn.XLOOKUP(C493,customers!$A$1:$A$1001,customers!$I$1:$I$1001,,0)</f>
        <v>No</v>
      </c>
    </row>
    <row r="494" spans="1:20"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INDEX(products!$A$1:$I$49,MATCH('Conditional Fomating'!$D494,products!$A$1:$A$49,0),MATCH('Conditional Fomating'!I$1,products!$A$1:$D$1,0))</f>
        <v>Exc</v>
      </c>
      <c r="J494" t="str">
        <f t="shared" si="42"/>
        <v>Excelsa</v>
      </c>
      <c r="K494" t="str">
        <f>INDEX(products!$A$1:$I$49,MATCH('Conditional Fomating'!$D494,products!$A$1:$A$49,0),MATCH('Conditional Fomating'!K$1,products!$A$1:$D$1,0))</f>
        <v>M</v>
      </c>
      <c r="L494" t="str">
        <f t="shared" si="43"/>
        <v>Medium</v>
      </c>
      <c r="M494">
        <f>INDEX(products!$A$1:$I$49,MATCH('Conditional Fomating'!$D494,products!$A$1:$A$49,0),MATCH('Conditional Fomating'!M$1,products!$A$1:$D$1,0))</f>
        <v>0.2</v>
      </c>
      <c r="N494">
        <f>_xlfn.XLOOKUP(D494,products!$A$2:$A$49,products!$E$2:$E$49)</f>
        <v>4.125</v>
      </c>
      <c r="O494">
        <f>_xlfn.XLOOKUP(D494,products!$A$2:$A$49,products!$H$2:$H$49)</f>
        <v>3.6712500000000001</v>
      </c>
      <c r="P494">
        <f t="shared" si="44"/>
        <v>4.125</v>
      </c>
      <c r="Q494">
        <f t="shared" si="45"/>
        <v>3.6712500000000001</v>
      </c>
      <c r="R494">
        <f t="shared" si="46"/>
        <v>0.45374999999999988</v>
      </c>
      <c r="S494" s="4">
        <f t="shared" si="47"/>
        <v>0.10999999999999997</v>
      </c>
      <c r="T494" t="str">
        <f>_xlfn.XLOOKUP(C494,customers!$A$1:$A$1001,customers!$I$1:$I$1001,,0)</f>
        <v>Yes</v>
      </c>
    </row>
    <row r="495" spans="1:20"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INDEX(products!$A$1:$I$49,MATCH('Conditional Fomating'!$D495,products!$A$1:$A$49,0),MATCH('Conditional Fomating'!I$1,products!$A$1:$D$1,0))</f>
        <v>Rob</v>
      </c>
      <c r="J495" t="str">
        <f t="shared" si="42"/>
        <v>Robusta</v>
      </c>
      <c r="K495" t="str">
        <f>INDEX(products!$A$1:$I$49,MATCH('Conditional Fomating'!$D495,products!$A$1:$A$49,0),MATCH('Conditional Fomating'!K$1,products!$A$1:$D$1,0))</f>
        <v>M</v>
      </c>
      <c r="L495" t="str">
        <f t="shared" si="43"/>
        <v>Medium</v>
      </c>
      <c r="M495">
        <f>INDEX(products!$A$1:$I$49,MATCH('Conditional Fomating'!$D495,products!$A$1:$A$49,0),MATCH('Conditional Fomating'!M$1,products!$A$1:$D$1,0))</f>
        <v>0.5</v>
      </c>
      <c r="N495">
        <f>_xlfn.XLOOKUP(D495,products!$A$2:$A$49,products!$E$2:$E$49)</f>
        <v>5.97</v>
      </c>
      <c r="O495">
        <f>_xlfn.XLOOKUP(D495,products!$A$2:$A$49,products!$H$2:$H$49)</f>
        <v>5.6117999999999997</v>
      </c>
      <c r="P495">
        <f t="shared" si="44"/>
        <v>35.82</v>
      </c>
      <c r="Q495">
        <f t="shared" si="45"/>
        <v>33.6708</v>
      </c>
      <c r="R495">
        <f t="shared" si="46"/>
        <v>2.1492000000000004</v>
      </c>
      <c r="S495" s="4">
        <f t="shared" si="47"/>
        <v>6.0000000000000012E-2</v>
      </c>
      <c r="T495" t="str">
        <f>_xlfn.XLOOKUP(C495,customers!$A$1:$A$1001,customers!$I$1:$I$1001,,0)</f>
        <v>No</v>
      </c>
    </row>
    <row r="496" spans="1:20"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INDEX(products!$A$1:$I$49,MATCH('Conditional Fomating'!$D496,products!$A$1:$A$49,0),MATCH('Conditional Fomating'!I$1,products!$A$1:$D$1,0))</f>
        <v>Lib</v>
      </c>
      <c r="J496" t="str">
        <f t="shared" si="42"/>
        <v>Liberica</v>
      </c>
      <c r="K496" t="str">
        <f>INDEX(products!$A$1:$I$49,MATCH('Conditional Fomating'!$D496,products!$A$1:$A$49,0),MATCH('Conditional Fomating'!K$1,products!$A$1:$D$1,0))</f>
        <v>L</v>
      </c>
      <c r="L496" t="str">
        <f t="shared" si="43"/>
        <v>Light</v>
      </c>
      <c r="M496">
        <f>INDEX(products!$A$1:$I$49,MATCH('Conditional Fomating'!$D496,products!$A$1:$A$49,0),MATCH('Conditional Fomating'!M$1,products!$A$1:$D$1,0))</f>
        <v>1</v>
      </c>
      <c r="N496">
        <f>_xlfn.XLOOKUP(D496,products!$A$2:$A$49,products!$E$2:$E$49)</f>
        <v>15.85</v>
      </c>
      <c r="O496">
        <f>_xlfn.XLOOKUP(D496,products!$A$2:$A$49,products!$H$2:$H$49)</f>
        <v>13.7895</v>
      </c>
      <c r="P496">
        <f t="shared" si="44"/>
        <v>31.7</v>
      </c>
      <c r="Q496">
        <f t="shared" si="45"/>
        <v>27.579000000000001</v>
      </c>
      <c r="R496">
        <f t="shared" si="46"/>
        <v>4.1209999999999987</v>
      </c>
      <c r="S496" s="4">
        <f t="shared" si="47"/>
        <v>0.12999999999999995</v>
      </c>
      <c r="T496" t="str">
        <f>_xlfn.XLOOKUP(C496,customers!$A$1:$A$1001,customers!$I$1:$I$1001,,0)</f>
        <v>No</v>
      </c>
    </row>
    <row r="497" spans="1:20"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v>
      </c>
      <c r="H497" s="2" t="str">
        <f>_xlfn.XLOOKUP(C497,customers!$A$1:$A$1001,customers!$G$1:$G$1001,,0)</f>
        <v>United States</v>
      </c>
      <c r="I497" t="str">
        <f>INDEX(products!$A$1:$I$49,MATCH('Conditional Fomating'!$D497,products!$A$1:$A$49,0),MATCH('Conditional Fomating'!I$1,products!$A$1:$D$1,0))</f>
        <v>Lib</v>
      </c>
      <c r="J497" t="str">
        <f t="shared" si="42"/>
        <v>Liberica</v>
      </c>
      <c r="K497" t="str">
        <f>INDEX(products!$A$1:$I$49,MATCH('Conditional Fomating'!$D497,products!$A$1:$A$49,0),MATCH('Conditional Fomating'!K$1,products!$A$1:$D$1,0))</f>
        <v>L</v>
      </c>
      <c r="L497" t="str">
        <f t="shared" si="43"/>
        <v>Light</v>
      </c>
      <c r="M497">
        <f>INDEX(products!$A$1:$I$49,MATCH('Conditional Fomating'!$D497,products!$A$1:$A$49,0),MATCH('Conditional Fomating'!M$1,products!$A$1:$D$1,0))</f>
        <v>1</v>
      </c>
      <c r="N497">
        <f>_xlfn.XLOOKUP(D497,products!$A$2:$A$49,products!$E$2:$E$49)</f>
        <v>15.85</v>
      </c>
      <c r="O497">
        <f>_xlfn.XLOOKUP(D497,products!$A$2:$A$49,products!$H$2:$H$49)</f>
        <v>13.7895</v>
      </c>
      <c r="P497">
        <f t="shared" si="44"/>
        <v>79.25</v>
      </c>
      <c r="Q497">
        <f t="shared" si="45"/>
        <v>68.947500000000005</v>
      </c>
      <c r="R497">
        <f t="shared" si="46"/>
        <v>10.302499999999995</v>
      </c>
      <c r="S497" s="4">
        <f t="shared" si="47"/>
        <v>0.12999999999999995</v>
      </c>
      <c r="T497" t="str">
        <f>_xlfn.XLOOKUP(C497,customers!$A$1:$A$1001,customers!$I$1:$I$1001,,0)</f>
        <v>Yes</v>
      </c>
    </row>
    <row r="498" spans="1:20"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INDEX(products!$A$1:$I$49,MATCH('Conditional Fomating'!$D498,products!$A$1:$A$49,0),MATCH('Conditional Fomating'!I$1,products!$A$1:$D$1,0))</f>
        <v>Exc</v>
      </c>
      <c r="J498" t="str">
        <f t="shared" si="42"/>
        <v>Excelsa</v>
      </c>
      <c r="K498" t="str">
        <f>INDEX(products!$A$1:$I$49,MATCH('Conditional Fomating'!$D498,products!$A$1:$A$49,0),MATCH('Conditional Fomating'!K$1,products!$A$1:$D$1,0))</f>
        <v>D</v>
      </c>
      <c r="L498" t="str">
        <f t="shared" si="43"/>
        <v>Dark</v>
      </c>
      <c r="M498">
        <f>INDEX(products!$A$1:$I$49,MATCH('Conditional Fomating'!$D498,products!$A$1:$A$49,0),MATCH('Conditional Fomating'!M$1,products!$A$1:$D$1,0))</f>
        <v>0.2</v>
      </c>
      <c r="N498">
        <f>_xlfn.XLOOKUP(D498,products!$A$2:$A$49,products!$E$2:$E$49)</f>
        <v>3.645</v>
      </c>
      <c r="O498">
        <f>_xlfn.XLOOKUP(D498,products!$A$2:$A$49,products!$H$2:$H$49)</f>
        <v>3.2440500000000001</v>
      </c>
      <c r="P498">
        <f t="shared" si="44"/>
        <v>10.935</v>
      </c>
      <c r="Q498">
        <f t="shared" si="45"/>
        <v>9.7321500000000007</v>
      </c>
      <c r="R498">
        <f t="shared" si="46"/>
        <v>1.2028499999999998</v>
      </c>
      <c r="S498" s="4">
        <f t="shared" si="47"/>
        <v>0.10999999999999997</v>
      </c>
      <c r="T498" t="str">
        <f>_xlfn.XLOOKUP(C498,customers!$A$1:$A$1001,customers!$I$1:$I$1001,,0)</f>
        <v>No</v>
      </c>
    </row>
    <row r="499" spans="1:20"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INDEX(products!$A$1:$I$49,MATCH('Conditional Fomating'!$D499,products!$A$1:$A$49,0),MATCH('Conditional Fomating'!I$1,products!$A$1:$D$1,0))</f>
        <v>Ara</v>
      </c>
      <c r="J499" t="str">
        <f t="shared" si="42"/>
        <v>Arabica</v>
      </c>
      <c r="K499" t="str">
        <f>INDEX(products!$A$1:$I$49,MATCH('Conditional Fomating'!$D499,products!$A$1:$A$49,0),MATCH('Conditional Fomating'!K$1,products!$A$1:$D$1,0))</f>
        <v>D</v>
      </c>
      <c r="L499" t="str">
        <f t="shared" si="43"/>
        <v>Dark</v>
      </c>
      <c r="M499">
        <f>INDEX(products!$A$1:$I$49,MATCH('Conditional Fomating'!$D499,products!$A$1:$A$49,0),MATCH('Conditional Fomating'!M$1,products!$A$1:$D$1,0))</f>
        <v>1</v>
      </c>
      <c r="N499">
        <f>_xlfn.XLOOKUP(D499,products!$A$2:$A$49,products!$E$2:$E$49)</f>
        <v>9.9499999999999993</v>
      </c>
      <c r="O499">
        <f>_xlfn.XLOOKUP(D499,products!$A$2:$A$49,products!$H$2:$H$49)</f>
        <v>9.0544999999999991</v>
      </c>
      <c r="P499">
        <f t="shared" si="44"/>
        <v>39.799999999999997</v>
      </c>
      <c r="Q499">
        <f t="shared" si="45"/>
        <v>36.217999999999996</v>
      </c>
      <c r="R499">
        <f t="shared" si="46"/>
        <v>3.5820000000000007</v>
      </c>
      <c r="S499" s="4">
        <f t="shared" si="47"/>
        <v>9.0000000000000024E-2</v>
      </c>
      <c r="T499" t="str">
        <f>_xlfn.XLOOKUP(C499,customers!$A$1:$A$1001,customers!$I$1:$I$1001,,0)</f>
        <v>No</v>
      </c>
    </row>
    <row r="500" spans="1:20"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INDEX(products!$A$1:$I$49,MATCH('Conditional Fomating'!$D500,products!$A$1:$A$49,0),MATCH('Conditional Fomating'!I$1,products!$A$1:$D$1,0))</f>
        <v>Rob</v>
      </c>
      <c r="J500" t="str">
        <f t="shared" si="42"/>
        <v>Robusta</v>
      </c>
      <c r="K500" t="str">
        <f>INDEX(products!$A$1:$I$49,MATCH('Conditional Fomating'!$D500,products!$A$1:$A$49,0),MATCH('Conditional Fomating'!K$1,products!$A$1:$D$1,0))</f>
        <v>M</v>
      </c>
      <c r="L500" t="str">
        <f t="shared" si="43"/>
        <v>Medium</v>
      </c>
      <c r="M500">
        <f>INDEX(products!$A$1:$I$49,MATCH('Conditional Fomating'!$D500,products!$A$1:$A$49,0),MATCH('Conditional Fomating'!M$1,products!$A$1:$D$1,0))</f>
        <v>1</v>
      </c>
      <c r="N500">
        <f>_xlfn.XLOOKUP(D500,products!$A$2:$A$49,products!$E$2:$E$49)</f>
        <v>9.9499999999999993</v>
      </c>
      <c r="O500">
        <f>_xlfn.XLOOKUP(D500,products!$A$2:$A$49,products!$H$2:$H$49)</f>
        <v>9.3529999999999998</v>
      </c>
      <c r="P500">
        <f t="shared" si="44"/>
        <v>49.75</v>
      </c>
      <c r="Q500">
        <f t="shared" si="45"/>
        <v>46.765000000000001</v>
      </c>
      <c r="R500">
        <f t="shared" si="46"/>
        <v>2.9849999999999994</v>
      </c>
      <c r="S500" s="4">
        <f t="shared" si="47"/>
        <v>5.9999999999999991E-2</v>
      </c>
      <c r="T500" t="str">
        <f>_xlfn.XLOOKUP(C500,customers!$A$1:$A$1001,customers!$I$1:$I$1001,,0)</f>
        <v>Yes</v>
      </c>
    </row>
    <row r="501" spans="1:20"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v>
      </c>
      <c r="H501" s="2" t="str">
        <f>_xlfn.XLOOKUP(C501,customers!$A$1:$A$1001,customers!$G$1:$G$1001,,0)</f>
        <v>Ireland</v>
      </c>
      <c r="I501" t="str">
        <f>INDEX(products!$A$1:$I$49,MATCH('Conditional Fomating'!$D501,products!$A$1:$A$49,0),MATCH('Conditional Fomating'!I$1,products!$A$1:$D$1,0))</f>
        <v>Rob</v>
      </c>
      <c r="J501" t="str">
        <f t="shared" si="42"/>
        <v>Robusta</v>
      </c>
      <c r="K501" t="str">
        <f>INDEX(products!$A$1:$I$49,MATCH('Conditional Fomating'!$D501,products!$A$1:$A$49,0),MATCH('Conditional Fomating'!K$1,products!$A$1:$D$1,0))</f>
        <v>D</v>
      </c>
      <c r="L501" t="str">
        <f t="shared" si="43"/>
        <v>Dark</v>
      </c>
      <c r="M501">
        <f>INDEX(products!$A$1:$I$49,MATCH('Conditional Fomating'!$D501,products!$A$1:$A$49,0),MATCH('Conditional Fomating'!M$1,products!$A$1:$D$1,0))</f>
        <v>0.2</v>
      </c>
      <c r="N501">
        <f>_xlfn.XLOOKUP(D501,products!$A$2:$A$49,products!$E$2:$E$49)</f>
        <v>2.6849999999999996</v>
      </c>
      <c r="O501">
        <f>_xlfn.XLOOKUP(D501,products!$A$2:$A$49,products!$H$2:$H$49)</f>
        <v>2.5238999999999998</v>
      </c>
      <c r="P501">
        <f t="shared" si="44"/>
        <v>8.0549999999999997</v>
      </c>
      <c r="Q501">
        <f t="shared" si="45"/>
        <v>7.5716999999999999</v>
      </c>
      <c r="R501">
        <f t="shared" si="46"/>
        <v>0.48329999999999984</v>
      </c>
      <c r="S501" s="4">
        <f t="shared" si="47"/>
        <v>5.9999999999999984E-2</v>
      </c>
      <c r="T501" t="str">
        <f>_xlfn.XLOOKUP(C501,customers!$A$1:$A$1001,customers!$I$1:$I$1001,,0)</f>
        <v>Yes</v>
      </c>
    </row>
    <row r="502" spans="1:20"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v>
      </c>
      <c r="H502" s="2" t="str">
        <f>_xlfn.XLOOKUP(C502,customers!$A$1:$A$1001,customers!$G$1:$G$1001,,0)</f>
        <v>United States</v>
      </c>
      <c r="I502" t="str">
        <f>INDEX(products!$A$1:$I$49,MATCH('Conditional Fomating'!$D502,products!$A$1:$A$49,0),MATCH('Conditional Fomating'!I$1,products!$A$1:$D$1,0))</f>
        <v>Rob</v>
      </c>
      <c r="J502" t="str">
        <f t="shared" si="42"/>
        <v>Robusta</v>
      </c>
      <c r="K502" t="str">
        <f>INDEX(products!$A$1:$I$49,MATCH('Conditional Fomating'!$D502,products!$A$1:$A$49,0),MATCH('Conditional Fomating'!K$1,products!$A$1:$D$1,0))</f>
        <v>L</v>
      </c>
      <c r="L502" t="str">
        <f t="shared" si="43"/>
        <v>Light</v>
      </c>
      <c r="M502">
        <f>INDEX(products!$A$1:$I$49,MATCH('Conditional Fomating'!$D502,products!$A$1:$A$49,0),MATCH('Conditional Fomating'!M$1,products!$A$1:$D$1,0))</f>
        <v>1</v>
      </c>
      <c r="N502">
        <f>_xlfn.XLOOKUP(D502,products!$A$2:$A$49,products!$E$2:$E$49)</f>
        <v>11.95</v>
      </c>
      <c r="O502">
        <f>_xlfn.XLOOKUP(D502,products!$A$2:$A$49,products!$H$2:$H$49)</f>
        <v>11.232999999999999</v>
      </c>
      <c r="P502">
        <f t="shared" si="44"/>
        <v>47.8</v>
      </c>
      <c r="Q502">
        <f t="shared" si="45"/>
        <v>44.931999999999995</v>
      </c>
      <c r="R502">
        <f t="shared" si="46"/>
        <v>2.8680000000000021</v>
      </c>
      <c r="S502" s="4">
        <f t="shared" si="47"/>
        <v>6.0000000000000046E-2</v>
      </c>
      <c r="T502" t="str">
        <f>_xlfn.XLOOKUP(C502,customers!$A$1:$A$1001,customers!$I$1:$I$1001,,0)</f>
        <v>No</v>
      </c>
    </row>
    <row r="503" spans="1:20"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INDEX(products!$A$1:$I$49,MATCH('Conditional Fomating'!$D503,products!$A$1:$A$49,0),MATCH('Conditional Fomating'!I$1,products!$A$1:$D$1,0))</f>
        <v>Rob</v>
      </c>
      <c r="J503" t="str">
        <f t="shared" si="42"/>
        <v>Robusta</v>
      </c>
      <c r="K503" t="str">
        <f>INDEX(products!$A$1:$I$49,MATCH('Conditional Fomating'!$D503,products!$A$1:$A$49,0),MATCH('Conditional Fomating'!K$1,products!$A$1:$D$1,0))</f>
        <v>M</v>
      </c>
      <c r="L503" t="str">
        <f t="shared" si="43"/>
        <v>Medium</v>
      </c>
      <c r="M503">
        <f>INDEX(products!$A$1:$I$49,MATCH('Conditional Fomating'!$D503,products!$A$1:$A$49,0),MATCH('Conditional Fomating'!M$1,products!$A$1:$D$1,0))</f>
        <v>0.2</v>
      </c>
      <c r="N503">
        <f>_xlfn.XLOOKUP(D503,products!$A$2:$A$49,products!$E$2:$E$49)</f>
        <v>2.9849999999999999</v>
      </c>
      <c r="O503">
        <f>_xlfn.XLOOKUP(D503,products!$A$2:$A$49,products!$H$2:$H$49)</f>
        <v>2.8058999999999998</v>
      </c>
      <c r="P503">
        <f t="shared" si="44"/>
        <v>11.94</v>
      </c>
      <c r="Q503">
        <f t="shared" si="45"/>
        <v>11.223599999999999</v>
      </c>
      <c r="R503">
        <f t="shared" si="46"/>
        <v>0.71640000000000015</v>
      </c>
      <c r="S503" s="4">
        <f t="shared" si="47"/>
        <v>6.0000000000000012E-2</v>
      </c>
      <c r="T503" t="str">
        <f>_xlfn.XLOOKUP(C503,customers!$A$1:$A$1001,customers!$I$1:$I$1001,,0)</f>
        <v>No</v>
      </c>
    </row>
    <row r="504" spans="1:20"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INDEX(products!$A$1:$I$49,MATCH('Conditional Fomating'!$D504,products!$A$1:$A$49,0),MATCH('Conditional Fomating'!I$1,products!$A$1:$D$1,0))</f>
        <v>Exc</v>
      </c>
      <c r="J504" t="str">
        <f t="shared" si="42"/>
        <v>Excelsa</v>
      </c>
      <c r="K504" t="str">
        <f>INDEX(products!$A$1:$I$49,MATCH('Conditional Fomating'!$D504,products!$A$1:$A$49,0),MATCH('Conditional Fomating'!K$1,products!$A$1:$D$1,0))</f>
        <v>M</v>
      </c>
      <c r="L504" t="str">
        <f t="shared" si="43"/>
        <v>Medium</v>
      </c>
      <c r="M504">
        <f>INDEX(products!$A$1:$I$49,MATCH('Conditional Fomating'!$D504,products!$A$1:$A$49,0),MATCH('Conditional Fomating'!M$1,products!$A$1:$D$1,0))</f>
        <v>0.2</v>
      </c>
      <c r="N504">
        <f>_xlfn.XLOOKUP(D504,products!$A$2:$A$49,products!$E$2:$E$49)</f>
        <v>4.125</v>
      </c>
      <c r="O504">
        <f>_xlfn.XLOOKUP(D504,products!$A$2:$A$49,products!$H$2:$H$49)</f>
        <v>3.6712500000000001</v>
      </c>
      <c r="P504">
        <f t="shared" si="44"/>
        <v>16.5</v>
      </c>
      <c r="Q504">
        <f t="shared" si="45"/>
        <v>14.685</v>
      </c>
      <c r="R504">
        <f t="shared" si="46"/>
        <v>1.8149999999999995</v>
      </c>
      <c r="S504" s="4">
        <f t="shared" si="47"/>
        <v>0.10999999999999997</v>
      </c>
      <c r="T504" t="str">
        <f>_xlfn.XLOOKUP(C504,customers!$A$1:$A$1001,customers!$I$1:$I$1001,,0)</f>
        <v>No</v>
      </c>
    </row>
    <row r="505" spans="1:20"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INDEX(products!$A$1:$I$49,MATCH('Conditional Fomating'!$D505,products!$A$1:$A$49,0),MATCH('Conditional Fomating'!I$1,products!$A$1:$D$1,0))</f>
        <v>Lib</v>
      </c>
      <c r="J505" t="str">
        <f t="shared" si="42"/>
        <v>Liberica</v>
      </c>
      <c r="K505" t="str">
        <f>INDEX(products!$A$1:$I$49,MATCH('Conditional Fomating'!$D505,products!$A$1:$A$49,0),MATCH('Conditional Fomating'!K$1,products!$A$1:$D$1,0))</f>
        <v>D</v>
      </c>
      <c r="L505" t="str">
        <f t="shared" si="43"/>
        <v>Dark</v>
      </c>
      <c r="M505">
        <f>INDEX(products!$A$1:$I$49,MATCH('Conditional Fomating'!$D505,products!$A$1:$A$49,0),MATCH('Conditional Fomating'!M$1,products!$A$1:$D$1,0))</f>
        <v>1</v>
      </c>
      <c r="N505">
        <f>_xlfn.XLOOKUP(D505,products!$A$2:$A$49,products!$E$2:$E$49)</f>
        <v>12.95</v>
      </c>
      <c r="O505">
        <f>_xlfn.XLOOKUP(D505,products!$A$2:$A$49,products!$H$2:$H$49)</f>
        <v>11.266499999999999</v>
      </c>
      <c r="P505">
        <f t="shared" si="44"/>
        <v>51.8</v>
      </c>
      <c r="Q505">
        <f t="shared" si="45"/>
        <v>45.065999999999995</v>
      </c>
      <c r="R505">
        <f t="shared" si="46"/>
        <v>6.7340000000000018</v>
      </c>
      <c r="S505" s="4">
        <f t="shared" si="47"/>
        <v>0.13000000000000003</v>
      </c>
      <c r="T505" t="str">
        <f>_xlfn.XLOOKUP(C505,customers!$A$1:$A$1001,customers!$I$1:$I$1001,,0)</f>
        <v>No</v>
      </c>
    </row>
    <row r="506" spans="1:20"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INDEX(products!$A$1:$I$49,MATCH('Conditional Fomating'!$D506,products!$A$1:$A$49,0),MATCH('Conditional Fomating'!I$1,products!$A$1:$D$1,0))</f>
        <v>Lib</v>
      </c>
      <c r="J506" t="str">
        <f t="shared" si="42"/>
        <v>Liberica</v>
      </c>
      <c r="K506" t="str">
        <f>INDEX(products!$A$1:$I$49,MATCH('Conditional Fomating'!$D506,products!$A$1:$A$49,0),MATCH('Conditional Fomating'!K$1,products!$A$1:$D$1,0))</f>
        <v>L</v>
      </c>
      <c r="L506" t="str">
        <f t="shared" si="43"/>
        <v>Light</v>
      </c>
      <c r="M506">
        <f>INDEX(products!$A$1:$I$49,MATCH('Conditional Fomating'!$D506,products!$A$1:$A$49,0),MATCH('Conditional Fomating'!M$1,products!$A$1:$D$1,0))</f>
        <v>0.2</v>
      </c>
      <c r="N506">
        <f>_xlfn.XLOOKUP(D506,products!$A$2:$A$49,products!$E$2:$E$49)</f>
        <v>4.7549999999999999</v>
      </c>
      <c r="O506">
        <f>_xlfn.XLOOKUP(D506,products!$A$2:$A$49,products!$H$2:$H$49)</f>
        <v>4.1368499999999999</v>
      </c>
      <c r="P506">
        <f t="shared" si="44"/>
        <v>14.265000000000001</v>
      </c>
      <c r="Q506">
        <f t="shared" si="45"/>
        <v>12.410550000000001</v>
      </c>
      <c r="R506">
        <f t="shared" si="46"/>
        <v>1.8544499999999999</v>
      </c>
      <c r="S506" s="4">
        <f t="shared" si="47"/>
        <v>0.12999999999999998</v>
      </c>
      <c r="T506" t="str">
        <f>_xlfn.XLOOKUP(C506,customers!$A$1:$A$1001,customers!$I$1:$I$1001,,0)</f>
        <v>No</v>
      </c>
    </row>
    <row r="507" spans="1:20"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INDEX(products!$A$1:$I$49,MATCH('Conditional Fomating'!$D507,products!$A$1:$A$49,0),MATCH('Conditional Fomating'!I$1,products!$A$1:$D$1,0))</f>
        <v>Lib</v>
      </c>
      <c r="J507" t="str">
        <f t="shared" si="42"/>
        <v>Liberica</v>
      </c>
      <c r="K507" t="str">
        <f>INDEX(products!$A$1:$I$49,MATCH('Conditional Fomating'!$D507,products!$A$1:$A$49,0),MATCH('Conditional Fomating'!K$1,products!$A$1:$D$1,0))</f>
        <v>M</v>
      </c>
      <c r="L507" t="str">
        <f t="shared" si="43"/>
        <v>Medium</v>
      </c>
      <c r="M507">
        <f>INDEX(products!$A$1:$I$49,MATCH('Conditional Fomating'!$D507,products!$A$1:$A$49,0),MATCH('Conditional Fomating'!M$1,products!$A$1:$D$1,0))</f>
        <v>0.2</v>
      </c>
      <c r="N507">
        <f>_xlfn.XLOOKUP(D507,products!$A$2:$A$49,products!$E$2:$E$49)</f>
        <v>4.3650000000000002</v>
      </c>
      <c r="O507">
        <f>_xlfn.XLOOKUP(D507,products!$A$2:$A$49,products!$H$2:$H$49)</f>
        <v>3.7975500000000002</v>
      </c>
      <c r="P507">
        <f t="shared" si="44"/>
        <v>26.19</v>
      </c>
      <c r="Q507">
        <f t="shared" si="45"/>
        <v>22.785299999999999</v>
      </c>
      <c r="R507">
        <f t="shared" si="46"/>
        <v>3.4047000000000018</v>
      </c>
      <c r="S507" s="4">
        <f t="shared" si="47"/>
        <v>0.13000000000000006</v>
      </c>
      <c r="T507" t="str">
        <f>_xlfn.XLOOKUP(C507,customers!$A$1:$A$1001,customers!$I$1:$I$1001,,0)</f>
        <v>No</v>
      </c>
    </row>
    <row r="508" spans="1:20"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INDEX(products!$A$1:$I$49,MATCH('Conditional Fomating'!$D508,products!$A$1:$A$49,0),MATCH('Conditional Fomating'!I$1,products!$A$1:$D$1,0))</f>
        <v>Ara</v>
      </c>
      <c r="J508" t="str">
        <f t="shared" si="42"/>
        <v>Arabica</v>
      </c>
      <c r="K508" t="str">
        <f>INDEX(products!$A$1:$I$49,MATCH('Conditional Fomating'!$D508,products!$A$1:$A$49,0),MATCH('Conditional Fomating'!K$1,products!$A$1:$D$1,0))</f>
        <v>L</v>
      </c>
      <c r="L508" t="str">
        <f t="shared" si="43"/>
        <v>Light</v>
      </c>
      <c r="M508">
        <f>INDEX(products!$A$1:$I$49,MATCH('Conditional Fomating'!$D508,products!$A$1:$A$49,0),MATCH('Conditional Fomating'!M$1,products!$A$1:$D$1,0))</f>
        <v>1</v>
      </c>
      <c r="N508">
        <f>_xlfn.XLOOKUP(D508,products!$A$2:$A$49,products!$E$2:$E$49)</f>
        <v>12.95</v>
      </c>
      <c r="O508">
        <f>_xlfn.XLOOKUP(D508,products!$A$2:$A$49,products!$H$2:$H$49)</f>
        <v>11.7845</v>
      </c>
      <c r="P508">
        <f t="shared" si="44"/>
        <v>25.9</v>
      </c>
      <c r="Q508">
        <f t="shared" si="45"/>
        <v>23.568999999999999</v>
      </c>
      <c r="R508">
        <f t="shared" si="46"/>
        <v>2.3309999999999995</v>
      </c>
      <c r="S508" s="4">
        <f t="shared" si="47"/>
        <v>8.9999999999999983E-2</v>
      </c>
      <c r="T508" t="str">
        <f>_xlfn.XLOOKUP(C508,customers!$A$1:$A$1001,customers!$I$1:$I$1001,,0)</f>
        <v>Yes</v>
      </c>
    </row>
    <row r="509" spans="1:20"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INDEX(products!$A$1:$I$49,MATCH('Conditional Fomating'!$D509,products!$A$1:$A$49,0),MATCH('Conditional Fomating'!I$1,products!$A$1:$D$1,0))</f>
        <v>Ara</v>
      </c>
      <c r="J509" t="str">
        <f t="shared" si="42"/>
        <v>Arabica</v>
      </c>
      <c r="K509" t="str">
        <f>INDEX(products!$A$1:$I$49,MATCH('Conditional Fomating'!$D509,products!$A$1:$A$49,0),MATCH('Conditional Fomating'!K$1,products!$A$1:$D$1,0))</f>
        <v>L</v>
      </c>
      <c r="L509" t="str">
        <f t="shared" si="43"/>
        <v>Light</v>
      </c>
      <c r="M509">
        <f>INDEX(products!$A$1:$I$49,MATCH('Conditional Fomating'!$D509,products!$A$1:$A$49,0),MATCH('Conditional Fomating'!M$1,products!$A$1:$D$1,0))</f>
        <v>2.5</v>
      </c>
      <c r="N509">
        <f>_xlfn.XLOOKUP(D509,products!$A$2:$A$49,products!$E$2:$E$49)</f>
        <v>29.784999999999997</v>
      </c>
      <c r="O509">
        <f>_xlfn.XLOOKUP(D509,products!$A$2:$A$49,products!$H$2:$H$49)</f>
        <v>27.104349999999997</v>
      </c>
      <c r="P509">
        <f t="shared" si="44"/>
        <v>89.35499999999999</v>
      </c>
      <c r="Q509">
        <f t="shared" si="45"/>
        <v>81.31304999999999</v>
      </c>
      <c r="R509">
        <f t="shared" si="46"/>
        <v>8.0419499999999999</v>
      </c>
      <c r="S509" s="4">
        <f t="shared" si="47"/>
        <v>9.0000000000000011E-2</v>
      </c>
      <c r="T509" t="str">
        <f>_xlfn.XLOOKUP(C509,customers!$A$1:$A$1001,customers!$I$1:$I$1001,,0)</f>
        <v>Yes</v>
      </c>
    </row>
    <row r="510" spans="1:20"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INDEX(products!$A$1:$I$49,MATCH('Conditional Fomating'!$D510,products!$A$1:$A$49,0),MATCH('Conditional Fomating'!I$1,products!$A$1:$D$1,0))</f>
        <v>Lib</v>
      </c>
      <c r="J510" t="str">
        <f t="shared" si="42"/>
        <v>Liberica</v>
      </c>
      <c r="K510" t="str">
        <f>INDEX(products!$A$1:$I$49,MATCH('Conditional Fomating'!$D510,products!$A$1:$A$49,0),MATCH('Conditional Fomating'!K$1,products!$A$1:$D$1,0))</f>
        <v>D</v>
      </c>
      <c r="L510" t="str">
        <f t="shared" si="43"/>
        <v>Dark</v>
      </c>
      <c r="M510">
        <f>INDEX(products!$A$1:$I$49,MATCH('Conditional Fomating'!$D510,products!$A$1:$A$49,0),MATCH('Conditional Fomating'!M$1,products!$A$1:$D$1,0))</f>
        <v>0.5</v>
      </c>
      <c r="N510">
        <f>_xlfn.XLOOKUP(D510,products!$A$2:$A$49,products!$E$2:$E$49)</f>
        <v>7.77</v>
      </c>
      <c r="O510">
        <f>_xlfn.XLOOKUP(D510,products!$A$2:$A$49,products!$H$2:$H$49)</f>
        <v>6.7599</v>
      </c>
      <c r="P510">
        <f t="shared" si="44"/>
        <v>46.62</v>
      </c>
      <c r="Q510">
        <f t="shared" si="45"/>
        <v>40.559399999999997</v>
      </c>
      <c r="R510">
        <f t="shared" si="46"/>
        <v>6.0606000000000009</v>
      </c>
      <c r="S510" s="4">
        <f t="shared" si="47"/>
        <v>0.13000000000000003</v>
      </c>
      <c r="T510" t="str">
        <f>_xlfn.XLOOKUP(C510,customers!$A$1:$A$1001,customers!$I$1:$I$1001,,0)</f>
        <v>No</v>
      </c>
    </row>
    <row r="511" spans="1:20"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INDEX(products!$A$1:$I$49,MATCH('Conditional Fomating'!$D511,products!$A$1:$A$49,0),MATCH('Conditional Fomating'!I$1,products!$A$1:$D$1,0))</f>
        <v>Ara</v>
      </c>
      <c r="J511" t="str">
        <f t="shared" si="42"/>
        <v>Arabica</v>
      </c>
      <c r="K511" t="str">
        <f>INDEX(products!$A$1:$I$49,MATCH('Conditional Fomating'!$D511,products!$A$1:$A$49,0),MATCH('Conditional Fomating'!K$1,products!$A$1:$D$1,0))</f>
        <v>D</v>
      </c>
      <c r="L511" t="str">
        <f t="shared" si="43"/>
        <v>Dark</v>
      </c>
      <c r="M511">
        <f>INDEX(products!$A$1:$I$49,MATCH('Conditional Fomating'!$D511,products!$A$1:$A$49,0),MATCH('Conditional Fomating'!M$1,products!$A$1:$D$1,0))</f>
        <v>1</v>
      </c>
      <c r="N511">
        <f>_xlfn.XLOOKUP(D511,products!$A$2:$A$49,products!$E$2:$E$49)</f>
        <v>9.9499999999999993</v>
      </c>
      <c r="O511">
        <f>_xlfn.XLOOKUP(D511,products!$A$2:$A$49,products!$H$2:$H$49)</f>
        <v>9.0544999999999991</v>
      </c>
      <c r="P511">
        <f t="shared" si="44"/>
        <v>29.849999999999998</v>
      </c>
      <c r="Q511">
        <f t="shared" si="45"/>
        <v>27.163499999999999</v>
      </c>
      <c r="R511">
        <f t="shared" si="46"/>
        <v>2.6864999999999988</v>
      </c>
      <c r="S511" s="4">
        <f t="shared" si="47"/>
        <v>8.9999999999999969E-2</v>
      </c>
      <c r="T511" t="str">
        <f>_xlfn.XLOOKUP(C511,customers!$A$1:$A$1001,customers!$I$1:$I$1001,,0)</f>
        <v>Yes</v>
      </c>
    </row>
    <row r="512" spans="1:20"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INDEX(products!$A$1:$I$49,MATCH('Conditional Fomating'!$D512,products!$A$1:$A$49,0),MATCH('Conditional Fomating'!I$1,products!$A$1:$D$1,0))</f>
        <v>Rob</v>
      </c>
      <c r="J512" t="str">
        <f t="shared" si="42"/>
        <v>Robusta</v>
      </c>
      <c r="K512" t="str">
        <f>INDEX(products!$A$1:$I$49,MATCH('Conditional Fomating'!$D512,products!$A$1:$A$49,0),MATCH('Conditional Fomating'!K$1,products!$A$1:$D$1,0))</f>
        <v>L</v>
      </c>
      <c r="L512" t="str">
        <f t="shared" si="43"/>
        <v>Light</v>
      </c>
      <c r="M512">
        <f>INDEX(products!$A$1:$I$49,MATCH('Conditional Fomating'!$D512,products!$A$1:$A$49,0),MATCH('Conditional Fomating'!M$1,products!$A$1:$D$1,0))</f>
        <v>0.2</v>
      </c>
      <c r="N512">
        <f>_xlfn.XLOOKUP(D512,products!$A$2:$A$49,products!$E$2:$E$49)</f>
        <v>3.5849999999999995</v>
      </c>
      <c r="O512">
        <f>_xlfn.XLOOKUP(D512,products!$A$2:$A$49,products!$H$2:$H$49)</f>
        <v>3.3698999999999995</v>
      </c>
      <c r="P512">
        <f t="shared" si="44"/>
        <v>10.754999999999999</v>
      </c>
      <c r="Q512">
        <f t="shared" si="45"/>
        <v>10.109699999999998</v>
      </c>
      <c r="R512">
        <f t="shared" si="46"/>
        <v>0.64530000000000065</v>
      </c>
      <c r="S512" s="4">
        <f t="shared" si="47"/>
        <v>6.0000000000000067E-2</v>
      </c>
      <c r="T512" t="str">
        <f>_xlfn.XLOOKUP(C512,customers!$A$1:$A$1001,customers!$I$1:$I$1001,,0)</f>
        <v>Yes</v>
      </c>
    </row>
    <row r="513" spans="1:20"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INDEX(products!$A$1:$I$49,MATCH('Conditional Fomating'!$D513,products!$A$1:$A$49,0),MATCH('Conditional Fomating'!I$1,products!$A$1:$D$1,0))</f>
        <v>Ara</v>
      </c>
      <c r="J513" t="str">
        <f t="shared" si="42"/>
        <v>Arabica</v>
      </c>
      <c r="K513" t="str">
        <f>INDEX(products!$A$1:$I$49,MATCH('Conditional Fomating'!$D513,products!$A$1:$A$49,0),MATCH('Conditional Fomating'!K$1,products!$A$1:$D$1,0))</f>
        <v>M</v>
      </c>
      <c r="L513" t="str">
        <f t="shared" si="43"/>
        <v>Medium</v>
      </c>
      <c r="M513">
        <f>INDEX(products!$A$1:$I$49,MATCH('Conditional Fomating'!$D513,products!$A$1:$A$49,0),MATCH('Conditional Fomating'!M$1,products!$A$1:$D$1,0))</f>
        <v>0.2</v>
      </c>
      <c r="N513">
        <f>_xlfn.XLOOKUP(D513,products!$A$2:$A$49,products!$E$2:$E$49)</f>
        <v>3.375</v>
      </c>
      <c r="O513">
        <f>_xlfn.XLOOKUP(D513,products!$A$2:$A$49,products!$H$2:$H$49)</f>
        <v>3.07125</v>
      </c>
      <c r="P513">
        <f t="shared" si="44"/>
        <v>13.5</v>
      </c>
      <c r="Q513">
        <f t="shared" si="45"/>
        <v>12.285</v>
      </c>
      <c r="R513">
        <f t="shared" si="46"/>
        <v>1.2149999999999999</v>
      </c>
      <c r="S513" s="4">
        <f t="shared" si="47"/>
        <v>8.9999999999999983E-2</v>
      </c>
      <c r="T513" t="str">
        <f>_xlfn.XLOOKUP(C513,customers!$A$1:$A$1001,customers!$I$1:$I$1001,,0)</f>
        <v>Yes</v>
      </c>
    </row>
    <row r="514" spans="1:20"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INDEX(products!$A$1:$I$49,MATCH('Conditional Fomating'!$D514,products!$A$1:$A$49,0),MATCH('Conditional Fomating'!I$1,products!$A$1:$D$1,0))</f>
        <v>Lib</v>
      </c>
      <c r="J514" t="str">
        <f t="shared" si="42"/>
        <v>Liberica</v>
      </c>
      <c r="K514" t="str">
        <f>INDEX(products!$A$1:$I$49,MATCH('Conditional Fomating'!$D514,products!$A$1:$A$49,0),MATCH('Conditional Fomating'!K$1,products!$A$1:$D$1,0))</f>
        <v>L</v>
      </c>
      <c r="L514" t="str">
        <f t="shared" si="43"/>
        <v>Light</v>
      </c>
      <c r="M514">
        <f>INDEX(products!$A$1:$I$49,MATCH('Conditional Fomating'!$D514,products!$A$1:$A$49,0),MATCH('Conditional Fomating'!M$1,products!$A$1:$D$1,0))</f>
        <v>1</v>
      </c>
      <c r="N514">
        <f>_xlfn.XLOOKUP(D514,products!$A$2:$A$49,products!$E$2:$E$49)</f>
        <v>15.85</v>
      </c>
      <c r="O514">
        <f>_xlfn.XLOOKUP(D514,products!$A$2:$A$49,products!$H$2:$H$49)</f>
        <v>13.7895</v>
      </c>
      <c r="P514">
        <f t="shared" si="44"/>
        <v>47.55</v>
      </c>
      <c r="Q514">
        <f t="shared" si="45"/>
        <v>41.368499999999997</v>
      </c>
      <c r="R514">
        <f t="shared" si="46"/>
        <v>6.1814999999999998</v>
      </c>
      <c r="S514" s="4">
        <f t="shared" si="47"/>
        <v>0.13</v>
      </c>
      <c r="T514" t="str">
        <f>_xlfn.XLOOKUP(C514,customers!$A$1:$A$1001,customers!$I$1:$I$1001,,0)</f>
        <v>No</v>
      </c>
    </row>
    <row r="515" spans="1:20"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INDEX(products!$A$1:$I$49,MATCH('Conditional Fomating'!$D515,products!$A$1:$A$49,0),MATCH('Conditional Fomating'!I$1,products!$A$1:$D$1,0))</f>
        <v>Lib</v>
      </c>
      <c r="J515" t="str">
        <f t="shared" ref="J515:J578" si="48">IF(I515="Rob","Robusta",IF(I515="Exc","Excelsa",IF(I515="Ara","Arabica",IF(I515="Lib","Liberica",""))))</f>
        <v>Liberica</v>
      </c>
      <c r="K515" t="str">
        <f>INDEX(products!$A$1:$I$49,MATCH('Conditional Fomating'!$D515,products!$A$1:$A$49,0),MATCH('Conditional Fomating'!K$1,products!$A$1:$D$1,0))</f>
        <v>L</v>
      </c>
      <c r="L515" t="str">
        <f t="shared" ref="L515:L578" si="49">IF(K515="M","Medium",IF(K515="L","Light",IF(K515="D","Dark","")))</f>
        <v>Light</v>
      </c>
      <c r="M515">
        <f>INDEX(products!$A$1:$I$49,MATCH('Conditional Fomating'!$D515,products!$A$1:$A$49,0),MATCH('Conditional Fomating'!M$1,products!$A$1:$D$1,0))</f>
        <v>1</v>
      </c>
      <c r="N515">
        <f>_xlfn.XLOOKUP(D515,products!$A$2:$A$49,products!$E$2:$E$49)</f>
        <v>15.85</v>
      </c>
      <c r="O515">
        <f>_xlfn.XLOOKUP(D515,products!$A$2:$A$49,products!$H$2:$H$49)</f>
        <v>13.7895</v>
      </c>
      <c r="P515">
        <f t="shared" ref="P515:P578" si="50">N515*E515</f>
        <v>79.25</v>
      </c>
      <c r="Q515">
        <f t="shared" ref="Q515:Q578" si="51">O515*E515</f>
        <v>68.947500000000005</v>
      </c>
      <c r="R515">
        <f t="shared" ref="R515:R578" si="52">P515-Q515</f>
        <v>10.302499999999995</v>
      </c>
      <c r="S515" s="4">
        <f t="shared" ref="S515:S578" si="53">R515/P515</f>
        <v>0.12999999999999995</v>
      </c>
      <c r="T515" t="str">
        <f>_xlfn.XLOOKUP(C515,customers!$A$1:$A$1001,customers!$I$1:$I$1001,,0)</f>
        <v>No</v>
      </c>
    </row>
    <row r="516" spans="1:20"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INDEX(products!$A$1:$I$49,MATCH('Conditional Fomating'!$D516,products!$A$1:$A$49,0),MATCH('Conditional Fomating'!I$1,products!$A$1:$D$1,0))</f>
        <v>Lib</v>
      </c>
      <c r="J516" t="str">
        <f t="shared" si="48"/>
        <v>Liberica</v>
      </c>
      <c r="K516" t="str">
        <f>INDEX(products!$A$1:$I$49,MATCH('Conditional Fomating'!$D516,products!$A$1:$A$49,0),MATCH('Conditional Fomating'!K$1,products!$A$1:$D$1,0))</f>
        <v>M</v>
      </c>
      <c r="L516" t="str">
        <f t="shared" si="49"/>
        <v>Medium</v>
      </c>
      <c r="M516">
        <f>INDEX(products!$A$1:$I$49,MATCH('Conditional Fomating'!$D516,products!$A$1:$A$49,0),MATCH('Conditional Fomating'!M$1,products!$A$1:$D$1,0))</f>
        <v>0.2</v>
      </c>
      <c r="N516">
        <f>_xlfn.XLOOKUP(D516,products!$A$2:$A$49,products!$E$2:$E$49)</f>
        <v>4.3650000000000002</v>
      </c>
      <c r="O516">
        <f>_xlfn.XLOOKUP(D516,products!$A$2:$A$49,products!$H$2:$H$49)</f>
        <v>3.7975500000000002</v>
      </c>
      <c r="P516">
        <f t="shared" si="50"/>
        <v>26.19</v>
      </c>
      <c r="Q516">
        <f t="shared" si="51"/>
        <v>22.785299999999999</v>
      </c>
      <c r="R516">
        <f t="shared" si="52"/>
        <v>3.4047000000000018</v>
      </c>
      <c r="S516" s="4">
        <f t="shared" si="53"/>
        <v>0.13000000000000006</v>
      </c>
      <c r="T516" t="str">
        <f>_xlfn.XLOOKUP(C516,customers!$A$1:$A$1001,customers!$I$1:$I$1001,,0)</f>
        <v>Yes</v>
      </c>
    </row>
    <row r="517" spans="1:20"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INDEX(products!$A$1:$I$49,MATCH('Conditional Fomating'!$D517,products!$A$1:$A$49,0),MATCH('Conditional Fomating'!I$1,products!$A$1:$D$1,0))</f>
        <v>Rob</v>
      </c>
      <c r="J517" t="str">
        <f t="shared" si="48"/>
        <v>Robusta</v>
      </c>
      <c r="K517" t="str">
        <f>INDEX(products!$A$1:$I$49,MATCH('Conditional Fomating'!$D517,products!$A$1:$A$49,0),MATCH('Conditional Fomating'!K$1,products!$A$1:$D$1,0))</f>
        <v>L</v>
      </c>
      <c r="L517" t="str">
        <f t="shared" si="49"/>
        <v>Light</v>
      </c>
      <c r="M517">
        <f>INDEX(products!$A$1:$I$49,MATCH('Conditional Fomating'!$D517,products!$A$1:$A$49,0),MATCH('Conditional Fomating'!M$1,products!$A$1:$D$1,0))</f>
        <v>0.5</v>
      </c>
      <c r="N517">
        <f>_xlfn.XLOOKUP(D517,products!$A$2:$A$49,products!$E$2:$E$49)</f>
        <v>7.169999999999999</v>
      </c>
      <c r="O517">
        <f>_xlfn.XLOOKUP(D517,products!$A$2:$A$49,products!$H$2:$H$49)</f>
        <v>6.7397999999999989</v>
      </c>
      <c r="P517">
        <f t="shared" si="50"/>
        <v>21.509999999999998</v>
      </c>
      <c r="Q517">
        <f t="shared" si="51"/>
        <v>20.219399999999997</v>
      </c>
      <c r="R517">
        <f t="shared" si="52"/>
        <v>1.2906000000000013</v>
      </c>
      <c r="S517" s="4">
        <f t="shared" si="53"/>
        <v>6.0000000000000067E-2</v>
      </c>
      <c r="T517" t="str">
        <f>_xlfn.XLOOKUP(C517,customers!$A$1:$A$1001,customers!$I$1:$I$1001,,0)</f>
        <v>No</v>
      </c>
    </row>
    <row r="518" spans="1:20"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v>
      </c>
      <c r="H518" s="2" t="str">
        <f>_xlfn.XLOOKUP(C518,customers!$A$1:$A$1001,customers!$G$1:$G$1001,,0)</f>
        <v>United States</v>
      </c>
      <c r="I518" t="str">
        <f>INDEX(products!$A$1:$I$49,MATCH('Conditional Fomating'!$D518,products!$A$1:$A$49,0),MATCH('Conditional Fomating'!I$1,products!$A$1:$D$1,0))</f>
        <v>Rob</v>
      </c>
      <c r="J518" t="str">
        <f t="shared" si="48"/>
        <v>Robusta</v>
      </c>
      <c r="K518" t="str">
        <f>INDEX(products!$A$1:$I$49,MATCH('Conditional Fomating'!$D518,products!$A$1:$A$49,0),MATCH('Conditional Fomating'!K$1,products!$A$1:$D$1,0))</f>
        <v>D</v>
      </c>
      <c r="L518" t="str">
        <f t="shared" si="49"/>
        <v>Dark</v>
      </c>
      <c r="M518">
        <f>INDEX(products!$A$1:$I$49,MATCH('Conditional Fomating'!$D518,products!$A$1:$A$49,0),MATCH('Conditional Fomating'!M$1,products!$A$1:$D$1,0))</f>
        <v>2.5</v>
      </c>
      <c r="N518">
        <f>_xlfn.XLOOKUP(D518,products!$A$2:$A$49,products!$E$2:$E$49)</f>
        <v>20.584999999999997</v>
      </c>
      <c r="O518">
        <f>_xlfn.XLOOKUP(D518,products!$A$2:$A$49,products!$H$2:$H$49)</f>
        <v>19.349899999999998</v>
      </c>
      <c r="P518">
        <f t="shared" si="50"/>
        <v>102.92499999999998</v>
      </c>
      <c r="Q518">
        <f t="shared" si="51"/>
        <v>96.749499999999983</v>
      </c>
      <c r="R518">
        <f t="shared" si="52"/>
        <v>6.1754999999999995</v>
      </c>
      <c r="S518" s="4">
        <f t="shared" si="53"/>
        <v>6.0000000000000005E-2</v>
      </c>
      <c r="T518" t="str">
        <f>_xlfn.XLOOKUP(C518,customers!$A$1:$A$1001,customers!$I$1:$I$1001,,0)</f>
        <v>Yes</v>
      </c>
    </row>
    <row r="519" spans="1:20"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v>
      </c>
      <c r="H519" s="2" t="str">
        <f>_xlfn.XLOOKUP(C519,customers!$A$1:$A$1001,customers!$G$1:$G$1001,,0)</f>
        <v>United States</v>
      </c>
      <c r="I519" t="str">
        <f>INDEX(products!$A$1:$I$49,MATCH('Conditional Fomating'!$D519,products!$A$1:$A$49,0),MATCH('Conditional Fomating'!I$1,products!$A$1:$D$1,0))</f>
        <v>Lib</v>
      </c>
      <c r="J519" t="str">
        <f t="shared" si="48"/>
        <v>Liberica</v>
      </c>
      <c r="K519" t="str">
        <f>INDEX(products!$A$1:$I$49,MATCH('Conditional Fomating'!$D519,products!$A$1:$A$49,0),MATCH('Conditional Fomating'!K$1,products!$A$1:$D$1,0))</f>
        <v>D</v>
      </c>
      <c r="L519" t="str">
        <f t="shared" si="49"/>
        <v>Dark</v>
      </c>
      <c r="M519">
        <f>INDEX(products!$A$1:$I$49,MATCH('Conditional Fomating'!$D519,products!$A$1:$A$49,0),MATCH('Conditional Fomating'!M$1,products!$A$1:$D$1,0))</f>
        <v>0.2</v>
      </c>
      <c r="N519">
        <f>_xlfn.XLOOKUP(D519,products!$A$2:$A$49,products!$E$2:$E$49)</f>
        <v>3.8849999999999998</v>
      </c>
      <c r="O519">
        <f>_xlfn.XLOOKUP(D519,products!$A$2:$A$49,products!$H$2:$H$49)</f>
        <v>3.37995</v>
      </c>
      <c r="P519">
        <f t="shared" si="50"/>
        <v>7.77</v>
      </c>
      <c r="Q519">
        <f t="shared" si="51"/>
        <v>6.7599</v>
      </c>
      <c r="R519">
        <f t="shared" si="52"/>
        <v>1.0100999999999996</v>
      </c>
      <c r="S519" s="4">
        <f t="shared" si="53"/>
        <v>0.12999999999999995</v>
      </c>
      <c r="T519" t="str">
        <f>_xlfn.XLOOKUP(C519,customers!$A$1:$A$1001,customers!$I$1:$I$1001,,0)</f>
        <v>No</v>
      </c>
    </row>
    <row r="520" spans="1:20"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INDEX(products!$A$1:$I$49,MATCH('Conditional Fomating'!$D520,products!$A$1:$A$49,0),MATCH('Conditional Fomating'!I$1,products!$A$1:$D$1,0))</f>
        <v>Exc</v>
      </c>
      <c r="J520" t="str">
        <f t="shared" si="48"/>
        <v>Excelsa</v>
      </c>
      <c r="K520" t="str">
        <f>INDEX(products!$A$1:$I$49,MATCH('Conditional Fomating'!$D520,products!$A$1:$A$49,0),MATCH('Conditional Fomating'!K$1,products!$A$1:$D$1,0))</f>
        <v>D</v>
      </c>
      <c r="L520" t="str">
        <f t="shared" si="49"/>
        <v>Dark</v>
      </c>
      <c r="M520">
        <f>INDEX(products!$A$1:$I$49,MATCH('Conditional Fomating'!$D520,products!$A$1:$A$49,0),MATCH('Conditional Fomating'!M$1,products!$A$1:$D$1,0))</f>
        <v>2.5</v>
      </c>
      <c r="N520">
        <f>_xlfn.XLOOKUP(D520,products!$A$2:$A$49,products!$E$2:$E$49)</f>
        <v>27.945</v>
      </c>
      <c r="O520">
        <f>_xlfn.XLOOKUP(D520,products!$A$2:$A$49,products!$H$2:$H$49)</f>
        <v>24.87105</v>
      </c>
      <c r="P520">
        <f t="shared" si="50"/>
        <v>139.72499999999999</v>
      </c>
      <c r="Q520">
        <f t="shared" si="51"/>
        <v>124.35525</v>
      </c>
      <c r="R520">
        <f t="shared" si="52"/>
        <v>15.369749999999996</v>
      </c>
      <c r="S520" s="4">
        <f t="shared" si="53"/>
        <v>0.10999999999999997</v>
      </c>
      <c r="T520" t="str">
        <f>_xlfn.XLOOKUP(C520,customers!$A$1:$A$1001,customers!$I$1:$I$1001,,0)</f>
        <v>No</v>
      </c>
    </row>
    <row r="521" spans="1:20"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INDEX(products!$A$1:$I$49,MATCH('Conditional Fomating'!$D521,products!$A$1:$A$49,0),MATCH('Conditional Fomating'!I$1,products!$A$1:$D$1,0))</f>
        <v>Ara</v>
      </c>
      <c r="J521" t="str">
        <f t="shared" si="48"/>
        <v>Arabica</v>
      </c>
      <c r="K521" t="str">
        <f>INDEX(products!$A$1:$I$49,MATCH('Conditional Fomating'!$D521,products!$A$1:$A$49,0),MATCH('Conditional Fomating'!K$1,products!$A$1:$D$1,0))</f>
        <v>D</v>
      </c>
      <c r="L521" t="str">
        <f t="shared" si="49"/>
        <v>Dark</v>
      </c>
      <c r="M521">
        <f>INDEX(products!$A$1:$I$49,MATCH('Conditional Fomating'!$D521,products!$A$1:$A$49,0),MATCH('Conditional Fomating'!M$1,products!$A$1:$D$1,0))</f>
        <v>0.5</v>
      </c>
      <c r="N521">
        <f>_xlfn.XLOOKUP(D521,products!$A$2:$A$49,products!$E$2:$E$49)</f>
        <v>5.97</v>
      </c>
      <c r="O521">
        <f>_xlfn.XLOOKUP(D521,products!$A$2:$A$49,products!$H$2:$H$49)</f>
        <v>5.4326999999999996</v>
      </c>
      <c r="P521">
        <f t="shared" si="50"/>
        <v>11.94</v>
      </c>
      <c r="Q521">
        <f t="shared" si="51"/>
        <v>10.865399999999999</v>
      </c>
      <c r="R521">
        <f t="shared" si="52"/>
        <v>1.0746000000000002</v>
      </c>
      <c r="S521" s="4">
        <f t="shared" si="53"/>
        <v>9.0000000000000024E-2</v>
      </c>
      <c r="T521" t="str">
        <f>_xlfn.XLOOKUP(C521,customers!$A$1:$A$1001,customers!$I$1:$I$1001,,0)</f>
        <v>Yes</v>
      </c>
    </row>
    <row r="522" spans="1:20"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INDEX(products!$A$1:$I$49,MATCH('Conditional Fomating'!$D522,products!$A$1:$A$49,0),MATCH('Conditional Fomating'!I$1,products!$A$1:$D$1,0))</f>
        <v>Lib</v>
      </c>
      <c r="J522" t="str">
        <f t="shared" si="48"/>
        <v>Liberica</v>
      </c>
      <c r="K522" t="str">
        <f>INDEX(products!$A$1:$I$49,MATCH('Conditional Fomating'!$D522,products!$A$1:$A$49,0),MATCH('Conditional Fomating'!K$1,products!$A$1:$D$1,0))</f>
        <v>D</v>
      </c>
      <c r="L522" t="str">
        <f t="shared" si="49"/>
        <v>Dark</v>
      </c>
      <c r="M522">
        <f>INDEX(products!$A$1:$I$49,MATCH('Conditional Fomating'!$D522,products!$A$1:$A$49,0),MATCH('Conditional Fomating'!M$1,products!$A$1:$D$1,0))</f>
        <v>0.2</v>
      </c>
      <c r="N522">
        <f>_xlfn.XLOOKUP(D522,products!$A$2:$A$49,products!$E$2:$E$49)</f>
        <v>3.8849999999999998</v>
      </c>
      <c r="O522">
        <f>_xlfn.XLOOKUP(D522,products!$A$2:$A$49,products!$H$2:$H$49)</f>
        <v>3.37995</v>
      </c>
      <c r="P522">
        <f t="shared" si="50"/>
        <v>3.8849999999999998</v>
      </c>
      <c r="Q522">
        <f t="shared" si="51"/>
        <v>3.37995</v>
      </c>
      <c r="R522">
        <f t="shared" si="52"/>
        <v>0.50504999999999978</v>
      </c>
      <c r="S522" s="4">
        <f t="shared" si="53"/>
        <v>0.12999999999999995</v>
      </c>
      <c r="T522" t="str">
        <f>_xlfn.XLOOKUP(C522,customers!$A$1:$A$1001,customers!$I$1:$I$1001,,0)</f>
        <v>No</v>
      </c>
    </row>
    <row r="523" spans="1:20"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INDEX(products!$A$1:$I$49,MATCH('Conditional Fomating'!$D523,products!$A$1:$A$49,0),MATCH('Conditional Fomating'!I$1,products!$A$1:$D$1,0))</f>
        <v>Rob</v>
      </c>
      <c r="J523" t="str">
        <f t="shared" si="48"/>
        <v>Robusta</v>
      </c>
      <c r="K523" t="str">
        <f>INDEX(products!$A$1:$I$49,MATCH('Conditional Fomating'!$D523,products!$A$1:$A$49,0),MATCH('Conditional Fomating'!K$1,products!$A$1:$D$1,0))</f>
        <v>M</v>
      </c>
      <c r="L523" t="str">
        <f t="shared" si="49"/>
        <v>Medium</v>
      </c>
      <c r="M523">
        <f>INDEX(products!$A$1:$I$49,MATCH('Conditional Fomating'!$D523,products!$A$1:$A$49,0),MATCH('Conditional Fomating'!M$1,products!$A$1:$D$1,0))</f>
        <v>1</v>
      </c>
      <c r="N523">
        <f>_xlfn.XLOOKUP(D523,products!$A$2:$A$49,products!$E$2:$E$49)</f>
        <v>9.9499999999999993</v>
      </c>
      <c r="O523">
        <f>_xlfn.XLOOKUP(D523,products!$A$2:$A$49,products!$H$2:$H$49)</f>
        <v>9.3529999999999998</v>
      </c>
      <c r="P523">
        <f t="shared" si="50"/>
        <v>39.799999999999997</v>
      </c>
      <c r="Q523">
        <f t="shared" si="51"/>
        <v>37.411999999999999</v>
      </c>
      <c r="R523">
        <f t="shared" si="52"/>
        <v>2.3879999999999981</v>
      </c>
      <c r="S523" s="4">
        <f t="shared" si="53"/>
        <v>5.9999999999999956E-2</v>
      </c>
      <c r="T523" t="str">
        <f>_xlfn.XLOOKUP(C523,customers!$A$1:$A$1001,customers!$I$1:$I$1001,,0)</f>
        <v>No</v>
      </c>
    </row>
    <row r="524" spans="1:20"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INDEX(products!$A$1:$I$49,MATCH('Conditional Fomating'!$D524,products!$A$1:$A$49,0),MATCH('Conditional Fomating'!I$1,products!$A$1:$D$1,0))</f>
        <v>Rob</v>
      </c>
      <c r="J524" t="str">
        <f t="shared" si="48"/>
        <v>Robusta</v>
      </c>
      <c r="K524" t="str">
        <f>INDEX(products!$A$1:$I$49,MATCH('Conditional Fomating'!$D524,products!$A$1:$A$49,0),MATCH('Conditional Fomating'!K$1,products!$A$1:$D$1,0))</f>
        <v>M</v>
      </c>
      <c r="L524" t="str">
        <f t="shared" si="49"/>
        <v>Medium</v>
      </c>
      <c r="M524">
        <f>INDEX(products!$A$1:$I$49,MATCH('Conditional Fomating'!$D524,products!$A$1:$A$49,0),MATCH('Conditional Fomating'!M$1,products!$A$1:$D$1,0))</f>
        <v>0.5</v>
      </c>
      <c r="N524">
        <f>_xlfn.XLOOKUP(D524,products!$A$2:$A$49,products!$E$2:$E$49)</f>
        <v>5.97</v>
      </c>
      <c r="O524">
        <f>_xlfn.XLOOKUP(D524,products!$A$2:$A$49,products!$H$2:$H$49)</f>
        <v>5.6117999999999997</v>
      </c>
      <c r="P524">
        <f t="shared" si="50"/>
        <v>29.849999999999998</v>
      </c>
      <c r="Q524">
        <f t="shared" si="51"/>
        <v>28.058999999999997</v>
      </c>
      <c r="R524">
        <f t="shared" si="52"/>
        <v>1.7910000000000004</v>
      </c>
      <c r="S524" s="4">
        <f t="shared" si="53"/>
        <v>6.0000000000000019E-2</v>
      </c>
      <c r="T524" t="str">
        <f>_xlfn.XLOOKUP(C524,customers!$A$1:$A$1001,customers!$I$1:$I$1001,,0)</f>
        <v>No</v>
      </c>
    </row>
    <row r="525" spans="1:20"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INDEX(products!$A$1:$I$49,MATCH('Conditional Fomating'!$D525,products!$A$1:$A$49,0),MATCH('Conditional Fomating'!I$1,products!$A$1:$D$1,0))</f>
        <v>Lib</v>
      </c>
      <c r="J525" t="str">
        <f t="shared" si="48"/>
        <v>Liberica</v>
      </c>
      <c r="K525" t="str">
        <f>INDEX(products!$A$1:$I$49,MATCH('Conditional Fomating'!$D525,products!$A$1:$A$49,0),MATCH('Conditional Fomating'!K$1,products!$A$1:$D$1,0))</f>
        <v>D</v>
      </c>
      <c r="L525" t="str">
        <f t="shared" si="49"/>
        <v>Dark</v>
      </c>
      <c r="M525">
        <f>INDEX(products!$A$1:$I$49,MATCH('Conditional Fomating'!$D525,products!$A$1:$A$49,0),MATCH('Conditional Fomating'!M$1,products!$A$1:$D$1,0))</f>
        <v>2.5</v>
      </c>
      <c r="N525">
        <f>_xlfn.XLOOKUP(D525,products!$A$2:$A$49,products!$E$2:$E$49)</f>
        <v>29.784999999999997</v>
      </c>
      <c r="O525">
        <f>_xlfn.XLOOKUP(D525,products!$A$2:$A$49,products!$H$2:$H$49)</f>
        <v>25.912949999999995</v>
      </c>
      <c r="P525">
        <f t="shared" si="50"/>
        <v>29.784999999999997</v>
      </c>
      <c r="Q525">
        <f t="shared" si="51"/>
        <v>25.912949999999995</v>
      </c>
      <c r="R525">
        <f t="shared" si="52"/>
        <v>3.8720500000000015</v>
      </c>
      <c r="S525" s="4">
        <f t="shared" si="53"/>
        <v>0.13000000000000006</v>
      </c>
      <c r="T525" t="str">
        <f>_xlfn.XLOOKUP(C525,customers!$A$1:$A$1001,customers!$I$1:$I$1001,,0)</f>
        <v>No</v>
      </c>
    </row>
    <row r="526" spans="1:20"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v>
      </c>
      <c r="H526" s="2" t="str">
        <f>_xlfn.XLOOKUP(C526,customers!$A$1:$A$1001,customers!$G$1:$G$1001,,0)</f>
        <v>United States</v>
      </c>
      <c r="I526" t="str">
        <f>INDEX(products!$A$1:$I$49,MATCH('Conditional Fomating'!$D526,products!$A$1:$A$49,0),MATCH('Conditional Fomating'!I$1,products!$A$1:$D$1,0))</f>
        <v>Lib</v>
      </c>
      <c r="J526" t="str">
        <f t="shared" si="48"/>
        <v>Liberica</v>
      </c>
      <c r="K526" t="str">
        <f>INDEX(products!$A$1:$I$49,MATCH('Conditional Fomating'!$D526,products!$A$1:$A$49,0),MATCH('Conditional Fomating'!K$1,products!$A$1:$D$1,0))</f>
        <v>L</v>
      </c>
      <c r="L526" t="str">
        <f t="shared" si="49"/>
        <v>Light</v>
      </c>
      <c r="M526">
        <f>INDEX(products!$A$1:$I$49,MATCH('Conditional Fomating'!$D526,products!$A$1:$A$49,0),MATCH('Conditional Fomating'!M$1,products!$A$1:$D$1,0))</f>
        <v>2.5</v>
      </c>
      <c r="N526">
        <f>_xlfn.XLOOKUP(D526,products!$A$2:$A$49,products!$E$2:$E$49)</f>
        <v>36.454999999999998</v>
      </c>
      <c r="O526">
        <f>_xlfn.XLOOKUP(D526,products!$A$2:$A$49,products!$H$2:$H$49)</f>
        <v>31.71585</v>
      </c>
      <c r="P526">
        <f t="shared" si="50"/>
        <v>72.91</v>
      </c>
      <c r="Q526">
        <f t="shared" si="51"/>
        <v>63.431699999999999</v>
      </c>
      <c r="R526">
        <f t="shared" si="52"/>
        <v>9.4782999999999973</v>
      </c>
      <c r="S526" s="4">
        <f t="shared" si="53"/>
        <v>0.12999999999999998</v>
      </c>
      <c r="T526" t="str">
        <f>_xlfn.XLOOKUP(C526,customers!$A$1:$A$1001,customers!$I$1:$I$1001,,0)</f>
        <v>No</v>
      </c>
    </row>
    <row r="527" spans="1:20"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v>
      </c>
      <c r="H527" s="2" t="str">
        <f>_xlfn.XLOOKUP(C527,customers!$A$1:$A$1001,customers!$G$1:$G$1001,,0)</f>
        <v>United States</v>
      </c>
      <c r="I527" t="str">
        <f>INDEX(products!$A$1:$I$49,MATCH('Conditional Fomating'!$D527,products!$A$1:$A$49,0),MATCH('Conditional Fomating'!I$1,products!$A$1:$D$1,0))</f>
        <v>Rob</v>
      </c>
      <c r="J527" t="str">
        <f t="shared" si="48"/>
        <v>Robusta</v>
      </c>
      <c r="K527" t="str">
        <f>INDEX(products!$A$1:$I$49,MATCH('Conditional Fomating'!$D527,products!$A$1:$A$49,0),MATCH('Conditional Fomating'!K$1,products!$A$1:$D$1,0))</f>
        <v>D</v>
      </c>
      <c r="L527" t="str">
        <f t="shared" si="49"/>
        <v>Dark</v>
      </c>
      <c r="M527">
        <f>INDEX(products!$A$1:$I$49,MATCH('Conditional Fomating'!$D527,products!$A$1:$A$49,0),MATCH('Conditional Fomating'!M$1,products!$A$1:$D$1,0))</f>
        <v>0.2</v>
      </c>
      <c r="N527">
        <f>_xlfn.XLOOKUP(D527,products!$A$2:$A$49,products!$E$2:$E$49)</f>
        <v>2.6849999999999996</v>
      </c>
      <c r="O527">
        <f>_xlfn.XLOOKUP(D527,products!$A$2:$A$49,products!$H$2:$H$49)</f>
        <v>2.5238999999999998</v>
      </c>
      <c r="P527">
        <f t="shared" si="50"/>
        <v>13.424999999999997</v>
      </c>
      <c r="Q527">
        <f t="shared" si="51"/>
        <v>12.619499999999999</v>
      </c>
      <c r="R527">
        <f t="shared" si="52"/>
        <v>0.80549999999999855</v>
      </c>
      <c r="S527" s="4">
        <f t="shared" si="53"/>
        <v>5.9999999999999908E-2</v>
      </c>
      <c r="T527" t="str">
        <f>_xlfn.XLOOKUP(C527,customers!$A$1:$A$1001,customers!$I$1:$I$1001,,0)</f>
        <v>Yes</v>
      </c>
    </row>
    <row r="528" spans="1:20"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INDEX(products!$A$1:$I$49,MATCH('Conditional Fomating'!$D528,products!$A$1:$A$49,0),MATCH('Conditional Fomating'!I$1,products!$A$1:$D$1,0))</f>
        <v>Exc</v>
      </c>
      <c r="J528" t="str">
        <f t="shared" si="48"/>
        <v>Excelsa</v>
      </c>
      <c r="K528" t="str">
        <f>INDEX(products!$A$1:$I$49,MATCH('Conditional Fomating'!$D528,products!$A$1:$A$49,0),MATCH('Conditional Fomating'!K$1,products!$A$1:$D$1,0))</f>
        <v>M</v>
      </c>
      <c r="L528" t="str">
        <f t="shared" si="49"/>
        <v>Medium</v>
      </c>
      <c r="M528">
        <f>INDEX(products!$A$1:$I$49,MATCH('Conditional Fomating'!$D528,products!$A$1:$A$49,0),MATCH('Conditional Fomating'!M$1,products!$A$1:$D$1,0))</f>
        <v>2.5</v>
      </c>
      <c r="N528">
        <f>_xlfn.XLOOKUP(D528,products!$A$2:$A$49,products!$E$2:$E$49)</f>
        <v>31.624999999999996</v>
      </c>
      <c r="O528">
        <f>_xlfn.XLOOKUP(D528,products!$A$2:$A$49,products!$H$2:$H$49)</f>
        <v>28.146249999999995</v>
      </c>
      <c r="P528">
        <f t="shared" si="50"/>
        <v>126.49999999999999</v>
      </c>
      <c r="Q528">
        <f t="shared" si="51"/>
        <v>112.58499999999998</v>
      </c>
      <c r="R528">
        <f t="shared" si="52"/>
        <v>13.915000000000006</v>
      </c>
      <c r="S528" s="4">
        <f t="shared" si="53"/>
        <v>0.11000000000000006</v>
      </c>
      <c r="T528" t="str">
        <f>_xlfn.XLOOKUP(C528,customers!$A$1:$A$1001,customers!$I$1:$I$1001,,0)</f>
        <v>Yes</v>
      </c>
    </row>
    <row r="529" spans="1:20"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INDEX(products!$A$1:$I$49,MATCH('Conditional Fomating'!$D529,products!$A$1:$A$49,0),MATCH('Conditional Fomating'!I$1,products!$A$1:$D$1,0))</f>
        <v>Exc</v>
      </c>
      <c r="J529" t="str">
        <f t="shared" si="48"/>
        <v>Excelsa</v>
      </c>
      <c r="K529" t="str">
        <f>INDEX(products!$A$1:$I$49,MATCH('Conditional Fomating'!$D529,products!$A$1:$A$49,0),MATCH('Conditional Fomating'!K$1,products!$A$1:$D$1,0))</f>
        <v>M</v>
      </c>
      <c r="L529" t="str">
        <f t="shared" si="49"/>
        <v>Medium</v>
      </c>
      <c r="M529">
        <f>INDEX(products!$A$1:$I$49,MATCH('Conditional Fomating'!$D529,products!$A$1:$A$49,0),MATCH('Conditional Fomating'!M$1,products!$A$1:$D$1,0))</f>
        <v>0.5</v>
      </c>
      <c r="N529">
        <f>_xlfn.XLOOKUP(D529,products!$A$2:$A$49,products!$E$2:$E$49)</f>
        <v>8.25</v>
      </c>
      <c r="O529">
        <f>_xlfn.XLOOKUP(D529,products!$A$2:$A$49,products!$H$2:$H$49)</f>
        <v>7.3425000000000002</v>
      </c>
      <c r="P529">
        <f t="shared" si="50"/>
        <v>41.25</v>
      </c>
      <c r="Q529">
        <f t="shared" si="51"/>
        <v>36.712499999999999</v>
      </c>
      <c r="R529">
        <f t="shared" si="52"/>
        <v>4.5375000000000014</v>
      </c>
      <c r="S529" s="4">
        <f t="shared" si="53"/>
        <v>0.11000000000000003</v>
      </c>
      <c r="T529" t="str">
        <f>_xlfn.XLOOKUP(C529,customers!$A$1:$A$1001,customers!$I$1:$I$1001,,0)</f>
        <v>No</v>
      </c>
    </row>
    <row r="530" spans="1:20"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INDEX(products!$A$1:$I$49,MATCH('Conditional Fomating'!$D530,products!$A$1:$A$49,0),MATCH('Conditional Fomating'!I$1,products!$A$1:$D$1,0))</f>
        <v>Exc</v>
      </c>
      <c r="J530" t="str">
        <f t="shared" si="48"/>
        <v>Excelsa</v>
      </c>
      <c r="K530" t="str">
        <f>INDEX(products!$A$1:$I$49,MATCH('Conditional Fomating'!$D530,products!$A$1:$A$49,0),MATCH('Conditional Fomating'!K$1,products!$A$1:$D$1,0))</f>
        <v>L</v>
      </c>
      <c r="L530" t="str">
        <f t="shared" si="49"/>
        <v>Light</v>
      </c>
      <c r="M530">
        <f>INDEX(products!$A$1:$I$49,MATCH('Conditional Fomating'!$D530,products!$A$1:$A$49,0),MATCH('Conditional Fomating'!M$1,products!$A$1:$D$1,0))</f>
        <v>0.5</v>
      </c>
      <c r="N530">
        <f>_xlfn.XLOOKUP(D530,products!$A$2:$A$49,products!$E$2:$E$49)</f>
        <v>8.91</v>
      </c>
      <c r="O530">
        <f>_xlfn.XLOOKUP(D530,products!$A$2:$A$49,products!$H$2:$H$49)</f>
        <v>7.9298999999999999</v>
      </c>
      <c r="P530">
        <f t="shared" si="50"/>
        <v>53.46</v>
      </c>
      <c r="Q530">
        <f t="shared" si="51"/>
        <v>47.5794</v>
      </c>
      <c r="R530">
        <f t="shared" si="52"/>
        <v>5.8806000000000012</v>
      </c>
      <c r="S530" s="4">
        <f t="shared" si="53"/>
        <v>0.11000000000000001</v>
      </c>
      <c r="T530" t="str">
        <f>_xlfn.XLOOKUP(C530,customers!$A$1:$A$1001,customers!$I$1:$I$1001,,0)</f>
        <v>No</v>
      </c>
    </row>
    <row r="531" spans="1:20"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INDEX(products!$A$1:$I$49,MATCH('Conditional Fomating'!$D531,products!$A$1:$A$49,0),MATCH('Conditional Fomating'!I$1,products!$A$1:$D$1,0))</f>
        <v>Rob</v>
      </c>
      <c r="J531" t="str">
        <f t="shared" si="48"/>
        <v>Robusta</v>
      </c>
      <c r="K531" t="str">
        <f>INDEX(products!$A$1:$I$49,MATCH('Conditional Fomating'!$D531,products!$A$1:$A$49,0),MATCH('Conditional Fomating'!K$1,products!$A$1:$D$1,0))</f>
        <v>M</v>
      </c>
      <c r="L531" t="str">
        <f t="shared" si="49"/>
        <v>Medium</v>
      </c>
      <c r="M531">
        <f>INDEX(products!$A$1:$I$49,MATCH('Conditional Fomating'!$D531,products!$A$1:$A$49,0),MATCH('Conditional Fomating'!M$1,products!$A$1:$D$1,0))</f>
        <v>1</v>
      </c>
      <c r="N531">
        <f>_xlfn.XLOOKUP(D531,products!$A$2:$A$49,products!$E$2:$E$49)</f>
        <v>9.9499999999999993</v>
      </c>
      <c r="O531">
        <f>_xlfn.XLOOKUP(D531,products!$A$2:$A$49,products!$H$2:$H$49)</f>
        <v>9.3529999999999998</v>
      </c>
      <c r="P531">
        <f t="shared" si="50"/>
        <v>59.699999999999996</v>
      </c>
      <c r="Q531">
        <f t="shared" si="51"/>
        <v>56.117999999999995</v>
      </c>
      <c r="R531">
        <f t="shared" si="52"/>
        <v>3.5820000000000007</v>
      </c>
      <c r="S531" s="4">
        <f t="shared" si="53"/>
        <v>6.0000000000000019E-2</v>
      </c>
      <c r="T531" t="str">
        <f>_xlfn.XLOOKUP(C531,customers!$A$1:$A$1001,customers!$I$1:$I$1001,,0)</f>
        <v>No</v>
      </c>
    </row>
    <row r="532" spans="1:20"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INDEX(products!$A$1:$I$49,MATCH('Conditional Fomating'!$D532,products!$A$1:$A$49,0),MATCH('Conditional Fomating'!I$1,products!$A$1:$D$1,0))</f>
        <v>Rob</v>
      </c>
      <c r="J532" t="str">
        <f t="shared" si="48"/>
        <v>Robusta</v>
      </c>
      <c r="K532" t="str">
        <f>INDEX(products!$A$1:$I$49,MATCH('Conditional Fomating'!$D532,products!$A$1:$A$49,0),MATCH('Conditional Fomating'!K$1,products!$A$1:$D$1,0))</f>
        <v>M</v>
      </c>
      <c r="L532" t="str">
        <f t="shared" si="49"/>
        <v>Medium</v>
      </c>
      <c r="M532">
        <f>INDEX(products!$A$1:$I$49,MATCH('Conditional Fomating'!$D532,products!$A$1:$A$49,0),MATCH('Conditional Fomating'!M$1,products!$A$1:$D$1,0))</f>
        <v>1</v>
      </c>
      <c r="N532">
        <f>_xlfn.XLOOKUP(D532,products!$A$2:$A$49,products!$E$2:$E$49)</f>
        <v>9.9499999999999993</v>
      </c>
      <c r="O532">
        <f>_xlfn.XLOOKUP(D532,products!$A$2:$A$49,products!$H$2:$H$49)</f>
        <v>9.3529999999999998</v>
      </c>
      <c r="P532">
        <f t="shared" si="50"/>
        <v>59.699999999999996</v>
      </c>
      <c r="Q532">
        <f t="shared" si="51"/>
        <v>56.117999999999995</v>
      </c>
      <c r="R532">
        <f t="shared" si="52"/>
        <v>3.5820000000000007</v>
      </c>
      <c r="S532" s="4">
        <f t="shared" si="53"/>
        <v>6.0000000000000019E-2</v>
      </c>
      <c r="T532" t="str">
        <f>_xlfn.XLOOKUP(C532,customers!$A$1:$A$1001,customers!$I$1:$I$1001,,0)</f>
        <v>No</v>
      </c>
    </row>
    <row r="533" spans="1:20"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INDEX(products!$A$1:$I$49,MATCH('Conditional Fomating'!$D533,products!$A$1:$A$49,0),MATCH('Conditional Fomating'!I$1,products!$A$1:$D$1,0))</f>
        <v>Rob</v>
      </c>
      <c r="J533" t="str">
        <f t="shared" si="48"/>
        <v>Robusta</v>
      </c>
      <c r="K533" t="str">
        <f>INDEX(products!$A$1:$I$49,MATCH('Conditional Fomating'!$D533,products!$A$1:$A$49,0),MATCH('Conditional Fomating'!K$1,products!$A$1:$D$1,0))</f>
        <v>D</v>
      </c>
      <c r="L533" t="str">
        <f t="shared" si="49"/>
        <v>Dark</v>
      </c>
      <c r="M533">
        <f>INDEX(products!$A$1:$I$49,MATCH('Conditional Fomating'!$D533,products!$A$1:$A$49,0),MATCH('Conditional Fomating'!M$1,products!$A$1:$D$1,0))</f>
        <v>1</v>
      </c>
      <c r="N533">
        <f>_xlfn.XLOOKUP(D533,products!$A$2:$A$49,products!$E$2:$E$49)</f>
        <v>8.9499999999999993</v>
      </c>
      <c r="O533">
        <f>_xlfn.XLOOKUP(D533,products!$A$2:$A$49,products!$H$2:$H$49)</f>
        <v>8.4130000000000003</v>
      </c>
      <c r="P533">
        <f t="shared" si="50"/>
        <v>44.75</v>
      </c>
      <c r="Q533">
        <f t="shared" si="51"/>
        <v>42.064999999999998</v>
      </c>
      <c r="R533">
        <f t="shared" si="52"/>
        <v>2.6850000000000023</v>
      </c>
      <c r="S533" s="4">
        <f t="shared" si="53"/>
        <v>6.0000000000000053E-2</v>
      </c>
      <c r="T533" t="str">
        <f>_xlfn.XLOOKUP(C533,customers!$A$1:$A$1001,customers!$I$1:$I$1001,,0)</f>
        <v>No</v>
      </c>
    </row>
    <row r="534" spans="1:20"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INDEX(products!$A$1:$I$49,MATCH('Conditional Fomating'!$D534,products!$A$1:$A$49,0),MATCH('Conditional Fomating'!I$1,products!$A$1:$D$1,0))</f>
        <v>Exc</v>
      </c>
      <c r="J534" t="str">
        <f t="shared" si="48"/>
        <v>Excelsa</v>
      </c>
      <c r="K534" t="str">
        <f>INDEX(products!$A$1:$I$49,MATCH('Conditional Fomating'!$D534,products!$A$1:$A$49,0),MATCH('Conditional Fomating'!K$1,products!$A$1:$D$1,0))</f>
        <v>M</v>
      </c>
      <c r="L534" t="str">
        <f t="shared" si="49"/>
        <v>Medium</v>
      </c>
      <c r="M534">
        <f>INDEX(products!$A$1:$I$49,MATCH('Conditional Fomating'!$D534,products!$A$1:$A$49,0),MATCH('Conditional Fomating'!M$1,products!$A$1:$D$1,0))</f>
        <v>0.5</v>
      </c>
      <c r="N534">
        <f>_xlfn.XLOOKUP(D534,products!$A$2:$A$49,products!$E$2:$E$49)</f>
        <v>8.25</v>
      </c>
      <c r="O534">
        <f>_xlfn.XLOOKUP(D534,products!$A$2:$A$49,products!$H$2:$H$49)</f>
        <v>7.3425000000000002</v>
      </c>
      <c r="P534">
        <f t="shared" si="50"/>
        <v>16.5</v>
      </c>
      <c r="Q534">
        <f t="shared" si="51"/>
        <v>14.685</v>
      </c>
      <c r="R534">
        <f t="shared" si="52"/>
        <v>1.8149999999999995</v>
      </c>
      <c r="S534" s="4">
        <f t="shared" si="53"/>
        <v>0.10999999999999997</v>
      </c>
      <c r="T534" t="str">
        <f>_xlfn.XLOOKUP(C534,customers!$A$1:$A$1001,customers!$I$1:$I$1001,,0)</f>
        <v>Yes</v>
      </c>
    </row>
    <row r="535" spans="1:20"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v>
      </c>
      <c r="H535" s="2" t="str">
        <f>_xlfn.XLOOKUP(C535,customers!$A$1:$A$1001,customers!$G$1:$G$1001,,0)</f>
        <v>United States</v>
      </c>
      <c r="I535" t="str">
        <f>INDEX(products!$A$1:$I$49,MATCH('Conditional Fomating'!$D535,products!$A$1:$A$49,0),MATCH('Conditional Fomating'!I$1,products!$A$1:$D$1,0))</f>
        <v>Rob</v>
      </c>
      <c r="J535" t="str">
        <f t="shared" si="48"/>
        <v>Robusta</v>
      </c>
      <c r="K535" t="str">
        <f>INDEX(products!$A$1:$I$49,MATCH('Conditional Fomating'!$D535,products!$A$1:$A$49,0),MATCH('Conditional Fomating'!K$1,products!$A$1:$D$1,0))</f>
        <v>D</v>
      </c>
      <c r="L535" t="str">
        <f t="shared" si="49"/>
        <v>Dark</v>
      </c>
      <c r="M535">
        <f>INDEX(products!$A$1:$I$49,MATCH('Conditional Fomating'!$D535,products!$A$1:$A$49,0),MATCH('Conditional Fomating'!M$1,products!$A$1:$D$1,0))</f>
        <v>0.5</v>
      </c>
      <c r="N535">
        <f>_xlfn.XLOOKUP(D535,products!$A$2:$A$49,products!$E$2:$E$49)</f>
        <v>5.3699999999999992</v>
      </c>
      <c r="O535">
        <f>_xlfn.XLOOKUP(D535,products!$A$2:$A$49,products!$H$2:$H$49)</f>
        <v>5.0477999999999996</v>
      </c>
      <c r="P535">
        <f t="shared" si="50"/>
        <v>21.479999999999997</v>
      </c>
      <c r="Q535">
        <f t="shared" si="51"/>
        <v>20.191199999999998</v>
      </c>
      <c r="R535">
        <f t="shared" si="52"/>
        <v>1.2887999999999984</v>
      </c>
      <c r="S535" s="4">
        <f t="shared" si="53"/>
        <v>5.9999999999999935E-2</v>
      </c>
      <c r="T535" t="str">
        <f>_xlfn.XLOOKUP(C535,customers!$A$1:$A$1001,customers!$I$1:$I$1001,,0)</f>
        <v>No</v>
      </c>
    </row>
    <row r="536" spans="1:20"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INDEX(products!$A$1:$I$49,MATCH('Conditional Fomating'!$D536,products!$A$1:$A$49,0),MATCH('Conditional Fomating'!I$1,products!$A$1:$D$1,0))</f>
        <v>Rob</v>
      </c>
      <c r="J536" t="str">
        <f t="shared" si="48"/>
        <v>Robusta</v>
      </c>
      <c r="K536" t="str">
        <f>INDEX(products!$A$1:$I$49,MATCH('Conditional Fomating'!$D536,products!$A$1:$A$49,0),MATCH('Conditional Fomating'!K$1,products!$A$1:$D$1,0))</f>
        <v>M</v>
      </c>
      <c r="L536" t="str">
        <f t="shared" si="49"/>
        <v>Medium</v>
      </c>
      <c r="M536">
        <f>INDEX(products!$A$1:$I$49,MATCH('Conditional Fomating'!$D536,products!$A$1:$A$49,0),MATCH('Conditional Fomating'!M$1,products!$A$1:$D$1,0))</f>
        <v>2.5</v>
      </c>
      <c r="N536">
        <f>_xlfn.XLOOKUP(D536,products!$A$2:$A$49,products!$E$2:$E$49)</f>
        <v>22.884999999999998</v>
      </c>
      <c r="O536">
        <f>_xlfn.XLOOKUP(D536,products!$A$2:$A$49,products!$H$2:$H$49)</f>
        <v>21.511899999999997</v>
      </c>
      <c r="P536">
        <f t="shared" si="50"/>
        <v>45.769999999999996</v>
      </c>
      <c r="Q536">
        <f t="shared" si="51"/>
        <v>43.023799999999994</v>
      </c>
      <c r="R536">
        <f t="shared" si="52"/>
        <v>2.7462000000000018</v>
      </c>
      <c r="S536" s="4">
        <f t="shared" si="53"/>
        <v>6.0000000000000046E-2</v>
      </c>
      <c r="T536" t="str">
        <f>_xlfn.XLOOKUP(C536,customers!$A$1:$A$1001,customers!$I$1:$I$1001,,0)</f>
        <v>Yes</v>
      </c>
    </row>
    <row r="537" spans="1:20"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v>
      </c>
      <c r="H537" s="2" t="str">
        <f>_xlfn.XLOOKUP(C537,customers!$A$1:$A$1001,customers!$G$1:$G$1001,,0)</f>
        <v>Ireland</v>
      </c>
      <c r="I537" t="str">
        <f>INDEX(products!$A$1:$I$49,MATCH('Conditional Fomating'!$D537,products!$A$1:$A$49,0),MATCH('Conditional Fomating'!I$1,products!$A$1:$D$1,0))</f>
        <v>Lib</v>
      </c>
      <c r="J537" t="str">
        <f t="shared" si="48"/>
        <v>Liberica</v>
      </c>
      <c r="K537" t="str">
        <f>INDEX(products!$A$1:$I$49,MATCH('Conditional Fomating'!$D537,products!$A$1:$A$49,0),MATCH('Conditional Fomating'!K$1,products!$A$1:$D$1,0))</f>
        <v>L</v>
      </c>
      <c r="L537" t="str">
        <f t="shared" si="49"/>
        <v>Light</v>
      </c>
      <c r="M537">
        <f>INDEX(products!$A$1:$I$49,MATCH('Conditional Fomating'!$D537,products!$A$1:$A$49,0),MATCH('Conditional Fomating'!M$1,products!$A$1:$D$1,0))</f>
        <v>0.2</v>
      </c>
      <c r="N537">
        <f>_xlfn.XLOOKUP(D537,products!$A$2:$A$49,products!$E$2:$E$49)</f>
        <v>4.7549999999999999</v>
      </c>
      <c r="O537">
        <f>_xlfn.XLOOKUP(D537,products!$A$2:$A$49,products!$H$2:$H$49)</f>
        <v>4.1368499999999999</v>
      </c>
      <c r="P537">
        <f t="shared" si="50"/>
        <v>9.51</v>
      </c>
      <c r="Q537">
        <f t="shared" si="51"/>
        <v>8.2736999999999998</v>
      </c>
      <c r="R537">
        <f t="shared" si="52"/>
        <v>1.2363</v>
      </c>
      <c r="S537" s="4">
        <f t="shared" si="53"/>
        <v>0.13</v>
      </c>
      <c r="T537" t="str">
        <f>_xlfn.XLOOKUP(C537,customers!$A$1:$A$1001,customers!$I$1:$I$1001,,0)</f>
        <v>No</v>
      </c>
    </row>
    <row r="538" spans="1:20"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INDEX(products!$A$1:$I$49,MATCH('Conditional Fomating'!$D538,products!$A$1:$A$49,0),MATCH('Conditional Fomating'!I$1,products!$A$1:$D$1,0))</f>
        <v>Rob</v>
      </c>
      <c r="J538" t="str">
        <f t="shared" si="48"/>
        <v>Robusta</v>
      </c>
      <c r="K538" t="str">
        <f>INDEX(products!$A$1:$I$49,MATCH('Conditional Fomating'!$D538,products!$A$1:$A$49,0),MATCH('Conditional Fomating'!K$1,products!$A$1:$D$1,0))</f>
        <v>D</v>
      </c>
      <c r="L538" t="str">
        <f t="shared" si="49"/>
        <v>Dark</v>
      </c>
      <c r="M538">
        <f>INDEX(products!$A$1:$I$49,MATCH('Conditional Fomating'!$D538,products!$A$1:$A$49,0),MATCH('Conditional Fomating'!M$1,products!$A$1:$D$1,0))</f>
        <v>0.2</v>
      </c>
      <c r="N538">
        <f>_xlfn.XLOOKUP(D538,products!$A$2:$A$49,products!$E$2:$E$49)</f>
        <v>2.6849999999999996</v>
      </c>
      <c r="O538">
        <f>_xlfn.XLOOKUP(D538,products!$A$2:$A$49,products!$H$2:$H$49)</f>
        <v>2.5238999999999998</v>
      </c>
      <c r="P538">
        <f t="shared" si="50"/>
        <v>8.0549999999999997</v>
      </c>
      <c r="Q538">
        <f t="shared" si="51"/>
        <v>7.5716999999999999</v>
      </c>
      <c r="R538">
        <f t="shared" si="52"/>
        <v>0.48329999999999984</v>
      </c>
      <c r="S538" s="4">
        <f t="shared" si="53"/>
        <v>5.9999999999999984E-2</v>
      </c>
      <c r="T538" t="str">
        <f>_xlfn.XLOOKUP(C538,customers!$A$1:$A$1001,customers!$I$1:$I$1001,,0)</f>
        <v>Yes</v>
      </c>
    </row>
    <row r="539" spans="1:20"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INDEX(products!$A$1:$I$49,MATCH('Conditional Fomating'!$D539,products!$A$1:$A$49,0),MATCH('Conditional Fomating'!I$1,products!$A$1:$D$1,0))</f>
        <v>Exc</v>
      </c>
      <c r="J539" t="str">
        <f t="shared" si="48"/>
        <v>Excelsa</v>
      </c>
      <c r="K539" t="str">
        <f>INDEX(products!$A$1:$I$49,MATCH('Conditional Fomating'!$D539,products!$A$1:$A$49,0),MATCH('Conditional Fomating'!K$1,products!$A$1:$D$1,0))</f>
        <v>D</v>
      </c>
      <c r="L539" t="str">
        <f t="shared" si="49"/>
        <v>Dark</v>
      </c>
      <c r="M539">
        <f>INDEX(products!$A$1:$I$49,MATCH('Conditional Fomating'!$D539,products!$A$1:$A$49,0),MATCH('Conditional Fomating'!M$1,products!$A$1:$D$1,0))</f>
        <v>2.5</v>
      </c>
      <c r="N539">
        <f>_xlfn.XLOOKUP(D539,products!$A$2:$A$49,products!$E$2:$E$49)</f>
        <v>27.945</v>
      </c>
      <c r="O539">
        <f>_xlfn.XLOOKUP(D539,products!$A$2:$A$49,products!$H$2:$H$49)</f>
        <v>24.87105</v>
      </c>
      <c r="P539">
        <f t="shared" si="50"/>
        <v>111.78</v>
      </c>
      <c r="Q539">
        <f t="shared" si="51"/>
        <v>99.484200000000001</v>
      </c>
      <c r="R539">
        <f t="shared" si="52"/>
        <v>12.2958</v>
      </c>
      <c r="S539" s="4">
        <f t="shared" si="53"/>
        <v>0.11</v>
      </c>
      <c r="T539" t="str">
        <f>_xlfn.XLOOKUP(C539,customers!$A$1:$A$1001,customers!$I$1:$I$1001,,0)</f>
        <v>Yes</v>
      </c>
    </row>
    <row r="540" spans="1:20"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INDEX(products!$A$1:$I$49,MATCH('Conditional Fomating'!$D540,products!$A$1:$A$49,0),MATCH('Conditional Fomating'!I$1,products!$A$1:$D$1,0))</f>
        <v>Rob</v>
      </c>
      <c r="J540" t="str">
        <f t="shared" si="48"/>
        <v>Robusta</v>
      </c>
      <c r="K540" t="str">
        <f>INDEX(products!$A$1:$I$49,MATCH('Conditional Fomating'!$D540,products!$A$1:$A$49,0),MATCH('Conditional Fomating'!K$1,products!$A$1:$D$1,0))</f>
        <v>D</v>
      </c>
      <c r="L540" t="str">
        <f t="shared" si="49"/>
        <v>Dark</v>
      </c>
      <c r="M540">
        <f>INDEX(products!$A$1:$I$49,MATCH('Conditional Fomating'!$D540,products!$A$1:$A$49,0),MATCH('Conditional Fomating'!M$1,products!$A$1:$D$1,0))</f>
        <v>0.2</v>
      </c>
      <c r="N540">
        <f>_xlfn.XLOOKUP(D540,products!$A$2:$A$49,products!$E$2:$E$49)</f>
        <v>2.6849999999999996</v>
      </c>
      <c r="O540">
        <f>_xlfn.XLOOKUP(D540,products!$A$2:$A$49,products!$H$2:$H$49)</f>
        <v>2.5238999999999998</v>
      </c>
      <c r="P540">
        <f t="shared" si="50"/>
        <v>10.739999999999998</v>
      </c>
      <c r="Q540">
        <f t="shared" si="51"/>
        <v>10.095599999999999</v>
      </c>
      <c r="R540">
        <f t="shared" si="52"/>
        <v>0.6443999999999992</v>
      </c>
      <c r="S540" s="4">
        <f t="shared" si="53"/>
        <v>5.9999999999999935E-2</v>
      </c>
      <c r="T540" t="str">
        <f>_xlfn.XLOOKUP(C540,customers!$A$1:$A$1001,customers!$I$1:$I$1001,,0)</f>
        <v>Yes</v>
      </c>
    </row>
    <row r="541" spans="1:20"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INDEX(products!$A$1:$I$49,MATCH('Conditional Fomating'!$D541,products!$A$1:$A$49,0),MATCH('Conditional Fomating'!I$1,products!$A$1:$D$1,0))</f>
        <v>Rob</v>
      </c>
      <c r="J541" t="str">
        <f t="shared" si="48"/>
        <v>Robusta</v>
      </c>
      <c r="K541" t="str">
        <f>INDEX(products!$A$1:$I$49,MATCH('Conditional Fomating'!$D541,products!$A$1:$A$49,0),MATCH('Conditional Fomating'!K$1,products!$A$1:$D$1,0))</f>
        <v>D</v>
      </c>
      <c r="L541" t="str">
        <f t="shared" si="49"/>
        <v>Dark</v>
      </c>
      <c r="M541">
        <f>INDEX(products!$A$1:$I$49,MATCH('Conditional Fomating'!$D541,products!$A$1:$A$49,0),MATCH('Conditional Fomating'!M$1,products!$A$1:$D$1,0))</f>
        <v>0.5</v>
      </c>
      <c r="N541">
        <f>_xlfn.XLOOKUP(D541,products!$A$2:$A$49,products!$E$2:$E$49)</f>
        <v>5.3699999999999992</v>
      </c>
      <c r="O541">
        <f>_xlfn.XLOOKUP(D541,products!$A$2:$A$49,products!$H$2:$H$49)</f>
        <v>5.0477999999999996</v>
      </c>
      <c r="P541">
        <f t="shared" si="50"/>
        <v>26.849999999999994</v>
      </c>
      <c r="Q541">
        <f t="shared" si="51"/>
        <v>25.238999999999997</v>
      </c>
      <c r="R541">
        <f t="shared" si="52"/>
        <v>1.6109999999999971</v>
      </c>
      <c r="S541" s="4">
        <f t="shared" si="53"/>
        <v>5.9999999999999908E-2</v>
      </c>
      <c r="T541" t="str">
        <f>_xlfn.XLOOKUP(C541,customers!$A$1:$A$1001,customers!$I$1:$I$1001,,0)</f>
        <v>No</v>
      </c>
    </row>
    <row r="542" spans="1:20"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INDEX(products!$A$1:$I$49,MATCH('Conditional Fomating'!$D542,products!$A$1:$A$49,0),MATCH('Conditional Fomating'!I$1,products!$A$1:$D$1,0))</f>
        <v>Lib</v>
      </c>
      <c r="J542" t="str">
        <f t="shared" si="48"/>
        <v>Liberica</v>
      </c>
      <c r="K542" t="str">
        <f>INDEX(products!$A$1:$I$49,MATCH('Conditional Fomating'!$D542,products!$A$1:$A$49,0),MATCH('Conditional Fomating'!K$1,products!$A$1:$D$1,0))</f>
        <v>L</v>
      </c>
      <c r="L542" t="str">
        <f t="shared" si="49"/>
        <v>Light</v>
      </c>
      <c r="M542">
        <f>INDEX(products!$A$1:$I$49,MATCH('Conditional Fomating'!$D542,products!$A$1:$A$49,0),MATCH('Conditional Fomating'!M$1,products!$A$1:$D$1,0))</f>
        <v>1</v>
      </c>
      <c r="N542">
        <f>_xlfn.XLOOKUP(D542,products!$A$2:$A$49,products!$E$2:$E$49)</f>
        <v>15.85</v>
      </c>
      <c r="O542">
        <f>_xlfn.XLOOKUP(D542,products!$A$2:$A$49,products!$H$2:$H$49)</f>
        <v>13.7895</v>
      </c>
      <c r="P542">
        <f t="shared" si="50"/>
        <v>63.4</v>
      </c>
      <c r="Q542">
        <f t="shared" si="51"/>
        <v>55.158000000000001</v>
      </c>
      <c r="R542">
        <f t="shared" si="52"/>
        <v>8.2419999999999973</v>
      </c>
      <c r="S542" s="4">
        <f t="shared" si="53"/>
        <v>0.12999999999999995</v>
      </c>
      <c r="T542" t="str">
        <f>_xlfn.XLOOKUP(C542,customers!$A$1:$A$1001,customers!$I$1:$I$1001,,0)</f>
        <v>Yes</v>
      </c>
    </row>
    <row r="543" spans="1:20"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v>
      </c>
      <c r="H543" s="2" t="str">
        <f>_xlfn.XLOOKUP(C543,customers!$A$1:$A$1001,customers!$G$1:$G$1001,,0)</f>
        <v>Ireland</v>
      </c>
      <c r="I543" t="str">
        <f>INDEX(products!$A$1:$I$49,MATCH('Conditional Fomating'!$D543,products!$A$1:$A$49,0),MATCH('Conditional Fomating'!I$1,products!$A$1:$D$1,0))</f>
        <v>Ara</v>
      </c>
      <c r="J543" t="str">
        <f t="shared" si="48"/>
        <v>Arabica</v>
      </c>
      <c r="K543" t="str">
        <f>INDEX(products!$A$1:$I$49,MATCH('Conditional Fomating'!$D543,products!$A$1:$A$49,0),MATCH('Conditional Fomating'!K$1,products!$A$1:$D$1,0))</f>
        <v>D</v>
      </c>
      <c r="L543" t="str">
        <f t="shared" si="49"/>
        <v>Dark</v>
      </c>
      <c r="M543">
        <f>INDEX(products!$A$1:$I$49,MATCH('Conditional Fomating'!$D543,products!$A$1:$A$49,0),MATCH('Conditional Fomating'!M$1,products!$A$1:$D$1,0))</f>
        <v>2.5</v>
      </c>
      <c r="N543">
        <f>_xlfn.XLOOKUP(D543,products!$A$2:$A$49,products!$E$2:$E$49)</f>
        <v>22.884999999999998</v>
      </c>
      <c r="O543">
        <f>_xlfn.XLOOKUP(D543,products!$A$2:$A$49,products!$H$2:$H$49)</f>
        <v>20.82535</v>
      </c>
      <c r="P543">
        <f t="shared" si="50"/>
        <v>22.884999999999998</v>
      </c>
      <c r="Q543">
        <f t="shared" si="51"/>
        <v>20.82535</v>
      </c>
      <c r="R543">
        <f t="shared" si="52"/>
        <v>2.0596499999999978</v>
      </c>
      <c r="S543" s="4">
        <f t="shared" si="53"/>
        <v>8.9999999999999913E-2</v>
      </c>
      <c r="T543" t="str">
        <f>_xlfn.XLOOKUP(C543,customers!$A$1:$A$1001,customers!$I$1:$I$1001,,0)</f>
        <v>Yes</v>
      </c>
    </row>
    <row r="544" spans="1:20"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INDEX(products!$A$1:$I$49,MATCH('Conditional Fomating'!$D544,products!$A$1:$A$49,0),MATCH('Conditional Fomating'!I$1,products!$A$1:$D$1,0))</f>
        <v>Ara</v>
      </c>
      <c r="J544" t="str">
        <f t="shared" si="48"/>
        <v>Arabica</v>
      </c>
      <c r="K544" t="str">
        <f>INDEX(products!$A$1:$I$49,MATCH('Conditional Fomating'!$D544,products!$A$1:$A$49,0),MATCH('Conditional Fomating'!K$1,products!$A$1:$D$1,0))</f>
        <v>M</v>
      </c>
      <c r="L544" t="str">
        <f t="shared" si="49"/>
        <v>Medium</v>
      </c>
      <c r="M544">
        <f>INDEX(products!$A$1:$I$49,MATCH('Conditional Fomating'!$D544,products!$A$1:$A$49,0),MATCH('Conditional Fomating'!M$1,products!$A$1:$D$1,0))</f>
        <v>2.5</v>
      </c>
      <c r="N544">
        <f>_xlfn.XLOOKUP(D544,products!$A$2:$A$49,products!$E$2:$E$49)</f>
        <v>25.874999999999996</v>
      </c>
      <c r="O544">
        <f>_xlfn.XLOOKUP(D544,products!$A$2:$A$49,products!$H$2:$H$49)</f>
        <v>23.546249999999997</v>
      </c>
      <c r="P544">
        <f t="shared" si="50"/>
        <v>103.49999999999999</v>
      </c>
      <c r="Q544">
        <f t="shared" si="51"/>
        <v>94.184999999999988</v>
      </c>
      <c r="R544">
        <f t="shared" si="52"/>
        <v>9.3149999999999977</v>
      </c>
      <c r="S544" s="4">
        <f t="shared" si="53"/>
        <v>0.09</v>
      </c>
      <c r="T544" t="str">
        <f>_xlfn.XLOOKUP(C544,customers!$A$1:$A$1001,customers!$I$1:$I$1001,,0)</f>
        <v>No</v>
      </c>
    </row>
    <row r="545" spans="1:20"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INDEX(products!$A$1:$I$49,MATCH('Conditional Fomating'!$D545,products!$A$1:$A$49,0),MATCH('Conditional Fomating'!I$1,products!$A$1:$D$1,0))</f>
        <v>Rob</v>
      </c>
      <c r="J545" t="str">
        <f t="shared" si="48"/>
        <v>Robusta</v>
      </c>
      <c r="K545" t="str">
        <f>INDEX(products!$A$1:$I$49,MATCH('Conditional Fomating'!$D545,products!$A$1:$A$49,0),MATCH('Conditional Fomating'!K$1,products!$A$1:$D$1,0))</f>
        <v>L</v>
      </c>
      <c r="L545" t="str">
        <f t="shared" si="49"/>
        <v>Light</v>
      </c>
      <c r="M545">
        <f>INDEX(products!$A$1:$I$49,MATCH('Conditional Fomating'!$D545,products!$A$1:$A$49,0),MATCH('Conditional Fomating'!M$1,products!$A$1:$D$1,0))</f>
        <v>2.5</v>
      </c>
      <c r="N545">
        <f>_xlfn.XLOOKUP(D545,products!$A$2:$A$49,products!$E$2:$E$49)</f>
        <v>27.484999999999996</v>
      </c>
      <c r="O545">
        <f>_xlfn.XLOOKUP(D545,products!$A$2:$A$49,products!$H$2:$H$49)</f>
        <v>25.835899999999995</v>
      </c>
      <c r="P545">
        <f t="shared" si="50"/>
        <v>54.969999999999992</v>
      </c>
      <c r="Q545">
        <f t="shared" si="51"/>
        <v>51.67179999999999</v>
      </c>
      <c r="R545">
        <f t="shared" si="52"/>
        <v>3.2982000000000014</v>
      </c>
      <c r="S545" s="4">
        <f t="shared" si="53"/>
        <v>6.0000000000000032E-2</v>
      </c>
      <c r="T545" t="str">
        <f>_xlfn.XLOOKUP(C545,customers!$A$1:$A$1001,customers!$I$1:$I$1001,,0)</f>
        <v>No</v>
      </c>
    </row>
    <row r="546" spans="1:20"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INDEX(products!$A$1:$I$49,MATCH('Conditional Fomating'!$D546,products!$A$1:$A$49,0),MATCH('Conditional Fomating'!I$1,products!$A$1:$D$1,0))</f>
        <v>Ara</v>
      </c>
      <c r="J546" t="str">
        <f t="shared" si="48"/>
        <v>Arabica</v>
      </c>
      <c r="K546" t="str">
        <f>INDEX(products!$A$1:$I$49,MATCH('Conditional Fomating'!$D546,products!$A$1:$A$49,0),MATCH('Conditional Fomating'!K$1,products!$A$1:$D$1,0))</f>
        <v>L</v>
      </c>
      <c r="L546" t="str">
        <f t="shared" si="49"/>
        <v>Light</v>
      </c>
      <c r="M546">
        <f>INDEX(products!$A$1:$I$49,MATCH('Conditional Fomating'!$D546,products!$A$1:$A$49,0),MATCH('Conditional Fomating'!M$1,products!$A$1:$D$1,0))</f>
        <v>0.5</v>
      </c>
      <c r="N546">
        <f>_xlfn.XLOOKUP(D546,products!$A$2:$A$49,products!$E$2:$E$49)</f>
        <v>7.77</v>
      </c>
      <c r="O546">
        <f>_xlfn.XLOOKUP(D546,products!$A$2:$A$49,products!$H$2:$H$49)</f>
        <v>7.0706999999999995</v>
      </c>
      <c r="P546">
        <f t="shared" si="50"/>
        <v>15.54</v>
      </c>
      <c r="Q546">
        <f t="shared" si="51"/>
        <v>14.141399999999999</v>
      </c>
      <c r="R546">
        <f t="shared" si="52"/>
        <v>1.3986000000000001</v>
      </c>
      <c r="S546" s="4">
        <f t="shared" si="53"/>
        <v>9.0000000000000011E-2</v>
      </c>
      <c r="T546" t="str">
        <f>_xlfn.XLOOKUP(C546,customers!$A$1:$A$1001,customers!$I$1:$I$1001,,0)</f>
        <v>No</v>
      </c>
    </row>
    <row r="547" spans="1:20"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INDEX(products!$A$1:$I$49,MATCH('Conditional Fomating'!$D547,products!$A$1:$A$49,0),MATCH('Conditional Fomating'!I$1,products!$A$1:$D$1,0))</f>
        <v>Lib</v>
      </c>
      <c r="J547" t="str">
        <f t="shared" si="48"/>
        <v>Liberica</v>
      </c>
      <c r="K547" t="str">
        <f>INDEX(products!$A$1:$I$49,MATCH('Conditional Fomating'!$D547,products!$A$1:$A$49,0),MATCH('Conditional Fomating'!K$1,products!$A$1:$D$1,0))</f>
        <v>D</v>
      </c>
      <c r="L547" t="str">
        <f t="shared" si="49"/>
        <v>Dark</v>
      </c>
      <c r="M547">
        <f>INDEX(products!$A$1:$I$49,MATCH('Conditional Fomating'!$D547,products!$A$1:$A$49,0),MATCH('Conditional Fomating'!M$1,products!$A$1:$D$1,0))</f>
        <v>0.2</v>
      </c>
      <c r="N547">
        <f>_xlfn.XLOOKUP(D547,products!$A$2:$A$49,products!$E$2:$E$49)</f>
        <v>3.8849999999999998</v>
      </c>
      <c r="O547">
        <f>_xlfn.XLOOKUP(D547,products!$A$2:$A$49,products!$H$2:$H$49)</f>
        <v>3.37995</v>
      </c>
      <c r="P547">
        <f t="shared" si="50"/>
        <v>15.54</v>
      </c>
      <c r="Q547">
        <f t="shared" si="51"/>
        <v>13.5198</v>
      </c>
      <c r="R547">
        <f t="shared" si="52"/>
        <v>2.0201999999999991</v>
      </c>
      <c r="S547" s="4">
        <f t="shared" si="53"/>
        <v>0.12999999999999995</v>
      </c>
      <c r="T547" t="str">
        <f>_xlfn.XLOOKUP(C547,customers!$A$1:$A$1001,customers!$I$1:$I$1001,,0)</f>
        <v>No</v>
      </c>
    </row>
    <row r="548" spans="1:20"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v>
      </c>
      <c r="H548" s="2" t="str">
        <f>_xlfn.XLOOKUP(C548,customers!$A$1:$A$1001,customers!$G$1:$G$1001,,0)</f>
        <v>Ireland</v>
      </c>
      <c r="I548" t="str">
        <f>INDEX(products!$A$1:$I$49,MATCH('Conditional Fomating'!$D548,products!$A$1:$A$49,0),MATCH('Conditional Fomating'!I$1,products!$A$1:$D$1,0))</f>
        <v>Exc</v>
      </c>
      <c r="J548" t="str">
        <f t="shared" si="48"/>
        <v>Excelsa</v>
      </c>
      <c r="K548" t="str">
        <f>INDEX(products!$A$1:$I$49,MATCH('Conditional Fomating'!$D548,products!$A$1:$A$49,0),MATCH('Conditional Fomating'!K$1,products!$A$1:$D$1,0))</f>
        <v>D</v>
      </c>
      <c r="L548" t="str">
        <f t="shared" si="49"/>
        <v>Dark</v>
      </c>
      <c r="M548">
        <f>INDEX(products!$A$1:$I$49,MATCH('Conditional Fomating'!$D548,products!$A$1:$A$49,0),MATCH('Conditional Fomating'!M$1,products!$A$1:$D$1,0))</f>
        <v>2.5</v>
      </c>
      <c r="N548">
        <f>_xlfn.XLOOKUP(D548,products!$A$2:$A$49,products!$E$2:$E$49)</f>
        <v>27.945</v>
      </c>
      <c r="O548">
        <f>_xlfn.XLOOKUP(D548,products!$A$2:$A$49,products!$H$2:$H$49)</f>
        <v>24.87105</v>
      </c>
      <c r="P548">
        <f t="shared" si="50"/>
        <v>83.835000000000008</v>
      </c>
      <c r="Q548">
        <f t="shared" si="51"/>
        <v>74.613150000000005</v>
      </c>
      <c r="R548">
        <f t="shared" si="52"/>
        <v>9.2218500000000034</v>
      </c>
      <c r="S548" s="4">
        <f t="shared" si="53"/>
        <v>0.11000000000000003</v>
      </c>
      <c r="T548" t="str">
        <f>_xlfn.XLOOKUP(C548,customers!$A$1:$A$1001,customers!$I$1:$I$1001,,0)</f>
        <v>No</v>
      </c>
    </row>
    <row r="549" spans="1:20"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INDEX(products!$A$1:$I$49,MATCH('Conditional Fomating'!$D549,products!$A$1:$A$49,0),MATCH('Conditional Fomating'!I$1,products!$A$1:$D$1,0))</f>
        <v>Rob</v>
      </c>
      <c r="J549" t="str">
        <f t="shared" si="48"/>
        <v>Robusta</v>
      </c>
      <c r="K549" t="str">
        <f>INDEX(products!$A$1:$I$49,MATCH('Conditional Fomating'!$D549,products!$A$1:$A$49,0),MATCH('Conditional Fomating'!K$1,products!$A$1:$D$1,0))</f>
        <v>L</v>
      </c>
      <c r="L549" t="str">
        <f t="shared" si="49"/>
        <v>Light</v>
      </c>
      <c r="M549">
        <f>INDEX(products!$A$1:$I$49,MATCH('Conditional Fomating'!$D549,products!$A$1:$A$49,0),MATCH('Conditional Fomating'!M$1,products!$A$1:$D$1,0))</f>
        <v>0.2</v>
      </c>
      <c r="N549">
        <f>_xlfn.XLOOKUP(D549,products!$A$2:$A$49,products!$E$2:$E$49)</f>
        <v>3.5849999999999995</v>
      </c>
      <c r="O549">
        <f>_xlfn.XLOOKUP(D549,products!$A$2:$A$49,products!$H$2:$H$49)</f>
        <v>3.3698999999999995</v>
      </c>
      <c r="P549">
        <f t="shared" si="50"/>
        <v>10.754999999999999</v>
      </c>
      <c r="Q549">
        <f t="shared" si="51"/>
        <v>10.109699999999998</v>
      </c>
      <c r="R549">
        <f t="shared" si="52"/>
        <v>0.64530000000000065</v>
      </c>
      <c r="S549" s="4">
        <f t="shared" si="53"/>
        <v>6.0000000000000067E-2</v>
      </c>
      <c r="T549" t="str">
        <f>_xlfn.XLOOKUP(C549,customers!$A$1:$A$1001,customers!$I$1:$I$1001,,0)</f>
        <v>Yes</v>
      </c>
    </row>
    <row r="550" spans="1:20"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INDEX(products!$A$1:$I$49,MATCH('Conditional Fomating'!$D550,products!$A$1:$A$49,0),MATCH('Conditional Fomating'!I$1,products!$A$1:$D$1,0))</f>
        <v>Exc</v>
      </c>
      <c r="J550" t="str">
        <f t="shared" si="48"/>
        <v>Excelsa</v>
      </c>
      <c r="K550" t="str">
        <f>INDEX(products!$A$1:$I$49,MATCH('Conditional Fomating'!$D550,products!$A$1:$A$49,0),MATCH('Conditional Fomating'!K$1,products!$A$1:$D$1,0))</f>
        <v>L</v>
      </c>
      <c r="L550" t="str">
        <f t="shared" si="49"/>
        <v>Light</v>
      </c>
      <c r="M550">
        <f>INDEX(products!$A$1:$I$49,MATCH('Conditional Fomating'!$D550,products!$A$1:$A$49,0),MATCH('Conditional Fomating'!M$1,products!$A$1:$D$1,0))</f>
        <v>0.2</v>
      </c>
      <c r="N550">
        <f>_xlfn.XLOOKUP(D550,products!$A$2:$A$49,products!$E$2:$E$49)</f>
        <v>4.4550000000000001</v>
      </c>
      <c r="O550">
        <f>_xlfn.XLOOKUP(D550,products!$A$2:$A$49,products!$H$2:$H$49)</f>
        <v>3.96495</v>
      </c>
      <c r="P550">
        <f t="shared" si="50"/>
        <v>13.365</v>
      </c>
      <c r="Q550">
        <f t="shared" si="51"/>
        <v>11.89485</v>
      </c>
      <c r="R550">
        <f t="shared" si="52"/>
        <v>1.4701500000000003</v>
      </c>
      <c r="S550" s="4">
        <f t="shared" si="53"/>
        <v>0.11000000000000001</v>
      </c>
      <c r="T550" t="str">
        <f>_xlfn.XLOOKUP(C550,customers!$A$1:$A$1001,customers!$I$1:$I$1001,,0)</f>
        <v>Yes</v>
      </c>
    </row>
    <row r="551" spans="1:20"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INDEX(products!$A$1:$I$49,MATCH('Conditional Fomating'!$D551,products!$A$1:$A$49,0),MATCH('Conditional Fomating'!I$1,products!$A$1:$D$1,0))</f>
        <v>Exc</v>
      </c>
      <c r="J551" t="str">
        <f t="shared" si="48"/>
        <v>Excelsa</v>
      </c>
      <c r="K551" t="str">
        <f>INDEX(products!$A$1:$I$49,MATCH('Conditional Fomating'!$D551,products!$A$1:$A$49,0),MATCH('Conditional Fomating'!K$1,products!$A$1:$D$1,0))</f>
        <v>L</v>
      </c>
      <c r="L551" t="str">
        <f t="shared" si="49"/>
        <v>Light</v>
      </c>
      <c r="M551">
        <f>INDEX(products!$A$1:$I$49,MATCH('Conditional Fomating'!$D551,products!$A$1:$A$49,0),MATCH('Conditional Fomating'!M$1,products!$A$1:$D$1,0))</f>
        <v>0.2</v>
      </c>
      <c r="N551">
        <f>_xlfn.XLOOKUP(D551,products!$A$2:$A$49,products!$E$2:$E$49)</f>
        <v>4.4550000000000001</v>
      </c>
      <c r="O551">
        <f>_xlfn.XLOOKUP(D551,products!$A$2:$A$49,products!$H$2:$H$49)</f>
        <v>3.96495</v>
      </c>
      <c r="P551">
        <f t="shared" si="50"/>
        <v>17.82</v>
      </c>
      <c r="Q551">
        <f t="shared" si="51"/>
        <v>15.8598</v>
      </c>
      <c r="R551">
        <f t="shared" si="52"/>
        <v>1.9602000000000004</v>
      </c>
      <c r="S551" s="4">
        <f t="shared" si="53"/>
        <v>0.11000000000000001</v>
      </c>
      <c r="T551" t="str">
        <f>_xlfn.XLOOKUP(C551,customers!$A$1:$A$1001,customers!$I$1:$I$1001,,0)</f>
        <v>Yes</v>
      </c>
    </row>
    <row r="552" spans="1:20"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INDEX(products!$A$1:$I$49,MATCH('Conditional Fomating'!$D552,products!$A$1:$A$49,0),MATCH('Conditional Fomating'!I$1,products!$A$1:$D$1,0))</f>
        <v>Lib</v>
      </c>
      <c r="J552" t="str">
        <f t="shared" si="48"/>
        <v>Liberica</v>
      </c>
      <c r="K552" t="str">
        <f>INDEX(products!$A$1:$I$49,MATCH('Conditional Fomating'!$D552,products!$A$1:$A$49,0),MATCH('Conditional Fomating'!K$1,products!$A$1:$D$1,0))</f>
        <v>D</v>
      </c>
      <c r="L552" t="str">
        <f t="shared" si="49"/>
        <v>Dark</v>
      </c>
      <c r="M552">
        <f>INDEX(products!$A$1:$I$49,MATCH('Conditional Fomating'!$D552,products!$A$1:$A$49,0),MATCH('Conditional Fomating'!M$1,products!$A$1:$D$1,0))</f>
        <v>0.2</v>
      </c>
      <c r="N552">
        <f>_xlfn.XLOOKUP(D552,products!$A$2:$A$49,products!$E$2:$E$49)</f>
        <v>3.8849999999999998</v>
      </c>
      <c r="O552">
        <f>_xlfn.XLOOKUP(D552,products!$A$2:$A$49,products!$H$2:$H$49)</f>
        <v>3.37995</v>
      </c>
      <c r="P552">
        <f t="shared" si="50"/>
        <v>23.31</v>
      </c>
      <c r="Q552">
        <f t="shared" si="51"/>
        <v>20.279699999999998</v>
      </c>
      <c r="R552">
        <f t="shared" si="52"/>
        <v>3.0303000000000004</v>
      </c>
      <c r="S552" s="4">
        <f t="shared" si="53"/>
        <v>0.13000000000000003</v>
      </c>
      <c r="T552" t="str">
        <f>_xlfn.XLOOKUP(C552,customers!$A$1:$A$1001,customers!$I$1:$I$1001,,0)</f>
        <v>Yes</v>
      </c>
    </row>
    <row r="553" spans="1:20"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INDEX(products!$A$1:$I$49,MATCH('Conditional Fomating'!$D553,products!$A$1:$A$49,0),MATCH('Conditional Fomating'!I$1,products!$A$1:$D$1,0))</f>
        <v>Exc</v>
      </c>
      <c r="J553" t="str">
        <f t="shared" si="48"/>
        <v>Excelsa</v>
      </c>
      <c r="K553" t="str">
        <f>INDEX(products!$A$1:$I$49,MATCH('Conditional Fomating'!$D553,products!$A$1:$A$49,0),MATCH('Conditional Fomating'!K$1,products!$A$1:$D$1,0))</f>
        <v>D</v>
      </c>
      <c r="L553" t="str">
        <f t="shared" si="49"/>
        <v>Dark</v>
      </c>
      <c r="M553">
        <f>INDEX(products!$A$1:$I$49,MATCH('Conditional Fomating'!$D553,products!$A$1:$A$49,0),MATCH('Conditional Fomating'!M$1,products!$A$1:$D$1,0))</f>
        <v>0.2</v>
      </c>
      <c r="N553">
        <f>_xlfn.XLOOKUP(D553,products!$A$2:$A$49,products!$E$2:$E$49)</f>
        <v>3.645</v>
      </c>
      <c r="O553">
        <f>_xlfn.XLOOKUP(D553,products!$A$2:$A$49,products!$H$2:$H$49)</f>
        <v>3.2440500000000001</v>
      </c>
      <c r="P553">
        <f t="shared" si="50"/>
        <v>7.29</v>
      </c>
      <c r="Q553">
        <f t="shared" si="51"/>
        <v>6.4881000000000002</v>
      </c>
      <c r="R553">
        <f t="shared" si="52"/>
        <v>0.80189999999999984</v>
      </c>
      <c r="S553" s="4">
        <f t="shared" si="53"/>
        <v>0.10999999999999997</v>
      </c>
      <c r="T553" t="str">
        <f>_xlfn.XLOOKUP(C553,customers!$A$1:$A$1001,customers!$I$1:$I$1001,,0)</f>
        <v>No</v>
      </c>
    </row>
    <row r="554" spans="1:20"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INDEX(products!$A$1:$I$49,MATCH('Conditional Fomating'!$D554,products!$A$1:$A$49,0),MATCH('Conditional Fomating'!I$1,products!$A$1:$D$1,0))</f>
        <v>Exc</v>
      </c>
      <c r="J554" t="str">
        <f t="shared" si="48"/>
        <v>Excelsa</v>
      </c>
      <c r="K554" t="str">
        <f>INDEX(products!$A$1:$I$49,MATCH('Conditional Fomating'!$D554,products!$A$1:$A$49,0),MATCH('Conditional Fomating'!K$1,products!$A$1:$D$1,0))</f>
        <v>L</v>
      </c>
      <c r="L554" t="str">
        <f t="shared" si="49"/>
        <v>Light</v>
      </c>
      <c r="M554">
        <f>INDEX(products!$A$1:$I$49,MATCH('Conditional Fomating'!$D554,products!$A$1:$A$49,0),MATCH('Conditional Fomating'!M$1,products!$A$1:$D$1,0))</f>
        <v>0.2</v>
      </c>
      <c r="N554">
        <f>_xlfn.XLOOKUP(D554,products!$A$2:$A$49,products!$E$2:$E$49)</f>
        <v>4.4550000000000001</v>
      </c>
      <c r="O554">
        <f>_xlfn.XLOOKUP(D554,products!$A$2:$A$49,products!$H$2:$H$49)</f>
        <v>3.96495</v>
      </c>
      <c r="P554">
        <f t="shared" si="50"/>
        <v>17.82</v>
      </c>
      <c r="Q554">
        <f t="shared" si="51"/>
        <v>15.8598</v>
      </c>
      <c r="R554">
        <f t="shared" si="52"/>
        <v>1.9602000000000004</v>
      </c>
      <c r="S554" s="4">
        <f t="shared" si="53"/>
        <v>0.11000000000000001</v>
      </c>
      <c r="T554" t="str">
        <f>_xlfn.XLOOKUP(C554,customers!$A$1:$A$1001,customers!$I$1:$I$1001,,0)</f>
        <v>Yes</v>
      </c>
    </row>
    <row r="555" spans="1:20"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INDEX(products!$A$1:$I$49,MATCH('Conditional Fomating'!$D555,products!$A$1:$A$49,0),MATCH('Conditional Fomating'!I$1,products!$A$1:$D$1,0))</f>
        <v>Exc</v>
      </c>
      <c r="J555" t="str">
        <f t="shared" si="48"/>
        <v>Excelsa</v>
      </c>
      <c r="K555" t="str">
        <f>INDEX(products!$A$1:$I$49,MATCH('Conditional Fomating'!$D555,products!$A$1:$A$49,0),MATCH('Conditional Fomating'!K$1,products!$A$1:$D$1,0))</f>
        <v>M</v>
      </c>
      <c r="L555" t="str">
        <f t="shared" si="49"/>
        <v>Medium</v>
      </c>
      <c r="M555">
        <f>INDEX(products!$A$1:$I$49,MATCH('Conditional Fomating'!$D555,products!$A$1:$A$49,0),MATCH('Conditional Fomating'!M$1,products!$A$1:$D$1,0))</f>
        <v>1</v>
      </c>
      <c r="N555">
        <f>_xlfn.XLOOKUP(D555,products!$A$2:$A$49,products!$E$2:$E$49)</f>
        <v>13.75</v>
      </c>
      <c r="O555">
        <f>_xlfn.XLOOKUP(D555,products!$A$2:$A$49,products!$H$2:$H$49)</f>
        <v>12.237500000000001</v>
      </c>
      <c r="P555">
        <f t="shared" si="50"/>
        <v>68.75</v>
      </c>
      <c r="Q555">
        <f t="shared" si="51"/>
        <v>61.1875</v>
      </c>
      <c r="R555">
        <f t="shared" si="52"/>
        <v>7.5625</v>
      </c>
      <c r="S555" s="4">
        <f t="shared" si="53"/>
        <v>0.11</v>
      </c>
      <c r="T555" t="str">
        <f>_xlfn.XLOOKUP(C555,customers!$A$1:$A$1001,customers!$I$1:$I$1001,,0)</f>
        <v>No</v>
      </c>
    </row>
    <row r="556" spans="1:20"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v>
      </c>
      <c r="H556" s="2" t="str">
        <f>_xlfn.XLOOKUP(C556,customers!$A$1:$A$1001,customers!$G$1:$G$1001,,0)</f>
        <v>United Kingdom</v>
      </c>
      <c r="I556" t="str">
        <f>INDEX(products!$A$1:$I$49,MATCH('Conditional Fomating'!$D556,products!$A$1:$A$49,0),MATCH('Conditional Fomating'!I$1,products!$A$1:$D$1,0))</f>
        <v>Rob</v>
      </c>
      <c r="J556" t="str">
        <f t="shared" si="48"/>
        <v>Robusta</v>
      </c>
      <c r="K556" t="str">
        <f>INDEX(products!$A$1:$I$49,MATCH('Conditional Fomating'!$D556,products!$A$1:$A$49,0),MATCH('Conditional Fomating'!K$1,products!$A$1:$D$1,0))</f>
        <v>L</v>
      </c>
      <c r="L556" t="str">
        <f t="shared" si="49"/>
        <v>Light</v>
      </c>
      <c r="M556">
        <f>INDEX(products!$A$1:$I$49,MATCH('Conditional Fomating'!$D556,products!$A$1:$A$49,0),MATCH('Conditional Fomating'!M$1,products!$A$1:$D$1,0))</f>
        <v>2.5</v>
      </c>
      <c r="N556">
        <f>_xlfn.XLOOKUP(D556,products!$A$2:$A$49,products!$E$2:$E$49)</f>
        <v>27.484999999999996</v>
      </c>
      <c r="O556">
        <f>_xlfn.XLOOKUP(D556,products!$A$2:$A$49,products!$H$2:$H$49)</f>
        <v>25.835899999999995</v>
      </c>
      <c r="P556">
        <f t="shared" si="50"/>
        <v>54.969999999999992</v>
      </c>
      <c r="Q556">
        <f t="shared" si="51"/>
        <v>51.67179999999999</v>
      </c>
      <c r="R556">
        <f t="shared" si="52"/>
        <v>3.2982000000000014</v>
      </c>
      <c r="S556" s="4">
        <f t="shared" si="53"/>
        <v>6.0000000000000032E-2</v>
      </c>
      <c r="T556" t="str">
        <f>_xlfn.XLOOKUP(C556,customers!$A$1:$A$1001,customers!$I$1:$I$1001,,0)</f>
        <v>Yes</v>
      </c>
    </row>
    <row r="557" spans="1:20"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INDEX(products!$A$1:$I$49,MATCH('Conditional Fomating'!$D557,products!$A$1:$A$49,0),MATCH('Conditional Fomating'!I$1,products!$A$1:$D$1,0))</f>
        <v>Exc</v>
      </c>
      <c r="J557" t="str">
        <f t="shared" si="48"/>
        <v>Excelsa</v>
      </c>
      <c r="K557" t="str">
        <f>INDEX(products!$A$1:$I$49,MATCH('Conditional Fomating'!$D557,products!$A$1:$A$49,0),MATCH('Conditional Fomating'!K$1,products!$A$1:$D$1,0))</f>
        <v>M</v>
      </c>
      <c r="L557" t="str">
        <f t="shared" si="49"/>
        <v>Medium</v>
      </c>
      <c r="M557">
        <f>INDEX(products!$A$1:$I$49,MATCH('Conditional Fomating'!$D557,products!$A$1:$A$49,0),MATCH('Conditional Fomating'!M$1,products!$A$1:$D$1,0))</f>
        <v>1</v>
      </c>
      <c r="N557">
        <f>_xlfn.XLOOKUP(D557,products!$A$2:$A$49,products!$E$2:$E$49)</f>
        <v>13.75</v>
      </c>
      <c r="O557">
        <f>_xlfn.XLOOKUP(D557,products!$A$2:$A$49,products!$H$2:$H$49)</f>
        <v>12.237500000000001</v>
      </c>
      <c r="P557">
        <f t="shared" si="50"/>
        <v>82.5</v>
      </c>
      <c r="Q557">
        <f t="shared" si="51"/>
        <v>73.425000000000011</v>
      </c>
      <c r="R557">
        <f t="shared" si="52"/>
        <v>9.0749999999999886</v>
      </c>
      <c r="S557" s="4">
        <f t="shared" si="53"/>
        <v>0.10999999999999986</v>
      </c>
      <c r="T557" t="str">
        <f>_xlfn.XLOOKUP(C557,customers!$A$1:$A$1001,customers!$I$1:$I$1001,,0)</f>
        <v>No</v>
      </c>
    </row>
    <row r="558" spans="1:20"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INDEX(products!$A$1:$I$49,MATCH('Conditional Fomating'!$D558,products!$A$1:$A$49,0),MATCH('Conditional Fomating'!I$1,products!$A$1:$D$1,0))</f>
        <v>Lib</v>
      </c>
      <c r="J558" t="str">
        <f t="shared" si="48"/>
        <v>Liberica</v>
      </c>
      <c r="K558" t="str">
        <f>INDEX(products!$A$1:$I$49,MATCH('Conditional Fomating'!$D558,products!$A$1:$A$49,0),MATCH('Conditional Fomating'!K$1,products!$A$1:$D$1,0))</f>
        <v>M</v>
      </c>
      <c r="L558" t="str">
        <f t="shared" si="49"/>
        <v>Medium</v>
      </c>
      <c r="M558">
        <f>INDEX(products!$A$1:$I$49,MATCH('Conditional Fomating'!$D558,products!$A$1:$A$49,0),MATCH('Conditional Fomating'!M$1,products!$A$1:$D$1,0))</f>
        <v>0.2</v>
      </c>
      <c r="N558">
        <f>_xlfn.XLOOKUP(D558,products!$A$2:$A$49,products!$E$2:$E$49)</f>
        <v>4.3650000000000002</v>
      </c>
      <c r="O558">
        <f>_xlfn.XLOOKUP(D558,products!$A$2:$A$49,products!$H$2:$H$49)</f>
        <v>3.7975500000000002</v>
      </c>
      <c r="P558">
        <f t="shared" si="50"/>
        <v>8.73</v>
      </c>
      <c r="Q558">
        <f t="shared" si="51"/>
        <v>7.5951000000000004</v>
      </c>
      <c r="R558">
        <f t="shared" si="52"/>
        <v>1.1349</v>
      </c>
      <c r="S558" s="4">
        <f t="shared" si="53"/>
        <v>0.13</v>
      </c>
      <c r="T558" t="str">
        <f>_xlfn.XLOOKUP(C558,customers!$A$1:$A$1001,customers!$I$1:$I$1001,,0)</f>
        <v>Yes</v>
      </c>
    </row>
    <row r="559" spans="1:20"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INDEX(products!$A$1:$I$49,MATCH('Conditional Fomating'!$D559,products!$A$1:$A$49,0),MATCH('Conditional Fomating'!I$1,products!$A$1:$D$1,0))</f>
        <v>Exc</v>
      </c>
      <c r="J559" t="str">
        <f t="shared" si="48"/>
        <v>Excelsa</v>
      </c>
      <c r="K559" t="str">
        <f>INDEX(products!$A$1:$I$49,MATCH('Conditional Fomating'!$D559,products!$A$1:$A$49,0),MATCH('Conditional Fomating'!K$1,products!$A$1:$D$1,0))</f>
        <v>L</v>
      </c>
      <c r="L559" t="str">
        <f t="shared" si="49"/>
        <v>Light</v>
      </c>
      <c r="M559">
        <f>INDEX(products!$A$1:$I$49,MATCH('Conditional Fomating'!$D559,products!$A$1:$A$49,0),MATCH('Conditional Fomating'!M$1,products!$A$1:$D$1,0))</f>
        <v>1</v>
      </c>
      <c r="N559">
        <f>_xlfn.XLOOKUP(D559,products!$A$2:$A$49,products!$E$2:$E$49)</f>
        <v>14.85</v>
      </c>
      <c r="O559">
        <f>_xlfn.XLOOKUP(D559,products!$A$2:$A$49,products!$H$2:$H$49)</f>
        <v>13.2165</v>
      </c>
      <c r="P559">
        <f t="shared" si="50"/>
        <v>59.4</v>
      </c>
      <c r="Q559">
        <f t="shared" si="51"/>
        <v>52.866</v>
      </c>
      <c r="R559">
        <f t="shared" si="52"/>
        <v>6.5339999999999989</v>
      </c>
      <c r="S559" s="4">
        <f t="shared" si="53"/>
        <v>0.10999999999999999</v>
      </c>
      <c r="T559" t="str">
        <f>_xlfn.XLOOKUP(C559,customers!$A$1:$A$1001,customers!$I$1:$I$1001,,0)</f>
        <v>Yes</v>
      </c>
    </row>
    <row r="560" spans="1:20"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v>
      </c>
      <c r="H560" s="2" t="str">
        <f>_xlfn.XLOOKUP(C560,customers!$A$1:$A$1001,customers!$G$1:$G$1001,,0)</f>
        <v>United States</v>
      </c>
      <c r="I560" t="str">
        <f>INDEX(products!$A$1:$I$49,MATCH('Conditional Fomating'!$D560,products!$A$1:$A$49,0),MATCH('Conditional Fomating'!I$1,products!$A$1:$D$1,0))</f>
        <v>Lib</v>
      </c>
      <c r="J560" t="str">
        <f t="shared" si="48"/>
        <v>Liberica</v>
      </c>
      <c r="K560" t="str">
        <f>INDEX(products!$A$1:$I$49,MATCH('Conditional Fomating'!$D560,products!$A$1:$A$49,0),MATCH('Conditional Fomating'!K$1,products!$A$1:$D$1,0))</f>
        <v>D</v>
      </c>
      <c r="L560" t="str">
        <f t="shared" si="49"/>
        <v>Dark</v>
      </c>
      <c r="M560">
        <f>INDEX(products!$A$1:$I$49,MATCH('Conditional Fomating'!$D560,products!$A$1:$A$49,0),MATCH('Conditional Fomating'!M$1,products!$A$1:$D$1,0))</f>
        <v>0.2</v>
      </c>
      <c r="N560">
        <f>_xlfn.XLOOKUP(D560,products!$A$2:$A$49,products!$E$2:$E$49)</f>
        <v>3.8849999999999998</v>
      </c>
      <c r="O560">
        <f>_xlfn.XLOOKUP(D560,products!$A$2:$A$49,products!$H$2:$H$49)</f>
        <v>3.37995</v>
      </c>
      <c r="P560">
        <f t="shared" si="50"/>
        <v>15.54</v>
      </c>
      <c r="Q560">
        <f t="shared" si="51"/>
        <v>13.5198</v>
      </c>
      <c r="R560">
        <f t="shared" si="52"/>
        <v>2.0201999999999991</v>
      </c>
      <c r="S560" s="4">
        <f t="shared" si="53"/>
        <v>0.12999999999999995</v>
      </c>
      <c r="T560" t="str">
        <f>_xlfn.XLOOKUP(C560,customers!$A$1:$A$1001,customers!$I$1:$I$1001,,0)</f>
        <v>Yes</v>
      </c>
    </row>
    <row r="561" spans="1:20"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INDEX(products!$A$1:$I$49,MATCH('Conditional Fomating'!$D561,products!$A$1:$A$49,0),MATCH('Conditional Fomating'!I$1,products!$A$1:$D$1,0))</f>
        <v>Ara</v>
      </c>
      <c r="J561" t="str">
        <f t="shared" si="48"/>
        <v>Arabica</v>
      </c>
      <c r="K561" t="str">
        <f>INDEX(products!$A$1:$I$49,MATCH('Conditional Fomating'!$D561,products!$A$1:$A$49,0),MATCH('Conditional Fomating'!K$1,products!$A$1:$D$1,0))</f>
        <v>L</v>
      </c>
      <c r="L561" t="str">
        <f t="shared" si="49"/>
        <v>Light</v>
      </c>
      <c r="M561">
        <f>INDEX(products!$A$1:$I$49,MATCH('Conditional Fomating'!$D561,products!$A$1:$A$49,0),MATCH('Conditional Fomating'!M$1,products!$A$1:$D$1,0))</f>
        <v>1</v>
      </c>
      <c r="N561">
        <f>_xlfn.XLOOKUP(D561,products!$A$2:$A$49,products!$E$2:$E$49)</f>
        <v>12.95</v>
      </c>
      <c r="O561">
        <f>_xlfn.XLOOKUP(D561,products!$A$2:$A$49,products!$H$2:$H$49)</f>
        <v>11.7845</v>
      </c>
      <c r="P561">
        <f t="shared" si="50"/>
        <v>38.849999999999994</v>
      </c>
      <c r="Q561">
        <f t="shared" si="51"/>
        <v>35.353499999999997</v>
      </c>
      <c r="R561">
        <f t="shared" si="52"/>
        <v>3.4964999999999975</v>
      </c>
      <c r="S561" s="4">
        <f t="shared" si="53"/>
        <v>8.9999999999999955E-2</v>
      </c>
      <c r="T561" t="str">
        <f>_xlfn.XLOOKUP(C561,customers!$A$1:$A$1001,customers!$I$1:$I$1001,,0)</f>
        <v>Yes</v>
      </c>
    </row>
    <row r="562" spans="1:20"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v>
      </c>
      <c r="H562" s="2" t="str">
        <f>_xlfn.XLOOKUP(C562,customers!$A$1:$A$1001,customers!$G$1:$G$1001,,0)</f>
        <v>United States</v>
      </c>
      <c r="I562" t="str">
        <f>INDEX(products!$A$1:$I$49,MATCH('Conditional Fomating'!$D562,products!$A$1:$A$49,0),MATCH('Conditional Fomating'!I$1,products!$A$1:$D$1,0))</f>
        <v>Exc</v>
      </c>
      <c r="J562" t="str">
        <f t="shared" si="48"/>
        <v>Excelsa</v>
      </c>
      <c r="K562" t="str">
        <f>INDEX(products!$A$1:$I$49,MATCH('Conditional Fomating'!$D562,products!$A$1:$A$49,0),MATCH('Conditional Fomating'!K$1,products!$A$1:$D$1,0))</f>
        <v>M</v>
      </c>
      <c r="L562" t="str">
        <f t="shared" si="49"/>
        <v>Medium</v>
      </c>
      <c r="M562">
        <f>INDEX(products!$A$1:$I$49,MATCH('Conditional Fomating'!$D562,products!$A$1:$A$49,0),MATCH('Conditional Fomating'!M$1,products!$A$1:$D$1,0))</f>
        <v>2.5</v>
      </c>
      <c r="N562">
        <f>_xlfn.XLOOKUP(D562,products!$A$2:$A$49,products!$E$2:$E$49)</f>
        <v>31.624999999999996</v>
      </c>
      <c r="O562">
        <f>_xlfn.XLOOKUP(D562,products!$A$2:$A$49,products!$H$2:$H$49)</f>
        <v>28.146249999999995</v>
      </c>
      <c r="P562">
        <f t="shared" si="50"/>
        <v>189.74999999999997</v>
      </c>
      <c r="Q562">
        <f t="shared" si="51"/>
        <v>168.87749999999997</v>
      </c>
      <c r="R562">
        <f t="shared" si="52"/>
        <v>20.872500000000002</v>
      </c>
      <c r="S562" s="4">
        <f t="shared" si="53"/>
        <v>0.11000000000000003</v>
      </c>
      <c r="T562" t="str">
        <f>_xlfn.XLOOKUP(C562,customers!$A$1:$A$1001,customers!$I$1:$I$1001,,0)</f>
        <v>Yes</v>
      </c>
    </row>
    <row r="563" spans="1:20"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v>
      </c>
      <c r="H563" s="2" t="str">
        <f>_xlfn.XLOOKUP(C563,customers!$A$1:$A$1001,customers!$G$1:$G$1001,,0)</f>
        <v>Ireland</v>
      </c>
      <c r="I563" t="str">
        <f>INDEX(products!$A$1:$I$49,MATCH('Conditional Fomating'!$D563,products!$A$1:$A$49,0),MATCH('Conditional Fomating'!I$1,products!$A$1:$D$1,0))</f>
        <v>Ara</v>
      </c>
      <c r="J563" t="str">
        <f t="shared" si="48"/>
        <v>Arabica</v>
      </c>
      <c r="K563" t="str">
        <f>INDEX(products!$A$1:$I$49,MATCH('Conditional Fomating'!$D563,products!$A$1:$A$49,0),MATCH('Conditional Fomating'!K$1,products!$A$1:$D$1,0))</f>
        <v>D</v>
      </c>
      <c r="L563" t="str">
        <f t="shared" si="49"/>
        <v>Dark</v>
      </c>
      <c r="M563">
        <f>INDEX(products!$A$1:$I$49,MATCH('Conditional Fomating'!$D563,products!$A$1:$A$49,0),MATCH('Conditional Fomating'!M$1,products!$A$1:$D$1,0))</f>
        <v>0.2</v>
      </c>
      <c r="N563">
        <f>_xlfn.XLOOKUP(D563,products!$A$2:$A$49,products!$E$2:$E$49)</f>
        <v>2.9849999999999999</v>
      </c>
      <c r="O563">
        <f>_xlfn.XLOOKUP(D563,products!$A$2:$A$49,products!$H$2:$H$49)</f>
        <v>2.7163499999999998</v>
      </c>
      <c r="P563">
        <f t="shared" si="50"/>
        <v>17.91</v>
      </c>
      <c r="Q563">
        <f t="shared" si="51"/>
        <v>16.298099999999998</v>
      </c>
      <c r="R563">
        <f t="shared" si="52"/>
        <v>1.6119000000000021</v>
      </c>
      <c r="S563" s="4">
        <f t="shared" si="53"/>
        <v>9.0000000000000122E-2</v>
      </c>
      <c r="T563" t="str">
        <f>_xlfn.XLOOKUP(C563,customers!$A$1:$A$1001,customers!$I$1:$I$1001,,0)</f>
        <v>Yes</v>
      </c>
    </row>
    <row r="564" spans="1:20"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INDEX(products!$A$1:$I$49,MATCH('Conditional Fomating'!$D564,products!$A$1:$A$49,0),MATCH('Conditional Fomating'!I$1,products!$A$1:$D$1,0))</f>
        <v>Lib</v>
      </c>
      <c r="J564" t="str">
        <f t="shared" si="48"/>
        <v>Liberica</v>
      </c>
      <c r="K564" t="str">
        <f>INDEX(products!$A$1:$I$49,MATCH('Conditional Fomating'!$D564,products!$A$1:$A$49,0),MATCH('Conditional Fomating'!K$1,products!$A$1:$D$1,0))</f>
        <v>L</v>
      </c>
      <c r="L564" t="str">
        <f t="shared" si="49"/>
        <v>Light</v>
      </c>
      <c r="M564">
        <f>INDEX(products!$A$1:$I$49,MATCH('Conditional Fomating'!$D564,products!$A$1:$A$49,0),MATCH('Conditional Fomating'!M$1,products!$A$1:$D$1,0))</f>
        <v>0.2</v>
      </c>
      <c r="N564">
        <f>_xlfn.XLOOKUP(D564,products!$A$2:$A$49,products!$E$2:$E$49)</f>
        <v>4.7549999999999999</v>
      </c>
      <c r="O564">
        <f>_xlfn.XLOOKUP(D564,products!$A$2:$A$49,products!$H$2:$H$49)</f>
        <v>4.1368499999999999</v>
      </c>
      <c r="P564">
        <f t="shared" si="50"/>
        <v>28.53</v>
      </c>
      <c r="Q564">
        <f t="shared" si="51"/>
        <v>24.821100000000001</v>
      </c>
      <c r="R564">
        <f t="shared" si="52"/>
        <v>3.7088999999999999</v>
      </c>
      <c r="S564" s="4">
        <f t="shared" si="53"/>
        <v>0.12999999999999998</v>
      </c>
      <c r="T564" t="str">
        <f>_xlfn.XLOOKUP(C564,customers!$A$1:$A$1001,customers!$I$1:$I$1001,,0)</f>
        <v>No</v>
      </c>
    </row>
    <row r="565" spans="1:20"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INDEX(products!$A$1:$I$49,MATCH('Conditional Fomating'!$D565,products!$A$1:$A$49,0),MATCH('Conditional Fomating'!I$1,products!$A$1:$D$1,0))</f>
        <v>Exc</v>
      </c>
      <c r="J565" t="str">
        <f t="shared" si="48"/>
        <v>Excelsa</v>
      </c>
      <c r="K565" t="str">
        <f>INDEX(products!$A$1:$I$49,MATCH('Conditional Fomating'!$D565,products!$A$1:$A$49,0),MATCH('Conditional Fomating'!K$1,products!$A$1:$D$1,0))</f>
        <v>M</v>
      </c>
      <c r="L565" t="str">
        <f t="shared" si="49"/>
        <v>Medium</v>
      </c>
      <c r="M565">
        <f>INDEX(products!$A$1:$I$49,MATCH('Conditional Fomating'!$D565,products!$A$1:$A$49,0),MATCH('Conditional Fomating'!M$1,products!$A$1:$D$1,0))</f>
        <v>1</v>
      </c>
      <c r="N565">
        <f>_xlfn.XLOOKUP(D565,products!$A$2:$A$49,products!$E$2:$E$49)</f>
        <v>13.75</v>
      </c>
      <c r="O565">
        <f>_xlfn.XLOOKUP(D565,products!$A$2:$A$49,products!$H$2:$H$49)</f>
        <v>12.237500000000001</v>
      </c>
      <c r="P565">
        <f t="shared" si="50"/>
        <v>82.5</v>
      </c>
      <c r="Q565">
        <f t="shared" si="51"/>
        <v>73.425000000000011</v>
      </c>
      <c r="R565">
        <f t="shared" si="52"/>
        <v>9.0749999999999886</v>
      </c>
      <c r="S565" s="4">
        <f t="shared" si="53"/>
        <v>0.10999999999999986</v>
      </c>
      <c r="T565" t="str">
        <f>_xlfn.XLOOKUP(C565,customers!$A$1:$A$1001,customers!$I$1:$I$1001,,0)</f>
        <v>No</v>
      </c>
    </row>
    <row r="566" spans="1:20"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INDEX(products!$A$1:$I$49,MATCH('Conditional Fomating'!$D566,products!$A$1:$A$49,0),MATCH('Conditional Fomating'!I$1,products!$A$1:$D$1,0))</f>
        <v>Rob</v>
      </c>
      <c r="J566" t="str">
        <f t="shared" si="48"/>
        <v>Robusta</v>
      </c>
      <c r="K566" t="str">
        <f>INDEX(products!$A$1:$I$49,MATCH('Conditional Fomating'!$D566,products!$A$1:$A$49,0),MATCH('Conditional Fomating'!K$1,products!$A$1:$D$1,0))</f>
        <v>L</v>
      </c>
      <c r="L566" t="str">
        <f t="shared" si="49"/>
        <v>Light</v>
      </c>
      <c r="M566">
        <f>INDEX(products!$A$1:$I$49,MATCH('Conditional Fomating'!$D566,products!$A$1:$A$49,0),MATCH('Conditional Fomating'!M$1,products!$A$1:$D$1,0))</f>
        <v>0.5</v>
      </c>
      <c r="N566">
        <f>_xlfn.XLOOKUP(D566,products!$A$2:$A$49,products!$E$2:$E$49)</f>
        <v>7.169999999999999</v>
      </c>
      <c r="O566">
        <f>_xlfn.XLOOKUP(D566,products!$A$2:$A$49,products!$H$2:$H$49)</f>
        <v>6.7397999999999989</v>
      </c>
      <c r="P566">
        <f t="shared" si="50"/>
        <v>14.339999999999998</v>
      </c>
      <c r="Q566">
        <f t="shared" si="51"/>
        <v>13.479599999999998</v>
      </c>
      <c r="R566">
        <f t="shared" si="52"/>
        <v>0.86040000000000028</v>
      </c>
      <c r="S566" s="4">
        <f t="shared" si="53"/>
        <v>6.0000000000000026E-2</v>
      </c>
      <c r="T566" t="str">
        <f>_xlfn.XLOOKUP(C566,customers!$A$1:$A$1001,customers!$I$1:$I$1001,,0)</f>
        <v>No</v>
      </c>
    </row>
    <row r="567" spans="1:20"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INDEX(products!$A$1:$I$49,MATCH('Conditional Fomating'!$D567,products!$A$1:$A$49,0),MATCH('Conditional Fomating'!I$1,products!$A$1:$D$1,0))</f>
        <v>Rob</v>
      </c>
      <c r="J567" t="str">
        <f t="shared" si="48"/>
        <v>Robusta</v>
      </c>
      <c r="K567" t="str">
        <f>INDEX(products!$A$1:$I$49,MATCH('Conditional Fomating'!$D567,products!$A$1:$A$49,0),MATCH('Conditional Fomating'!K$1,products!$A$1:$D$1,0))</f>
        <v>D</v>
      </c>
      <c r="L567" t="str">
        <f t="shared" si="49"/>
        <v>Dark</v>
      </c>
      <c r="M567">
        <f>INDEX(products!$A$1:$I$49,MATCH('Conditional Fomating'!$D567,products!$A$1:$A$49,0),MATCH('Conditional Fomating'!M$1,products!$A$1:$D$1,0))</f>
        <v>2.5</v>
      </c>
      <c r="N567">
        <f>_xlfn.XLOOKUP(D567,products!$A$2:$A$49,products!$E$2:$E$49)</f>
        <v>20.584999999999997</v>
      </c>
      <c r="O567">
        <f>_xlfn.XLOOKUP(D567,products!$A$2:$A$49,products!$H$2:$H$49)</f>
        <v>19.349899999999998</v>
      </c>
      <c r="P567">
        <f t="shared" si="50"/>
        <v>82.339999999999989</v>
      </c>
      <c r="Q567">
        <f t="shared" si="51"/>
        <v>77.399599999999992</v>
      </c>
      <c r="R567">
        <f t="shared" si="52"/>
        <v>4.9403999999999968</v>
      </c>
      <c r="S567" s="4">
        <f t="shared" si="53"/>
        <v>5.999999999999997E-2</v>
      </c>
      <c r="T567" t="str">
        <f>_xlfn.XLOOKUP(C567,customers!$A$1:$A$1001,customers!$I$1:$I$1001,,0)</f>
        <v>No</v>
      </c>
    </row>
    <row r="568" spans="1:20"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INDEX(products!$A$1:$I$49,MATCH('Conditional Fomating'!$D568,products!$A$1:$A$49,0),MATCH('Conditional Fomating'!I$1,products!$A$1:$D$1,0))</f>
        <v>Ara</v>
      </c>
      <c r="J568" t="str">
        <f t="shared" si="48"/>
        <v>Arabica</v>
      </c>
      <c r="K568" t="str">
        <f>INDEX(products!$A$1:$I$49,MATCH('Conditional Fomating'!$D568,products!$A$1:$A$49,0),MATCH('Conditional Fomating'!K$1,products!$A$1:$D$1,0))</f>
        <v>M</v>
      </c>
      <c r="L568" t="str">
        <f t="shared" si="49"/>
        <v>Medium</v>
      </c>
      <c r="M568">
        <f>INDEX(products!$A$1:$I$49,MATCH('Conditional Fomating'!$D568,products!$A$1:$A$49,0),MATCH('Conditional Fomating'!M$1,products!$A$1:$D$1,0))</f>
        <v>0.2</v>
      </c>
      <c r="N568">
        <f>_xlfn.XLOOKUP(D568,products!$A$2:$A$49,products!$E$2:$E$49)</f>
        <v>3.375</v>
      </c>
      <c r="O568">
        <f>_xlfn.XLOOKUP(D568,products!$A$2:$A$49,products!$H$2:$H$49)</f>
        <v>3.07125</v>
      </c>
      <c r="P568">
        <f t="shared" si="50"/>
        <v>20.25</v>
      </c>
      <c r="Q568">
        <f t="shared" si="51"/>
        <v>18.427500000000002</v>
      </c>
      <c r="R568">
        <f t="shared" si="52"/>
        <v>1.822499999999998</v>
      </c>
      <c r="S568" s="4">
        <f t="shared" si="53"/>
        <v>8.99999999999999E-2</v>
      </c>
      <c r="T568" t="str">
        <f>_xlfn.XLOOKUP(C568,customers!$A$1:$A$1001,customers!$I$1:$I$1001,,0)</f>
        <v>Yes</v>
      </c>
    </row>
    <row r="569" spans="1:20"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v>
      </c>
      <c r="H569" s="2" t="str">
        <f>_xlfn.XLOOKUP(C569,customers!$A$1:$A$1001,customers!$G$1:$G$1001,,0)</f>
        <v>Ireland</v>
      </c>
      <c r="I569" t="str">
        <f>INDEX(products!$A$1:$I$49,MATCH('Conditional Fomating'!$D569,products!$A$1:$A$49,0),MATCH('Conditional Fomating'!I$1,products!$A$1:$D$1,0))</f>
        <v>Rob</v>
      </c>
      <c r="J569" t="str">
        <f t="shared" si="48"/>
        <v>Robusta</v>
      </c>
      <c r="K569" t="str">
        <f>INDEX(products!$A$1:$I$49,MATCH('Conditional Fomating'!$D569,products!$A$1:$A$49,0),MATCH('Conditional Fomating'!K$1,products!$A$1:$D$1,0))</f>
        <v>L</v>
      </c>
      <c r="L569" t="str">
        <f t="shared" si="49"/>
        <v>Light</v>
      </c>
      <c r="M569">
        <f>INDEX(products!$A$1:$I$49,MATCH('Conditional Fomating'!$D569,products!$A$1:$A$49,0),MATCH('Conditional Fomating'!M$1,products!$A$1:$D$1,0))</f>
        <v>2.5</v>
      </c>
      <c r="N569">
        <f>_xlfn.XLOOKUP(D569,products!$A$2:$A$49,products!$E$2:$E$49)</f>
        <v>27.484999999999996</v>
      </c>
      <c r="O569">
        <f>_xlfn.XLOOKUP(D569,products!$A$2:$A$49,products!$H$2:$H$49)</f>
        <v>25.835899999999995</v>
      </c>
      <c r="P569">
        <f t="shared" si="50"/>
        <v>164.90999999999997</v>
      </c>
      <c r="Q569">
        <f t="shared" si="51"/>
        <v>155.01539999999997</v>
      </c>
      <c r="R569">
        <f t="shared" si="52"/>
        <v>9.894599999999997</v>
      </c>
      <c r="S569" s="4">
        <f t="shared" si="53"/>
        <v>5.9999999999999991E-2</v>
      </c>
      <c r="T569" t="str">
        <f>_xlfn.XLOOKUP(C569,customers!$A$1:$A$1001,customers!$I$1:$I$1001,,0)</f>
        <v>No</v>
      </c>
    </row>
    <row r="570" spans="1:20"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INDEX(products!$A$1:$I$49,MATCH('Conditional Fomating'!$D570,products!$A$1:$A$49,0),MATCH('Conditional Fomating'!I$1,products!$A$1:$D$1,0))</f>
        <v>Lib</v>
      </c>
      <c r="J570" t="str">
        <f t="shared" si="48"/>
        <v>Liberica</v>
      </c>
      <c r="K570" t="str">
        <f>INDEX(products!$A$1:$I$49,MATCH('Conditional Fomating'!$D570,products!$A$1:$A$49,0),MATCH('Conditional Fomating'!K$1,products!$A$1:$D$1,0))</f>
        <v>L</v>
      </c>
      <c r="L570" t="str">
        <f t="shared" si="49"/>
        <v>Light</v>
      </c>
      <c r="M570">
        <f>INDEX(products!$A$1:$I$49,MATCH('Conditional Fomating'!$D570,products!$A$1:$A$49,0),MATCH('Conditional Fomating'!M$1,products!$A$1:$D$1,0))</f>
        <v>0.2</v>
      </c>
      <c r="N570">
        <f>_xlfn.XLOOKUP(D570,products!$A$2:$A$49,products!$E$2:$E$49)</f>
        <v>4.7549999999999999</v>
      </c>
      <c r="O570">
        <f>_xlfn.XLOOKUP(D570,products!$A$2:$A$49,products!$H$2:$H$49)</f>
        <v>4.1368499999999999</v>
      </c>
      <c r="P570">
        <f t="shared" si="50"/>
        <v>19.02</v>
      </c>
      <c r="Q570">
        <f t="shared" si="51"/>
        <v>16.5474</v>
      </c>
      <c r="R570">
        <f t="shared" si="52"/>
        <v>2.4725999999999999</v>
      </c>
      <c r="S570" s="4">
        <f t="shared" si="53"/>
        <v>0.13</v>
      </c>
      <c r="T570" t="str">
        <f>_xlfn.XLOOKUP(C570,customers!$A$1:$A$1001,customers!$I$1:$I$1001,,0)</f>
        <v>Yes</v>
      </c>
    </row>
    <row r="571" spans="1:20"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INDEX(products!$A$1:$I$49,MATCH('Conditional Fomating'!$D571,products!$A$1:$A$49,0),MATCH('Conditional Fomating'!I$1,products!$A$1:$D$1,0))</f>
        <v>Ara</v>
      </c>
      <c r="J571" t="str">
        <f t="shared" si="48"/>
        <v>Arabica</v>
      </c>
      <c r="K571" t="str">
        <f>INDEX(products!$A$1:$I$49,MATCH('Conditional Fomating'!$D571,products!$A$1:$A$49,0),MATCH('Conditional Fomating'!K$1,products!$A$1:$D$1,0))</f>
        <v>D</v>
      </c>
      <c r="L571" t="str">
        <f t="shared" si="49"/>
        <v>Dark</v>
      </c>
      <c r="M571">
        <f>INDEX(products!$A$1:$I$49,MATCH('Conditional Fomating'!$D571,products!$A$1:$A$49,0),MATCH('Conditional Fomating'!M$1,products!$A$1:$D$1,0))</f>
        <v>2.5</v>
      </c>
      <c r="N571">
        <f>_xlfn.XLOOKUP(D571,products!$A$2:$A$49,products!$E$2:$E$49)</f>
        <v>22.884999999999998</v>
      </c>
      <c r="O571">
        <f>_xlfn.XLOOKUP(D571,products!$A$2:$A$49,products!$H$2:$H$49)</f>
        <v>20.82535</v>
      </c>
      <c r="P571">
        <f t="shared" si="50"/>
        <v>137.31</v>
      </c>
      <c r="Q571">
        <f t="shared" si="51"/>
        <v>124.9521</v>
      </c>
      <c r="R571">
        <f t="shared" si="52"/>
        <v>12.357900000000001</v>
      </c>
      <c r="S571" s="4">
        <f t="shared" si="53"/>
        <v>9.0000000000000011E-2</v>
      </c>
      <c r="T571" t="str">
        <f>_xlfn.XLOOKUP(C571,customers!$A$1:$A$1001,customers!$I$1:$I$1001,,0)</f>
        <v>No</v>
      </c>
    </row>
    <row r="572" spans="1:20"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INDEX(products!$A$1:$I$49,MATCH('Conditional Fomating'!$D572,products!$A$1:$A$49,0),MATCH('Conditional Fomating'!I$1,products!$A$1:$D$1,0))</f>
        <v>Ara</v>
      </c>
      <c r="J572" t="str">
        <f t="shared" si="48"/>
        <v>Arabica</v>
      </c>
      <c r="K572" t="str">
        <f>INDEX(products!$A$1:$I$49,MATCH('Conditional Fomating'!$D572,products!$A$1:$A$49,0),MATCH('Conditional Fomating'!K$1,products!$A$1:$D$1,0))</f>
        <v>M</v>
      </c>
      <c r="L572" t="str">
        <f t="shared" si="49"/>
        <v>Medium</v>
      </c>
      <c r="M572">
        <f>INDEX(products!$A$1:$I$49,MATCH('Conditional Fomating'!$D572,products!$A$1:$A$49,0),MATCH('Conditional Fomating'!M$1,products!$A$1:$D$1,0))</f>
        <v>0.5</v>
      </c>
      <c r="N572">
        <f>_xlfn.XLOOKUP(D572,products!$A$2:$A$49,products!$E$2:$E$49)</f>
        <v>6.75</v>
      </c>
      <c r="O572">
        <f>_xlfn.XLOOKUP(D572,products!$A$2:$A$49,products!$H$2:$H$49)</f>
        <v>6.1425000000000001</v>
      </c>
      <c r="P572">
        <f t="shared" si="50"/>
        <v>27</v>
      </c>
      <c r="Q572">
        <f t="shared" si="51"/>
        <v>24.57</v>
      </c>
      <c r="R572">
        <f t="shared" si="52"/>
        <v>2.4299999999999997</v>
      </c>
      <c r="S572" s="4">
        <f t="shared" si="53"/>
        <v>8.9999999999999983E-2</v>
      </c>
      <c r="T572" t="str">
        <f>_xlfn.XLOOKUP(C572,customers!$A$1:$A$1001,customers!$I$1:$I$1001,,0)</f>
        <v>No</v>
      </c>
    </row>
    <row r="573" spans="1:20"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INDEX(products!$A$1:$I$49,MATCH('Conditional Fomating'!$D573,products!$A$1:$A$49,0),MATCH('Conditional Fomating'!I$1,products!$A$1:$D$1,0))</f>
        <v>Exc</v>
      </c>
      <c r="J573" t="str">
        <f t="shared" si="48"/>
        <v>Excelsa</v>
      </c>
      <c r="K573" t="str">
        <f>INDEX(products!$A$1:$I$49,MATCH('Conditional Fomating'!$D573,products!$A$1:$A$49,0),MATCH('Conditional Fomating'!K$1,products!$A$1:$D$1,0))</f>
        <v>L</v>
      </c>
      <c r="L573" t="str">
        <f t="shared" si="49"/>
        <v>Light</v>
      </c>
      <c r="M573">
        <f>INDEX(products!$A$1:$I$49,MATCH('Conditional Fomating'!$D573,products!$A$1:$A$49,0),MATCH('Conditional Fomating'!M$1,products!$A$1:$D$1,0))</f>
        <v>0.5</v>
      </c>
      <c r="N573">
        <f>_xlfn.XLOOKUP(D573,products!$A$2:$A$49,products!$E$2:$E$49)</f>
        <v>8.91</v>
      </c>
      <c r="O573">
        <f>_xlfn.XLOOKUP(D573,products!$A$2:$A$49,products!$H$2:$H$49)</f>
        <v>7.9298999999999999</v>
      </c>
      <c r="P573">
        <f t="shared" si="50"/>
        <v>35.64</v>
      </c>
      <c r="Q573">
        <f t="shared" si="51"/>
        <v>31.7196</v>
      </c>
      <c r="R573">
        <f t="shared" si="52"/>
        <v>3.9204000000000008</v>
      </c>
      <c r="S573" s="4">
        <f t="shared" si="53"/>
        <v>0.11000000000000001</v>
      </c>
      <c r="T573" t="str">
        <f>_xlfn.XLOOKUP(C573,customers!$A$1:$A$1001,customers!$I$1:$I$1001,,0)</f>
        <v>No</v>
      </c>
    </row>
    <row r="574" spans="1:20"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v>
      </c>
      <c r="H574" s="2" t="str">
        <f>_xlfn.XLOOKUP(C574,customers!$A$1:$A$1001,customers!$G$1:$G$1001,,0)</f>
        <v>United States</v>
      </c>
      <c r="I574" t="str">
        <f>INDEX(products!$A$1:$I$49,MATCH('Conditional Fomating'!$D574,products!$A$1:$A$49,0),MATCH('Conditional Fomating'!I$1,products!$A$1:$D$1,0))</f>
        <v>Ara</v>
      </c>
      <c r="J574" t="str">
        <f t="shared" si="48"/>
        <v>Arabica</v>
      </c>
      <c r="K574" t="str">
        <f>INDEX(products!$A$1:$I$49,MATCH('Conditional Fomating'!$D574,products!$A$1:$A$49,0),MATCH('Conditional Fomating'!K$1,products!$A$1:$D$1,0))</f>
        <v>D</v>
      </c>
      <c r="L574" t="str">
        <f t="shared" si="49"/>
        <v>Dark</v>
      </c>
      <c r="M574">
        <f>INDEX(products!$A$1:$I$49,MATCH('Conditional Fomating'!$D574,products!$A$1:$A$49,0),MATCH('Conditional Fomating'!M$1,products!$A$1:$D$1,0))</f>
        <v>0.2</v>
      </c>
      <c r="N574">
        <f>_xlfn.XLOOKUP(D574,products!$A$2:$A$49,products!$E$2:$E$49)</f>
        <v>2.9849999999999999</v>
      </c>
      <c r="O574">
        <f>_xlfn.XLOOKUP(D574,products!$A$2:$A$49,products!$H$2:$H$49)</f>
        <v>2.7163499999999998</v>
      </c>
      <c r="P574">
        <f t="shared" si="50"/>
        <v>5.97</v>
      </c>
      <c r="Q574">
        <f t="shared" si="51"/>
        <v>5.4326999999999996</v>
      </c>
      <c r="R574">
        <f t="shared" si="52"/>
        <v>0.53730000000000011</v>
      </c>
      <c r="S574" s="4">
        <f t="shared" si="53"/>
        <v>9.0000000000000024E-2</v>
      </c>
      <c r="T574" t="str">
        <f>_xlfn.XLOOKUP(C574,customers!$A$1:$A$1001,customers!$I$1:$I$1001,,0)</f>
        <v>Yes</v>
      </c>
    </row>
    <row r="575" spans="1:20"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INDEX(products!$A$1:$I$49,MATCH('Conditional Fomating'!$D575,products!$A$1:$A$49,0),MATCH('Conditional Fomating'!I$1,products!$A$1:$D$1,0))</f>
        <v>Ara</v>
      </c>
      <c r="J575" t="str">
        <f t="shared" si="48"/>
        <v>Arabica</v>
      </c>
      <c r="K575" t="str">
        <f>INDEX(products!$A$1:$I$49,MATCH('Conditional Fomating'!$D575,products!$A$1:$A$49,0),MATCH('Conditional Fomating'!K$1,products!$A$1:$D$1,0))</f>
        <v>M</v>
      </c>
      <c r="L575" t="str">
        <f t="shared" si="49"/>
        <v>Medium</v>
      </c>
      <c r="M575">
        <f>INDEX(products!$A$1:$I$49,MATCH('Conditional Fomating'!$D575,products!$A$1:$A$49,0),MATCH('Conditional Fomating'!M$1,products!$A$1:$D$1,0))</f>
        <v>1</v>
      </c>
      <c r="N575">
        <f>_xlfn.XLOOKUP(D575,products!$A$2:$A$49,products!$E$2:$E$49)</f>
        <v>11.25</v>
      </c>
      <c r="O575">
        <f>_xlfn.XLOOKUP(D575,products!$A$2:$A$49,products!$H$2:$H$49)</f>
        <v>10.237500000000001</v>
      </c>
      <c r="P575">
        <f t="shared" si="50"/>
        <v>67.5</v>
      </c>
      <c r="Q575">
        <f t="shared" si="51"/>
        <v>61.425000000000004</v>
      </c>
      <c r="R575">
        <f t="shared" si="52"/>
        <v>6.0749999999999957</v>
      </c>
      <c r="S575" s="4">
        <f t="shared" si="53"/>
        <v>8.9999999999999941E-2</v>
      </c>
      <c r="T575" t="str">
        <f>_xlfn.XLOOKUP(C575,customers!$A$1:$A$1001,customers!$I$1:$I$1001,,0)</f>
        <v>No</v>
      </c>
    </row>
    <row r="576" spans="1:20"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INDEX(products!$A$1:$I$49,MATCH('Conditional Fomating'!$D576,products!$A$1:$A$49,0),MATCH('Conditional Fomating'!I$1,products!$A$1:$D$1,0))</f>
        <v>Rob</v>
      </c>
      <c r="J576" t="str">
        <f t="shared" si="48"/>
        <v>Robusta</v>
      </c>
      <c r="K576" t="str">
        <f>INDEX(products!$A$1:$I$49,MATCH('Conditional Fomating'!$D576,products!$A$1:$A$49,0),MATCH('Conditional Fomating'!K$1,products!$A$1:$D$1,0))</f>
        <v>L</v>
      </c>
      <c r="L576" t="str">
        <f t="shared" si="49"/>
        <v>Light</v>
      </c>
      <c r="M576">
        <f>INDEX(products!$A$1:$I$49,MATCH('Conditional Fomating'!$D576,products!$A$1:$A$49,0),MATCH('Conditional Fomating'!M$1,products!$A$1:$D$1,0))</f>
        <v>0.2</v>
      </c>
      <c r="N576">
        <f>_xlfn.XLOOKUP(D576,products!$A$2:$A$49,products!$E$2:$E$49)</f>
        <v>3.5849999999999995</v>
      </c>
      <c r="O576">
        <f>_xlfn.XLOOKUP(D576,products!$A$2:$A$49,products!$H$2:$H$49)</f>
        <v>3.3698999999999995</v>
      </c>
      <c r="P576">
        <f t="shared" si="50"/>
        <v>21.509999999999998</v>
      </c>
      <c r="Q576">
        <f t="shared" si="51"/>
        <v>20.219399999999997</v>
      </c>
      <c r="R576">
        <f t="shared" si="52"/>
        <v>1.2906000000000013</v>
      </c>
      <c r="S576" s="4">
        <f t="shared" si="53"/>
        <v>6.0000000000000067E-2</v>
      </c>
      <c r="T576" t="str">
        <f>_xlfn.XLOOKUP(C576,customers!$A$1:$A$1001,customers!$I$1:$I$1001,,0)</f>
        <v>Yes</v>
      </c>
    </row>
    <row r="577" spans="1:20"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INDEX(products!$A$1:$I$49,MATCH('Conditional Fomating'!$D577,products!$A$1:$A$49,0),MATCH('Conditional Fomating'!I$1,products!$A$1:$D$1,0))</f>
        <v>Lib</v>
      </c>
      <c r="J577" t="str">
        <f t="shared" si="48"/>
        <v>Liberica</v>
      </c>
      <c r="K577" t="str">
        <f>INDEX(products!$A$1:$I$49,MATCH('Conditional Fomating'!$D577,products!$A$1:$A$49,0),MATCH('Conditional Fomating'!K$1,products!$A$1:$D$1,0))</f>
        <v>M</v>
      </c>
      <c r="L577" t="str">
        <f t="shared" si="49"/>
        <v>Medium</v>
      </c>
      <c r="M577">
        <f>INDEX(products!$A$1:$I$49,MATCH('Conditional Fomating'!$D577,products!$A$1:$A$49,0),MATCH('Conditional Fomating'!M$1,products!$A$1:$D$1,0))</f>
        <v>2.5</v>
      </c>
      <c r="N577">
        <f>_xlfn.XLOOKUP(D577,products!$A$2:$A$49,products!$E$2:$E$49)</f>
        <v>33.464999999999996</v>
      </c>
      <c r="O577">
        <f>_xlfn.XLOOKUP(D577,products!$A$2:$A$49,products!$H$2:$H$49)</f>
        <v>29.114549999999998</v>
      </c>
      <c r="P577">
        <f t="shared" si="50"/>
        <v>66.929999999999993</v>
      </c>
      <c r="Q577">
        <f t="shared" si="51"/>
        <v>58.229099999999995</v>
      </c>
      <c r="R577">
        <f t="shared" si="52"/>
        <v>8.7008999999999972</v>
      </c>
      <c r="S577" s="4">
        <f t="shared" si="53"/>
        <v>0.12999999999999998</v>
      </c>
      <c r="T577" t="str">
        <f>_xlfn.XLOOKUP(C577,customers!$A$1:$A$1001,customers!$I$1:$I$1001,,0)</f>
        <v>No</v>
      </c>
    </row>
    <row r="578" spans="1:20"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INDEX(products!$A$1:$I$49,MATCH('Conditional Fomating'!$D578,products!$A$1:$A$49,0),MATCH('Conditional Fomating'!I$1,products!$A$1:$D$1,0))</f>
        <v>Ara</v>
      </c>
      <c r="J578" t="str">
        <f t="shared" si="48"/>
        <v>Arabica</v>
      </c>
      <c r="K578" t="str">
        <f>INDEX(products!$A$1:$I$49,MATCH('Conditional Fomating'!$D578,products!$A$1:$A$49,0),MATCH('Conditional Fomating'!K$1,products!$A$1:$D$1,0))</f>
        <v>D</v>
      </c>
      <c r="L578" t="str">
        <f t="shared" si="49"/>
        <v>Dark</v>
      </c>
      <c r="M578">
        <f>INDEX(products!$A$1:$I$49,MATCH('Conditional Fomating'!$D578,products!$A$1:$A$49,0),MATCH('Conditional Fomating'!M$1,products!$A$1:$D$1,0))</f>
        <v>0.2</v>
      </c>
      <c r="N578">
        <f>_xlfn.XLOOKUP(D578,products!$A$2:$A$49,products!$E$2:$E$49)</f>
        <v>2.9849999999999999</v>
      </c>
      <c r="O578">
        <f>_xlfn.XLOOKUP(D578,products!$A$2:$A$49,products!$H$2:$H$49)</f>
        <v>2.7163499999999998</v>
      </c>
      <c r="P578">
        <f t="shared" si="50"/>
        <v>17.91</v>
      </c>
      <c r="Q578">
        <f t="shared" si="51"/>
        <v>16.298099999999998</v>
      </c>
      <c r="R578">
        <f t="shared" si="52"/>
        <v>1.6119000000000021</v>
      </c>
      <c r="S578" s="4">
        <f t="shared" si="53"/>
        <v>9.0000000000000122E-2</v>
      </c>
      <c r="T578" t="str">
        <f>_xlfn.XLOOKUP(C578,customers!$A$1:$A$1001,customers!$I$1:$I$1001,,0)</f>
        <v>No</v>
      </c>
    </row>
    <row r="579" spans="1:20"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INDEX(products!$A$1:$I$49,MATCH('Conditional Fomating'!$D579,products!$A$1:$A$49,0),MATCH('Conditional Fomating'!I$1,products!$A$1:$D$1,0))</f>
        <v>Lib</v>
      </c>
      <c r="J579" t="str">
        <f t="shared" ref="J579:J642" si="54">IF(I579="Rob","Robusta",IF(I579="Exc","Excelsa",IF(I579="Ara","Arabica",IF(I579="Lib","Liberica",""))))</f>
        <v>Liberica</v>
      </c>
      <c r="K579" t="str">
        <f>INDEX(products!$A$1:$I$49,MATCH('Conditional Fomating'!$D579,products!$A$1:$A$49,0),MATCH('Conditional Fomating'!K$1,products!$A$1:$D$1,0))</f>
        <v>M</v>
      </c>
      <c r="L579" t="str">
        <f t="shared" ref="L579:L642" si="55">IF(K579="M","Medium",IF(K579="L","Light",IF(K579="D","Dark","")))</f>
        <v>Medium</v>
      </c>
      <c r="M579">
        <f>INDEX(products!$A$1:$I$49,MATCH('Conditional Fomating'!$D579,products!$A$1:$A$49,0),MATCH('Conditional Fomating'!M$1,products!$A$1:$D$1,0))</f>
        <v>1</v>
      </c>
      <c r="N579">
        <f>_xlfn.XLOOKUP(D579,products!$A$2:$A$49,products!$E$2:$E$49)</f>
        <v>14.55</v>
      </c>
      <c r="O579">
        <f>_xlfn.XLOOKUP(D579,products!$A$2:$A$49,products!$H$2:$H$49)</f>
        <v>12.6585</v>
      </c>
      <c r="P579">
        <f t="shared" ref="P579:P642" si="56">N579*E579</f>
        <v>58.2</v>
      </c>
      <c r="Q579">
        <f t="shared" ref="Q579:Q642" si="57">O579*E579</f>
        <v>50.634</v>
      </c>
      <c r="R579">
        <f t="shared" ref="R579:R642" si="58">P579-Q579</f>
        <v>7.5660000000000025</v>
      </c>
      <c r="S579" s="4">
        <f t="shared" ref="S579:S642" si="59">R579/P579</f>
        <v>0.13000000000000003</v>
      </c>
      <c r="T579" t="str">
        <f>_xlfn.XLOOKUP(C579,customers!$A$1:$A$1001,customers!$I$1:$I$1001,,0)</f>
        <v>No</v>
      </c>
    </row>
    <row r="580" spans="1:20"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INDEX(products!$A$1:$I$49,MATCH('Conditional Fomating'!$D580,products!$A$1:$A$49,0),MATCH('Conditional Fomating'!I$1,products!$A$1:$D$1,0))</f>
        <v>Exc</v>
      </c>
      <c r="J580" t="str">
        <f t="shared" si="54"/>
        <v>Excelsa</v>
      </c>
      <c r="K580" t="str">
        <f>INDEX(products!$A$1:$I$49,MATCH('Conditional Fomating'!$D580,products!$A$1:$A$49,0),MATCH('Conditional Fomating'!K$1,products!$A$1:$D$1,0))</f>
        <v>L</v>
      </c>
      <c r="L580" t="str">
        <f t="shared" si="55"/>
        <v>Light</v>
      </c>
      <c r="M580">
        <f>INDEX(products!$A$1:$I$49,MATCH('Conditional Fomating'!$D580,products!$A$1:$A$49,0),MATCH('Conditional Fomating'!M$1,products!$A$1:$D$1,0))</f>
        <v>0.2</v>
      </c>
      <c r="N580">
        <f>_xlfn.XLOOKUP(D580,products!$A$2:$A$49,products!$E$2:$E$49)</f>
        <v>4.4550000000000001</v>
      </c>
      <c r="O580">
        <f>_xlfn.XLOOKUP(D580,products!$A$2:$A$49,products!$H$2:$H$49)</f>
        <v>3.96495</v>
      </c>
      <c r="P580">
        <f t="shared" si="56"/>
        <v>13.365</v>
      </c>
      <c r="Q580">
        <f t="shared" si="57"/>
        <v>11.89485</v>
      </c>
      <c r="R580">
        <f t="shared" si="58"/>
        <v>1.4701500000000003</v>
      </c>
      <c r="S580" s="4">
        <f t="shared" si="59"/>
        <v>0.11000000000000001</v>
      </c>
      <c r="T580" t="str">
        <f>_xlfn.XLOOKUP(C580,customers!$A$1:$A$1001,customers!$I$1:$I$1001,,0)</f>
        <v>No</v>
      </c>
    </row>
    <row r="581" spans="1:20"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INDEX(products!$A$1:$I$49,MATCH('Conditional Fomating'!$D581,products!$A$1:$A$49,0),MATCH('Conditional Fomating'!I$1,products!$A$1:$D$1,0))</f>
        <v>Ara</v>
      </c>
      <c r="J581" t="str">
        <f t="shared" si="54"/>
        <v>Arabica</v>
      </c>
      <c r="K581" t="str">
        <f>INDEX(products!$A$1:$I$49,MATCH('Conditional Fomating'!$D581,products!$A$1:$A$49,0),MATCH('Conditional Fomating'!K$1,products!$A$1:$D$1,0))</f>
        <v>M</v>
      </c>
      <c r="L581" t="str">
        <f t="shared" si="55"/>
        <v>Medium</v>
      </c>
      <c r="M581">
        <f>INDEX(products!$A$1:$I$49,MATCH('Conditional Fomating'!$D581,products!$A$1:$A$49,0),MATCH('Conditional Fomating'!M$1,products!$A$1:$D$1,0))</f>
        <v>0.5</v>
      </c>
      <c r="N581">
        <f>_xlfn.XLOOKUP(D581,products!$A$2:$A$49,products!$E$2:$E$49)</f>
        <v>6.75</v>
      </c>
      <c r="O581">
        <f>_xlfn.XLOOKUP(D581,products!$A$2:$A$49,products!$H$2:$H$49)</f>
        <v>6.1425000000000001</v>
      </c>
      <c r="P581">
        <f t="shared" si="56"/>
        <v>33.75</v>
      </c>
      <c r="Q581">
        <f t="shared" si="57"/>
        <v>30.712499999999999</v>
      </c>
      <c r="R581">
        <f t="shared" si="58"/>
        <v>3.0375000000000014</v>
      </c>
      <c r="S581" s="4">
        <f t="shared" si="59"/>
        <v>9.0000000000000038E-2</v>
      </c>
      <c r="T581" t="str">
        <f>_xlfn.XLOOKUP(C581,customers!$A$1:$A$1001,customers!$I$1:$I$1001,,0)</f>
        <v>No</v>
      </c>
    </row>
    <row r="582" spans="1:20"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INDEX(products!$A$1:$I$49,MATCH('Conditional Fomating'!$D582,products!$A$1:$A$49,0),MATCH('Conditional Fomating'!I$1,products!$A$1:$D$1,0))</f>
        <v>Exc</v>
      </c>
      <c r="J582" t="str">
        <f t="shared" si="54"/>
        <v>Excelsa</v>
      </c>
      <c r="K582" t="str">
        <f>INDEX(products!$A$1:$I$49,MATCH('Conditional Fomating'!$D582,products!$A$1:$A$49,0),MATCH('Conditional Fomating'!K$1,products!$A$1:$D$1,0))</f>
        <v>L</v>
      </c>
      <c r="L582" t="str">
        <f t="shared" si="55"/>
        <v>Light</v>
      </c>
      <c r="M582">
        <f>INDEX(products!$A$1:$I$49,MATCH('Conditional Fomating'!$D582,products!$A$1:$A$49,0),MATCH('Conditional Fomating'!M$1,products!$A$1:$D$1,0))</f>
        <v>1</v>
      </c>
      <c r="N582">
        <f>_xlfn.XLOOKUP(D582,products!$A$2:$A$49,products!$E$2:$E$49)</f>
        <v>14.85</v>
      </c>
      <c r="O582">
        <f>_xlfn.XLOOKUP(D582,products!$A$2:$A$49,products!$H$2:$H$49)</f>
        <v>13.2165</v>
      </c>
      <c r="P582">
        <f t="shared" si="56"/>
        <v>44.55</v>
      </c>
      <c r="Q582">
        <f t="shared" si="57"/>
        <v>39.649500000000003</v>
      </c>
      <c r="R582">
        <f t="shared" si="58"/>
        <v>4.9004999999999939</v>
      </c>
      <c r="S582" s="4">
        <f t="shared" si="59"/>
        <v>0.10999999999999988</v>
      </c>
      <c r="T582" t="str">
        <f>_xlfn.XLOOKUP(C582,customers!$A$1:$A$1001,customers!$I$1:$I$1001,,0)</f>
        <v>Yes</v>
      </c>
    </row>
    <row r="583" spans="1:20"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INDEX(products!$A$1:$I$49,MATCH('Conditional Fomating'!$D583,products!$A$1:$A$49,0),MATCH('Conditional Fomating'!I$1,products!$A$1:$D$1,0))</f>
        <v>Exc</v>
      </c>
      <c r="J583" t="str">
        <f t="shared" si="54"/>
        <v>Excelsa</v>
      </c>
      <c r="K583" t="str">
        <f>INDEX(products!$A$1:$I$49,MATCH('Conditional Fomating'!$D583,products!$A$1:$A$49,0),MATCH('Conditional Fomating'!K$1,products!$A$1:$D$1,0))</f>
        <v>L</v>
      </c>
      <c r="L583" t="str">
        <f t="shared" si="55"/>
        <v>Light</v>
      </c>
      <c r="M583">
        <f>INDEX(products!$A$1:$I$49,MATCH('Conditional Fomating'!$D583,products!$A$1:$A$49,0),MATCH('Conditional Fomating'!M$1,products!$A$1:$D$1,0))</f>
        <v>0.5</v>
      </c>
      <c r="N583">
        <f>_xlfn.XLOOKUP(D583,products!$A$2:$A$49,products!$E$2:$E$49)</f>
        <v>8.91</v>
      </c>
      <c r="O583">
        <f>_xlfn.XLOOKUP(D583,products!$A$2:$A$49,products!$H$2:$H$49)</f>
        <v>7.9298999999999999</v>
      </c>
      <c r="P583">
        <f t="shared" si="56"/>
        <v>44.55</v>
      </c>
      <c r="Q583">
        <f t="shared" si="57"/>
        <v>39.649500000000003</v>
      </c>
      <c r="R583">
        <f t="shared" si="58"/>
        <v>4.9004999999999939</v>
      </c>
      <c r="S583" s="4">
        <f t="shared" si="59"/>
        <v>0.10999999999999988</v>
      </c>
      <c r="T583" t="str">
        <f>_xlfn.XLOOKUP(C583,customers!$A$1:$A$1001,customers!$I$1:$I$1001,,0)</f>
        <v>Yes</v>
      </c>
    </row>
    <row r="584" spans="1:20"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INDEX(products!$A$1:$I$49,MATCH('Conditional Fomating'!$D584,products!$A$1:$A$49,0),MATCH('Conditional Fomating'!I$1,products!$A$1:$D$1,0))</f>
        <v>Exc</v>
      </c>
      <c r="J584" t="str">
        <f t="shared" si="54"/>
        <v>Excelsa</v>
      </c>
      <c r="K584" t="str">
        <f>INDEX(products!$A$1:$I$49,MATCH('Conditional Fomating'!$D584,products!$A$1:$A$49,0),MATCH('Conditional Fomating'!K$1,products!$A$1:$D$1,0))</f>
        <v>D</v>
      </c>
      <c r="L584" t="str">
        <f t="shared" si="55"/>
        <v>Dark</v>
      </c>
      <c r="M584">
        <f>INDEX(products!$A$1:$I$49,MATCH('Conditional Fomating'!$D584,products!$A$1:$A$49,0),MATCH('Conditional Fomating'!M$1,products!$A$1:$D$1,0))</f>
        <v>1</v>
      </c>
      <c r="N584">
        <f>_xlfn.XLOOKUP(D584,products!$A$2:$A$49,products!$E$2:$E$49)</f>
        <v>12.15</v>
      </c>
      <c r="O584">
        <f>_xlfn.XLOOKUP(D584,products!$A$2:$A$49,products!$H$2:$H$49)</f>
        <v>10.813500000000001</v>
      </c>
      <c r="P584">
        <f t="shared" si="56"/>
        <v>60.75</v>
      </c>
      <c r="Q584">
        <f t="shared" si="57"/>
        <v>54.06750000000001</v>
      </c>
      <c r="R584">
        <f t="shared" si="58"/>
        <v>6.6824999999999903</v>
      </c>
      <c r="S584" s="4">
        <f t="shared" si="59"/>
        <v>0.10999999999999983</v>
      </c>
      <c r="T584" t="str">
        <f>_xlfn.XLOOKUP(C584,customers!$A$1:$A$1001,customers!$I$1:$I$1001,,0)</f>
        <v>No</v>
      </c>
    </row>
    <row r="585" spans="1:20"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INDEX(products!$A$1:$I$49,MATCH('Conditional Fomating'!$D585,products!$A$1:$A$49,0),MATCH('Conditional Fomating'!I$1,products!$A$1:$D$1,0))</f>
        <v>Rob</v>
      </c>
      <c r="J585" t="str">
        <f t="shared" si="54"/>
        <v>Robusta</v>
      </c>
      <c r="K585" t="str">
        <f>INDEX(products!$A$1:$I$49,MATCH('Conditional Fomating'!$D585,products!$A$1:$A$49,0),MATCH('Conditional Fomating'!K$1,products!$A$1:$D$1,0))</f>
        <v>L</v>
      </c>
      <c r="L585" t="str">
        <f t="shared" si="55"/>
        <v>Light</v>
      </c>
      <c r="M585">
        <f>INDEX(products!$A$1:$I$49,MATCH('Conditional Fomating'!$D585,products!$A$1:$A$49,0),MATCH('Conditional Fomating'!M$1,products!$A$1:$D$1,0))</f>
        <v>0.2</v>
      </c>
      <c r="N585">
        <f>_xlfn.XLOOKUP(D585,products!$A$2:$A$49,products!$E$2:$E$49)</f>
        <v>3.5849999999999995</v>
      </c>
      <c r="O585">
        <f>_xlfn.XLOOKUP(D585,products!$A$2:$A$49,products!$H$2:$H$49)</f>
        <v>3.3698999999999995</v>
      </c>
      <c r="P585">
        <f t="shared" si="56"/>
        <v>3.5849999999999995</v>
      </c>
      <c r="Q585">
        <f t="shared" si="57"/>
        <v>3.3698999999999995</v>
      </c>
      <c r="R585">
        <f t="shared" si="58"/>
        <v>0.21510000000000007</v>
      </c>
      <c r="S585" s="4">
        <f t="shared" si="59"/>
        <v>6.0000000000000026E-2</v>
      </c>
      <c r="T585" t="str">
        <f>_xlfn.XLOOKUP(C585,customers!$A$1:$A$1001,customers!$I$1:$I$1001,,0)</f>
        <v>Yes</v>
      </c>
    </row>
    <row r="586" spans="1:20"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INDEX(products!$A$1:$I$49,MATCH('Conditional Fomating'!$D586,products!$A$1:$A$49,0),MATCH('Conditional Fomating'!I$1,products!$A$1:$D$1,0))</f>
        <v>Rob</v>
      </c>
      <c r="J586" t="str">
        <f t="shared" si="54"/>
        <v>Robusta</v>
      </c>
      <c r="K586" t="str">
        <f>INDEX(products!$A$1:$I$49,MATCH('Conditional Fomating'!$D586,products!$A$1:$A$49,0),MATCH('Conditional Fomating'!K$1,products!$A$1:$D$1,0))</f>
        <v>L</v>
      </c>
      <c r="L586" t="str">
        <f t="shared" si="55"/>
        <v>Light</v>
      </c>
      <c r="M586">
        <f>INDEX(products!$A$1:$I$49,MATCH('Conditional Fomating'!$D586,products!$A$1:$A$49,0),MATCH('Conditional Fomating'!M$1,products!$A$1:$D$1,0))</f>
        <v>0.2</v>
      </c>
      <c r="N586">
        <f>_xlfn.XLOOKUP(D586,products!$A$2:$A$49,products!$E$2:$E$49)</f>
        <v>3.5849999999999995</v>
      </c>
      <c r="O586">
        <f>_xlfn.XLOOKUP(D586,products!$A$2:$A$49,products!$H$2:$H$49)</f>
        <v>3.3698999999999995</v>
      </c>
      <c r="P586">
        <f t="shared" si="56"/>
        <v>21.509999999999998</v>
      </c>
      <c r="Q586">
        <f t="shared" si="57"/>
        <v>20.219399999999997</v>
      </c>
      <c r="R586">
        <f t="shared" si="58"/>
        <v>1.2906000000000013</v>
      </c>
      <c r="S586" s="4">
        <f t="shared" si="59"/>
        <v>6.0000000000000067E-2</v>
      </c>
      <c r="T586" t="str">
        <f>_xlfn.XLOOKUP(C586,customers!$A$1:$A$1001,customers!$I$1:$I$1001,,0)</f>
        <v>No</v>
      </c>
    </row>
    <row r="587" spans="1:20"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INDEX(products!$A$1:$I$49,MATCH('Conditional Fomating'!$D587,products!$A$1:$A$49,0),MATCH('Conditional Fomating'!I$1,products!$A$1:$D$1,0))</f>
        <v>Exc</v>
      </c>
      <c r="J587" t="str">
        <f t="shared" si="54"/>
        <v>Excelsa</v>
      </c>
      <c r="K587" t="str">
        <f>INDEX(products!$A$1:$I$49,MATCH('Conditional Fomating'!$D587,products!$A$1:$A$49,0),MATCH('Conditional Fomating'!K$1,products!$A$1:$D$1,0))</f>
        <v>M</v>
      </c>
      <c r="L587" t="str">
        <f t="shared" si="55"/>
        <v>Medium</v>
      </c>
      <c r="M587">
        <f>INDEX(products!$A$1:$I$49,MATCH('Conditional Fomating'!$D587,products!$A$1:$A$49,0),MATCH('Conditional Fomating'!M$1,products!$A$1:$D$1,0))</f>
        <v>0.5</v>
      </c>
      <c r="N587">
        <f>_xlfn.XLOOKUP(D587,products!$A$2:$A$49,products!$E$2:$E$49)</f>
        <v>8.25</v>
      </c>
      <c r="O587">
        <f>_xlfn.XLOOKUP(D587,products!$A$2:$A$49,products!$H$2:$H$49)</f>
        <v>7.3425000000000002</v>
      </c>
      <c r="P587">
        <f t="shared" si="56"/>
        <v>16.5</v>
      </c>
      <c r="Q587">
        <f t="shared" si="57"/>
        <v>14.685</v>
      </c>
      <c r="R587">
        <f t="shared" si="58"/>
        <v>1.8149999999999995</v>
      </c>
      <c r="S587" s="4">
        <f t="shared" si="59"/>
        <v>0.10999999999999997</v>
      </c>
      <c r="T587" t="str">
        <f>_xlfn.XLOOKUP(C587,customers!$A$1:$A$1001,customers!$I$1:$I$1001,,0)</f>
        <v>Yes</v>
      </c>
    </row>
    <row r="588" spans="1:20"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v>
      </c>
      <c r="H588" s="2" t="str">
        <f>_xlfn.XLOOKUP(C588,customers!$A$1:$A$1001,customers!$G$1:$G$1001,,0)</f>
        <v>United States</v>
      </c>
      <c r="I588" t="str">
        <f>INDEX(products!$A$1:$I$49,MATCH('Conditional Fomating'!$D588,products!$A$1:$A$49,0),MATCH('Conditional Fomating'!I$1,products!$A$1:$D$1,0))</f>
        <v>Rob</v>
      </c>
      <c r="J588" t="str">
        <f t="shared" si="54"/>
        <v>Robusta</v>
      </c>
      <c r="K588" t="str">
        <f>INDEX(products!$A$1:$I$49,MATCH('Conditional Fomating'!$D588,products!$A$1:$A$49,0),MATCH('Conditional Fomating'!K$1,products!$A$1:$D$1,0))</f>
        <v>L</v>
      </c>
      <c r="L588" t="str">
        <f t="shared" si="55"/>
        <v>Light</v>
      </c>
      <c r="M588">
        <f>INDEX(products!$A$1:$I$49,MATCH('Conditional Fomating'!$D588,products!$A$1:$A$49,0),MATCH('Conditional Fomating'!M$1,products!$A$1:$D$1,0))</f>
        <v>2.5</v>
      </c>
      <c r="N588">
        <f>_xlfn.XLOOKUP(D588,products!$A$2:$A$49,products!$E$2:$E$49)</f>
        <v>27.484999999999996</v>
      </c>
      <c r="O588">
        <f>_xlfn.XLOOKUP(D588,products!$A$2:$A$49,products!$H$2:$H$49)</f>
        <v>25.835899999999995</v>
      </c>
      <c r="P588">
        <f t="shared" si="56"/>
        <v>82.454999999999984</v>
      </c>
      <c r="Q588">
        <f t="shared" si="57"/>
        <v>77.507699999999986</v>
      </c>
      <c r="R588">
        <f t="shared" si="58"/>
        <v>4.9472999999999985</v>
      </c>
      <c r="S588" s="4">
        <f t="shared" si="59"/>
        <v>5.9999999999999991E-2</v>
      </c>
      <c r="T588" t="str">
        <f>_xlfn.XLOOKUP(C588,customers!$A$1:$A$1001,customers!$I$1:$I$1001,,0)</f>
        <v>No</v>
      </c>
    </row>
    <row r="589" spans="1:20"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INDEX(products!$A$1:$I$49,MATCH('Conditional Fomating'!$D589,products!$A$1:$A$49,0),MATCH('Conditional Fomating'!I$1,products!$A$1:$D$1,0))</f>
        <v>Lib</v>
      </c>
      <c r="J589" t="str">
        <f t="shared" si="54"/>
        <v>Liberica</v>
      </c>
      <c r="K589" t="str">
        <f>INDEX(products!$A$1:$I$49,MATCH('Conditional Fomating'!$D589,products!$A$1:$A$49,0),MATCH('Conditional Fomating'!K$1,products!$A$1:$D$1,0))</f>
        <v>D</v>
      </c>
      <c r="L589" t="str">
        <f t="shared" si="55"/>
        <v>Dark</v>
      </c>
      <c r="M589">
        <f>INDEX(products!$A$1:$I$49,MATCH('Conditional Fomating'!$D589,products!$A$1:$A$49,0),MATCH('Conditional Fomating'!M$1,products!$A$1:$D$1,0))</f>
        <v>0.5</v>
      </c>
      <c r="N589">
        <f>_xlfn.XLOOKUP(D589,products!$A$2:$A$49,products!$E$2:$E$49)</f>
        <v>7.77</v>
      </c>
      <c r="O589">
        <f>_xlfn.XLOOKUP(D589,products!$A$2:$A$49,products!$H$2:$H$49)</f>
        <v>6.7599</v>
      </c>
      <c r="P589">
        <f t="shared" si="56"/>
        <v>7.77</v>
      </c>
      <c r="Q589">
        <f t="shared" si="57"/>
        <v>6.7599</v>
      </c>
      <c r="R589">
        <f t="shared" si="58"/>
        <v>1.0100999999999996</v>
      </c>
      <c r="S589" s="4">
        <f t="shared" si="59"/>
        <v>0.12999999999999995</v>
      </c>
      <c r="T589" t="str">
        <f>_xlfn.XLOOKUP(C589,customers!$A$1:$A$1001,customers!$I$1:$I$1001,,0)</f>
        <v>Yes</v>
      </c>
    </row>
    <row r="590" spans="1:20"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INDEX(products!$A$1:$I$49,MATCH('Conditional Fomating'!$D590,products!$A$1:$A$49,0),MATCH('Conditional Fomating'!I$1,products!$A$1:$D$1,0))</f>
        <v>Rob</v>
      </c>
      <c r="J590" t="str">
        <f t="shared" si="54"/>
        <v>Robusta</v>
      </c>
      <c r="K590" t="str">
        <f>INDEX(products!$A$1:$I$49,MATCH('Conditional Fomating'!$D590,products!$A$1:$A$49,0),MATCH('Conditional Fomating'!K$1,products!$A$1:$D$1,0))</f>
        <v>M</v>
      </c>
      <c r="L590" t="str">
        <f t="shared" si="55"/>
        <v>Medium</v>
      </c>
      <c r="M590">
        <f>INDEX(products!$A$1:$I$49,MATCH('Conditional Fomating'!$D590,products!$A$1:$A$49,0),MATCH('Conditional Fomating'!M$1,products!$A$1:$D$1,0))</f>
        <v>0.5</v>
      </c>
      <c r="N590">
        <f>_xlfn.XLOOKUP(D590,products!$A$2:$A$49,products!$E$2:$E$49)</f>
        <v>5.97</v>
      </c>
      <c r="O590">
        <f>_xlfn.XLOOKUP(D590,products!$A$2:$A$49,products!$H$2:$H$49)</f>
        <v>5.6117999999999997</v>
      </c>
      <c r="P590">
        <f t="shared" si="56"/>
        <v>11.94</v>
      </c>
      <c r="Q590">
        <f t="shared" si="57"/>
        <v>11.223599999999999</v>
      </c>
      <c r="R590">
        <f t="shared" si="58"/>
        <v>0.71640000000000015</v>
      </c>
      <c r="S590" s="4">
        <f t="shared" si="59"/>
        <v>6.0000000000000012E-2</v>
      </c>
      <c r="T590" t="str">
        <f>_xlfn.XLOOKUP(C590,customers!$A$1:$A$1001,customers!$I$1:$I$1001,,0)</f>
        <v>Yes</v>
      </c>
    </row>
    <row r="591" spans="1:20"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INDEX(products!$A$1:$I$49,MATCH('Conditional Fomating'!$D591,products!$A$1:$A$49,0),MATCH('Conditional Fomating'!I$1,products!$A$1:$D$1,0))</f>
        <v>Exc</v>
      </c>
      <c r="J591" t="str">
        <f t="shared" si="54"/>
        <v>Excelsa</v>
      </c>
      <c r="K591" t="str">
        <f>INDEX(products!$A$1:$I$49,MATCH('Conditional Fomating'!$D591,products!$A$1:$A$49,0),MATCH('Conditional Fomating'!K$1,products!$A$1:$D$1,0))</f>
        <v>L</v>
      </c>
      <c r="L591" t="str">
        <f t="shared" si="55"/>
        <v>Light</v>
      </c>
      <c r="M591">
        <f>INDEX(products!$A$1:$I$49,MATCH('Conditional Fomating'!$D591,products!$A$1:$A$49,0),MATCH('Conditional Fomating'!M$1,products!$A$1:$D$1,0))</f>
        <v>2.5</v>
      </c>
      <c r="N591">
        <f>_xlfn.XLOOKUP(D591,products!$A$2:$A$49,products!$E$2:$E$49)</f>
        <v>34.154999999999994</v>
      </c>
      <c r="O591">
        <f>_xlfn.XLOOKUP(D591,products!$A$2:$A$49,products!$H$2:$H$49)</f>
        <v>30.397949999999994</v>
      </c>
      <c r="P591">
        <f t="shared" si="56"/>
        <v>204.92999999999995</v>
      </c>
      <c r="Q591">
        <f t="shared" si="57"/>
        <v>182.38769999999997</v>
      </c>
      <c r="R591">
        <f t="shared" si="58"/>
        <v>22.542299999999983</v>
      </c>
      <c r="S591" s="4">
        <f t="shared" si="59"/>
        <v>0.10999999999999995</v>
      </c>
      <c r="T591" t="str">
        <f>_xlfn.XLOOKUP(C591,customers!$A$1:$A$1001,customers!$I$1:$I$1001,,0)</f>
        <v>No</v>
      </c>
    </row>
    <row r="592" spans="1:20"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INDEX(products!$A$1:$I$49,MATCH('Conditional Fomating'!$D592,products!$A$1:$A$49,0),MATCH('Conditional Fomating'!I$1,products!$A$1:$D$1,0))</f>
        <v>Exc</v>
      </c>
      <c r="J592" t="str">
        <f t="shared" si="54"/>
        <v>Excelsa</v>
      </c>
      <c r="K592" t="str">
        <f>INDEX(products!$A$1:$I$49,MATCH('Conditional Fomating'!$D592,products!$A$1:$A$49,0),MATCH('Conditional Fomating'!K$1,products!$A$1:$D$1,0))</f>
        <v>M</v>
      </c>
      <c r="L592" t="str">
        <f t="shared" si="55"/>
        <v>Medium</v>
      </c>
      <c r="M592">
        <f>INDEX(products!$A$1:$I$49,MATCH('Conditional Fomating'!$D592,products!$A$1:$A$49,0),MATCH('Conditional Fomating'!M$1,products!$A$1:$D$1,0))</f>
        <v>2.5</v>
      </c>
      <c r="N592">
        <f>_xlfn.XLOOKUP(D592,products!$A$2:$A$49,products!$E$2:$E$49)</f>
        <v>31.624999999999996</v>
      </c>
      <c r="O592">
        <f>_xlfn.XLOOKUP(D592,products!$A$2:$A$49,products!$H$2:$H$49)</f>
        <v>28.146249999999995</v>
      </c>
      <c r="P592">
        <f t="shared" si="56"/>
        <v>63.249999999999993</v>
      </c>
      <c r="Q592">
        <f t="shared" si="57"/>
        <v>56.29249999999999</v>
      </c>
      <c r="R592">
        <f t="shared" si="58"/>
        <v>6.9575000000000031</v>
      </c>
      <c r="S592" s="4">
        <f t="shared" si="59"/>
        <v>0.11000000000000006</v>
      </c>
      <c r="T592" t="str">
        <f>_xlfn.XLOOKUP(C592,customers!$A$1:$A$1001,customers!$I$1:$I$1001,,0)</f>
        <v>Yes</v>
      </c>
    </row>
    <row r="593" spans="1:20"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INDEX(products!$A$1:$I$49,MATCH('Conditional Fomating'!$D593,products!$A$1:$A$49,0),MATCH('Conditional Fomating'!I$1,products!$A$1:$D$1,0))</f>
        <v>Rob</v>
      </c>
      <c r="J593" t="str">
        <f t="shared" si="54"/>
        <v>Robusta</v>
      </c>
      <c r="K593" t="str">
        <f>INDEX(products!$A$1:$I$49,MATCH('Conditional Fomating'!$D593,products!$A$1:$A$49,0),MATCH('Conditional Fomating'!K$1,products!$A$1:$D$1,0))</f>
        <v>D</v>
      </c>
      <c r="L593" t="str">
        <f t="shared" si="55"/>
        <v>Dark</v>
      </c>
      <c r="M593">
        <f>INDEX(products!$A$1:$I$49,MATCH('Conditional Fomating'!$D593,products!$A$1:$A$49,0),MATCH('Conditional Fomating'!M$1,products!$A$1:$D$1,0))</f>
        <v>0.2</v>
      </c>
      <c r="N593">
        <f>_xlfn.XLOOKUP(D593,products!$A$2:$A$49,products!$E$2:$E$49)</f>
        <v>2.6849999999999996</v>
      </c>
      <c r="O593">
        <f>_xlfn.XLOOKUP(D593,products!$A$2:$A$49,products!$H$2:$H$49)</f>
        <v>2.5238999999999998</v>
      </c>
      <c r="P593">
        <f t="shared" si="56"/>
        <v>8.0549999999999997</v>
      </c>
      <c r="Q593">
        <f t="shared" si="57"/>
        <v>7.5716999999999999</v>
      </c>
      <c r="R593">
        <f t="shared" si="58"/>
        <v>0.48329999999999984</v>
      </c>
      <c r="S593" s="4">
        <f t="shared" si="59"/>
        <v>5.9999999999999984E-2</v>
      </c>
      <c r="T593" t="str">
        <f>_xlfn.XLOOKUP(C593,customers!$A$1:$A$1001,customers!$I$1:$I$1001,,0)</f>
        <v>Yes</v>
      </c>
    </row>
    <row r="594" spans="1:20"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v>
      </c>
      <c r="H594" s="2" t="str">
        <f>_xlfn.XLOOKUP(C594,customers!$A$1:$A$1001,customers!$G$1:$G$1001,,0)</f>
        <v>United States</v>
      </c>
      <c r="I594" t="str">
        <f>INDEX(products!$A$1:$I$49,MATCH('Conditional Fomating'!$D594,products!$A$1:$A$49,0),MATCH('Conditional Fomating'!I$1,products!$A$1:$D$1,0))</f>
        <v>Ara</v>
      </c>
      <c r="J594" t="str">
        <f t="shared" si="54"/>
        <v>Arabica</v>
      </c>
      <c r="K594" t="str">
        <f>INDEX(products!$A$1:$I$49,MATCH('Conditional Fomating'!$D594,products!$A$1:$A$49,0),MATCH('Conditional Fomating'!K$1,products!$A$1:$D$1,0))</f>
        <v>M</v>
      </c>
      <c r="L594" t="str">
        <f t="shared" si="55"/>
        <v>Medium</v>
      </c>
      <c r="M594">
        <f>INDEX(products!$A$1:$I$49,MATCH('Conditional Fomating'!$D594,products!$A$1:$A$49,0),MATCH('Conditional Fomating'!M$1,products!$A$1:$D$1,0))</f>
        <v>2.5</v>
      </c>
      <c r="N594">
        <f>_xlfn.XLOOKUP(D594,products!$A$2:$A$49,products!$E$2:$E$49)</f>
        <v>25.874999999999996</v>
      </c>
      <c r="O594">
        <f>_xlfn.XLOOKUP(D594,products!$A$2:$A$49,products!$H$2:$H$49)</f>
        <v>23.546249999999997</v>
      </c>
      <c r="P594">
        <f t="shared" si="56"/>
        <v>51.749999999999993</v>
      </c>
      <c r="Q594">
        <f t="shared" si="57"/>
        <v>47.092499999999994</v>
      </c>
      <c r="R594">
        <f t="shared" si="58"/>
        <v>4.6574999999999989</v>
      </c>
      <c r="S594" s="4">
        <f t="shared" si="59"/>
        <v>0.09</v>
      </c>
      <c r="T594" t="str">
        <f>_xlfn.XLOOKUP(C594,customers!$A$1:$A$1001,customers!$I$1:$I$1001,,0)</f>
        <v>No</v>
      </c>
    </row>
    <row r="595" spans="1:20"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INDEX(products!$A$1:$I$49,MATCH('Conditional Fomating'!$D595,products!$A$1:$A$49,0),MATCH('Conditional Fomating'!I$1,products!$A$1:$D$1,0))</f>
        <v>Exc</v>
      </c>
      <c r="J595" t="str">
        <f t="shared" si="54"/>
        <v>Excelsa</v>
      </c>
      <c r="K595" t="str">
        <f>INDEX(products!$A$1:$I$49,MATCH('Conditional Fomating'!$D595,products!$A$1:$A$49,0),MATCH('Conditional Fomating'!K$1,products!$A$1:$D$1,0))</f>
        <v>D</v>
      </c>
      <c r="L595" t="str">
        <f t="shared" si="55"/>
        <v>Dark</v>
      </c>
      <c r="M595">
        <f>INDEX(products!$A$1:$I$49,MATCH('Conditional Fomating'!$D595,products!$A$1:$A$49,0),MATCH('Conditional Fomating'!M$1,products!$A$1:$D$1,0))</f>
        <v>2.5</v>
      </c>
      <c r="N595">
        <f>_xlfn.XLOOKUP(D595,products!$A$2:$A$49,products!$E$2:$E$49)</f>
        <v>27.945</v>
      </c>
      <c r="O595">
        <f>_xlfn.XLOOKUP(D595,products!$A$2:$A$49,products!$H$2:$H$49)</f>
        <v>24.87105</v>
      </c>
      <c r="P595">
        <f t="shared" si="56"/>
        <v>27.945</v>
      </c>
      <c r="Q595">
        <f t="shared" si="57"/>
        <v>24.87105</v>
      </c>
      <c r="R595">
        <f t="shared" si="58"/>
        <v>3.07395</v>
      </c>
      <c r="S595" s="4">
        <f t="shared" si="59"/>
        <v>0.11</v>
      </c>
      <c r="T595" t="str">
        <f>_xlfn.XLOOKUP(C595,customers!$A$1:$A$1001,customers!$I$1:$I$1001,,0)</f>
        <v>Yes</v>
      </c>
    </row>
    <row r="596" spans="1:20"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INDEX(products!$A$1:$I$49,MATCH('Conditional Fomating'!$D596,products!$A$1:$A$49,0),MATCH('Conditional Fomating'!I$1,products!$A$1:$D$1,0))</f>
        <v>Ara</v>
      </c>
      <c r="J596" t="str">
        <f t="shared" si="54"/>
        <v>Arabica</v>
      </c>
      <c r="K596" t="str">
        <f>INDEX(products!$A$1:$I$49,MATCH('Conditional Fomating'!$D596,products!$A$1:$A$49,0),MATCH('Conditional Fomating'!K$1,products!$A$1:$D$1,0))</f>
        <v>L</v>
      </c>
      <c r="L596" t="str">
        <f t="shared" si="55"/>
        <v>Light</v>
      </c>
      <c r="M596">
        <f>INDEX(products!$A$1:$I$49,MATCH('Conditional Fomating'!$D596,products!$A$1:$A$49,0),MATCH('Conditional Fomating'!M$1,products!$A$1:$D$1,0))</f>
        <v>2.5</v>
      </c>
      <c r="N596">
        <f>_xlfn.XLOOKUP(D596,products!$A$2:$A$49,products!$E$2:$E$49)</f>
        <v>29.784999999999997</v>
      </c>
      <c r="O596">
        <f>_xlfn.XLOOKUP(D596,products!$A$2:$A$49,products!$H$2:$H$49)</f>
        <v>27.104349999999997</v>
      </c>
      <c r="P596">
        <f t="shared" si="56"/>
        <v>59.569999999999993</v>
      </c>
      <c r="Q596">
        <f t="shared" si="57"/>
        <v>54.208699999999993</v>
      </c>
      <c r="R596">
        <f t="shared" si="58"/>
        <v>5.3613</v>
      </c>
      <c r="S596" s="4">
        <f t="shared" si="59"/>
        <v>9.0000000000000011E-2</v>
      </c>
      <c r="T596" t="str">
        <f>_xlfn.XLOOKUP(C596,customers!$A$1:$A$1001,customers!$I$1:$I$1001,,0)</f>
        <v>No</v>
      </c>
    </row>
    <row r="597" spans="1:20"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v>
      </c>
      <c r="H597" s="2" t="str">
        <f>_xlfn.XLOOKUP(C597,customers!$A$1:$A$1001,customers!$G$1:$G$1001,,0)</f>
        <v>United Kingdom</v>
      </c>
      <c r="I597" t="str">
        <f>INDEX(products!$A$1:$I$49,MATCH('Conditional Fomating'!$D597,products!$A$1:$A$49,0),MATCH('Conditional Fomating'!I$1,products!$A$1:$D$1,0))</f>
        <v>Exc</v>
      </c>
      <c r="J597" t="str">
        <f t="shared" si="54"/>
        <v>Excelsa</v>
      </c>
      <c r="K597" t="str">
        <f>INDEX(products!$A$1:$I$49,MATCH('Conditional Fomating'!$D597,products!$A$1:$A$49,0),MATCH('Conditional Fomating'!K$1,products!$A$1:$D$1,0))</f>
        <v>L</v>
      </c>
      <c r="L597" t="str">
        <f t="shared" si="55"/>
        <v>Light</v>
      </c>
      <c r="M597">
        <f>INDEX(products!$A$1:$I$49,MATCH('Conditional Fomating'!$D597,products!$A$1:$A$49,0),MATCH('Conditional Fomating'!M$1,products!$A$1:$D$1,0))</f>
        <v>1</v>
      </c>
      <c r="N597">
        <f>_xlfn.XLOOKUP(D597,products!$A$2:$A$49,products!$E$2:$E$49)</f>
        <v>14.85</v>
      </c>
      <c r="O597">
        <f>_xlfn.XLOOKUP(D597,products!$A$2:$A$49,products!$H$2:$H$49)</f>
        <v>13.2165</v>
      </c>
      <c r="P597">
        <f t="shared" si="56"/>
        <v>14.85</v>
      </c>
      <c r="Q597">
        <f t="shared" si="57"/>
        <v>13.2165</v>
      </c>
      <c r="R597">
        <f t="shared" si="58"/>
        <v>1.6334999999999997</v>
      </c>
      <c r="S597" s="4">
        <f t="shared" si="59"/>
        <v>0.10999999999999999</v>
      </c>
      <c r="T597" t="str">
        <f>_xlfn.XLOOKUP(C597,customers!$A$1:$A$1001,customers!$I$1:$I$1001,,0)</f>
        <v>No</v>
      </c>
    </row>
    <row r="598" spans="1:20"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INDEX(products!$A$1:$I$49,MATCH('Conditional Fomating'!$D598,products!$A$1:$A$49,0),MATCH('Conditional Fomating'!I$1,products!$A$1:$D$1,0))</f>
        <v>Ara</v>
      </c>
      <c r="J598" t="str">
        <f t="shared" si="54"/>
        <v>Arabica</v>
      </c>
      <c r="K598" t="str">
        <f>INDEX(products!$A$1:$I$49,MATCH('Conditional Fomating'!$D598,products!$A$1:$A$49,0),MATCH('Conditional Fomating'!K$1,products!$A$1:$D$1,0))</f>
        <v>M</v>
      </c>
      <c r="L598" t="str">
        <f t="shared" si="55"/>
        <v>Medium</v>
      </c>
      <c r="M598">
        <f>INDEX(products!$A$1:$I$49,MATCH('Conditional Fomating'!$D598,products!$A$1:$A$49,0),MATCH('Conditional Fomating'!M$1,products!$A$1:$D$1,0))</f>
        <v>0.5</v>
      </c>
      <c r="N598">
        <f>_xlfn.XLOOKUP(D598,products!$A$2:$A$49,products!$E$2:$E$49)</f>
        <v>6.75</v>
      </c>
      <c r="O598">
        <f>_xlfn.XLOOKUP(D598,products!$A$2:$A$49,products!$H$2:$H$49)</f>
        <v>6.1425000000000001</v>
      </c>
      <c r="P598">
        <f t="shared" si="56"/>
        <v>33.75</v>
      </c>
      <c r="Q598">
        <f t="shared" si="57"/>
        <v>30.712499999999999</v>
      </c>
      <c r="R598">
        <f t="shared" si="58"/>
        <v>3.0375000000000014</v>
      </c>
      <c r="S598" s="4">
        <f t="shared" si="59"/>
        <v>9.0000000000000038E-2</v>
      </c>
      <c r="T598" t="str">
        <f>_xlfn.XLOOKUP(C598,customers!$A$1:$A$1001,customers!$I$1:$I$1001,,0)</f>
        <v>No</v>
      </c>
    </row>
    <row r="599" spans="1:20"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INDEX(products!$A$1:$I$49,MATCH('Conditional Fomating'!$D599,products!$A$1:$A$49,0),MATCH('Conditional Fomating'!I$1,products!$A$1:$D$1,0))</f>
        <v>Lib</v>
      </c>
      <c r="J599" t="str">
        <f t="shared" si="54"/>
        <v>Liberica</v>
      </c>
      <c r="K599" t="str">
        <f>INDEX(products!$A$1:$I$49,MATCH('Conditional Fomating'!$D599,products!$A$1:$A$49,0),MATCH('Conditional Fomating'!K$1,products!$A$1:$D$1,0))</f>
        <v>L</v>
      </c>
      <c r="L599" t="str">
        <f t="shared" si="55"/>
        <v>Light</v>
      </c>
      <c r="M599">
        <f>INDEX(products!$A$1:$I$49,MATCH('Conditional Fomating'!$D599,products!$A$1:$A$49,0),MATCH('Conditional Fomating'!M$1,products!$A$1:$D$1,0))</f>
        <v>2.5</v>
      </c>
      <c r="N599">
        <f>_xlfn.XLOOKUP(D599,products!$A$2:$A$49,products!$E$2:$E$49)</f>
        <v>36.454999999999998</v>
      </c>
      <c r="O599">
        <f>_xlfn.XLOOKUP(D599,products!$A$2:$A$49,products!$H$2:$H$49)</f>
        <v>31.71585</v>
      </c>
      <c r="P599">
        <f t="shared" si="56"/>
        <v>145.82</v>
      </c>
      <c r="Q599">
        <f t="shared" si="57"/>
        <v>126.8634</v>
      </c>
      <c r="R599">
        <f t="shared" si="58"/>
        <v>18.956599999999995</v>
      </c>
      <c r="S599" s="4">
        <f t="shared" si="59"/>
        <v>0.12999999999999998</v>
      </c>
      <c r="T599" t="str">
        <f>_xlfn.XLOOKUP(C599,customers!$A$1:$A$1001,customers!$I$1:$I$1001,,0)</f>
        <v>Yes</v>
      </c>
    </row>
    <row r="600" spans="1:20"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INDEX(products!$A$1:$I$49,MATCH('Conditional Fomating'!$D600,products!$A$1:$A$49,0),MATCH('Conditional Fomating'!I$1,products!$A$1:$D$1,0))</f>
        <v>Rob</v>
      </c>
      <c r="J600" t="str">
        <f t="shared" si="54"/>
        <v>Robusta</v>
      </c>
      <c r="K600" t="str">
        <f>INDEX(products!$A$1:$I$49,MATCH('Conditional Fomating'!$D600,products!$A$1:$A$49,0),MATCH('Conditional Fomating'!K$1,products!$A$1:$D$1,0))</f>
        <v>M</v>
      </c>
      <c r="L600" t="str">
        <f t="shared" si="55"/>
        <v>Medium</v>
      </c>
      <c r="M600">
        <f>INDEX(products!$A$1:$I$49,MATCH('Conditional Fomating'!$D600,products!$A$1:$A$49,0),MATCH('Conditional Fomating'!M$1,products!$A$1:$D$1,0))</f>
        <v>0.2</v>
      </c>
      <c r="N600">
        <f>_xlfn.XLOOKUP(D600,products!$A$2:$A$49,products!$E$2:$E$49)</f>
        <v>2.9849999999999999</v>
      </c>
      <c r="O600">
        <f>_xlfn.XLOOKUP(D600,products!$A$2:$A$49,products!$H$2:$H$49)</f>
        <v>2.8058999999999998</v>
      </c>
      <c r="P600">
        <f t="shared" si="56"/>
        <v>11.94</v>
      </c>
      <c r="Q600">
        <f t="shared" si="57"/>
        <v>11.223599999999999</v>
      </c>
      <c r="R600">
        <f t="shared" si="58"/>
        <v>0.71640000000000015</v>
      </c>
      <c r="S600" s="4">
        <f t="shared" si="59"/>
        <v>6.0000000000000012E-2</v>
      </c>
      <c r="T600" t="str">
        <f>_xlfn.XLOOKUP(C600,customers!$A$1:$A$1001,customers!$I$1:$I$1001,,0)</f>
        <v>Yes</v>
      </c>
    </row>
    <row r="601" spans="1:20"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INDEX(products!$A$1:$I$49,MATCH('Conditional Fomating'!$D601,products!$A$1:$A$49,0),MATCH('Conditional Fomating'!I$1,products!$A$1:$D$1,0))</f>
        <v>Ara</v>
      </c>
      <c r="J601" t="str">
        <f t="shared" si="54"/>
        <v>Arabica</v>
      </c>
      <c r="K601" t="str">
        <f>INDEX(products!$A$1:$I$49,MATCH('Conditional Fomating'!$D601,products!$A$1:$A$49,0),MATCH('Conditional Fomating'!K$1,products!$A$1:$D$1,0))</f>
        <v>D</v>
      </c>
      <c r="L601" t="str">
        <f t="shared" si="55"/>
        <v>Dark</v>
      </c>
      <c r="M601">
        <f>INDEX(products!$A$1:$I$49,MATCH('Conditional Fomating'!$D601,products!$A$1:$A$49,0),MATCH('Conditional Fomating'!M$1,products!$A$1:$D$1,0))</f>
        <v>0.2</v>
      </c>
      <c r="N601">
        <f>_xlfn.XLOOKUP(D601,products!$A$2:$A$49,products!$E$2:$E$49)</f>
        <v>2.9849999999999999</v>
      </c>
      <c r="O601">
        <f>_xlfn.XLOOKUP(D601,products!$A$2:$A$49,products!$H$2:$H$49)</f>
        <v>2.7163499999999998</v>
      </c>
      <c r="P601">
        <f t="shared" si="56"/>
        <v>11.94</v>
      </c>
      <c r="Q601">
        <f t="shared" si="57"/>
        <v>10.865399999999999</v>
      </c>
      <c r="R601">
        <f t="shared" si="58"/>
        <v>1.0746000000000002</v>
      </c>
      <c r="S601" s="4">
        <f t="shared" si="59"/>
        <v>9.0000000000000024E-2</v>
      </c>
      <c r="T601" t="str">
        <f>_xlfn.XLOOKUP(C601,customers!$A$1:$A$1001,customers!$I$1:$I$1001,,0)</f>
        <v>Yes</v>
      </c>
    </row>
    <row r="602" spans="1:20"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INDEX(products!$A$1:$I$49,MATCH('Conditional Fomating'!$D602,products!$A$1:$A$49,0),MATCH('Conditional Fomating'!I$1,products!$A$1:$D$1,0))</f>
        <v>Lib</v>
      </c>
      <c r="J602" t="str">
        <f t="shared" si="54"/>
        <v>Liberica</v>
      </c>
      <c r="K602" t="str">
        <f>INDEX(products!$A$1:$I$49,MATCH('Conditional Fomating'!$D602,products!$A$1:$A$49,0),MATCH('Conditional Fomating'!K$1,products!$A$1:$D$1,0))</f>
        <v>D</v>
      </c>
      <c r="L602" t="str">
        <f t="shared" si="55"/>
        <v>Dark</v>
      </c>
      <c r="M602">
        <f>INDEX(products!$A$1:$I$49,MATCH('Conditional Fomating'!$D602,products!$A$1:$A$49,0),MATCH('Conditional Fomating'!M$1,products!$A$1:$D$1,0))</f>
        <v>0.5</v>
      </c>
      <c r="N602">
        <f>_xlfn.XLOOKUP(D602,products!$A$2:$A$49,products!$E$2:$E$49)</f>
        <v>7.77</v>
      </c>
      <c r="O602">
        <f>_xlfn.XLOOKUP(D602,products!$A$2:$A$49,products!$H$2:$H$49)</f>
        <v>6.7599</v>
      </c>
      <c r="P602">
        <f t="shared" si="56"/>
        <v>7.77</v>
      </c>
      <c r="Q602">
        <f t="shared" si="57"/>
        <v>6.7599</v>
      </c>
      <c r="R602">
        <f t="shared" si="58"/>
        <v>1.0100999999999996</v>
      </c>
      <c r="S602" s="4">
        <f t="shared" si="59"/>
        <v>0.12999999999999995</v>
      </c>
      <c r="T602" t="str">
        <f>_xlfn.XLOOKUP(C602,customers!$A$1:$A$1001,customers!$I$1:$I$1001,,0)</f>
        <v>No</v>
      </c>
    </row>
    <row r="603" spans="1:20"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INDEX(products!$A$1:$I$49,MATCH('Conditional Fomating'!$D603,products!$A$1:$A$49,0),MATCH('Conditional Fomating'!I$1,products!$A$1:$D$1,0))</f>
        <v>Rob</v>
      </c>
      <c r="J603" t="str">
        <f t="shared" si="54"/>
        <v>Robusta</v>
      </c>
      <c r="K603" t="str">
        <f>INDEX(products!$A$1:$I$49,MATCH('Conditional Fomating'!$D603,products!$A$1:$A$49,0),MATCH('Conditional Fomating'!K$1,products!$A$1:$D$1,0))</f>
        <v>L</v>
      </c>
      <c r="L603" t="str">
        <f t="shared" si="55"/>
        <v>Light</v>
      </c>
      <c r="M603">
        <f>INDEX(products!$A$1:$I$49,MATCH('Conditional Fomating'!$D603,products!$A$1:$A$49,0),MATCH('Conditional Fomating'!M$1,products!$A$1:$D$1,0))</f>
        <v>2.5</v>
      </c>
      <c r="N603">
        <f>_xlfn.XLOOKUP(D603,products!$A$2:$A$49,products!$E$2:$E$49)</f>
        <v>27.484999999999996</v>
      </c>
      <c r="O603">
        <f>_xlfn.XLOOKUP(D603,products!$A$2:$A$49,products!$H$2:$H$49)</f>
        <v>25.835899999999995</v>
      </c>
      <c r="P603">
        <f t="shared" si="56"/>
        <v>109.93999999999998</v>
      </c>
      <c r="Q603">
        <f t="shared" si="57"/>
        <v>103.34359999999998</v>
      </c>
      <c r="R603">
        <f t="shared" si="58"/>
        <v>6.5964000000000027</v>
      </c>
      <c r="S603" s="4">
        <f t="shared" si="59"/>
        <v>6.0000000000000032E-2</v>
      </c>
      <c r="T603" t="str">
        <f>_xlfn.XLOOKUP(C603,customers!$A$1:$A$1001,customers!$I$1:$I$1001,,0)</f>
        <v>Yes</v>
      </c>
    </row>
    <row r="604" spans="1:20"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INDEX(products!$A$1:$I$49,MATCH('Conditional Fomating'!$D604,products!$A$1:$A$49,0),MATCH('Conditional Fomating'!I$1,products!$A$1:$D$1,0))</f>
        <v>Exc</v>
      </c>
      <c r="J604" t="str">
        <f t="shared" si="54"/>
        <v>Excelsa</v>
      </c>
      <c r="K604" t="str">
        <f>INDEX(products!$A$1:$I$49,MATCH('Conditional Fomating'!$D604,products!$A$1:$A$49,0),MATCH('Conditional Fomating'!K$1,products!$A$1:$D$1,0))</f>
        <v>L</v>
      </c>
      <c r="L604" t="str">
        <f t="shared" si="55"/>
        <v>Light</v>
      </c>
      <c r="M604">
        <f>INDEX(products!$A$1:$I$49,MATCH('Conditional Fomating'!$D604,products!$A$1:$A$49,0),MATCH('Conditional Fomating'!M$1,products!$A$1:$D$1,0))</f>
        <v>0.2</v>
      </c>
      <c r="N604">
        <f>_xlfn.XLOOKUP(D604,products!$A$2:$A$49,products!$E$2:$E$49)</f>
        <v>4.4550000000000001</v>
      </c>
      <c r="O604">
        <f>_xlfn.XLOOKUP(D604,products!$A$2:$A$49,products!$H$2:$H$49)</f>
        <v>3.96495</v>
      </c>
      <c r="P604">
        <f t="shared" si="56"/>
        <v>22.274999999999999</v>
      </c>
      <c r="Q604">
        <f t="shared" si="57"/>
        <v>19.824750000000002</v>
      </c>
      <c r="R604">
        <f t="shared" si="58"/>
        <v>2.4502499999999969</v>
      </c>
      <c r="S604" s="4">
        <f t="shared" si="59"/>
        <v>0.10999999999999988</v>
      </c>
      <c r="T604" t="str">
        <f>_xlfn.XLOOKUP(C604,customers!$A$1:$A$1001,customers!$I$1:$I$1001,,0)</f>
        <v>Yes</v>
      </c>
    </row>
    <row r="605" spans="1:20"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INDEX(products!$A$1:$I$49,MATCH('Conditional Fomating'!$D605,products!$A$1:$A$49,0),MATCH('Conditional Fomating'!I$1,products!$A$1:$D$1,0))</f>
        <v>Rob</v>
      </c>
      <c r="J605" t="str">
        <f t="shared" si="54"/>
        <v>Robusta</v>
      </c>
      <c r="K605" t="str">
        <f>INDEX(products!$A$1:$I$49,MATCH('Conditional Fomating'!$D605,products!$A$1:$A$49,0),MATCH('Conditional Fomating'!K$1,products!$A$1:$D$1,0))</f>
        <v>M</v>
      </c>
      <c r="L605" t="str">
        <f t="shared" si="55"/>
        <v>Medium</v>
      </c>
      <c r="M605">
        <f>INDEX(products!$A$1:$I$49,MATCH('Conditional Fomating'!$D605,products!$A$1:$A$49,0),MATCH('Conditional Fomating'!M$1,products!$A$1:$D$1,0))</f>
        <v>0.2</v>
      </c>
      <c r="N605">
        <f>_xlfn.XLOOKUP(D605,products!$A$2:$A$49,products!$E$2:$E$49)</f>
        <v>2.9849999999999999</v>
      </c>
      <c r="O605">
        <f>_xlfn.XLOOKUP(D605,products!$A$2:$A$49,products!$H$2:$H$49)</f>
        <v>2.8058999999999998</v>
      </c>
      <c r="P605">
        <f t="shared" si="56"/>
        <v>8.9550000000000001</v>
      </c>
      <c r="Q605">
        <f t="shared" si="57"/>
        <v>8.4177</v>
      </c>
      <c r="R605">
        <f t="shared" si="58"/>
        <v>0.53730000000000011</v>
      </c>
      <c r="S605" s="4">
        <f t="shared" si="59"/>
        <v>6.0000000000000012E-2</v>
      </c>
      <c r="T605" t="str">
        <f>_xlfn.XLOOKUP(C605,customers!$A$1:$A$1001,customers!$I$1:$I$1001,,0)</f>
        <v>No</v>
      </c>
    </row>
    <row r="606" spans="1:20"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v>
      </c>
      <c r="H606" s="2" t="str">
        <f>_xlfn.XLOOKUP(C606,customers!$A$1:$A$1001,customers!$G$1:$G$1001,,0)</f>
        <v>Ireland</v>
      </c>
      <c r="I606" t="str">
        <f>INDEX(products!$A$1:$I$49,MATCH('Conditional Fomating'!$D606,products!$A$1:$A$49,0),MATCH('Conditional Fomating'!I$1,products!$A$1:$D$1,0))</f>
        <v>Lib</v>
      </c>
      <c r="J606" t="str">
        <f t="shared" si="54"/>
        <v>Liberica</v>
      </c>
      <c r="K606" t="str">
        <f>INDEX(products!$A$1:$I$49,MATCH('Conditional Fomating'!$D606,products!$A$1:$A$49,0),MATCH('Conditional Fomating'!K$1,products!$A$1:$D$1,0))</f>
        <v>D</v>
      </c>
      <c r="L606" t="str">
        <f t="shared" si="55"/>
        <v>Dark</v>
      </c>
      <c r="M606">
        <f>INDEX(products!$A$1:$I$49,MATCH('Conditional Fomating'!$D606,products!$A$1:$A$49,0),MATCH('Conditional Fomating'!M$1,products!$A$1:$D$1,0))</f>
        <v>2.5</v>
      </c>
      <c r="N606">
        <f>_xlfn.XLOOKUP(D606,products!$A$2:$A$49,products!$E$2:$E$49)</f>
        <v>29.784999999999997</v>
      </c>
      <c r="O606">
        <f>_xlfn.XLOOKUP(D606,products!$A$2:$A$49,products!$H$2:$H$49)</f>
        <v>25.912949999999995</v>
      </c>
      <c r="P606">
        <f t="shared" si="56"/>
        <v>119.13999999999999</v>
      </c>
      <c r="Q606">
        <f t="shared" si="57"/>
        <v>103.65179999999998</v>
      </c>
      <c r="R606">
        <f t="shared" si="58"/>
        <v>15.488200000000006</v>
      </c>
      <c r="S606" s="4">
        <f t="shared" si="59"/>
        <v>0.13000000000000006</v>
      </c>
      <c r="T606" t="str">
        <f>_xlfn.XLOOKUP(C606,customers!$A$1:$A$1001,customers!$I$1:$I$1001,,0)</f>
        <v>No</v>
      </c>
    </row>
    <row r="607" spans="1:20"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INDEX(products!$A$1:$I$49,MATCH('Conditional Fomating'!$D607,products!$A$1:$A$49,0),MATCH('Conditional Fomating'!I$1,products!$A$1:$D$1,0))</f>
        <v>Ara</v>
      </c>
      <c r="J607" t="str">
        <f t="shared" si="54"/>
        <v>Arabica</v>
      </c>
      <c r="K607" t="str">
        <f>INDEX(products!$A$1:$I$49,MATCH('Conditional Fomating'!$D607,products!$A$1:$A$49,0),MATCH('Conditional Fomating'!K$1,products!$A$1:$D$1,0))</f>
        <v>L</v>
      </c>
      <c r="L607" t="str">
        <f t="shared" si="55"/>
        <v>Light</v>
      </c>
      <c r="M607">
        <f>INDEX(products!$A$1:$I$49,MATCH('Conditional Fomating'!$D607,products!$A$1:$A$49,0),MATCH('Conditional Fomating'!M$1,products!$A$1:$D$1,0))</f>
        <v>2.5</v>
      </c>
      <c r="N607">
        <f>_xlfn.XLOOKUP(D607,products!$A$2:$A$49,products!$E$2:$E$49)</f>
        <v>29.784999999999997</v>
      </c>
      <c r="O607">
        <f>_xlfn.XLOOKUP(D607,products!$A$2:$A$49,products!$H$2:$H$49)</f>
        <v>27.104349999999997</v>
      </c>
      <c r="P607">
        <f t="shared" si="56"/>
        <v>148.92499999999998</v>
      </c>
      <c r="Q607">
        <f t="shared" si="57"/>
        <v>135.52175</v>
      </c>
      <c r="R607">
        <f t="shared" si="58"/>
        <v>13.403249999999986</v>
      </c>
      <c r="S607" s="4">
        <f t="shared" si="59"/>
        <v>8.9999999999999913E-2</v>
      </c>
      <c r="T607" t="str">
        <f>_xlfn.XLOOKUP(C607,customers!$A$1:$A$1001,customers!$I$1:$I$1001,,0)</f>
        <v>Yes</v>
      </c>
    </row>
    <row r="608" spans="1:20"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INDEX(products!$A$1:$I$49,MATCH('Conditional Fomating'!$D608,products!$A$1:$A$49,0),MATCH('Conditional Fomating'!I$1,products!$A$1:$D$1,0))</f>
        <v>Lib</v>
      </c>
      <c r="J608" t="str">
        <f t="shared" si="54"/>
        <v>Liberica</v>
      </c>
      <c r="K608" t="str">
        <f>INDEX(products!$A$1:$I$49,MATCH('Conditional Fomating'!$D608,products!$A$1:$A$49,0),MATCH('Conditional Fomating'!K$1,products!$A$1:$D$1,0))</f>
        <v>L</v>
      </c>
      <c r="L608" t="str">
        <f t="shared" si="55"/>
        <v>Light</v>
      </c>
      <c r="M608">
        <f>INDEX(products!$A$1:$I$49,MATCH('Conditional Fomating'!$D608,products!$A$1:$A$49,0),MATCH('Conditional Fomating'!M$1,products!$A$1:$D$1,0))</f>
        <v>2.5</v>
      </c>
      <c r="N608">
        <f>_xlfn.XLOOKUP(D608,products!$A$2:$A$49,products!$E$2:$E$49)</f>
        <v>36.454999999999998</v>
      </c>
      <c r="O608">
        <f>_xlfn.XLOOKUP(D608,products!$A$2:$A$49,products!$H$2:$H$49)</f>
        <v>31.71585</v>
      </c>
      <c r="P608">
        <f t="shared" si="56"/>
        <v>109.36499999999999</v>
      </c>
      <c r="Q608">
        <f t="shared" si="57"/>
        <v>95.147549999999995</v>
      </c>
      <c r="R608">
        <f t="shared" si="58"/>
        <v>14.217449999999999</v>
      </c>
      <c r="S608" s="4">
        <f t="shared" si="59"/>
        <v>0.13</v>
      </c>
      <c r="T608" t="str">
        <f>_xlfn.XLOOKUP(C608,customers!$A$1:$A$1001,customers!$I$1:$I$1001,,0)</f>
        <v>Yes</v>
      </c>
    </row>
    <row r="609" spans="1:20"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INDEX(products!$A$1:$I$49,MATCH('Conditional Fomating'!$D609,products!$A$1:$A$49,0),MATCH('Conditional Fomating'!I$1,products!$A$1:$D$1,0))</f>
        <v>Exc</v>
      </c>
      <c r="J609" t="str">
        <f t="shared" si="54"/>
        <v>Excelsa</v>
      </c>
      <c r="K609" t="str">
        <f>INDEX(products!$A$1:$I$49,MATCH('Conditional Fomating'!$D609,products!$A$1:$A$49,0),MATCH('Conditional Fomating'!K$1,products!$A$1:$D$1,0))</f>
        <v>D</v>
      </c>
      <c r="L609" t="str">
        <f t="shared" si="55"/>
        <v>Dark</v>
      </c>
      <c r="M609">
        <f>INDEX(products!$A$1:$I$49,MATCH('Conditional Fomating'!$D609,products!$A$1:$A$49,0),MATCH('Conditional Fomating'!M$1,products!$A$1:$D$1,0))</f>
        <v>0.2</v>
      </c>
      <c r="N609">
        <f>_xlfn.XLOOKUP(D609,products!$A$2:$A$49,products!$E$2:$E$49)</f>
        <v>3.645</v>
      </c>
      <c r="O609">
        <f>_xlfn.XLOOKUP(D609,products!$A$2:$A$49,products!$H$2:$H$49)</f>
        <v>3.2440500000000001</v>
      </c>
      <c r="P609">
        <f t="shared" si="56"/>
        <v>3.645</v>
      </c>
      <c r="Q609">
        <f t="shared" si="57"/>
        <v>3.2440500000000001</v>
      </c>
      <c r="R609">
        <f t="shared" si="58"/>
        <v>0.40094999999999992</v>
      </c>
      <c r="S609" s="4">
        <f t="shared" si="59"/>
        <v>0.10999999999999997</v>
      </c>
      <c r="T609" t="str">
        <f>_xlfn.XLOOKUP(C609,customers!$A$1:$A$1001,customers!$I$1:$I$1001,,0)</f>
        <v>Yes</v>
      </c>
    </row>
    <row r="610" spans="1:20"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v>
      </c>
      <c r="H610" s="2" t="str">
        <f>_xlfn.XLOOKUP(C610,customers!$A$1:$A$1001,customers!$G$1:$G$1001,,0)</f>
        <v>United States</v>
      </c>
      <c r="I610" t="str">
        <f>INDEX(products!$A$1:$I$49,MATCH('Conditional Fomating'!$D610,products!$A$1:$A$49,0),MATCH('Conditional Fomating'!I$1,products!$A$1:$D$1,0))</f>
        <v>Exc</v>
      </c>
      <c r="J610" t="str">
        <f t="shared" si="54"/>
        <v>Excelsa</v>
      </c>
      <c r="K610" t="str">
        <f>INDEX(products!$A$1:$I$49,MATCH('Conditional Fomating'!$D610,products!$A$1:$A$49,0),MATCH('Conditional Fomating'!K$1,products!$A$1:$D$1,0))</f>
        <v>D</v>
      </c>
      <c r="L610" t="str">
        <f t="shared" si="55"/>
        <v>Dark</v>
      </c>
      <c r="M610">
        <f>INDEX(products!$A$1:$I$49,MATCH('Conditional Fomating'!$D610,products!$A$1:$A$49,0),MATCH('Conditional Fomating'!M$1,products!$A$1:$D$1,0))</f>
        <v>2.5</v>
      </c>
      <c r="N610">
        <f>_xlfn.XLOOKUP(D610,products!$A$2:$A$49,products!$E$2:$E$49)</f>
        <v>27.945</v>
      </c>
      <c r="O610">
        <f>_xlfn.XLOOKUP(D610,products!$A$2:$A$49,products!$H$2:$H$49)</f>
        <v>24.87105</v>
      </c>
      <c r="P610">
        <f t="shared" si="56"/>
        <v>55.89</v>
      </c>
      <c r="Q610">
        <f t="shared" si="57"/>
        <v>49.742100000000001</v>
      </c>
      <c r="R610">
        <f t="shared" si="58"/>
        <v>6.1478999999999999</v>
      </c>
      <c r="S610" s="4">
        <f t="shared" si="59"/>
        <v>0.11</v>
      </c>
      <c r="T610" t="str">
        <f>_xlfn.XLOOKUP(C610,customers!$A$1:$A$1001,customers!$I$1:$I$1001,,0)</f>
        <v>No</v>
      </c>
    </row>
    <row r="611" spans="1:20"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INDEX(products!$A$1:$I$49,MATCH('Conditional Fomating'!$D611,products!$A$1:$A$49,0),MATCH('Conditional Fomating'!I$1,products!$A$1:$D$1,0))</f>
        <v>Lib</v>
      </c>
      <c r="J611" t="str">
        <f t="shared" si="54"/>
        <v>Liberica</v>
      </c>
      <c r="K611" t="str">
        <f>INDEX(products!$A$1:$I$49,MATCH('Conditional Fomating'!$D611,products!$A$1:$A$49,0),MATCH('Conditional Fomating'!K$1,products!$A$1:$D$1,0))</f>
        <v>M</v>
      </c>
      <c r="L611" t="str">
        <f t="shared" si="55"/>
        <v>Medium</v>
      </c>
      <c r="M611">
        <f>INDEX(products!$A$1:$I$49,MATCH('Conditional Fomating'!$D611,products!$A$1:$A$49,0),MATCH('Conditional Fomating'!M$1,products!$A$1:$D$1,0))</f>
        <v>0.2</v>
      </c>
      <c r="N611">
        <f>_xlfn.XLOOKUP(D611,products!$A$2:$A$49,products!$E$2:$E$49)</f>
        <v>4.3650000000000002</v>
      </c>
      <c r="O611">
        <f>_xlfn.XLOOKUP(D611,products!$A$2:$A$49,products!$H$2:$H$49)</f>
        <v>3.7975500000000002</v>
      </c>
      <c r="P611">
        <f t="shared" si="56"/>
        <v>26.19</v>
      </c>
      <c r="Q611">
        <f t="shared" si="57"/>
        <v>22.785299999999999</v>
      </c>
      <c r="R611">
        <f t="shared" si="58"/>
        <v>3.4047000000000018</v>
      </c>
      <c r="S611" s="4">
        <f t="shared" si="59"/>
        <v>0.13000000000000006</v>
      </c>
      <c r="T611" t="str">
        <f>_xlfn.XLOOKUP(C611,customers!$A$1:$A$1001,customers!$I$1:$I$1001,,0)</f>
        <v>Yes</v>
      </c>
    </row>
    <row r="612" spans="1:20"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INDEX(products!$A$1:$I$49,MATCH('Conditional Fomating'!$D612,products!$A$1:$A$49,0),MATCH('Conditional Fomating'!I$1,products!$A$1:$D$1,0))</f>
        <v>Rob</v>
      </c>
      <c r="J612" t="str">
        <f t="shared" si="54"/>
        <v>Robusta</v>
      </c>
      <c r="K612" t="str">
        <f>INDEX(products!$A$1:$I$49,MATCH('Conditional Fomating'!$D612,products!$A$1:$A$49,0),MATCH('Conditional Fomating'!K$1,products!$A$1:$D$1,0))</f>
        <v>M</v>
      </c>
      <c r="L612" t="str">
        <f t="shared" si="55"/>
        <v>Medium</v>
      </c>
      <c r="M612">
        <f>INDEX(products!$A$1:$I$49,MATCH('Conditional Fomating'!$D612,products!$A$1:$A$49,0),MATCH('Conditional Fomating'!M$1,products!$A$1:$D$1,0))</f>
        <v>1</v>
      </c>
      <c r="N612">
        <f>_xlfn.XLOOKUP(D612,products!$A$2:$A$49,products!$E$2:$E$49)</f>
        <v>9.9499999999999993</v>
      </c>
      <c r="O612">
        <f>_xlfn.XLOOKUP(D612,products!$A$2:$A$49,products!$H$2:$H$49)</f>
        <v>9.3529999999999998</v>
      </c>
      <c r="P612">
        <f t="shared" si="56"/>
        <v>39.799999999999997</v>
      </c>
      <c r="Q612">
        <f t="shared" si="57"/>
        <v>37.411999999999999</v>
      </c>
      <c r="R612">
        <f t="shared" si="58"/>
        <v>2.3879999999999981</v>
      </c>
      <c r="S612" s="4">
        <f t="shared" si="59"/>
        <v>5.9999999999999956E-2</v>
      </c>
      <c r="T612" t="str">
        <f>_xlfn.XLOOKUP(C612,customers!$A$1:$A$1001,customers!$I$1:$I$1001,,0)</f>
        <v>No</v>
      </c>
    </row>
    <row r="613" spans="1:20"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INDEX(products!$A$1:$I$49,MATCH('Conditional Fomating'!$D613,products!$A$1:$A$49,0),MATCH('Conditional Fomating'!I$1,products!$A$1:$D$1,0))</f>
        <v>Exc</v>
      </c>
      <c r="J613" t="str">
        <f t="shared" si="54"/>
        <v>Excelsa</v>
      </c>
      <c r="K613" t="str">
        <f>INDEX(products!$A$1:$I$49,MATCH('Conditional Fomating'!$D613,products!$A$1:$A$49,0),MATCH('Conditional Fomating'!K$1,products!$A$1:$D$1,0))</f>
        <v>L</v>
      </c>
      <c r="L613" t="str">
        <f t="shared" si="55"/>
        <v>Light</v>
      </c>
      <c r="M613">
        <f>INDEX(products!$A$1:$I$49,MATCH('Conditional Fomating'!$D613,products!$A$1:$A$49,0),MATCH('Conditional Fomating'!M$1,products!$A$1:$D$1,0))</f>
        <v>2.5</v>
      </c>
      <c r="N613">
        <f>_xlfn.XLOOKUP(D613,products!$A$2:$A$49,products!$E$2:$E$49)</f>
        <v>34.154999999999994</v>
      </c>
      <c r="O613">
        <f>_xlfn.XLOOKUP(D613,products!$A$2:$A$49,products!$H$2:$H$49)</f>
        <v>30.397949999999994</v>
      </c>
      <c r="P613">
        <f t="shared" si="56"/>
        <v>68.309999999999988</v>
      </c>
      <c r="Q613">
        <f t="shared" si="57"/>
        <v>60.795899999999989</v>
      </c>
      <c r="R613">
        <f t="shared" si="58"/>
        <v>7.5140999999999991</v>
      </c>
      <c r="S613" s="4">
        <f t="shared" si="59"/>
        <v>0.11</v>
      </c>
      <c r="T613" t="str">
        <f>_xlfn.XLOOKUP(C613,customers!$A$1:$A$1001,customers!$I$1:$I$1001,,0)</f>
        <v>No</v>
      </c>
    </row>
    <row r="614" spans="1:20"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v>
      </c>
      <c r="H614" s="2" t="str">
        <f>_xlfn.XLOOKUP(C614,customers!$A$1:$A$1001,customers!$G$1:$G$1001,,0)</f>
        <v>Ireland</v>
      </c>
      <c r="I614" t="str">
        <f>INDEX(products!$A$1:$I$49,MATCH('Conditional Fomating'!$D614,products!$A$1:$A$49,0),MATCH('Conditional Fomating'!I$1,products!$A$1:$D$1,0))</f>
        <v>Ara</v>
      </c>
      <c r="J614" t="str">
        <f t="shared" si="54"/>
        <v>Arabica</v>
      </c>
      <c r="K614" t="str">
        <f>INDEX(products!$A$1:$I$49,MATCH('Conditional Fomating'!$D614,products!$A$1:$A$49,0),MATCH('Conditional Fomating'!K$1,products!$A$1:$D$1,0))</f>
        <v>M</v>
      </c>
      <c r="L614" t="str">
        <f t="shared" si="55"/>
        <v>Medium</v>
      </c>
      <c r="M614">
        <f>INDEX(products!$A$1:$I$49,MATCH('Conditional Fomating'!$D614,products!$A$1:$A$49,0),MATCH('Conditional Fomating'!M$1,products!$A$1:$D$1,0))</f>
        <v>0.2</v>
      </c>
      <c r="N614">
        <f>_xlfn.XLOOKUP(D614,products!$A$2:$A$49,products!$E$2:$E$49)</f>
        <v>3.375</v>
      </c>
      <c r="O614">
        <f>_xlfn.XLOOKUP(D614,products!$A$2:$A$49,products!$H$2:$H$49)</f>
        <v>3.07125</v>
      </c>
      <c r="P614">
        <f t="shared" si="56"/>
        <v>13.5</v>
      </c>
      <c r="Q614">
        <f t="shared" si="57"/>
        <v>12.285</v>
      </c>
      <c r="R614">
        <f t="shared" si="58"/>
        <v>1.2149999999999999</v>
      </c>
      <c r="S614" s="4">
        <f t="shared" si="59"/>
        <v>8.9999999999999983E-2</v>
      </c>
      <c r="T614" t="str">
        <f>_xlfn.XLOOKUP(C614,customers!$A$1:$A$1001,customers!$I$1:$I$1001,,0)</f>
        <v>No</v>
      </c>
    </row>
    <row r="615" spans="1:20"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v>
      </c>
      <c r="H615" s="2" t="str">
        <f>_xlfn.XLOOKUP(C615,customers!$A$1:$A$1001,customers!$G$1:$G$1001,,0)</f>
        <v>United States</v>
      </c>
      <c r="I615" t="str">
        <f>INDEX(products!$A$1:$I$49,MATCH('Conditional Fomating'!$D615,products!$A$1:$A$49,0),MATCH('Conditional Fomating'!I$1,products!$A$1:$D$1,0))</f>
        <v>Rob</v>
      </c>
      <c r="J615" t="str">
        <f t="shared" si="54"/>
        <v>Robusta</v>
      </c>
      <c r="K615" t="str">
        <f>INDEX(products!$A$1:$I$49,MATCH('Conditional Fomating'!$D615,products!$A$1:$A$49,0),MATCH('Conditional Fomating'!K$1,products!$A$1:$D$1,0))</f>
        <v>M</v>
      </c>
      <c r="L615" t="str">
        <f t="shared" si="55"/>
        <v>Medium</v>
      </c>
      <c r="M615">
        <f>INDEX(products!$A$1:$I$49,MATCH('Conditional Fomating'!$D615,products!$A$1:$A$49,0),MATCH('Conditional Fomating'!M$1,products!$A$1:$D$1,0))</f>
        <v>0.5</v>
      </c>
      <c r="N615">
        <f>_xlfn.XLOOKUP(D615,products!$A$2:$A$49,products!$E$2:$E$49)</f>
        <v>5.97</v>
      </c>
      <c r="O615">
        <f>_xlfn.XLOOKUP(D615,products!$A$2:$A$49,products!$H$2:$H$49)</f>
        <v>5.6117999999999997</v>
      </c>
      <c r="P615">
        <f t="shared" si="56"/>
        <v>5.97</v>
      </c>
      <c r="Q615">
        <f t="shared" si="57"/>
        <v>5.6117999999999997</v>
      </c>
      <c r="R615">
        <f t="shared" si="58"/>
        <v>0.35820000000000007</v>
      </c>
      <c r="S615" s="4">
        <f t="shared" si="59"/>
        <v>6.0000000000000012E-2</v>
      </c>
      <c r="T615" t="str">
        <f>_xlfn.XLOOKUP(C615,customers!$A$1:$A$1001,customers!$I$1:$I$1001,,0)</f>
        <v>No</v>
      </c>
    </row>
    <row r="616" spans="1:20"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INDEX(products!$A$1:$I$49,MATCH('Conditional Fomating'!$D616,products!$A$1:$A$49,0),MATCH('Conditional Fomating'!I$1,products!$A$1:$D$1,0))</f>
        <v>Rob</v>
      </c>
      <c r="J616" t="str">
        <f t="shared" si="54"/>
        <v>Robusta</v>
      </c>
      <c r="K616" t="str">
        <f>INDEX(products!$A$1:$I$49,MATCH('Conditional Fomating'!$D616,products!$A$1:$A$49,0),MATCH('Conditional Fomating'!K$1,products!$A$1:$D$1,0))</f>
        <v>M</v>
      </c>
      <c r="L616" t="str">
        <f t="shared" si="55"/>
        <v>Medium</v>
      </c>
      <c r="M616">
        <f>INDEX(products!$A$1:$I$49,MATCH('Conditional Fomating'!$D616,products!$A$1:$A$49,0),MATCH('Conditional Fomating'!M$1,products!$A$1:$D$1,0))</f>
        <v>0.5</v>
      </c>
      <c r="N616">
        <f>_xlfn.XLOOKUP(D616,products!$A$2:$A$49,products!$E$2:$E$49)</f>
        <v>5.97</v>
      </c>
      <c r="O616">
        <f>_xlfn.XLOOKUP(D616,products!$A$2:$A$49,products!$H$2:$H$49)</f>
        <v>5.6117999999999997</v>
      </c>
      <c r="P616">
        <f t="shared" si="56"/>
        <v>29.849999999999998</v>
      </c>
      <c r="Q616">
        <f t="shared" si="57"/>
        <v>28.058999999999997</v>
      </c>
      <c r="R616">
        <f t="shared" si="58"/>
        <v>1.7910000000000004</v>
      </c>
      <c r="S616" s="4">
        <f t="shared" si="59"/>
        <v>6.0000000000000019E-2</v>
      </c>
      <c r="T616" t="str">
        <f>_xlfn.XLOOKUP(C616,customers!$A$1:$A$1001,customers!$I$1:$I$1001,,0)</f>
        <v>Yes</v>
      </c>
    </row>
    <row r="617" spans="1:20"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INDEX(products!$A$1:$I$49,MATCH('Conditional Fomating'!$D617,products!$A$1:$A$49,0),MATCH('Conditional Fomating'!I$1,products!$A$1:$D$1,0))</f>
        <v>Lib</v>
      </c>
      <c r="J617" t="str">
        <f t="shared" si="54"/>
        <v>Liberica</v>
      </c>
      <c r="K617" t="str">
        <f>INDEX(products!$A$1:$I$49,MATCH('Conditional Fomating'!$D617,products!$A$1:$A$49,0),MATCH('Conditional Fomating'!K$1,products!$A$1:$D$1,0))</f>
        <v>L</v>
      </c>
      <c r="L617" t="str">
        <f t="shared" si="55"/>
        <v>Light</v>
      </c>
      <c r="M617">
        <f>INDEX(products!$A$1:$I$49,MATCH('Conditional Fomating'!$D617,products!$A$1:$A$49,0),MATCH('Conditional Fomating'!M$1,products!$A$1:$D$1,0))</f>
        <v>2.5</v>
      </c>
      <c r="N617">
        <f>_xlfn.XLOOKUP(D617,products!$A$2:$A$49,products!$E$2:$E$49)</f>
        <v>36.454999999999998</v>
      </c>
      <c r="O617">
        <f>_xlfn.XLOOKUP(D617,products!$A$2:$A$49,products!$H$2:$H$49)</f>
        <v>31.71585</v>
      </c>
      <c r="P617">
        <f t="shared" si="56"/>
        <v>72.91</v>
      </c>
      <c r="Q617">
        <f t="shared" si="57"/>
        <v>63.431699999999999</v>
      </c>
      <c r="R617">
        <f t="shared" si="58"/>
        <v>9.4782999999999973</v>
      </c>
      <c r="S617" s="4">
        <f t="shared" si="59"/>
        <v>0.12999999999999998</v>
      </c>
      <c r="T617" t="str">
        <f>_xlfn.XLOOKUP(C617,customers!$A$1:$A$1001,customers!$I$1:$I$1001,,0)</f>
        <v>Yes</v>
      </c>
    </row>
    <row r="618" spans="1:20"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INDEX(products!$A$1:$I$49,MATCH('Conditional Fomating'!$D618,products!$A$1:$A$49,0),MATCH('Conditional Fomating'!I$1,products!$A$1:$D$1,0))</f>
        <v>Exc</v>
      </c>
      <c r="J618" t="str">
        <f t="shared" si="54"/>
        <v>Excelsa</v>
      </c>
      <c r="K618" t="str">
        <f>INDEX(products!$A$1:$I$49,MATCH('Conditional Fomating'!$D618,products!$A$1:$A$49,0),MATCH('Conditional Fomating'!K$1,products!$A$1:$D$1,0))</f>
        <v>M</v>
      </c>
      <c r="L618" t="str">
        <f t="shared" si="55"/>
        <v>Medium</v>
      </c>
      <c r="M618">
        <f>INDEX(products!$A$1:$I$49,MATCH('Conditional Fomating'!$D618,products!$A$1:$A$49,0),MATCH('Conditional Fomating'!M$1,products!$A$1:$D$1,0))</f>
        <v>2.5</v>
      </c>
      <c r="N618">
        <f>_xlfn.XLOOKUP(D618,products!$A$2:$A$49,products!$E$2:$E$49)</f>
        <v>31.624999999999996</v>
      </c>
      <c r="O618">
        <f>_xlfn.XLOOKUP(D618,products!$A$2:$A$49,products!$H$2:$H$49)</f>
        <v>28.146249999999995</v>
      </c>
      <c r="P618">
        <f t="shared" si="56"/>
        <v>126.49999999999999</v>
      </c>
      <c r="Q618">
        <f t="shared" si="57"/>
        <v>112.58499999999998</v>
      </c>
      <c r="R618">
        <f t="shared" si="58"/>
        <v>13.915000000000006</v>
      </c>
      <c r="S618" s="4">
        <f t="shared" si="59"/>
        <v>0.11000000000000006</v>
      </c>
      <c r="T618" t="str">
        <f>_xlfn.XLOOKUP(C618,customers!$A$1:$A$1001,customers!$I$1:$I$1001,,0)</f>
        <v>No</v>
      </c>
    </row>
    <row r="619" spans="1:20"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INDEX(products!$A$1:$I$49,MATCH('Conditional Fomating'!$D619,products!$A$1:$A$49,0),MATCH('Conditional Fomating'!I$1,products!$A$1:$D$1,0))</f>
        <v>Lib</v>
      </c>
      <c r="J619" t="str">
        <f t="shared" si="54"/>
        <v>Liberica</v>
      </c>
      <c r="K619" t="str">
        <f>INDEX(products!$A$1:$I$49,MATCH('Conditional Fomating'!$D619,products!$A$1:$A$49,0),MATCH('Conditional Fomating'!K$1,products!$A$1:$D$1,0))</f>
        <v>M</v>
      </c>
      <c r="L619" t="str">
        <f t="shared" si="55"/>
        <v>Medium</v>
      </c>
      <c r="M619">
        <f>INDEX(products!$A$1:$I$49,MATCH('Conditional Fomating'!$D619,products!$A$1:$A$49,0),MATCH('Conditional Fomating'!M$1,products!$A$1:$D$1,0))</f>
        <v>2.5</v>
      </c>
      <c r="N619">
        <f>_xlfn.XLOOKUP(D619,products!$A$2:$A$49,products!$E$2:$E$49)</f>
        <v>33.464999999999996</v>
      </c>
      <c r="O619">
        <f>_xlfn.XLOOKUP(D619,products!$A$2:$A$49,products!$H$2:$H$49)</f>
        <v>29.114549999999998</v>
      </c>
      <c r="P619">
        <f t="shared" si="56"/>
        <v>33.464999999999996</v>
      </c>
      <c r="Q619">
        <f t="shared" si="57"/>
        <v>29.114549999999998</v>
      </c>
      <c r="R619">
        <f t="shared" si="58"/>
        <v>4.3504499999999986</v>
      </c>
      <c r="S619" s="4">
        <f t="shared" si="59"/>
        <v>0.12999999999999998</v>
      </c>
      <c r="T619" t="str">
        <f>_xlfn.XLOOKUP(C619,customers!$A$1:$A$1001,customers!$I$1:$I$1001,,0)</f>
        <v>No</v>
      </c>
    </row>
    <row r="620" spans="1:20"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INDEX(products!$A$1:$I$49,MATCH('Conditional Fomating'!$D620,products!$A$1:$A$49,0),MATCH('Conditional Fomating'!I$1,products!$A$1:$D$1,0))</f>
        <v>Exc</v>
      </c>
      <c r="J620" t="str">
        <f t="shared" si="54"/>
        <v>Excelsa</v>
      </c>
      <c r="K620" t="str">
        <f>INDEX(products!$A$1:$I$49,MATCH('Conditional Fomating'!$D620,products!$A$1:$A$49,0),MATCH('Conditional Fomating'!K$1,products!$A$1:$D$1,0))</f>
        <v>D</v>
      </c>
      <c r="L620" t="str">
        <f t="shared" si="55"/>
        <v>Dark</v>
      </c>
      <c r="M620">
        <f>INDEX(products!$A$1:$I$49,MATCH('Conditional Fomating'!$D620,products!$A$1:$A$49,0),MATCH('Conditional Fomating'!M$1,products!$A$1:$D$1,0))</f>
        <v>1</v>
      </c>
      <c r="N620">
        <f>_xlfn.XLOOKUP(D620,products!$A$2:$A$49,products!$E$2:$E$49)</f>
        <v>12.15</v>
      </c>
      <c r="O620">
        <f>_xlfn.XLOOKUP(D620,products!$A$2:$A$49,products!$H$2:$H$49)</f>
        <v>10.813500000000001</v>
      </c>
      <c r="P620">
        <f t="shared" si="56"/>
        <v>72.900000000000006</v>
      </c>
      <c r="Q620">
        <f t="shared" si="57"/>
        <v>64.881</v>
      </c>
      <c r="R620">
        <f t="shared" si="58"/>
        <v>8.0190000000000055</v>
      </c>
      <c r="S620" s="4">
        <f t="shared" si="59"/>
        <v>0.11000000000000007</v>
      </c>
      <c r="T620" t="str">
        <f>_xlfn.XLOOKUP(C620,customers!$A$1:$A$1001,customers!$I$1:$I$1001,,0)</f>
        <v>Yes</v>
      </c>
    </row>
    <row r="621" spans="1:20"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INDEX(products!$A$1:$I$49,MATCH('Conditional Fomating'!$D621,products!$A$1:$A$49,0),MATCH('Conditional Fomating'!I$1,products!$A$1:$D$1,0))</f>
        <v>Lib</v>
      </c>
      <c r="J621" t="str">
        <f t="shared" si="54"/>
        <v>Liberica</v>
      </c>
      <c r="K621" t="str">
        <f>INDEX(products!$A$1:$I$49,MATCH('Conditional Fomating'!$D621,products!$A$1:$A$49,0),MATCH('Conditional Fomating'!K$1,products!$A$1:$D$1,0))</f>
        <v>D</v>
      </c>
      <c r="L621" t="str">
        <f t="shared" si="55"/>
        <v>Dark</v>
      </c>
      <c r="M621">
        <f>INDEX(products!$A$1:$I$49,MATCH('Conditional Fomating'!$D621,products!$A$1:$A$49,0),MATCH('Conditional Fomating'!M$1,products!$A$1:$D$1,0))</f>
        <v>0.5</v>
      </c>
      <c r="N621">
        <f>_xlfn.XLOOKUP(D621,products!$A$2:$A$49,products!$E$2:$E$49)</f>
        <v>7.77</v>
      </c>
      <c r="O621">
        <f>_xlfn.XLOOKUP(D621,products!$A$2:$A$49,products!$H$2:$H$49)</f>
        <v>6.7599</v>
      </c>
      <c r="P621">
        <f t="shared" si="56"/>
        <v>15.54</v>
      </c>
      <c r="Q621">
        <f t="shared" si="57"/>
        <v>13.5198</v>
      </c>
      <c r="R621">
        <f t="shared" si="58"/>
        <v>2.0201999999999991</v>
      </c>
      <c r="S621" s="4">
        <f t="shared" si="59"/>
        <v>0.12999999999999995</v>
      </c>
      <c r="T621" t="str">
        <f>_xlfn.XLOOKUP(C621,customers!$A$1:$A$1001,customers!$I$1:$I$1001,,0)</f>
        <v>Yes</v>
      </c>
    </row>
    <row r="622" spans="1:20"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INDEX(products!$A$1:$I$49,MATCH('Conditional Fomating'!$D622,products!$A$1:$A$49,0),MATCH('Conditional Fomating'!I$1,products!$A$1:$D$1,0))</f>
        <v>Ara</v>
      </c>
      <c r="J622" t="str">
        <f t="shared" si="54"/>
        <v>Arabica</v>
      </c>
      <c r="K622" t="str">
        <f>INDEX(products!$A$1:$I$49,MATCH('Conditional Fomating'!$D622,products!$A$1:$A$49,0),MATCH('Conditional Fomating'!K$1,products!$A$1:$D$1,0))</f>
        <v>M</v>
      </c>
      <c r="L622" t="str">
        <f t="shared" si="55"/>
        <v>Medium</v>
      </c>
      <c r="M622">
        <f>INDEX(products!$A$1:$I$49,MATCH('Conditional Fomating'!$D622,products!$A$1:$A$49,0),MATCH('Conditional Fomating'!M$1,products!$A$1:$D$1,0))</f>
        <v>0.2</v>
      </c>
      <c r="N622">
        <f>_xlfn.XLOOKUP(D622,products!$A$2:$A$49,products!$E$2:$E$49)</f>
        <v>3.375</v>
      </c>
      <c r="O622">
        <f>_xlfn.XLOOKUP(D622,products!$A$2:$A$49,products!$H$2:$H$49)</f>
        <v>3.07125</v>
      </c>
      <c r="P622">
        <f t="shared" si="56"/>
        <v>20.25</v>
      </c>
      <c r="Q622">
        <f t="shared" si="57"/>
        <v>18.427500000000002</v>
      </c>
      <c r="R622">
        <f t="shared" si="58"/>
        <v>1.822499999999998</v>
      </c>
      <c r="S622" s="4">
        <f t="shared" si="59"/>
        <v>8.99999999999999E-2</v>
      </c>
      <c r="T622" t="str">
        <f>_xlfn.XLOOKUP(C622,customers!$A$1:$A$1001,customers!$I$1:$I$1001,,0)</f>
        <v>No</v>
      </c>
    </row>
    <row r="623" spans="1:20"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INDEX(products!$A$1:$I$49,MATCH('Conditional Fomating'!$D623,products!$A$1:$A$49,0),MATCH('Conditional Fomating'!I$1,products!$A$1:$D$1,0))</f>
        <v>Ara</v>
      </c>
      <c r="J623" t="str">
        <f t="shared" si="54"/>
        <v>Arabica</v>
      </c>
      <c r="K623" t="str">
        <f>INDEX(products!$A$1:$I$49,MATCH('Conditional Fomating'!$D623,products!$A$1:$A$49,0),MATCH('Conditional Fomating'!K$1,products!$A$1:$D$1,0))</f>
        <v>L</v>
      </c>
      <c r="L623" t="str">
        <f t="shared" si="55"/>
        <v>Light</v>
      </c>
      <c r="M623">
        <f>INDEX(products!$A$1:$I$49,MATCH('Conditional Fomating'!$D623,products!$A$1:$A$49,0),MATCH('Conditional Fomating'!M$1,products!$A$1:$D$1,0))</f>
        <v>1</v>
      </c>
      <c r="N623">
        <f>_xlfn.XLOOKUP(D623,products!$A$2:$A$49,products!$E$2:$E$49)</f>
        <v>12.95</v>
      </c>
      <c r="O623">
        <f>_xlfn.XLOOKUP(D623,products!$A$2:$A$49,products!$H$2:$H$49)</f>
        <v>11.7845</v>
      </c>
      <c r="P623">
        <f t="shared" si="56"/>
        <v>77.699999999999989</v>
      </c>
      <c r="Q623">
        <f t="shared" si="57"/>
        <v>70.706999999999994</v>
      </c>
      <c r="R623">
        <f t="shared" si="58"/>
        <v>6.992999999999995</v>
      </c>
      <c r="S623" s="4">
        <f t="shared" si="59"/>
        <v>8.9999999999999955E-2</v>
      </c>
      <c r="T623" t="str">
        <f>_xlfn.XLOOKUP(C623,customers!$A$1:$A$1001,customers!$I$1:$I$1001,,0)</f>
        <v>No</v>
      </c>
    </row>
    <row r="624" spans="1:20"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INDEX(products!$A$1:$I$49,MATCH('Conditional Fomating'!$D624,products!$A$1:$A$49,0),MATCH('Conditional Fomating'!I$1,products!$A$1:$D$1,0))</f>
        <v>Lib</v>
      </c>
      <c r="J624" t="str">
        <f t="shared" si="54"/>
        <v>Liberica</v>
      </c>
      <c r="K624" t="str">
        <f>INDEX(products!$A$1:$I$49,MATCH('Conditional Fomating'!$D624,products!$A$1:$A$49,0),MATCH('Conditional Fomating'!K$1,products!$A$1:$D$1,0))</f>
        <v>M</v>
      </c>
      <c r="L624" t="str">
        <f t="shared" si="55"/>
        <v>Medium</v>
      </c>
      <c r="M624">
        <f>INDEX(products!$A$1:$I$49,MATCH('Conditional Fomating'!$D624,products!$A$1:$A$49,0),MATCH('Conditional Fomating'!M$1,products!$A$1:$D$1,0))</f>
        <v>2.5</v>
      </c>
      <c r="N624">
        <f>_xlfn.XLOOKUP(D624,products!$A$2:$A$49,products!$E$2:$E$49)</f>
        <v>33.464999999999996</v>
      </c>
      <c r="O624">
        <f>_xlfn.XLOOKUP(D624,products!$A$2:$A$49,products!$H$2:$H$49)</f>
        <v>29.114549999999998</v>
      </c>
      <c r="P624">
        <f t="shared" si="56"/>
        <v>133.85999999999999</v>
      </c>
      <c r="Q624">
        <f t="shared" si="57"/>
        <v>116.45819999999999</v>
      </c>
      <c r="R624">
        <f t="shared" si="58"/>
        <v>17.401799999999994</v>
      </c>
      <c r="S624" s="4">
        <f t="shared" si="59"/>
        <v>0.12999999999999998</v>
      </c>
      <c r="T624" t="str">
        <f>_xlfn.XLOOKUP(C624,customers!$A$1:$A$1001,customers!$I$1:$I$1001,,0)</f>
        <v>No</v>
      </c>
    </row>
    <row r="625" spans="1:20"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v>
      </c>
      <c r="H625" s="2" t="str">
        <f>_xlfn.XLOOKUP(C625,customers!$A$1:$A$1001,customers!$G$1:$G$1001,,0)</f>
        <v>United Kingdom</v>
      </c>
      <c r="I625" t="str">
        <f>INDEX(products!$A$1:$I$49,MATCH('Conditional Fomating'!$D625,products!$A$1:$A$49,0),MATCH('Conditional Fomating'!I$1,products!$A$1:$D$1,0))</f>
        <v>Exc</v>
      </c>
      <c r="J625" t="str">
        <f t="shared" si="54"/>
        <v>Excelsa</v>
      </c>
      <c r="K625" t="str">
        <f>INDEX(products!$A$1:$I$49,MATCH('Conditional Fomating'!$D625,products!$A$1:$A$49,0),MATCH('Conditional Fomating'!K$1,products!$A$1:$D$1,0))</f>
        <v>D</v>
      </c>
      <c r="L625" t="str">
        <f t="shared" si="55"/>
        <v>Dark</v>
      </c>
      <c r="M625">
        <f>INDEX(products!$A$1:$I$49,MATCH('Conditional Fomating'!$D625,products!$A$1:$A$49,0),MATCH('Conditional Fomating'!M$1,products!$A$1:$D$1,0))</f>
        <v>1</v>
      </c>
      <c r="N625">
        <f>_xlfn.XLOOKUP(D625,products!$A$2:$A$49,products!$E$2:$E$49)</f>
        <v>12.15</v>
      </c>
      <c r="O625">
        <f>_xlfn.XLOOKUP(D625,products!$A$2:$A$49,products!$H$2:$H$49)</f>
        <v>10.813500000000001</v>
      </c>
      <c r="P625">
        <f t="shared" si="56"/>
        <v>12.15</v>
      </c>
      <c r="Q625">
        <f t="shared" si="57"/>
        <v>10.813500000000001</v>
      </c>
      <c r="R625">
        <f t="shared" si="58"/>
        <v>1.3364999999999991</v>
      </c>
      <c r="S625" s="4">
        <f t="shared" si="59"/>
        <v>0.10999999999999993</v>
      </c>
      <c r="T625" t="str">
        <f>_xlfn.XLOOKUP(C625,customers!$A$1:$A$1001,customers!$I$1:$I$1001,,0)</f>
        <v>No</v>
      </c>
    </row>
    <row r="626" spans="1:20"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INDEX(products!$A$1:$I$49,MATCH('Conditional Fomating'!$D626,products!$A$1:$A$49,0),MATCH('Conditional Fomating'!I$1,products!$A$1:$D$1,0))</f>
        <v>Exc</v>
      </c>
      <c r="J626" t="str">
        <f t="shared" si="54"/>
        <v>Excelsa</v>
      </c>
      <c r="K626" t="str">
        <f>INDEX(products!$A$1:$I$49,MATCH('Conditional Fomating'!$D626,products!$A$1:$A$49,0),MATCH('Conditional Fomating'!K$1,products!$A$1:$D$1,0))</f>
        <v>M</v>
      </c>
      <c r="L626" t="str">
        <f t="shared" si="55"/>
        <v>Medium</v>
      </c>
      <c r="M626">
        <f>INDEX(products!$A$1:$I$49,MATCH('Conditional Fomating'!$D626,products!$A$1:$A$49,0),MATCH('Conditional Fomating'!M$1,products!$A$1:$D$1,0))</f>
        <v>2.5</v>
      </c>
      <c r="N626">
        <f>_xlfn.XLOOKUP(D626,products!$A$2:$A$49,products!$E$2:$E$49)</f>
        <v>31.624999999999996</v>
      </c>
      <c r="O626">
        <f>_xlfn.XLOOKUP(D626,products!$A$2:$A$49,products!$H$2:$H$49)</f>
        <v>28.146249999999995</v>
      </c>
      <c r="P626">
        <f t="shared" si="56"/>
        <v>63.249999999999993</v>
      </c>
      <c r="Q626">
        <f t="shared" si="57"/>
        <v>56.29249999999999</v>
      </c>
      <c r="R626">
        <f t="shared" si="58"/>
        <v>6.9575000000000031</v>
      </c>
      <c r="S626" s="4">
        <f t="shared" si="59"/>
        <v>0.11000000000000006</v>
      </c>
      <c r="T626" t="str">
        <f>_xlfn.XLOOKUP(C626,customers!$A$1:$A$1001,customers!$I$1:$I$1001,,0)</f>
        <v>Yes</v>
      </c>
    </row>
    <row r="627" spans="1:20"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INDEX(products!$A$1:$I$49,MATCH('Conditional Fomating'!$D627,products!$A$1:$A$49,0),MATCH('Conditional Fomating'!I$1,products!$A$1:$D$1,0))</f>
        <v>Rob</v>
      </c>
      <c r="J627" t="str">
        <f t="shared" si="54"/>
        <v>Robusta</v>
      </c>
      <c r="K627" t="str">
        <f>INDEX(products!$A$1:$I$49,MATCH('Conditional Fomating'!$D627,products!$A$1:$A$49,0),MATCH('Conditional Fomating'!K$1,products!$A$1:$D$1,0))</f>
        <v>L</v>
      </c>
      <c r="L627" t="str">
        <f t="shared" si="55"/>
        <v>Light</v>
      </c>
      <c r="M627">
        <f>INDEX(products!$A$1:$I$49,MATCH('Conditional Fomating'!$D627,products!$A$1:$A$49,0),MATCH('Conditional Fomating'!M$1,products!$A$1:$D$1,0))</f>
        <v>0.5</v>
      </c>
      <c r="N627">
        <f>_xlfn.XLOOKUP(D627,products!$A$2:$A$49,products!$E$2:$E$49)</f>
        <v>7.169999999999999</v>
      </c>
      <c r="O627">
        <f>_xlfn.XLOOKUP(D627,products!$A$2:$A$49,products!$H$2:$H$49)</f>
        <v>6.7397999999999989</v>
      </c>
      <c r="P627">
        <f t="shared" si="56"/>
        <v>35.849999999999994</v>
      </c>
      <c r="Q627">
        <f t="shared" si="57"/>
        <v>33.698999999999998</v>
      </c>
      <c r="R627">
        <f t="shared" si="58"/>
        <v>2.1509999999999962</v>
      </c>
      <c r="S627" s="4">
        <f t="shared" si="59"/>
        <v>5.9999999999999908E-2</v>
      </c>
      <c r="T627" t="str">
        <f>_xlfn.XLOOKUP(C627,customers!$A$1:$A$1001,customers!$I$1:$I$1001,,0)</f>
        <v>No</v>
      </c>
    </row>
    <row r="628" spans="1:20"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INDEX(products!$A$1:$I$49,MATCH('Conditional Fomating'!$D628,products!$A$1:$A$49,0),MATCH('Conditional Fomating'!I$1,products!$A$1:$D$1,0))</f>
        <v>Ara</v>
      </c>
      <c r="J628" t="str">
        <f t="shared" si="54"/>
        <v>Arabica</v>
      </c>
      <c r="K628" t="str">
        <f>INDEX(products!$A$1:$I$49,MATCH('Conditional Fomating'!$D628,products!$A$1:$A$49,0),MATCH('Conditional Fomating'!K$1,products!$A$1:$D$1,0))</f>
        <v>M</v>
      </c>
      <c r="L628" t="str">
        <f t="shared" si="55"/>
        <v>Medium</v>
      </c>
      <c r="M628">
        <f>INDEX(products!$A$1:$I$49,MATCH('Conditional Fomating'!$D628,products!$A$1:$A$49,0),MATCH('Conditional Fomating'!M$1,products!$A$1:$D$1,0))</f>
        <v>2.5</v>
      </c>
      <c r="N628">
        <f>_xlfn.XLOOKUP(D628,products!$A$2:$A$49,products!$E$2:$E$49)</f>
        <v>25.874999999999996</v>
      </c>
      <c r="O628">
        <f>_xlfn.XLOOKUP(D628,products!$A$2:$A$49,products!$H$2:$H$49)</f>
        <v>23.546249999999997</v>
      </c>
      <c r="P628">
        <f t="shared" si="56"/>
        <v>77.624999999999986</v>
      </c>
      <c r="Q628">
        <f t="shared" si="57"/>
        <v>70.638749999999987</v>
      </c>
      <c r="R628">
        <f t="shared" si="58"/>
        <v>6.9862499999999983</v>
      </c>
      <c r="S628" s="4">
        <f t="shared" si="59"/>
        <v>0.09</v>
      </c>
      <c r="T628" t="str">
        <f>_xlfn.XLOOKUP(C628,customers!$A$1:$A$1001,customers!$I$1:$I$1001,,0)</f>
        <v>No</v>
      </c>
    </row>
    <row r="629" spans="1:20"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INDEX(products!$A$1:$I$49,MATCH('Conditional Fomating'!$D629,products!$A$1:$A$49,0),MATCH('Conditional Fomating'!I$1,products!$A$1:$D$1,0))</f>
        <v>Exc</v>
      </c>
      <c r="J629" t="str">
        <f t="shared" si="54"/>
        <v>Excelsa</v>
      </c>
      <c r="K629" t="str">
        <f>INDEX(products!$A$1:$I$49,MATCH('Conditional Fomating'!$D629,products!$A$1:$A$49,0),MATCH('Conditional Fomating'!K$1,products!$A$1:$D$1,0))</f>
        <v>M</v>
      </c>
      <c r="L629" t="str">
        <f t="shared" si="55"/>
        <v>Medium</v>
      </c>
      <c r="M629">
        <f>INDEX(products!$A$1:$I$49,MATCH('Conditional Fomating'!$D629,products!$A$1:$A$49,0),MATCH('Conditional Fomating'!M$1,products!$A$1:$D$1,0))</f>
        <v>2.5</v>
      </c>
      <c r="N629">
        <f>_xlfn.XLOOKUP(D629,products!$A$2:$A$49,products!$E$2:$E$49)</f>
        <v>31.624999999999996</v>
      </c>
      <c r="O629">
        <f>_xlfn.XLOOKUP(D629,products!$A$2:$A$49,products!$H$2:$H$49)</f>
        <v>28.146249999999995</v>
      </c>
      <c r="P629">
        <f t="shared" si="56"/>
        <v>63.249999999999993</v>
      </c>
      <c r="Q629">
        <f t="shared" si="57"/>
        <v>56.29249999999999</v>
      </c>
      <c r="R629">
        <f t="shared" si="58"/>
        <v>6.9575000000000031</v>
      </c>
      <c r="S629" s="4">
        <f t="shared" si="59"/>
        <v>0.11000000000000006</v>
      </c>
      <c r="T629" t="str">
        <f>_xlfn.XLOOKUP(C629,customers!$A$1:$A$1001,customers!$I$1:$I$1001,,0)</f>
        <v>Yes</v>
      </c>
    </row>
    <row r="630" spans="1:20"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INDEX(products!$A$1:$I$49,MATCH('Conditional Fomating'!$D630,products!$A$1:$A$49,0),MATCH('Conditional Fomating'!I$1,products!$A$1:$D$1,0))</f>
        <v>Exc</v>
      </c>
      <c r="J630" t="str">
        <f t="shared" si="54"/>
        <v>Excelsa</v>
      </c>
      <c r="K630" t="str">
        <f>INDEX(products!$A$1:$I$49,MATCH('Conditional Fomating'!$D630,products!$A$1:$A$49,0),MATCH('Conditional Fomating'!K$1,products!$A$1:$D$1,0))</f>
        <v>L</v>
      </c>
      <c r="L630" t="str">
        <f t="shared" si="55"/>
        <v>Light</v>
      </c>
      <c r="M630">
        <f>INDEX(products!$A$1:$I$49,MATCH('Conditional Fomating'!$D630,products!$A$1:$A$49,0),MATCH('Conditional Fomating'!M$1,products!$A$1:$D$1,0))</f>
        <v>0.2</v>
      </c>
      <c r="N630">
        <f>_xlfn.XLOOKUP(D630,products!$A$2:$A$49,products!$E$2:$E$49)</f>
        <v>4.4550000000000001</v>
      </c>
      <c r="O630">
        <f>_xlfn.XLOOKUP(D630,products!$A$2:$A$49,products!$H$2:$H$49)</f>
        <v>3.96495</v>
      </c>
      <c r="P630">
        <f t="shared" si="56"/>
        <v>26.73</v>
      </c>
      <c r="Q630">
        <f t="shared" si="57"/>
        <v>23.7897</v>
      </c>
      <c r="R630">
        <f t="shared" si="58"/>
        <v>2.9403000000000006</v>
      </c>
      <c r="S630" s="4">
        <f t="shared" si="59"/>
        <v>0.11000000000000001</v>
      </c>
      <c r="T630" t="str">
        <f>_xlfn.XLOOKUP(C630,customers!$A$1:$A$1001,customers!$I$1:$I$1001,,0)</f>
        <v>Yes</v>
      </c>
    </row>
    <row r="631" spans="1:20"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INDEX(products!$A$1:$I$49,MATCH('Conditional Fomating'!$D631,products!$A$1:$A$49,0),MATCH('Conditional Fomating'!I$1,products!$A$1:$D$1,0))</f>
        <v>Lib</v>
      </c>
      <c r="J631" t="str">
        <f t="shared" si="54"/>
        <v>Liberica</v>
      </c>
      <c r="K631" t="str">
        <f>INDEX(products!$A$1:$I$49,MATCH('Conditional Fomating'!$D631,products!$A$1:$A$49,0),MATCH('Conditional Fomating'!K$1,products!$A$1:$D$1,0))</f>
        <v>D</v>
      </c>
      <c r="L631" t="str">
        <f t="shared" si="55"/>
        <v>Dark</v>
      </c>
      <c r="M631">
        <f>INDEX(products!$A$1:$I$49,MATCH('Conditional Fomating'!$D631,products!$A$1:$A$49,0),MATCH('Conditional Fomating'!M$1,products!$A$1:$D$1,0))</f>
        <v>0.5</v>
      </c>
      <c r="N631">
        <f>_xlfn.XLOOKUP(D631,products!$A$2:$A$49,products!$E$2:$E$49)</f>
        <v>7.77</v>
      </c>
      <c r="O631">
        <f>_xlfn.XLOOKUP(D631,products!$A$2:$A$49,products!$H$2:$H$49)</f>
        <v>6.7599</v>
      </c>
      <c r="P631">
        <f t="shared" si="56"/>
        <v>31.08</v>
      </c>
      <c r="Q631">
        <f t="shared" si="57"/>
        <v>27.0396</v>
      </c>
      <c r="R631">
        <f t="shared" si="58"/>
        <v>4.0403999999999982</v>
      </c>
      <c r="S631" s="4">
        <f t="shared" si="59"/>
        <v>0.12999999999999995</v>
      </c>
      <c r="T631" t="str">
        <f>_xlfn.XLOOKUP(C631,customers!$A$1:$A$1001,customers!$I$1:$I$1001,,0)</f>
        <v>Yes</v>
      </c>
    </row>
    <row r="632" spans="1:20"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INDEX(products!$A$1:$I$49,MATCH('Conditional Fomating'!$D632,products!$A$1:$A$49,0),MATCH('Conditional Fomating'!I$1,products!$A$1:$D$1,0))</f>
        <v>Ara</v>
      </c>
      <c r="J632" t="str">
        <f t="shared" si="54"/>
        <v>Arabica</v>
      </c>
      <c r="K632" t="str">
        <f>INDEX(products!$A$1:$I$49,MATCH('Conditional Fomating'!$D632,products!$A$1:$A$49,0),MATCH('Conditional Fomating'!K$1,products!$A$1:$D$1,0))</f>
        <v>D</v>
      </c>
      <c r="L632" t="str">
        <f t="shared" si="55"/>
        <v>Dark</v>
      </c>
      <c r="M632">
        <f>INDEX(products!$A$1:$I$49,MATCH('Conditional Fomating'!$D632,products!$A$1:$A$49,0),MATCH('Conditional Fomating'!M$1,products!$A$1:$D$1,0))</f>
        <v>0.2</v>
      </c>
      <c r="N632">
        <f>_xlfn.XLOOKUP(D632,products!$A$2:$A$49,products!$E$2:$E$49)</f>
        <v>2.9849999999999999</v>
      </c>
      <c r="O632">
        <f>_xlfn.XLOOKUP(D632,products!$A$2:$A$49,products!$H$2:$H$49)</f>
        <v>2.7163499999999998</v>
      </c>
      <c r="P632">
        <f t="shared" si="56"/>
        <v>2.9849999999999999</v>
      </c>
      <c r="Q632">
        <f t="shared" si="57"/>
        <v>2.7163499999999998</v>
      </c>
      <c r="R632">
        <f t="shared" si="58"/>
        <v>0.26865000000000006</v>
      </c>
      <c r="S632" s="4">
        <f t="shared" si="59"/>
        <v>9.0000000000000024E-2</v>
      </c>
      <c r="T632" t="str">
        <f>_xlfn.XLOOKUP(C632,customers!$A$1:$A$1001,customers!$I$1:$I$1001,,0)</f>
        <v>Yes</v>
      </c>
    </row>
    <row r="633" spans="1:20"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INDEX(products!$A$1:$I$49,MATCH('Conditional Fomating'!$D633,products!$A$1:$A$49,0),MATCH('Conditional Fomating'!I$1,products!$A$1:$D$1,0))</f>
        <v>Rob</v>
      </c>
      <c r="J633" t="str">
        <f t="shared" si="54"/>
        <v>Robusta</v>
      </c>
      <c r="K633" t="str">
        <f>INDEX(products!$A$1:$I$49,MATCH('Conditional Fomating'!$D633,products!$A$1:$A$49,0),MATCH('Conditional Fomating'!K$1,products!$A$1:$D$1,0))</f>
        <v>D</v>
      </c>
      <c r="L633" t="str">
        <f t="shared" si="55"/>
        <v>Dark</v>
      </c>
      <c r="M633">
        <f>INDEX(products!$A$1:$I$49,MATCH('Conditional Fomating'!$D633,products!$A$1:$A$49,0),MATCH('Conditional Fomating'!M$1,products!$A$1:$D$1,0))</f>
        <v>2.5</v>
      </c>
      <c r="N633">
        <f>_xlfn.XLOOKUP(D633,products!$A$2:$A$49,products!$E$2:$E$49)</f>
        <v>20.584999999999997</v>
      </c>
      <c r="O633">
        <f>_xlfn.XLOOKUP(D633,products!$A$2:$A$49,products!$H$2:$H$49)</f>
        <v>19.349899999999998</v>
      </c>
      <c r="P633">
        <f t="shared" si="56"/>
        <v>102.92499999999998</v>
      </c>
      <c r="Q633">
        <f t="shared" si="57"/>
        <v>96.749499999999983</v>
      </c>
      <c r="R633">
        <f t="shared" si="58"/>
        <v>6.1754999999999995</v>
      </c>
      <c r="S633" s="4">
        <f t="shared" si="59"/>
        <v>6.0000000000000005E-2</v>
      </c>
      <c r="T633" t="str">
        <f>_xlfn.XLOOKUP(C633,customers!$A$1:$A$1001,customers!$I$1:$I$1001,,0)</f>
        <v>Yes</v>
      </c>
    </row>
    <row r="634" spans="1:20"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INDEX(products!$A$1:$I$49,MATCH('Conditional Fomating'!$D634,products!$A$1:$A$49,0),MATCH('Conditional Fomating'!I$1,products!$A$1:$D$1,0))</f>
        <v>Exc</v>
      </c>
      <c r="J634" t="str">
        <f t="shared" si="54"/>
        <v>Excelsa</v>
      </c>
      <c r="K634" t="str">
        <f>INDEX(products!$A$1:$I$49,MATCH('Conditional Fomating'!$D634,products!$A$1:$A$49,0),MATCH('Conditional Fomating'!K$1,products!$A$1:$D$1,0))</f>
        <v>L</v>
      </c>
      <c r="L634" t="str">
        <f t="shared" si="55"/>
        <v>Light</v>
      </c>
      <c r="M634">
        <f>INDEX(products!$A$1:$I$49,MATCH('Conditional Fomating'!$D634,products!$A$1:$A$49,0),MATCH('Conditional Fomating'!M$1,products!$A$1:$D$1,0))</f>
        <v>0.5</v>
      </c>
      <c r="N634">
        <f>_xlfn.XLOOKUP(D634,products!$A$2:$A$49,products!$E$2:$E$49)</f>
        <v>8.91</v>
      </c>
      <c r="O634">
        <f>_xlfn.XLOOKUP(D634,products!$A$2:$A$49,products!$H$2:$H$49)</f>
        <v>7.9298999999999999</v>
      </c>
      <c r="P634">
        <f t="shared" si="56"/>
        <v>35.64</v>
      </c>
      <c r="Q634">
        <f t="shared" si="57"/>
        <v>31.7196</v>
      </c>
      <c r="R634">
        <f t="shared" si="58"/>
        <v>3.9204000000000008</v>
      </c>
      <c r="S634" s="4">
        <f t="shared" si="59"/>
        <v>0.11000000000000001</v>
      </c>
      <c r="T634" t="str">
        <f>_xlfn.XLOOKUP(C634,customers!$A$1:$A$1001,customers!$I$1:$I$1001,,0)</f>
        <v>No</v>
      </c>
    </row>
    <row r="635" spans="1:20"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INDEX(products!$A$1:$I$49,MATCH('Conditional Fomating'!$D635,products!$A$1:$A$49,0),MATCH('Conditional Fomating'!I$1,products!$A$1:$D$1,0))</f>
        <v>Rob</v>
      </c>
      <c r="J635" t="str">
        <f t="shared" si="54"/>
        <v>Robusta</v>
      </c>
      <c r="K635" t="str">
        <f>INDEX(products!$A$1:$I$49,MATCH('Conditional Fomating'!$D635,products!$A$1:$A$49,0),MATCH('Conditional Fomating'!K$1,products!$A$1:$D$1,0))</f>
        <v>L</v>
      </c>
      <c r="L635" t="str">
        <f t="shared" si="55"/>
        <v>Light</v>
      </c>
      <c r="M635">
        <f>INDEX(products!$A$1:$I$49,MATCH('Conditional Fomating'!$D635,products!$A$1:$A$49,0),MATCH('Conditional Fomating'!M$1,products!$A$1:$D$1,0))</f>
        <v>1</v>
      </c>
      <c r="N635">
        <f>_xlfn.XLOOKUP(D635,products!$A$2:$A$49,products!$E$2:$E$49)</f>
        <v>11.95</v>
      </c>
      <c r="O635">
        <f>_xlfn.XLOOKUP(D635,products!$A$2:$A$49,products!$H$2:$H$49)</f>
        <v>11.232999999999999</v>
      </c>
      <c r="P635">
        <f t="shared" si="56"/>
        <v>47.8</v>
      </c>
      <c r="Q635">
        <f t="shared" si="57"/>
        <v>44.931999999999995</v>
      </c>
      <c r="R635">
        <f t="shared" si="58"/>
        <v>2.8680000000000021</v>
      </c>
      <c r="S635" s="4">
        <f t="shared" si="59"/>
        <v>6.0000000000000046E-2</v>
      </c>
      <c r="T635" t="str">
        <f>_xlfn.XLOOKUP(C635,customers!$A$1:$A$1001,customers!$I$1:$I$1001,,0)</f>
        <v>No</v>
      </c>
    </row>
    <row r="636" spans="1:20"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INDEX(products!$A$1:$I$49,MATCH('Conditional Fomating'!$D636,products!$A$1:$A$49,0),MATCH('Conditional Fomating'!I$1,products!$A$1:$D$1,0))</f>
        <v>Lib</v>
      </c>
      <c r="J636" t="str">
        <f t="shared" si="54"/>
        <v>Liberica</v>
      </c>
      <c r="K636" t="str">
        <f>INDEX(products!$A$1:$I$49,MATCH('Conditional Fomating'!$D636,products!$A$1:$A$49,0),MATCH('Conditional Fomating'!K$1,products!$A$1:$D$1,0))</f>
        <v>M</v>
      </c>
      <c r="L636" t="str">
        <f t="shared" si="55"/>
        <v>Medium</v>
      </c>
      <c r="M636">
        <f>INDEX(products!$A$1:$I$49,MATCH('Conditional Fomating'!$D636,products!$A$1:$A$49,0),MATCH('Conditional Fomating'!M$1,products!$A$1:$D$1,0))</f>
        <v>1</v>
      </c>
      <c r="N636">
        <f>_xlfn.XLOOKUP(D636,products!$A$2:$A$49,products!$E$2:$E$49)</f>
        <v>14.55</v>
      </c>
      <c r="O636">
        <f>_xlfn.XLOOKUP(D636,products!$A$2:$A$49,products!$H$2:$H$49)</f>
        <v>12.6585</v>
      </c>
      <c r="P636">
        <f t="shared" si="56"/>
        <v>43.650000000000006</v>
      </c>
      <c r="Q636">
        <f t="shared" si="57"/>
        <v>37.975499999999997</v>
      </c>
      <c r="R636">
        <f t="shared" si="58"/>
        <v>5.674500000000009</v>
      </c>
      <c r="S636" s="4">
        <f t="shared" si="59"/>
        <v>0.1300000000000002</v>
      </c>
      <c r="T636" t="str">
        <f>_xlfn.XLOOKUP(C636,customers!$A$1:$A$1001,customers!$I$1:$I$1001,,0)</f>
        <v>No</v>
      </c>
    </row>
    <row r="637" spans="1:20"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INDEX(products!$A$1:$I$49,MATCH('Conditional Fomating'!$D637,products!$A$1:$A$49,0),MATCH('Conditional Fomating'!I$1,products!$A$1:$D$1,0))</f>
        <v>Exc</v>
      </c>
      <c r="J637" t="str">
        <f t="shared" si="54"/>
        <v>Excelsa</v>
      </c>
      <c r="K637" t="str">
        <f>INDEX(products!$A$1:$I$49,MATCH('Conditional Fomating'!$D637,products!$A$1:$A$49,0),MATCH('Conditional Fomating'!K$1,products!$A$1:$D$1,0))</f>
        <v>L</v>
      </c>
      <c r="L637" t="str">
        <f t="shared" si="55"/>
        <v>Light</v>
      </c>
      <c r="M637">
        <f>INDEX(products!$A$1:$I$49,MATCH('Conditional Fomating'!$D637,products!$A$1:$A$49,0),MATCH('Conditional Fomating'!M$1,products!$A$1:$D$1,0))</f>
        <v>0.5</v>
      </c>
      <c r="N637">
        <f>_xlfn.XLOOKUP(D637,products!$A$2:$A$49,products!$E$2:$E$49)</f>
        <v>8.91</v>
      </c>
      <c r="O637">
        <f>_xlfn.XLOOKUP(D637,products!$A$2:$A$49,products!$H$2:$H$49)</f>
        <v>7.9298999999999999</v>
      </c>
      <c r="P637">
        <f t="shared" si="56"/>
        <v>35.64</v>
      </c>
      <c r="Q637">
        <f t="shared" si="57"/>
        <v>31.7196</v>
      </c>
      <c r="R637">
        <f t="shared" si="58"/>
        <v>3.9204000000000008</v>
      </c>
      <c r="S637" s="4">
        <f t="shared" si="59"/>
        <v>0.11000000000000001</v>
      </c>
      <c r="T637" t="str">
        <f>_xlfn.XLOOKUP(C637,customers!$A$1:$A$1001,customers!$I$1:$I$1001,,0)</f>
        <v>Yes</v>
      </c>
    </row>
    <row r="638" spans="1:20"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INDEX(products!$A$1:$I$49,MATCH('Conditional Fomating'!$D638,products!$A$1:$A$49,0),MATCH('Conditional Fomating'!I$1,products!$A$1:$D$1,0))</f>
        <v>Lib</v>
      </c>
      <c r="J638" t="str">
        <f t="shared" si="54"/>
        <v>Liberica</v>
      </c>
      <c r="K638" t="str">
        <f>INDEX(products!$A$1:$I$49,MATCH('Conditional Fomating'!$D638,products!$A$1:$A$49,0),MATCH('Conditional Fomating'!K$1,products!$A$1:$D$1,0))</f>
        <v>L</v>
      </c>
      <c r="L638" t="str">
        <f t="shared" si="55"/>
        <v>Light</v>
      </c>
      <c r="M638">
        <f>INDEX(products!$A$1:$I$49,MATCH('Conditional Fomating'!$D638,products!$A$1:$A$49,0),MATCH('Conditional Fomating'!M$1,products!$A$1:$D$1,0))</f>
        <v>1</v>
      </c>
      <c r="N638">
        <f>_xlfn.XLOOKUP(D638,products!$A$2:$A$49,products!$E$2:$E$49)</f>
        <v>15.85</v>
      </c>
      <c r="O638">
        <f>_xlfn.XLOOKUP(D638,products!$A$2:$A$49,products!$H$2:$H$49)</f>
        <v>13.7895</v>
      </c>
      <c r="P638">
        <f t="shared" si="56"/>
        <v>95.1</v>
      </c>
      <c r="Q638">
        <f t="shared" si="57"/>
        <v>82.736999999999995</v>
      </c>
      <c r="R638">
        <f t="shared" si="58"/>
        <v>12.363</v>
      </c>
      <c r="S638" s="4">
        <f t="shared" si="59"/>
        <v>0.13</v>
      </c>
      <c r="T638" t="str">
        <f>_xlfn.XLOOKUP(C638,customers!$A$1:$A$1001,customers!$I$1:$I$1001,,0)</f>
        <v>Yes</v>
      </c>
    </row>
    <row r="639" spans="1:20"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INDEX(products!$A$1:$I$49,MATCH('Conditional Fomating'!$D639,products!$A$1:$A$49,0),MATCH('Conditional Fomating'!I$1,products!$A$1:$D$1,0))</f>
        <v>Exc</v>
      </c>
      <c r="J639" t="str">
        <f t="shared" si="54"/>
        <v>Excelsa</v>
      </c>
      <c r="K639" t="str">
        <f>INDEX(products!$A$1:$I$49,MATCH('Conditional Fomating'!$D639,products!$A$1:$A$49,0),MATCH('Conditional Fomating'!K$1,products!$A$1:$D$1,0))</f>
        <v>M</v>
      </c>
      <c r="L639" t="str">
        <f t="shared" si="55"/>
        <v>Medium</v>
      </c>
      <c r="M639">
        <f>INDEX(products!$A$1:$I$49,MATCH('Conditional Fomating'!$D639,products!$A$1:$A$49,0),MATCH('Conditional Fomating'!M$1,products!$A$1:$D$1,0))</f>
        <v>2.5</v>
      </c>
      <c r="N639">
        <f>_xlfn.XLOOKUP(D639,products!$A$2:$A$49,products!$E$2:$E$49)</f>
        <v>31.624999999999996</v>
      </c>
      <c r="O639">
        <f>_xlfn.XLOOKUP(D639,products!$A$2:$A$49,products!$H$2:$H$49)</f>
        <v>28.146249999999995</v>
      </c>
      <c r="P639">
        <f t="shared" si="56"/>
        <v>31.624999999999996</v>
      </c>
      <c r="Q639">
        <f t="shared" si="57"/>
        <v>28.146249999999995</v>
      </c>
      <c r="R639">
        <f t="shared" si="58"/>
        <v>3.4787500000000016</v>
      </c>
      <c r="S639" s="4">
        <f t="shared" si="59"/>
        <v>0.11000000000000006</v>
      </c>
      <c r="T639" t="str">
        <f>_xlfn.XLOOKUP(C639,customers!$A$1:$A$1001,customers!$I$1:$I$1001,,0)</f>
        <v>Yes</v>
      </c>
    </row>
    <row r="640" spans="1:20"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v>
      </c>
      <c r="H640" s="2" t="str">
        <f>_xlfn.XLOOKUP(C640,customers!$A$1:$A$1001,customers!$G$1:$G$1001,,0)</f>
        <v>Ireland</v>
      </c>
      <c r="I640" t="str">
        <f>INDEX(products!$A$1:$I$49,MATCH('Conditional Fomating'!$D640,products!$A$1:$A$49,0),MATCH('Conditional Fomating'!I$1,products!$A$1:$D$1,0))</f>
        <v>Ara</v>
      </c>
      <c r="J640" t="str">
        <f t="shared" si="54"/>
        <v>Arabica</v>
      </c>
      <c r="K640" t="str">
        <f>INDEX(products!$A$1:$I$49,MATCH('Conditional Fomating'!$D640,products!$A$1:$A$49,0),MATCH('Conditional Fomating'!K$1,products!$A$1:$D$1,0))</f>
        <v>M</v>
      </c>
      <c r="L640" t="str">
        <f t="shared" si="55"/>
        <v>Medium</v>
      </c>
      <c r="M640">
        <f>INDEX(products!$A$1:$I$49,MATCH('Conditional Fomating'!$D640,products!$A$1:$A$49,0),MATCH('Conditional Fomating'!M$1,products!$A$1:$D$1,0))</f>
        <v>2.5</v>
      </c>
      <c r="N640">
        <f>_xlfn.XLOOKUP(D640,products!$A$2:$A$49,products!$E$2:$E$49)</f>
        <v>25.874999999999996</v>
      </c>
      <c r="O640">
        <f>_xlfn.XLOOKUP(D640,products!$A$2:$A$49,products!$H$2:$H$49)</f>
        <v>23.546249999999997</v>
      </c>
      <c r="P640">
        <f t="shared" si="56"/>
        <v>77.624999999999986</v>
      </c>
      <c r="Q640">
        <f t="shared" si="57"/>
        <v>70.638749999999987</v>
      </c>
      <c r="R640">
        <f t="shared" si="58"/>
        <v>6.9862499999999983</v>
      </c>
      <c r="S640" s="4">
        <f t="shared" si="59"/>
        <v>0.09</v>
      </c>
      <c r="T640" t="str">
        <f>_xlfn.XLOOKUP(C640,customers!$A$1:$A$1001,customers!$I$1:$I$1001,,0)</f>
        <v>Yes</v>
      </c>
    </row>
    <row r="641" spans="1:20"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INDEX(products!$A$1:$I$49,MATCH('Conditional Fomating'!$D641,products!$A$1:$A$49,0),MATCH('Conditional Fomating'!I$1,products!$A$1:$D$1,0))</f>
        <v>Lib</v>
      </c>
      <c r="J641" t="str">
        <f t="shared" si="54"/>
        <v>Liberica</v>
      </c>
      <c r="K641" t="str">
        <f>INDEX(products!$A$1:$I$49,MATCH('Conditional Fomating'!$D641,products!$A$1:$A$49,0),MATCH('Conditional Fomating'!K$1,products!$A$1:$D$1,0))</f>
        <v>D</v>
      </c>
      <c r="L641" t="str">
        <f t="shared" si="55"/>
        <v>Dark</v>
      </c>
      <c r="M641">
        <f>INDEX(products!$A$1:$I$49,MATCH('Conditional Fomating'!$D641,products!$A$1:$A$49,0),MATCH('Conditional Fomating'!M$1,products!$A$1:$D$1,0))</f>
        <v>0.2</v>
      </c>
      <c r="N641">
        <f>_xlfn.XLOOKUP(D641,products!$A$2:$A$49,products!$E$2:$E$49)</f>
        <v>3.8849999999999998</v>
      </c>
      <c r="O641">
        <f>_xlfn.XLOOKUP(D641,products!$A$2:$A$49,products!$H$2:$H$49)</f>
        <v>3.37995</v>
      </c>
      <c r="P641">
        <f t="shared" si="56"/>
        <v>3.8849999999999998</v>
      </c>
      <c r="Q641">
        <f t="shared" si="57"/>
        <v>3.37995</v>
      </c>
      <c r="R641">
        <f t="shared" si="58"/>
        <v>0.50504999999999978</v>
      </c>
      <c r="S641" s="4">
        <f t="shared" si="59"/>
        <v>0.12999999999999995</v>
      </c>
      <c r="T641" t="str">
        <f>_xlfn.XLOOKUP(C641,customers!$A$1:$A$1001,customers!$I$1:$I$1001,,0)</f>
        <v>Yes</v>
      </c>
    </row>
    <row r="642" spans="1:20"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INDEX(products!$A$1:$I$49,MATCH('Conditional Fomating'!$D642,products!$A$1:$A$49,0),MATCH('Conditional Fomating'!I$1,products!$A$1:$D$1,0))</f>
        <v>Rob</v>
      </c>
      <c r="J642" t="str">
        <f t="shared" si="54"/>
        <v>Robusta</v>
      </c>
      <c r="K642" t="str">
        <f>INDEX(products!$A$1:$I$49,MATCH('Conditional Fomating'!$D642,products!$A$1:$A$49,0),MATCH('Conditional Fomating'!K$1,products!$A$1:$D$1,0))</f>
        <v>L</v>
      </c>
      <c r="L642" t="str">
        <f t="shared" si="55"/>
        <v>Light</v>
      </c>
      <c r="M642">
        <f>INDEX(products!$A$1:$I$49,MATCH('Conditional Fomating'!$D642,products!$A$1:$A$49,0),MATCH('Conditional Fomating'!M$1,products!$A$1:$D$1,0))</f>
        <v>2.5</v>
      </c>
      <c r="N642">
        <f>_xlfn.XLOOKUP(D642,products!$A$2:$A$49,products!$E$2:$E$49)</f>
        <v>27.484999999999996</v>
      </c>
      <c r="O642">
        <f>_xlfn.XLOOKUP(D642,products!$A$2:$A$49,products!$H$2:$H$49)</f>
        <v>25.835899999999995</v>
      </c>
      <c r="P642">
        <f t="shared" si="56"/>
        <v>137.42499999999998</v>
      </c>
      <c r="Q642">
        <f t="shared" si="57"/>
        <v>129.17949999999996</v>
      </c>
      <c r="R642">
        <f t="shared" si="58"/>
        <v>8.2455000000000211</v>
      </c>
      <c r="S642" s="4">
        <f t="shared" si="59"/>
        <v>6.0000000000000164E-2</v>
      </c>
      <c r="T642" t="str">
        <f>_xlfn.XLOOKUP(C642,customers!$A$1:$A$1001,customers!$I$1:$I$1001,,0)</f>
        <v>No</v>
      </c>
    </row>
    <row r="643" spans="1:20"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INDEX(products!$A$1:$I$49,MATCH('Conditional Fomating'!$D643,products!$A$1:$A$49,0),MATCH('Conditional Fomating'!I$1,products!$A$1:$D$1,0))</f>
        <v>Rob</v>
      </c>
      <c r="J643" t="str">
        <f t="shared" ref="J643:J706" si="60">IF(I643="Rob","Robusta",IF(I643="Exc","Excelsa",IF(I643="Ara","Arabica",IF(I643="Lib","Liberica",""))))</f>
        <v>Robusta</v>
      </c>
      <c r="K643" t="str">
        <f>INDEX(products!$A$1:$I$49,MATCH('Conditional Fomating'!$D643,products!$A$1:$A$49,0),MATCH('Conditional Fomating'!K$1,products!$A$1:$D$1,0))</f>
        <v>L</v>
      </c>
      <c r="L643" t="str">
        <f t="shared" ref="L643:L706" si="61">IF(K643="M","Medium",IF(K643="L","Light",IF(K643="D","Dark","")))</f>
        <v>Light</v>
      </c>
      <c r="M643">
        <f>INDEX(products!$A$1:$I$49,MATCH('Conditional Fomating'!$D643,products!$A$1:$A$49,0),MATCH('Conditional Fomating'!M$1,products!$A$1:$D$1,0))</f>
        <v>1</v>
      </c>
      <c r="N643">
        <f>_xlfn.XLOOKUP(D643,products!$A$2:$A$49,products!$E$2:$E$49)</f>
        <v>11.95</v>
      </c>
      <c r="O643">
        <f>_xlfn.XLOOKUP(D643,products!$A$2:$A$49,products!$H$2:$H$49)</f>
        <v>11.232999999999999</v>
      </c>
      <c r="P643">
        <f t="shared" ref="P643:P706" si="62">N643*E643</f>
        <v>35.849999999999994</v>
      </c>
      <c r="Q643">
        <f t="shared" ref="Q643:Q706" si="63">O643*E643</f>
        <v>33.698999999999998</v>
      </c>
      <c r="R643">
        <f t="shared" ref="R643:R706" si="64">P643-Q643</f>
        <v>2.1509999999999962</v>
      </c>
      <c r="S643" s="4">
        <f t="shared" ref="S643:S706" si="65">R643/P643</f>
        <v>5.9999999999999908E-2</v>
      </c>
      <c r="T643" t="str">
        <f>_xlfn.XLOOKUP(C643,customers!$A$1:$A$1001,customers!$I$1:$I$1001,,0)</f>
        <v>Yes</v>
      </c>
    </row>
    <row r="644" spans="1:20"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INDEX(products!$A$1:$I$49,MATCH('Conditional Fomating'!$D644,products!$A$1:$A$49,0),MATCH('Conditional Fomating'!I$1,products!$A$1:$D$1,0))</f>
        <v>Exc</v>
      </c>
      <c r="J644" t="str">
        <f t="shared" si="60"/>
        <v>Excelsa</v>
      </c>
      <c r="K644" t="str">
        <f>INDEX(products!$A$1:$I$49,MATCH('Conditional Fomating'!$D644,products!$A$1:$A$49,0),MATCH('Conditional Fomating'!K$1,products!$A$1:$D$1,0))</f>
        <v>M</v>
      </c>
      <c r="L644" t="str">
        <f t="shared" si="61"/>
        <v>Medium</v>
      </c>
      <c r="M644">
        <f>INDEX(products!$A$1:$I$49,MATCH('Conditional Fomating'!$D644,products!$A$1:$A$49,0),MATCH('Conditional Fomating'!M$1,products!$A$1:$D$1,0))</f>
        <v>0.2</v>
      </c>
      <c r="N644">
        <f>_xlfn.XLOOKUP(D644,products!$A$2:$A$49,products!$E$2:$E$49)</f>
        <v>4.125</v>
      </c>
      <c r="O644">
        <f>_xlfn.XLOOKUP(D644,products!$A$2:$A$49,products!$H$2:$H$49)</f>
        <v>3.6712500000000001</v>
      </c>
      <c r="P644">
        <f t="shared" si="62"/>
        <v>8.25</v>
      </c>
      <c r="Q644">
        <f t="shared" si="63"/>
        <v>7.3425000000000002</v>
      </c>
      <c r="R644">
        <f t="shared" si="64"/>
        <v>0.90749999999999975</v>
      </c>
      <c r="S644" s="4">
        <f t="shared" si="65"/>
        <v>0.10999999999999997</v>
      </c>
      <c r="T644" t="str">
        <f>_xlfn.XLOOKUP(C644,customers!$A$1:$A$1001,customers!$I$1:$I$1001,,0)</f>
        <v>Yes</v>
      </c>
    </row>
    <row r="645" spans="1:20"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INDEX(products!$A$1:$I$49,MATCH('Conditional Fomating'!$D645,products!$A$1:$A$49,0),MATCH('Conditional Fomating'!I$1,products!$A$1:$D$1,0))</f>
        <v>Exc</v>
      </c>
      <c r="J645" t="str">
        <f t="shared" si="60"/>
        <v>Excelsa</v>
      </c>
      <c r="K645" t="str">
        <f>INDEX(products!$A$1:$I$49,MATCH('Conditional Fomating'!$D645,products!$A$1:$A$49,0),MATCH('Conditional Fomating'!K$1,products!$A$1:$D$1,0))</f>
        <v>L</v>
      </c>
      <c r="L645" t="str">
        <f t="shared" si="61"/>
        <v>Light</v>
      </c>
      <c r="M645">
        <f>INDEX(products!$A$1:$I$49,MATCH('Conditional Fomating'!$D645,products!$A$1:$A$49,0),MATCH('Conditional Fomating'!M$1,products!$A$1:$D$1,0))</f>
        <v>2.5</v>
      </c>
      <c r="N645">
        <f>_xlfn.XLOOKUP(D645,products!$A$2:$A$49,products!$E$2:$E$49)</f>
        <v>34.154999999999994</v>
      </c>
      <c r="O645">
        <f>_xlfn.XLOOKUP(D645,products!$A$2:$A$49,products!$H$2:$H$49)</f>
        <v>30.397949999999994</v>
      </c>
      <c r="P645">
        <f t="shared" si="62"/>
        <v>102.46499999999997</v>
      </c>
      <c r="Q645">
        <f t="shared" si="63"/>
        <v>91.193849999999983</v>
      </c>
      <c r="R645">
        <f t="shared" si="64"/>
        <v>11.271149999999992</v>
      </c>
      <c r="S645" s="4">
        <f t="shared" si="65"/>
        <v>0.10999999999999995</v>
      </c>
      <c r="T645" t="str">
        <f>_xlfn.XLOOKUP(C645,customers!$A$1:$A$1001,customers!$I$1:$I$1001,,0)</f>
        <v>Yes</v>
      </c>
    </row>
    <row r="646" spans="1:20"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v>
      </c>
      <c r="H646" s="2" t="str">
        <f>_xlfn.XLOOKUP(C646,customers!$A$1:$A$1001,customers!$G$1:$G$1001,,0)</f>
        <v>United States</v>
      </c>
      <c r="I646" t="str">
        <f>INDEX(products!$A$1:$I$49,MATCH('Conditional Fomating'!$D646,products!$A$1:$A$49,0),MATCH('Conditional Fomating'!I$1,products!$A$1:$D$1,0))</f>
        <v>Rob</v>
      </c>
      <c r="J646" t="str">
        <f t="shared" si="60"/>
        <v>Robusta</v>
      </c>
      <c r="K646" t="str">
        <f>INDEX(products!$A$1:$I$49,MATCH('Conditional Fomating'!$D646,products!$A$1:$A$49,0),MATCH('Conditional Fomating'!K$1,products!$A$1:$D$1,0))</f>
        <v>D</v>
      </c>
      <c r="L646" t="str">
        <f t="shared" si="61"/>
        <v>Dark</v>
      </c>
      <c r="M646">
        <f>INDEX(products!$A$1:$I$49,MATCH('Conditional Fomating'!$D646,products!$A$1:$A$49,0),MATCH('Conditional Fomating'!M$1,products!$A$1:$D$1,0))</f>
        <v>2.5</v>
      </c>
      <c r="N646">
        <f>_xlfn.XLOOKUP(D646,products!$A$2:$A$49,products!$E$2:$E$49)</f>
        <v>20.584999999999997</v>
      </c>
      <c r="O646">
        <f>_xlfn.XLOOKUP(D646,products!$A$2:$A$49,products!$H$2:$H$49)</f>
        <v>19.349899999999998</v>
      </c>
      <c r="P646">
        <f t="shared" si="62"/>
        <v>41.169999999999995</v>
      </c>
      <c r="Q646">
        <f t="shared" si="63"/>
        <v>38.699799999999996</v>
      </c>
      <c r="R646">
        <f t="shared" si="64"/>
        <v>2.4701999999999984</v>
      </c>
      <c r="S646" s="4">
        <f t="shared" si="65"/>
        <v>5.999999999999997E-2</v>
      </c>
      <c r="T646" t="str">
        <f>_xlfn.XLOOKUP(C646,customers!$A$1:$A$1001,customers!$I$1:$I$1001,,0)</f>
        <v>No</v>
      </c>
    </row>
    <row r="647" spans="1:20"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INDEX(products!$A$1:$I$49,MATCH('Conditional Fomating'!$D647,products!$A$1:$A$49,0),MATCH('Conditional Fomating'!I$1,products!$A$1:$D$1,0))</f>
        <v>Ara</v>
      </c>
      <c r="J647" t="str">
        <f t="shared" si="60"/>
        <v>Arabica</v>
      </c>
      <c r="K647" t="str">
        <f>INDEX(products!$A$1:$I$49,MATCH('Conditional Fomating'!$D647,products!$A$1:$A$49,0),MATCH('Conditional Fomating'!K$1,products!$A$1:$D$1,0))</f>
        <v>D</v>
      </c>
      <c r="L647" t="str">
        <f t="shared" si="61"/>
        <v>Dark</v>
      </c>
      <c r="M647">
        <f>INDEX(products!$A$1:$I$49,MATCH('Conditional Fomating'!$D647,products!$A$1:$A$49,0),MATCH('Conditional Fomating'!M$1,products!$A$1:$D$1,0))</f>
        <v>2.5</v>
      </c>
      <c r="N647">
        <f>_xlfn.XLOOKUP(D647,products!$A$2:$A$49,products!$E$2:$E$49)</f>
        <v>22.884999999999998</v>
      </c>
      <c r="O647">
        <f>_xlfn.XLOOKUP(D647,products!$A$2:$A$49,products!$H$2:$H$49)</f>
        <v>20.82535</v>
      </c>
      <c r="P647">
        <f t="shared" si="62"/>
        <v>68.655000000000001</v>
      </c>
      <c r="Q647">
        <f t="shared" si="63"/>
        <v>62.476050000000001</v>
      </c>
      <c r="R647">
        <f t="shared" si="64"/>
        <v>6.1789500000000004</v>
      </c>
      <c r="S647" s="4">
        <f t="shared" si="65"/>
        <v>9.0000000000000011E-2</v>
      </c>
      <c r="T647" t="str">
        <f>_xlfn.XLOOKUP(C647,customers!$A$1:$A$1001,customers!$I$1:$I$1001,,0)</f>
        <v>Yes</v>
      </c>
    </row>
    <row r="648" spans="1:20"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INDEX(products!$A$1:$I$49,MATCH('Conditional Fomating'!$D648,products!$A$1:$A$49,0),MATCH('Conditional Fomating'!I$1,products!$A$1:$D$1,0))</f>
        <v>Ara</v>
      </c>
      <c r="J648" t="str">
        <f t="shared" si="60"/>
        <v>Arabica</v>
      </c>
      <c r="K648" t="str">
        <f>INDEX(products!$A$1:$I$49,MATCH('Conditional Fomating'!$D648,products!$A$1:$A$49,0),MATCH('Conditional Fomating'!K$1,products!$A$1:$D$1,0))</f>
        <v>D</v>
      </c>
      <c r="L648" t="str">
        <f t="shared" si="61"/>
        <v>Dark</v>
      </c>
      <c r="M648">
        <f>INDEX(products!$A$1:$I$49,MATCH('Conditional Fomating'!$D648,products!$A$1:$A$49,0),MATCH('Conditional Fomating'!M$1,products!$A$1:$D$1,0))</f>
        <v>1</v>
      </c>
      <c r="N648">
        <f>_xlfn.XLOOKUP(D648,products!$A$2:$A$49,products!$E$2:$E$49)</f>
        <v>9.9499999999999993</v>
      </c>
      <c r="O648">
        <f>_xlfn.XLOOKUP(D648,products!$A$2:$A$49,products!$H$2:$H$49)</f>
        <v>9.0544999999999991</v>
      </c>
      <c r="P648">
        <f t="shared" si="62"/>
        <v>9.9499999999999993</v>
      </c>
      <c r="Q648">
        <f t="shared" si="63"/>
        <v>9.0544999999999991</v>
      </c>
      <c r="R648">
        <f t="shared" si="64"/>
        <v>0.89550000000000018</v>
      </c>
      <c r="S648" s="4">
        <f t="shared" si="65"/>
        <v>9.0000000000000024E-2</v>
      </c>
      <c r="T648" t="str">
        <f>_xlfn.XLOOKUP(C648,customers!$A$1:$A$1001,customers!$I$1:$I$1001,,0)</f>
        <v>Yes</v>
      </c>
    </row>
    <row r="649" spans="1:20"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INDEX(products!$A$1:$I$49,MATCH('Conditional Fomating'!$D649,products!$A$1:$A$49,0),MATCH('Conditional Fomating'!I$1,products!$A$1:$D$1,0))</f>
        <v>Lib</v>
      </c>
      <c r="J649" t="str">
        <f t="shared" si="60"/>
        <v>Liberica</v>
      </c>
      <c r="K649" t="str">
        <f>INDEX(products!$A$1:$I$49,MATCH('Conditional Fomating'!$D649,products!$A$1:$A$49,0),MATCH('Conditional Fomating'!K$1,products!$A$1:$D$1,0))</f>
        <v>L</v>
      </c>
      <c r="L649" t="str">
        <f t="shared" si="61"/>
        <v>Light</v>
      </c>
      <c r="M649">
        <f>INDEX(products!$A$1:$I$49,MATCH('Conditional Fomating'!$D649,products!$A$1:$A$49,0),MATCH('Conditional Fomating'!M$1,products!$A$1:$D$1,0))</f>
        <v>0.5</v>
      </c>
      <c r="N649">
        <f>_xlfn.XLOOKUP(D649,products!$A$2:$A$49,products!$E$2:$E$49)</f>
        <v>9.51</v>
      </c>
      <c r="O649">
        <f>_xlfn.XLOOKUP(D649,products!$A$2:$A$49,products!$H$2:$H$49)</f>
        <v>8.2736999999999998</v>
      </c>
      <c r="P649">
        <f t="shared" si="62"/>
        <v>28.53</v>
      </c>
      <c r="Q649">
        <f t="shared" si="63"/>
        <v>24.821100000000001</v>
      </c>
      <c r="R649">
        <f t="shared" si="64"/>
        <v>3.7088999999999999</v>
      </c>
      <c r="S649" s="4">
        <f t="shared" si="65"/>
        <v>0.12999999999999998</v>
      </c>
      <c r="T649" t="str">
        <f>_xlfn.XLOOKUP(C649,customers!$A$1:$A$1001,customers!$I$1:$I$1001,,0)</f>
        <v>Yes</v>
      </c>
    </row>
    <row r="650" spans="1:20"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INDEX(products!$A$1:$I$49,MATCH('Conditional Fomating'!$D650,products!$A$1:$A$49,0),MATCH('Conditional Fomating'!I$1,products!$A$1:$D$1,0))</f>
        <v>Rob</v>
      </c>
      <c r="J650" t="str">
        <f t="shared" si="60"/>
        <v>Robusta</v>
      </c>
      <c r="K650" t="str">
        <f>INDEX(products!$A$1:$I$49,MATCH('Conditional Fomating'!$D650,products!$A$1:$A$49,0),MATCH('Conditional Fomating'!K$1,products!$A$1:$D$1,0))</f>
        <v>D</v>
      </c>
      <c r="L650" t="str">
        <f t="shared" si="61"/>
        <v>Dark</v>
      </c>
      <c r="M650">
        <f>INDEX(products!$A$1:$I$49,MATCH('Conditional Fomating'!$D650,products!$A$1:$A$49,0),MATCH('Conditional Fomating'!M$1,products!$A$1:$D$1,0))</f>
        <v>0.2</v>
      </c>
      <c r="N650">
        <f>_xlfn.XLOOKUP(D650,products!$A$2:$A$49,products!$E$2:$E$49)</f>
        <v>2.6849999999999996</v>
      </c>
      <c r="O650">
        <f>_xlfn.XLOOKUP(D650,products!$A$2:$A$49,products!$H$2:$H$49)</f>
        <v>2.5238999999999998</v>
      </c>
      <c r="P650">
        <f t="shared" si="62"/>
        <v>16.11</v>
      </c>
      <c r="Q650">
        <f t="shared" si="63"/>
        <v>15.1434</v>
      </c>
      <c r="R650">
        <f t="shared" si="64"/>
        <v>0.96659999999999968</v>
      </c>
      <c r="S650" s="4">
        <f t="shared" si="65"/>
        <v>5.9999999999999984E-2</v>
      </c>
      <c r="T650" t="str">
        <f>_xlfn.XLOOKUP(C650,customers!$A$1:$A$1001,customers!$I$1:$I$1001,,0)</f>
        <v>No</v>
      </c>
    </row>
    <row r="651" spans="1:20"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INDEX(products!$A$1:$I$49,MATCH('Conditional Fomating'!$D651,products!$A$1:$A$49,0),MATCH('Conditional Fomating'!I$1,products!$A$1:$D$1,0))</f>
        <v>Lib</v>
      </c>
      <c r="J651" t="str">
        <f t="shared" si="60"/>
        <v>Liberica</v>
      </c>
      <c r="K651" t="str">
        <f>INDEX(products!$A$1:$I$49,MATCH('Conditional Fomating'!$D651,products!$A$1:$A$49,0),MATCH('Conditional Fomating'!K$1,products!$A$1:$D$1,0))</f>
        <v>L</v>
      </c>
      <c r="L651" t="str">
        <f t="shared" si="61"/>
        <v>Light</v>
      </c>
      <c r="M651">
        <f>INDEX(products!$A$1:$I$49,MATCH('Conditional Fomating'!$D651,products!$A$1:$A$49,0),MATCH('Conditional Fomating'!M$1,products!$A$1:$D$1,0))</f>
        <v>1</v>
      </c>
      <c r="N651">
        <f>_xlfn.XLOOKUP(D651,products!$A$2:$A$49,products!$E$2:$E$49)</f>
        <v>15.85</v>
      </c>
      <c r="O651">
        <f>_xlfn.XLOOKUP(D651,products!$A$2:$A$49,products!$H$2:$H$49)</f>
        <v>13.7895</v>
      </c>
      <c r="P651">
        <f t="shared" si="62"/>
        <v>95.1</v>
      </c>
      <c r="Q651">
        <f t="shared" si="63"/>
        <v>82.736999999999995</v>
      </c>
      <c r="R651">
        <f t="shared" si="64"/>
        <v>12.363</v>
      </c>
      <c r="S651" s="4">
        <f t="shared" si="65"/>
        <v>0.13</v>
      </c>
      <c r="T651" t="str">
        <f>_xlfn.XLOOKUP(C651,customers!$A$1:$A$1001,customers!$I$1:$I$1001,,0)</f>
        <v>No</v>
      </c>
    </row>
    <row r="652" spans="1:20"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INDEX(products!$A$1:$I$49,MATCH('Conditional Fomating'!$D652,products!$A$1:$A$49,0),MATCH('Conditional Fomating'!I$1,products!$A$1:$D$1,0))</f>
        <v>Rob</v>
      </c>
      <c r="J652" t="str">
        <f t="shared" si="60"/>
        <v>Robusta</v>
      </c>
      <c r="K652" t="str">
        <f>INDEX(products!$A$1:$I$49,MATCH('Conditional Fomating'!$D652,products!$A$1:$A$49,0),MATCH('Conditional Fomating'!K$1,products!$A$1:$D$1,0))</f>
        <v>D</v>
      </c>
      <c r="L652" t="str">
        <f t="shared" si="61"/>
        <v>Dark</v>
      </c>
      <c r="M652">
        <f>INDEX(products!$A$1:$I$49,MATCH('Conditional Fomating'!$D652,products!$A$1:$A$49,0),MATCH('Conditional Fomating'!M$1,products!$A$1:$D$1,0))</f>
        <v>0.5</v>
      </c>
      <c r="N652">
        <f>_xlfn.XLOOKUP(D652,products!$A$2:$A$49,products!$E$2:$E$49)</f>
        <v>5.3699999999999992</v>
      </c>
      <c r="O652">
        <f>_xlfn.XLOOKUP(D652,products!$A$2:$A$49,products!$H$2:$H$49)</f>
        <v>5.0477999999999996</v>
      </c>
      <c r="P652">
        <f t="shared" si="62"/>
        <v>5.3699999999999992</v>
      </c>
      <c r="Q652">
        <f t="shared" si="63"/>
        <v>5.0477999999999996</v>
      </c>
      <c r="R652">
        <f t="shared" si="64"/>
        <v>0.3221999999999996</v>
      </c>
      <c r="S652" s="4">
        <f t="shared" si="65"/>
        <v>5.9999999999999935E-2</v>
      </c>
      <c r="T652" t="str">
        <f>_xlfn.XLOOKUP(C652,customers!$A$1:$A$1001,customers!$I$1:$I$1001,,0)</f>
        <v>Yes</v>
      </c>
    </row>
    <row r="653" spans="1:20"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v>
      </c>
      <c r="H653" s="2" t="str">
        <f>_xlfn.XLOOKUP(C653,customers!$A$1:$A$1001,customers!$G$1:$G$1001,,0)</f>
        <v>United States</v>
      </c>
      <c r="I653" t="str">
        <f>INDEX(products!$A$1:$I$49,MATCH('Conditional Fomating'!$D653,products!$A$1:$A$49,0),MATCH('Conditional Fomating'!I$1,products!$A$1:$D$1,0))</f>
        <v>Rob</v>
      </c>
      <c r="J653" t="str">
        <f t="shared" si="60"/>
        <v>Robusta</v>
      </c>
      <c r="K653" t="str">
        <f>INDEX(products!$A$1:$I$49,MATCH('Conditional Fomating'!$D653,products!$A$1:$A$49,0),MATCH('Conditional Fomating'!K$1,products!$A$1:$D$1,0))</f>
        <v>L</v>
      </c>
      <c r="L653" t="str">
        <f t="shared" si="61"/>
        <v>Light</v>
      </c>
      <c r="M653">
        <f>INDEX(products!$A$1:$I$49,MATCH('Conditional Fomating'!$D653,products!$A$1:$A$49,0),MATCH('Conditional Fomating'!M$1,products!$A$1:$D$1,0))</f>
        <v>1</v>
      </c>
      <c r="N653">
        <f>_xlfn.XLOOKUP(D653,products!$A$2:$A$49,products!$E$2:$E$49)</f>
        <v>11.95</v>
      </c>
      <c r="O653">
        <f>_xlfn.XLOOKUP(D653,products!$A$2:$A$49,products!$H$2:$H$49)</f>
        <v>11.232999999999999</v>
      </c>
      <c r="P653">
        <f t="shared" si="62"/>
        <v>47.8</v>
      </c>
      <c r="Q653">
        <f t="shared" si="63"/>
        <v>44.931999999999995</v>
      </c>
      <c r="R653">
        <f t="shared" si="64"/>
        <v>2.8680000000000021</v>
      </c>
      <c r="S653" s="4">
        <f t="shared" si="65"/>
        <v>6.0000000000000046E-2</v>
      </c>
      <c r="T653" t="str">
        <f>_xlfn.XLOOKUP(C653,customers!$A$1:$A$1001,customers!$I$1:$I$1001,,0)</f>
        <v>No</v>
      </c>
    </row>
    <row r="654" spans="1:20"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INDEX(products!$A$1:$I$49,MATCH('Conditional Fomating'!$D654,products!$A$1:$A$49,0),MATCH('Conditional Fomating'!I$1,products!$A$1:$D$1,0))</f>
        <v>Lib</v>
      </c>
      <c r="J654" t="str">
        <f t="shared" si="60"/>
        <v>Liberica</v>
      </c>
      <c r="K654" t="str">
        <f>INDEX(products!$A$1:$I$49,MATCH('Conditional Fomating'!$D654,products!$A$1:$A$49,0),MATCH('Conditional Fomating'!K$1,products!$A$1:$D$1,0))</f>
        <v>L</v>
      </c>
      <c r="L654" t="str">
        <f t="shared" si="61"/>
        <v>Light</v>
      </c>
      <c r="M654">
        <f>INDEX(products!$A$1:$I$49,MATCH('Conditional Fomating'!$D654,products!$A$1:$A$49,0),MATCH('Conditional Fomating'!M$1,products!$A$1:$D$1,0))</f>
        <v>1</v>
      </c>
      <c r="N654">
        <f>_xlfn.XLOOKUP(D654,products!$A$2:$A$49,products!$E$2:$E$49)</f>
        <v>15.85</v>
      </c>
      <c r="O654">
        <f>_xlfn.XLOOKUP(D654,products!$A$2:$A$49,products!$H$2:$H$49)</f>
        <v>13.7895</v>
      </c>
      <c r="P654">
        <f t="shared" si="62"/>
        <v>63.4</v>
      </c>
      <c r="Q654">
        <f t="shared" si="63"/>
        <v>55.158000000000001</v>
      </c>
      <c r="R654">
        <f t="shared" si="64"/>
        <v>8.2419999999999973</v>
      </c>
      <c r="S654" s="4">
        <f t="shared" si="65"/>
        <v>0.12999999999999995</v>
      </c>
      <c r="T654" t="str">
        <f>_xlfn.XLOOKUP(C654,customers!$A$1:$A$1001,customers!$I$1:$I$1001,,0)</f>
        <v>No</v>
      </c>
    </row>
    <row r="655" spans="1:20"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INDEX(products!$A$1:$I$49,MATCH('Conditional Fomating'!$D655,products!$A$1:$A$49,0),MATCH('Conditional Fomating'!I$1,products!$A$1:$D$1,0))</f>
        <v>Ara</v>
      </c>
      <c r="J655" t="str">
        <f t="shared" si="60"/>
        <v>Arabica</v>
      </c>
      <c r="K655" t="str">
        <f>INDEX(products!$A$1:$I$49,MATCH('Conditional Fomating'!$D655,products!$A$1:$A$49,0),MATCH('Conditional Fomating'!K$1,products!$A$1:$D$1,0))</f>
        <v>M</v>
      </c>
      <c r="L655" t="str">
        <f t="shared" si="61"/>
        <v>Medium</v>
      </c>
      <c r="M655">
        <f>INDEX(products!$A$1:$I$49,MATCH('Conditional Fomating'!$D655,products!$A$1:$A$49,0),MATCH('Conditional Fomating'!M$1,products!$A$1:$D$1,0))</f>
        <v>2.5</v>
      </c>
      <c r="N655">
        <f>_xlfn.XLOOKUP(D655,products!$A$2:$A$49,products!$E$2:$E$49)</f>
        <v>25.874999999999996</v>
      </c>
      <c r="O655">
        <f>_xlfn.XLOOKUP(D655,products!$A$2:$A$49,products!$H$2:$H$49)</f>
        <v>23.546249999999997</v>
      </c>
      <c r="P655">
        <f t="shared" si="62"/>
        <v>103.49999999999999</v>
      </c>
      <c r="Q655">
        <f t="shared" si="63"/>
        <v>94.184999999999988</v>
      </c>
      <c r="R655">
        <f t="shared" si="64"/>
        <v>9.3149999999999977</v>
      </c>
      <c r="S655" s="4">
        <f t="shared" si="65"/>
        <v>0.09</v>
      </c>
      <c r="T655" t="str">
        <f>_xlfn.XLOOKUP(C655,customers!$A$1:$A$1001,customers!$I$1:$I$1001,,0)</f>
        <v>No</v>
      </c>
    </row>
    <row r="656" spans="1:20"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INDEX(products!$A$1:$I$49,MATCH('Conditional Fomating'!$D656,products!$A$1:$A$49,0),MATCH('Conditional Fomating'!I$1,products!$A$1:$D$1,0))</f>
        <v>Ara</v>
      </c>
      <c r="J656" t="str">
        <f t="shared" si="60"/>
        <v>Arabica</v>
      </c>
      <c r="K656" t="str">
        <f>INDEX(products!$A$1:$I$49,MATCH('Conditional Fomating'!$D656,products!$A$1:$A$49,0),MATCH('Conditional Fomating'!K$1,products!$A$1:$D$1,0))</f>
        <v>D</v>
      </c>
      <c r="L656" t="str">
        <f t="shared" si="61"/>
        <v>Dark</v>
      </c>
      <c r="M656">
        <f>INDEX(products!$A$1:$I$49,MATCH('Conditional Fomating'!$D656,products!$A$1:$A$49,0),MATCH('Conditional Fomating'!M$1,products!$A$1:$D$1,0))</f>
        <v>2.5</v>
      </c>
      <c r="N656">
        <f>_xlfn.XLOOKUP(D656,products!$A$2:$A$49,products!$E$2:$E$49)</f>
        <v>22.884999999999998</v>
      </c>
      <c r="O656">
        <f>_xlfn.XLOOKUP(D656,products!$A$2:$A$49,products!$H$2:$H$49)</f>
        <v>20.82535</v>
      </c>
      <c r="P656">
        <f t="shared" si="62"/>
        <v>68.655000000000001</v>
      </c>
      <c r="Q656">
        <f t="shared" si="63"/>
        <v>62.476050000000001</v>
      </c>
      <c r="R656">
        <f t="shared" si="64"/>
        <v>6.1789500000000004</v>
      </c>
      <c r="S656" s="4">
        <f t="shared" si="65"/>
        <v>9.0000000000000011E-2</v>
      </c>
      <c r="T656" t="str">
        <f>_xlfn.XLOOKUP(C656,customers!$A$1:$A$1001,customers!$I$1:$I$1001,,0)</f>
        <v>No</v>
      </c>
    </row>
    <row r="657" spans="1:20"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INDEX(products!$A$1:$I$49,MATCH('Conditional Fomating'!$D657,products!$A$1:$A$49,0),MATCH('Conditional Fomating'!I$1,products!$A$1:$D$1,0))</f>
        <v>Rob</v>
      </c>
      <c r="J657" t="str">
        <f t="shared" si="60"/>
        <v>Robusta</v>
      </c>
      <c r="K657" t="str">
        <f>INDEX(products!$A$1:$I$49,MATCH('Conditional Fomating'!$D657,products!$A$1:$A$49,0),MATCH('Conditional Fomating'!K$1,products!$A$1:$D$1,0))</f>
        <v>M</v>
      </c>
      <c r="L657" t="str">
        <f t="shared" si="61"/>
        <v>Medium</v>
      </c>
      <c r="M657">
        <f>INDEX(products!$A$1:$I$49,MATCH('Conditional Fomating'!$D657,products!$A$1:$A$49,0),MATCH('Conditional Fomating'!M$1,products!$A$1:$D$1,0))</f>
        <v>2.5</v>
      </c>
      <c r="N657">
        <f>_xlfn.XLOOKUP(D657,products!$A$2:$A$49,products!$E$2:$E$49)</f>
        <v>22.884999999999998</v>
      </c>
      <c r="O657">
        <f>_xlfn.XLOOKUP(D657,products!$A$2:$A$49,products!$H$2:$H$49)</f>
        <v>21.511899999999997</v>
      </c>
      <c r="P657">
        <f t="shared" si="62"/>
        <v>45.769999999999996</v>
      </c>
      <c r="Q657">
        <f t="shared" si="63"/>
        <v>43.023799999999994</v>
      </c>
      <c r="R657">
        <f t="shared" si="64"/>
        <v>2.7462000000000018</v>
      </c>
      <c r="S657" s="4">
        <f t="shared" si="65"/>
        <v>6.0000000000000046E-2</v>
      </c>
      <c r="T657" t="str">
        <f>_xlfn.XLOOKUP(C657,customers!$A$1:$A$1001,customers!$I$1:$I$1001,,0)</f>
        <v>Yes</v>
      </c>
    </row>
    <row r="658" spans="1:20"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INDEX(products!$A$1:$I$49,MATCH('Conditional Fomating'!$D658,products!$A$1:$A$49,0),MATCH('Conditional Fomating'!I$1,products!$A$1:$D$1,0))</f>
        <v>Lib</v>
      </c>
      <c r="J658" t="str">
        <f t="shared" si="60"/>
        <v>Liberica</v>
      </c>
      <c r="K658" t="str">
        <f>INDEX(products!$A$1:$I$49,MATCH('Conditional Fomating'!$D658,products!$A$1:$A$49,0),MATCH('Conditional Fomating'!K$1,products!$A$1:$D$1,0))</f>
        <v>D</v>
      </c>
      <c r="L658" t="str">
        <f t="shared" si="61"/>
        <v>Dark</v>
      </c>
      <c r="M658">
        <f>INDEX(products!$A$1:$I$49,MATCH('Conditional Fomating'!$D658,products!$A$1:$A$49,0),MATCH('Conditional Fomating'!M$1,products!$A$1:$D$1,0))</f>
        <v>1</v>
      </c>
      <c r="N658">
        <f>_xlfn.XLOOKUP(D658,products!$A$2:$A$49,products!$E$2:$E$49)</f>
        <v>12.95</v>
      </c>
      <c r="O658">
        <f>_xlfn.XLOOKUP(D658,products!$A$2:$A$49,products!$H$2:$H$49)</f>
        <v>11.266499999999999</v>
      </c>
      <c r="P658">
        <f t="shared" si="62"/>
        <v>51.8</v>
      </c>
      <c r="Q658">
        <f t="shared" si="63"/>
        <v>45.065999999999995</v>
      </c>
      <c r="R658">
        <f t="shared" si="64"/>
        <v>6.7340000000000018</v>
      </c>
      <c r="S658" s="4">
        <f t="shared" si="65"/>
        <v>0.13000000000000003</v>
      </c>
      <c r="T658" t="str">
        <f>_xlfn.XLOOKUP(C658,customers!$A$1:$A$1001,customers!$I$1:$I$1001,,0)</f>
        <v>No</v>
      </c>
    </row>
    <row r="659" spans="1:20"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INDEX(products!$A$1:$I$49,MATCH('Conditional Fomating'!$D659,products!$A$1:$A$49,0),MATCH('Conditional Fomating'!I$1,products!$A$1:$D$1,0))</f>
        <v>Ara</v>
      </c>
      <c r="J659" t="str">
        <f t="shared" si="60"/>
        <v>Arabica</v>
      </c>
      <c r="K659" t="str">
        <f>INDEX(products!$A$1:$I$49,MATCH('Conditional Fomating'!$D659,products!$A$1:$A$49,0),MATCH('Conditional Fomating'!K$1,products!$A$1:$D$1,0))</f>
        <v>M</v>
      </c>
      <c r="L659" t="str">
        <f t="shared" si="61"/>
        <v>Medium</v>
      </c>
      <c r="M659">
        <f>INDEX(products!$A$1:$I$49,MATCH('Conditional Fomating'!$D659,products!$A$1:$A$49,0),MATCH('Conditional Fomating'!M$1,products!$A$1:$D$1,0))</f>
        <v>0.5</v>
      </c>
      <c r="N659">
        <f>_xlfn.XLOOKUP(D659,products!$A$2:$A$49,products!$E$2:$E$49)</f>
        <v>6.75</v>
      </c>
      <c r="O659">
        <f>_xlfn.XLOOKUP(D659,products!$A$2:$A$49,products!$H$2:$H$49)</f>
        <v>6.1425000000000001</v>
      </c>
      <c r="P659">
        <f t="shared" si="62"/>
        <v>13.5</v>
      </c>
      <c r="Q659">
        <f t="shared" si="63"/>
        <v>12.285</v>
      </c>
      <c r="R659">
        <f t="shared" si="64"/>
        <v>1.2149999999999999</v>
      </c>
      <c r="S659" s="4">
        <f t="shared" si="65"/>
        <v>8.9999999999999983E-2</v>
      </c>
      <c r="T659" t="str">
        <f>_xlfn.XLOOKUP(C659,customers!$A$1:$A$1001,customers!$I$1:$I$1001,,0)</f>
        <v>Yes</v>
      </c>
    </row>
    <row r="660" spans="1:20"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INDEX(products!$A$1:$I$49,MATCH('Conditional Fomating'!$D660,products!$A$1:$A$49,0),MATCH('Conditional Fomating'!I$1,products!$A$1:$D$1,0))</f>
        <v>Exc</v>
      </c>
      <c r="J660" t="str">
        <f t="shared" si="60"/>
        <v>Excelsa</v>
      </c>
      <c r="K660" t="str">
        <f>INDEX(products!$A$1:$I$49,MATCH('Conditional Fomating'!$D660,products!$A$1:$A$49,0),MATCH('Conditional Fomating'!K$1,products!$A$1:$D$1,0))</f>
        <v>M</v>
      </c>
      <c r="L660" t="str">
        <f t="shared" si="61"/>
        <v>Medium</v>
      </c>
      <c r="M660">
        <f>INDEX(products!$A$1:$I$49,MATCH('Conditional Fomating'!$D660,products!$A$1:$A$49,0),MATCH('Conditional Fomating'!M$1,products!$A$1:$D$1,0))</f>
        <v>0.5</v>
      </c>
      <c r="N660">
        <f>_xlfn.XLOOKUP(D660,products!$A$2:$A$49,products!$E$2:$E$49)</f>
        <v>8.25</v>
      </c>
      <c r="O660">
        <f>_xlfn.XLOOKUP(D660,products!$A$2:$A$49,products!$H$2:$H$49)</f>
        <v>7.3425000000000002</v>
      </c>
      <c r="P660">
        <f t="shared" si="62"/>
        <v>24.75</v>
      </c>
      <c r="Q660">
        <f t="shared" si="63"/>
        <v>22.0275</v>
      </c>
      <c r="R660">
        <f t="shared" si="64"/>
        <v>2.7225000000000001</v>
      </c>
      <c r="S660" s="4">
        <f t="shared" si="65"/>
        <v>0.11</v>
      </c>
      <c r="T660" t="str">
        <f>_xlfn.XLOOKUP(C660,customers!$A$1:$A$1001,customers!$I$1:$I$1001,,0)</f>
        <v>Yes</v>
      </c>
    </row>
    <row r="661" spans="1:20"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INDEX(products!$A$1:$I$49,MATCH('Conditional Fomating'!$D661,products!$A$1:$A$49,0),MATCH('Conditional Fomating'!I$1,products!$A$1:$D$1,0))</f>
        <v>Ara</v>
      </c>
      <c r="J661" t="str">
        <f t="shared" si="60"/>
        <v>Arabica</v>
      </c>
      <c r="K661" t="str">
        <f>INDEX(products!$A$1:$I$49,MATCH('Conditional Fomating'!$D661,products!$A$1:$A$49,0),MATCH('Conditional Fomating'!K$1,products!$A$1:$D$1,0))</f>
        <v>D</v>
      </c>
      <c r="L661" t="str">
        <f t="shared" si="61"/>
        <v>Dark</v>
      </c>
      <c r="M661">
        <f>INDEX(products!$A$1:$I$49,MATCH('Conditional Fomating'!$D661,products!$A$1:$A$49,0),MATCH('Conditional Fomating'!M$1,products!$A$1:$D$1,0))</f>
        <v>2.5</v>
      </c>
      <c r="N661">
        <f>_xlfn.XLOOKUP(D661,products!$A$2:$A$49,products!$E$2:$E$49)</f>
        <v>22.884999999999998</v>
      </c>
      <c r="O661">
        <f>_xlfn.XLOOKUP(D661,products!$A$2:$A$49,products!$H$2:$H$49)</f>
        <v>20.82535</v>
      </c>
      <c r="P661">
        <f t="shared" si="62"/>
        <v>45.769999999999996</v>
      </c>
      <c r="Q661">
        <f t="shared" si="63"/>
        <v>41.650700000000001</v>
      </c>
      <c r="R661">
        <f t="shared" si="64"/>
        <v>4.1192999999999955</v>
      </c>
      <c r="S661" s="4">
        <f t="shared" si="65"/>
        <v>8.9999999999999913E-2</v>
      </c>
      <c r="T661" t="str">
        <f>_xlfn.XLOOKUP(C661,customers!$A$1:$A$1001,customers!$I$1:$I$1001,,0)</f>
        <v>Yes</v>
      </c>
    </row>
    <row r="662" spans="1:20"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INDEX(products!$A$1:$I$49,MATCH('Conditional Fomating'!$D662,products!$A$1:$A$49,0),MATCH('Conditional Fomating'!I$1,products!$A$1:$D$1,0))</f>
        <v>Exc</v>
      </c>
      <c r="J662" t="str">
        <f t="shared" si="60"/>
        <v>Excelsa</v>
      </c>
      <c r="K662" t="str">
        <f>INDEX(products!$A$1:$I$49,MATCH('Conditional Fomating'!$D662,products!$A$1:$A$49,0),MATCH('Conditional Fomating'!K$1,products!$A$1:$D$1,0))</f>
        <v>L</v>
      </c>
      <c r="L662" t="str">
        <f t="shared" si="61"/>
        <v>Light</v>
      </c>
      <c r="M662">
        <f>INDEX(products!$A$1:$I$49,MATCH('Conditional Fomating'!$D662,products!$A$1:$A$49,0),MATCH('Conditional Fomating'!M$1,products!$A$1:$D$1,0))</f>
        <v>0.5</v>
      </c>
      <c r="N662">
        <f>_xlfn.XLOOKUP(D662,products!$A$2:$A$49,products!$E$2:$E$49)</f>
        <v>8.91</v>
      </c>
      <c r="O662">
        <f>_xlfn.XLOOKUP(D662,products!$A$2:$A$49,products!$H$2:$H$49)</f>
        <v>7.9298999999999999</v>
      </c>
      <c r="P662">
        <f t="shared" si="62"/>
        <v>53.46</v>
      </c>
      <c r="Q662">
        <f t="shared" si="63"/>
        <v>47.5794</v>
      </c>
      <c r="R662">
        <f t="shared" si="64"/>
        <v>5.8806000000000012</v>
      </c>
      <c r="S662" s="4">
        <f t="shared" si="65"/>
        <v>0.11000000000000001</v>
      </c>
      <c r="T662" t="str">
        <f>_xlfn.XLOOKUP(C662,customers!$A$1:$A$1001,customers!$I$1:$I$1001,,0)</f>
        <v>No</v>
      </c>
    </row>
    <row r="663" spans="1:20"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INDEX(products!$A$1:$I$49,MATCH('Conditional Fomating'!$D663,products!$A$1:$A$49,0),MATCH('Conditional Fomating'!I$1,products!$A$1:$D$1,0))</f>
        <v>Ara</v>
      </c>
      <c r="J663" t="str">
        <f t="shared" si="60"/>
        <v>Arabica</v>
      </c>
      <c r="K663" t="str">
        <f>INDEX(products!$A$1:$I$49,MATCH('Conditional Fomating'!$D663,products!$A$1:$A$49,0),MATCH('Conditional Fomating'!K$1,products!$A$1:$D$1,0))</f>
        <v>M</v>
      </c>
      <c r="L663" t="str">
        <f t="shared" si="61"/>
        <v>Medium</v>
      </c>
      <c r="M663">
        <f>INDEX(products!$A$1:$I$49,MATCH('Conditional Fomating'!$D663,products!$A$1:$A$49,0),MATCH('Conditional Fomating'!M$1,products!$A$1:$D$1,0))</f>
        <v>0.2</v>
      </c>
      <c r="N663">
        <f>_xlfn.XLOOKUP(D663,products!$A$2:$A$49,products!$E$2:$E$49)</f>
        <v>3.375</v>
      </c>
      <c r="O663">
        <f>_xlfn.XLOOKUP(D663,products!$A$2:$A$49,products!$H$2:$H$49)</f>
        <v>3.07125</v>
      </c>
      <c r="P663">
        <f t="shared" si="62"/>
        <v>20.25</v>
      </c>
      <c r="Q663">
        <f t="shared" si="63"/>
        <v>18.427500000000002</v>
      </c>
      <c r="R663">
        <f t="shared" si="64"/>
        <v>1.822499999999998</v>
      </c>
      <c r="S663" s="4">
        <f t="shared" si="65"/>
        <v>8.99999999999999E-2</v>
      </c>
      <c r="T663" t="str">
        <f>_xlfn.XLOOKUP(C663,customers!$A$1:$A$1001,customers!$I$1:$I$1001,,0)</f>
        <v>Yes</v>
      </c>
    </row>
    <row r="664" spans="1:20"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INDEX(products!$A$1:$I$49,MATCH('Conditional Fomating'!$D664,products!$A$1:$A$49,0),MATCH('Conditional Fomating'!I$1,products!$A$1:$D$1,0))</f>
        <v>Lib</v>
      </c>
      <c r="J664" t="str">
        <f t="shared" si="60"/>
        <v>Liberica</v>
      </c>
      <c r="K664" t="str">
        <f>INDEX(products!$A$1:$I$49,MATCH('Conditional Fomating'!$D664,products!$A$1:$A$49,0),MATCH('Conditional Fomating'!K$1,products!$A$1:$D$1,0))</f>
        <v>D</v>
      </c>
      <c r="L664" t="str">
        <f t="shared" si="61"/>
        <v>Dark</v>
      </c>
      <c r="M664">
        <f>INDEX(products!$A$1:$I$49,MATCH('Conditional Fomating'!$D664,products!$A$1:$A$49,0),MATCH('Conditional Fomating'!M$1,products!$A$1:$D$1,0))</f>
        <v>2.5</v>
      </c>
      <c r="N664">
        <f>_xlfn.XLOOKUP(D664,products!$A$2:$A$49,products!$E$2:$E$49)</f>
        <v>29.784999999999997</v>
      </c>
      <c r="O664">
        <f>_xlfn.XLOOKUP(D664,products!$A$2:$A$49,products!$H$2:$H$49)</f>
        <v>25.912949999999995</v>
      </c>
      <c r="P664">
        <f t="shared" si="62"/>
        <v>148.92499999999998</v>
      </c>
      <c r="Q664">
        <f t="shared" si="63"/>
        <v>129.56474999999998</v>
      </c>
      <c r="R664">
        <f t="shared" si="64"/>
        <v>19.360250000000008</v>
      </c>
      <c r="S664" s="4">
        <f t="shared" si="65"/>
        <v>0.13000000000000006</v>
      </c>
      <c r="T664" t="str">
        <f>_xlfn.XLOOKUP(C664,customers!$A$1:$A$1001,customers!$I$1:$I$1001,,0)</f>
        <v>No</v>
      </c>
    </row>
    <row r="665" spans="1:20"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INDEX(products!$A$1:$I$49,MATCH('Conditional Fomating'!$D665,products!$A$1:$A$49,0),MATCH('Conditional Fomating'!I$1,products!$A$1:$D$1,0))</f>
        <v>Ara</v>
      </c>
      <c r="J665" t="str">
        <f t="shared" si="60"/>
        <v>Arabica</v>
      </c>
      <c r="K665" t="str">
        <f>INDEX(products!$A$1:$I$49,MATCH('Conditional Fomating'!$D665,products!$A$1:$A$49,0),MATCH('Conditional Fomating'!K$1,products!$A$1:$D$1,0))</f>
        <v>M</v>
      </c>
      <c r="L665" t="str">
        <f t="shared" si="61"/>
        <v>Medium</v>
      </c>
      <c r="M665">
        <f>INDEX(products!$A$1:$I$49,MATCH('Conditional Fomating'!$D665,products!$A$1:$A$49,0),MATCH('Conditional Fomating'!M$1,products!$A$1:$D$1,0))</f>
        <v>1</v>
      </c>
      <c r="N665">
        <f>_xlfn.XLOOKUP(D665,products!$A$2:$A$49,products!$E$2:$E$49)</f>
        <v>11.25</v>
      </c>
      <c r="O665">
        <f>_xlfn.XLOOKUP(D665,products!$A$2:$A$49,products!$H$2:$H$49)</f>
        <v>10.237500000000001</v>
      </c>
      <c r="P665">
        <f t="shared" si="62"/>
        <v>67.5</v>
      </c>
      <c r="Q665">
        <f t="shared" si="63"/>
        <v>61.425000000000004</v>
      </c>
      <c r="R665">
        <f t="shared" si="64"/>
        <v>6.0749999999999957</v>
      </c>
      <c r="S665" s="4">
        <f t="shared" si="65"/>
        <v>8.9999999999999941E-2</v>
      </c>
      <c r="T665" t="str">
        <f>_xlfn.XLOOKUP(C665,customers!$A$1:$A$1001,customers!$I$1:$I$1001,,0)</f>
        <v>No</v>
      </c>
    </row>
    <row r="666" spans="1:20"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INDEX(products!$A$1:$I$49,MATCH('Conditional Fomating'!$D666,products!$A$1:$A$49,0),MATCH('Conditional Fomating'!I$1,products!$A$1:$D$1,0))</f>
        <v>Exc</v>
      </c>
      <c r="J666" t="str">
        <f t="shared" si="60"/>
        <v>Excelsa</v>
      </c>
      <c r="K666" t="str">
        <f>INDEX(products!$A$1:$I$49,MATCH('Conditional Fomating'!$D666,products!$A$1:$A$49,0),MATCH('Conditional Fomating'!K$1,products!$A$1:$D$1,0))</f>
        <v>D</v>
      </c>
      <c r="L666" t="str">
        <f t="shared" si="61"/>
        <v>Dark</v>
      </c>
      <c r="M666">
        <f>INDEX(products!$A$1:$I$49,MATCH('Conditional Fomating'!$D666,products!$A$1:$A$49,0),MATCH('Conditional Fomating'!M$1,products!$A$1:$D$1,0))</f>
        <v>1</v>
      </c>
      <c r="N666">
        <f>_xlfn.XLOOKUP(D666,products!$A$2:$A$49,products!$E$2:$E$49)</f>
        <v>12.15</v>
      </c>
      <c r="O666">
        <f>_xlfn.XLOOKUP(D666,products!$A$2:$A$49,products!$H$2:$H$49)</f>
        <v>10.813500000000001</v>
      </c>
      <c r="P666">
        <f t="shared" si="62"/>
        <v>72.900000000000006</v>
      </c>
      <c r="Q666">
        <f t="shared" si="63"/>
        <v>64.881</v>
      </c>
      <c r="R666">
        <f t="shared" si="64"/>
        <v>8.0190000000000055</v>
      </c>
      <c r="S666" s="4">
        <f t="shared" si="65"/>
        <v>0.11000000000000007</v>
      </c>
      <c r="T666" t="str">
        <f>_xlfn.XLOOKUP(C666,customers!$A$1:$A$1001,customers!$I$1:$I$1001,,0)</f>
        <v>No</v>
      </c>
    </row>
    <row r="667" spans="1:20"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INDEX(products!$A$1:$I$49,MATCH('Conditional Fomating'!$D667,products!$A$1:$A$49,0),MATCH('Conditional Fomating'!I$1,products!$A$1:$D$1,0))</f>
        <v>Lib</v>
      </c>
      <c r="J667" t="str">
        <f t="shared" si="60"/>
        <v>Liberica</v>
      </c>
      <c r="K667" t="str">
        <f>INDEX(products!$A$1:$I$49,MATCH('Conditional Fomating'!$D667,products!$A$1:$A$49,0),MATCH('Conditional Fomating'!K$1,products!$A$1:$D$1,0))</f>
        <v>D</v>
      </c>
      <c r="L667" t="str">
        <f t="shared" si="61"/>
        <v>Dark</v>
      </c>
      <c r="M667">
        <f>INDEX(products!$A$1:$I$49,MATCH('Conditional Fomating'!$D667,products!$A$1:$A$49,0),MATCH('Conditional Fomating'!M$1,products!$A$1:$D$1,0))</f>
        <v>0.2</v>
      </c>
      <c r="N667">
        <f>_xlfn.XLOOKUP(D667,products!$A$2:$A$49,products!$E$2:$E$49)</f>
        <v>3.8849999999999998</v>
      </c>
      <c r="O667">
        <f>_xlfn.XLOOKUP(D667,products!$A$2:$A$49,products!$H$2:$H$49)</f>
        <v>3.37995</v>
      </c>
      <c r="P667">
        <f t="shared" si="62"/>
        <v>7.77</v>
      </c>
      <c r="Q667">
        <f t="shared" si="63"/>
        <v>6.7599</v>
      </c>
      <c r="R667">
        <f t="shared" si="64"/>
        <v>1.0100999999999996</v>
      </c>
      <c r="S667" s="4">
        <f t="shared" si="65"/>
        <v>0.12999999999999995</v>
      </c>
      <c r="T667" t="str">
        <f>_xlfn.XLOOKUP(C667,customers!$A$1:$A$1001,customers!$I$1:$I$1001,,0)</f>
        <v>No</v>
      </c>
    </row>
    <row r="668" spans="1:20"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INDEX(products!$A$1:$I$49,MATCH('Conditional Fomating'!$D668,products!$A$1:$A$49,0),MATCH('Conditional Fomating'!I$1,products!$A$1:$D$1,0))</f>
        <v>Ara</v>
      </c>
      <c r="J668" t="str">
        <f t="shared" si="60"/>
        <v>Arabica</v>
      </c>
      <c r="K668" t="str">
        <f>INDEX(products!$A$1:$I$49,MATCH('Conditional Fomating'!$D668,products!$A$1:$A$49,0),MATCH('Conditional Fomating'!K$1,products!$A$1:$D$1,0))</f>
        <v>D</v>
      </c>
      <c r="L668" t="str">
        <f t="shared" si="61"/>
        <v>Dark</v>
      </c>
      <c r="M668">
        <f>INDEX(products!$A$1:$I$49,MATCH('Conditional Fomating'!$D668,products!$A$1:$A$49,0),MATCH('Conditional Fomating'!M$1,products!$A$1:$D$1,0))</f>
        <v>2.5</v>
      </c>
      <c r="N668">
        <f>_xlfn.XLOOKUP(D668,products!$A$2:$A$49,products!$E$2:$E$49)</f>
        <v>22.884999999999998</v>
      </c>
      <c r="O668">
        <f>_xlfn.XLOOKUP(D668,products!$A$2:$A$49,products!$H$2:$H$49)</f>
        <v>20.82535</v>
      </c>
      <c r="P668">
        <f t="shared" si="62"/>
        <v>91.539999999999992</v>
      </c>
      <c r="Q668">
        <f t="shared" si="63"/>
        <v>83.301400000000001</v>
      </c>
      <c r="R668">
        <f t="shared" si="64"/>
        <v>8.238599999999991</v>
      </c>
      <c r="S668" s="4">
        <f t="shared" si="65"/>
        <v>8.9999999999999913E-2</v>
      </c>
      <c r="T668" t="str">
        <f>_xlfn.XLOOKUP(C668,customers!$A$1:$A$1001,customers!$I$1:$I$1001,,0)</f>
        <v>No</v>
      </c>
    </row>
    <row r="669" spans="1:20"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INDEX(products!$A$1:$I$49,MATCH('Conditional Fomating'!$D669,products!$A$1:$A$49,0),MATCH('Conditional Fomating'!I$1,products!$A$1:$D$1,0))</f>
        <v>Ara</v>
      </c>
      <c r="J669" t="str">
        <f t="shared" si="60"/>
        <v>Arabica</v>
      </c>
      <c r="K669" t="str">
        <f>INDEX(products!$A$1:$I$49,MATCH('Conditional Fomating'!$D669,products!$A$1:$A$49,0),MATCH('Conditional Fomating'!K$1,products!$A$1:$D$1,0))</f>
        <v>D</v>
      </c>
      <c r="L669" t="str">
        <f t="shared" si="61"/>
        <v>Dark</v>
      </c>
      <c r="M669">
        <f>INDEX(products!$A$1:$I$49,MATCH('Conditional Fomating'!$D669,products!$A$1:$A$49,0),MATCH('Conditional Fomating'!M$1,products!$A$1:$D$1,0))</f>
        <v>1</v>
      </c>
      <c r="N669">
        <f>_xlfn.XLOOKUP(D669,products!$A$2:$A$49,products!$E$2:$E$49)</f>
        <v>9.9499999999999993</v>
      </c>
      <c r="O669">
        <f>_xlfn.XLOOKUP(D669,products!$A$2:$A$49,products!$H$2:$H$49)</f>
        <v>9.0544999999999991</v>
      </c>
      <c r="P669">
        <f t="shared" si="62"/>
        <v>59.699999999999996</v>
      </c>
      <c r="Q669">
        <f t="shared" si="63"/>
        <v>54.326999999999998</v>
      </c>
      <c r="R669">
        <f t="shared" si="64"/>
        <v>5.3729999999999976</v>
      </c>
      <c r="S669" s="4">
        <f t="shared" si="65"/>
        <v>8.9999999999999969E-2</v>
      </c>
      <c r="T669" t="str">
        <f>_xlfn.XLOOKUP(C669,customers!$A$1:$A$1001,customers!$I$1:$I$1001,,0)</f>
        <v>No</v>
      </c>
    </row>
    <row r="670" spans="1:20"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INDEX(products!$A$1:$I$49,MATCH('Conditional Fomating'!$D670,products!$A$1:$A$49,0),MATCH('Conditional Fomating'!I$1,products!$A$1:$D$1,0))</f>
        <v>Rob</v>
      </c>
      <c r="J670" t="str">
        <f t="shared" si="60"/>
        <v>Robusta</v>
      </c>
      <c r="K670" t="str">
        <f>INDEX(products!$A$1:$I$49,MATCH('Conditional Fomating'!$D670,products!$A$1:$A$49,0),MATCH('Conditional Fomating'!K$1,products!$A$1:$D$1,0))</f>
        <v>L</v>
      </c>
      <c r="L670" t="str">
        <f t="shared" si="61"/>
        <v>Light</v>
      </c>
      <c r="M670">
        <f>INDEX(products!$A$1:$I$49,MATCH('Conditional Fomating'!$D670,products!$A$1:$A$49,0),MATCH('Conditional Fomating'!M$1,products!$A$1:$D$1,0))</f>
        <v>2.5</v>
      </c>
      <c r="N670">
        <f>_xlfn.XLOOKUP(D670,products!$A$2:$A$49,products!$E$2:$E$49)</f>
        <v>27.484999999999996</v>
      </c>
      <c r="O670">
        <f>_xlfn.XLOOKUP(D670,products!$A$2:$A$49,products!$H$2:$H$49)</f>
        <v>25.835899999999995</v>
      </c>
      <c r="P670">
        <f t="shared" si="62"/>
        <v>137.42499999999998</v>
      </c>
      <c r="Q670">
        <f t="shared" si="63"/>
        <v>129.17949999999996</v>
      </c>
      <c r="R670">
        <f t="shared" si="64"/>
        <v>8.2455000000000211</v>
      </c>
      <c r="S670" s="4">
        <f t="shared" si="65"/>
        <v>6.0000000000000164E-2</v>
      </c>
      <c r="T670" t="str">
        <f>_xlfn.XLOOKUP(C670,customers!$A$1:$A$1001,customers!$I$1:$I$1001,,0)</f>
        <v>Yes</v>
      </c>
    </row>
    <row r="671" spans="1:20"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INDEX(products!$A$1:$I$49,MATCH('Conditional Fomating'!$D671,products!$A$1:$A$49,0),MATCH('Conditional Fomating'!I$1,products!$A$1:$D$1,0))</f>
        <v>Lib</v>
      </c>
      <c r="J671" t="str">
        <f t="shared" si="60"/>
        <v>Liberica</v>
      </c>
      <c r="K671" t="str">
        <f>INDEX(products!$A$1:$I$49,MATCH('Conditional Fomating'!$D671,products!$A$1:$A$49,0),MATCH('Conditional Fomating'!K$1,products!$A$1:$D$1,0))</f>
        <v>M</v>
      </c>
      <c r="L671" t="str">
        <f t="shared" si="61"/>
        <v>Medium</v>
      </c>
      <c r="M671">
        <f>INDEX(products!$A$1:$I$49,MATCH('Conditional Fomating'!$D671,products!$A$1:$A$49,0),MATCH('Conditional Fomating'!M$1,products!$A$1:$D$1,0))</f>
        <v>2.5</v>
      </c>
      <c r="N671">
        <f>_xlfn.XLOOKUP(D671,products!$A$2:$A$49,products!$E$2:$E$49)</f>
        <v>33.464999999999996</v>
      </c>
      <c r="O671">
        <f>_xlfn.XLOOKUP(D671,products!$A$2:$A$49,products!$H$2:$H$49)</f>
        <v>29.114549999999998</v>
      </c>
      <c r="P671">
        <f t="shared" si="62"/>
        <v>66.929999999999993</v>
      </c>
      <c r="Q671">
        <f t="shared" si="63"/>
        <v>58.229099999999995</v>
      </c>
      <c r="R671">
        <f t="shared" si="64"/>
        <v>8.7008999999999972</v>
      </c>
      <c r="S671" s="4">
        <f t="shared" si="65"/>
        <v>0.12999999999999998</v>
      </c>
      <c r="T671" t="str">
        <f>_xlfn.XLOOKUP(C671,customers!$A$1:$A$1001,customers!$I$1:$I$1001,,0)</f>
        <v>No</v>
      </c>
    </row>
    <row r="672" spans="1:20"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INDEX(products!$A$1:$I$49,MATCH('Conditional Fomating'!$D672,products!$A$1:$A$49,0),MATCH('Conditional Fomating'!I$1,products!$A$1:$D$1,0))</f>
        <v>Lib</v>
      </c>
      <c r="J672" t="str">
        <f t="shared" si="60"/>
        <v>Liberica</v>
      </c>
      <c r="K672" t="str">
        <f>INDEX(products!$A$1:$I$49,MATCH('Conditional Fomating'!$D672,products!$A$1:$A$49,0),MATCH('Conditional Fomating'!K$1,products!$A$1:$D$1,0))</f>
        <v>M</v>
      </c>
      <c r="L672" t="str">
        <f t="shared" si="61"/>
        <v>Medium</v>
      </c>
      <c r="M672">
        <f>INDEX(products!$A$1:$I$49,MATCH('Conditional Fomating'!$D672,products!$A$1:$A$49,0),MATCH('Conditional Fomating'!M$1,products!$A$1:$D$1,0))</f>
        <v>0.2</v>
      </c>
      <c r="N672">
        <f>_xlfn.XLOOKUP(D672,products!$A$2:$A$49,products!$E$2:$E$49)</f>
        <v>4.3650000000000002</v>
      </c>
      <c r="O672">
        <f>_xlfn.XLOOKUP(D672,products!$A$2:$A$49,products!$H$2:$H$49)</f>
        <v>3.7975500000000002</v>
      </c>
      <c r="P672">
        <f t="shared" si="62"/>
        <v>13.095000000000001</v>
      </c>
      <c r="Q672">
        <f t="shared" si="63"/>
        <v>11.39265</v>
      </c>
      <c r="R672">
        <f t="shared" si="64"/>
        <v>1.7023500000000009</v>
      </c>
      <c r="S672" s="4">
        <f t="shared" si="65"/>
        <v>0.13000000000000006</v>
      </c>
      <c r="T672" t="str">
        <f>_xlfn.XLOOKUP(C672,customers!$A$1:$A$1001,customers!$I$1:$I$1001,,0)</f>
        <v>Yes</v>
      </c>
    </row>
    <row r="673" spans="1:20"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INDEX(products!$A$1:$I$49,MATCH('Conditional Fomating'!$D673,products!$A$1:$A$49,0),MATCH('Conditional Fomating'!I$1,products!$A$1:$D$1,0))</f>
        <v>Rob</v>
      </c>
      <c r="J673" t="str">
        <f t="shared" si="60"/>
        <v>Robusta</v>
      </c>
      <c r="K673" t="str">
        <f>INDEX(products!$A$1:$I$49,MATCH('Conditional Fomating'!$D673,products!$A$1:$A$49,0),MATCH('Conditional Fomating'!K$1,products!$A$1:$D$1,0))</f>
        <v>L</v>
      </c>
      <c r="L673" t="str">
        <f t="shared" si="61"/>
        <v>Light</v>
      </c>
      <c r="M673">
        <f>INDEX(products!$A$1:$I$49,MATCH('Conditional Fomating'!$D673,products!$A$1:$A$49,0),MATCH('Conditional Fomating'!M$1,products!$A$1:$D$1,0))</f>
        <v>1</v>
      </c>
      <c r="N673">
        <f>_xlfn.XLOOKUP(D673,products!$A$2:$A$49,products!$E$2:$E$49)</f>
        <v>11.95</v>
      </c>
      <c r="O673">
        <f>_xlfn.XLOOKUP(D673,products!$A$2:$A$49,products!$H$2:$H$49)</f>
        <v>11.232999999999999</v>
      </c>
      <c r="P673">
        <f t="shared" si="62"/>
        <v>59.75</v>
      </c>
      <c r="Q673">
        <f t="shared" si="63"/>
        <v>56.164999999999992</v>
      </c>
      <c r="R673">
        <f t="shared" si="64"/>
        <v>3.585000000000008</v>
      </c>
      <c r="S673" s="4">
        <f t="shared" si="65"/>
        <v>6.0000000000000137E-2</v>
      </c>
      <c r="T673" t="str">
        <f>_xlfn.XLOOKUP(C673,customers!$A$1:$A$1001,customers!$I$1:$I$1001,,0)</f>
        <v>No</v>
      </c>
    </row>
    <row r="674" spans="1:20"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INDEX(products!$A$1:$I$49,MATCH('Conditional Fomating'!$D674,products!$A$1:$A$49,0),MATCH('Conditional Fomating'!I$1,products!$A$1:$D$1,0))</f>
        <v>Lib</v>
      </c>
      <c r="J674" t="str">
        <f t="shared" si="60"/>
        <v>Liberica</v>
      </c>
      <c r="K674" t="str">
        <f>INDEX(products!$A$1:$I$49,MATCH('Conditional Fomating'!$D674,products!$A$1:$A$49,0),MATCH('Conditional Fomating'!K$1,products!$A$1:$D$1,0))</f>
        <v>M</v>
      </c>
      <c r="L674" t="str">
        <f t="shared" si="61"/>
        <v>Medium</v>
      </c>
      <c r="M674">
        <f>INDEX(products!$A$1:$I$49,MATCH('Conditional Fomating'!$D674,products!$A$1:$A$49,0),MATCH('Conditional Fomating'!M$1,products!$A$1:$D$1,0))</f>
        <v>0.5</v>
      </c>
      <c r="N674">
        <f>_xlfn.XLOOKUP(D674,products!$A$2:$A$49,products!$E$2:$E$49)</f>
        <v>8.73</v>
      </c>
      <c r="O674">
        <f>_xlfn.XLOOKUP(D674,products!$A$2:$A$49,products!$H$2:$H$49)</f>
        <v>7.5951000000000004</v>
      </c>
      <c r="P674">
        <f t="shared" si="62"/>
        <v>43.650000000000006</v>
      </c>
      <c r="Q674">
        <f t="shared" si="63"/>
        <v>37.975500000000004</v>
      </c>
      <c r="R674">
        <f t="shared" si="64"/>
        <v>5.6745000000000019</v>
      </c>
      <c r="S674" s="4">
        <f t="shared" si="65"/>
        <v>0.13000000000000003</v>
      </c>
      <c r="T674" t="str">
        <f>_xlfn.XLOOKUP(C674,customers!$A$1:$A$1001,customers!$I$1:$I$1001,,0)</f>
        <v>Yes</v>
      </c>
    </row>
    <row r="675" spans="1:20"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INDEX(products!$A$1:$I$49,MATCH('Conditional Fomating'!$D675,products!$A$1:$A$49,0),MATCH('Conditional Fomating'!I$1,products!$A$1:$D$1,0))</f>
        <v>Exc</v>
      </c>
      <c r="J675" t="str">
        <f t="shared" si="60"/>
        <v>Excelsa</v>
      </c>
      <c r="K675" t="str">
        <f>INDEX(products!$A$1:$I$49,MATCH('Conditional Fomating'!$D675,products!$A$1:$A$49,0),MATCH('Conditional Fomating'!K$1,products!$A$1:$D$1,0))</f>
        <v>M</v>
      </c>
      <c r="L675" t="str">
        <f t="shared" si="61"/>
        <v>Medium</v>
      </c>
      <c r="M675">
        <f>INDEX(products!$A$1:$I$49,MATCH('Conditional Fomating'!$D675,products!$A$1:$A$49,0),MATCH('Conditional Fomating'!M$1,products!$A$1:$D$1,0))</f>
        <v>1</v>
      </c>
      <c r="N675">
        <f>_xlfn.XLOOKUP(D675,products!$A$2:$A$49,products!$E$2:$E$49)</f>
        <v>13.75</v>
      </c>
      <c r="O675">
        <f>_xlfn.XLOOKUP(D675,products!$A$2:$A$49,products!$H$2:$H$49)</f>
        <v>12.237500000000001</v>
      </c>
      <c r="P675">
        <f t="shared" si="62"/>
        <v>82.5</v>
      </c>
      <c r="Q675">
        <f t="shared" si="63"/>
        <v>73.425000000000011</v>
      </c>
      <c r="R675">
        <f t="shared" si="64"/>
        <v>9.0749999999999886</v>
      </c>
      <c r="S675" s="4">
        <f t="shared" si="65"/>
        <v>0.10999999999999986</v>
      </c>
      <c r="T675" t="str">
        <f>_xlfn.XLOOKUP(C675,customers!$A$1:$A$1001,customers!$I$1:$I$1001,,0)</f>
        <v>Yes</v>
      </c>
    </row>
    <row r="676" spans="1:20"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INDEX(products!$A$1:$I$49,MATCH('Conditional Fomating'!$D676,products!$A$1:$A$49,0),MATCH('Conditional Fomating'!I$1,products!$A$1:$D$1,0))</f>
        <v>Ara</v>
      </c>
      <c r="J676" t="str">
        <f t="shared" si="60"/>
        <v>Arabica</v>
      </c>
      <c r="K676" t="str">
        <f>INDEX(products!$A$1:$I$49,MATCH('Conditional Fomating'!$D676,products!$A$1:$A$49,0),MATCH('Conditional Fomating'!K$1,products!$A$1:$D$1,0))</f>
        <v>L</v>
      </c>
      <c r="L676" t="str">
        <f t="shared" si="61"/>
        <v>Light</v>
      </c>
      <c r="M676">
        <f>INDEX(products!$A$1:$I$49,MATCH('Conditional Fomating'!$D676,products!$A$1:$A$49,0),MATCH('Conditional Fomating'!M$1,products!$A$1:$D$1,0))</f>
        <v>2.5</v>
      </c>
      <c r="N676">
        <f>_xlfn.XLOOKUP(D676,products!$A$2:$A$49,products!$E$2:$E$49)</f>
        <v>29.784999999999997</v>
      </c>
      <c r="O676">
        <f>_xlfn.XLOOKUP(D676,products!$A$2:$A$49,products!$H$2:$H$49)</f>
        <v>27.104349999999997</v>
      </c>
      <c r="P676">
        <f t="shared" si="62"/>
        <v>178.70999999999998</v>
      </c>
      <c r="Q676">
        <f t="shared" si="63"/>
        <v>162.62609999999998</v>
      </c>
      <c r="R676">
        <f t="shared" si="64"/>
        <v>16.0839</v>
      </c>
      <c r="S676" s="4">
        <f t="shared" si="65"/>
        <v>9.0000000000000011E-2</v>
      </c>
      <c r="T676" t="str">
        <f>_xlfn.XLOOKUP(C676,customers!$A$1:$A$1001,customers!$I$1:$I$1001,,0)</f>
        <v>Yes</v>
      </c>
    </row>
    <row r="677" spans="1:20"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v>
      </c>
      <c r="H677" s="2" t="str">
        <f>_xlfn.XLOOKUP(C677,customers!$A$1:$A$1001,customers!$G$1:$G$1001,,0)</f>
        <v>United States</v>
      </c>
      <c r="I677" t="str">
        <f>INDEX(products!$A$1:$I$49,MATCH('Conditional Fomating'!$D677,products!$A$1:$A$49,0),MATCH('Conditional Fomating'!I$1,products!$A$1:$D$1,0))</f>
        <v>Lib</v>
      </c>
      <c r="J677" t="str">
        <f t="shared" si="60"/>
        <v>Liberica</v>
      </c>
      <c r="K677" t="str">
        <f>INDEX(products!$A$1:$I$49,MATCH('Conditional Fomating'!$D677,products!$A$1:$A$49,0),MATCH('Conditional Fomating'!K$1,products!$A$1:$D$1,0))</f>
        <v>D</v>
      </c>
      <c r="L677" t="str">
        <f t="shared" si="61"/>
        <v>Dark</v>
      </c>
      <c r="M677">
        <f>INDEX(products!$A$1:$I$49,MATCH('Conditional Fomating'!$D677,products!$A$1:$A$49,0),MATCH('Conditional Fomating'!M$1,products!$A$1:$D$1,0))</f>
        <v>2.5</v>
      </c>
      <c r="N677">
        <f>_xlfn.XLOOKUP(D677,products!$A$2:$A$49,products!$E$2:$E$49)</f>
        <v>29.784999999999997</v>
      </c>
      <c r="O677">
        <f>_xlfn.XLOOKUP(D677,products!$A$2:$A$49,products!$H$2:$H$49)</f>
        <v>25.912949999999995</v>
      </c>
      <c r="P677">
        <f t="shared" si="62"/>
        <v>119.13999999999999</v>
      </c>
      <c r="Q677">
        <f t="shared" si="63"/>
        <v>103.65179999999998</v>
      </c>
      <c r="R677">
        <f t="shared" si="64"/>
        <v>15.488200000000006</v>
      </c>
      <c r="S677" s="4">
        <f t="shared" si="65"/>
        <v>0.13000000000000006</v>
      </c>
      <c r="T677" t="str">
        <f>_xlfn.XLOOKUP(C677,customers!$A$1:$A$1001,customers!$I$1:$I$1001,,0)</f>
        <v>Yes</v>
      </c>
    </row>
    <row r="678" spans="1:20"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v>
      </c>
      <c r="H678" s="2" t="str">
        <f>_xlfn.XLOOKUP(C678,customers!$A$1:$A$1001,customers!$G$1:$G$1001,,0)</f>
        <v>United States</v>
      </c>
      <c r="I678" t="str">
        <f>INDEX(products!$A$1:$I$49,MATCH('Conditional Fomating'!$D678,products!$A$1:$A$49,0),MATCH('Conditional Fomating'!I$1,products!$A$1:$D$1,0))</f>
        <v>Lib</v>
      </c>
      <c r="J678" t="str">
        <f t="shared" si="60"/>
        <v>Liberica</v>
      </c>
      <c r="K678" t="str">
        <f>INDEX(products!$A$1:$I$49,MATCH('Conditional Fomating'!$D678,products!$A$1:$A$49,0),MATCH('Conditional Fomating'!K$1,products!$A$1:$D$1,0))</f>
        <v>L</v>
      </c>
      <c r="L678" t="str">
        <f t="shared" si="61"/>
        <v>Light</v>
      </c>
      <c r="M678">
        <f>INDEX(products!$A$1:$I$49,MATCH('Conditional Fomating'!$D678,products!$A$1:$A$49,0),MATCH('Conditional Fomating'!M$1,products!$A$1:$D$1,0))</f>
        <v>0.5</v>
      </c>
      <c r="N678">
        <f>_xlfn.XLOOKUP(D678,products!$A$2:$A$49,products!$E$2:$E$49)</f>
        <v>9.51</v>
      </c>
      <c r="O678">
        <f>_xlfn.XLOOKUP(D678,products!$A$2:$A$49,products!$H$2:$H$49)</f>
        <v>8.2736999999999998</v>
      </c>
      <c r="P678">
        <f t="shared" si="62"/>
        <v>47.55</v>
      </c>
      <c r="Q678">
        <f t="shared" si="63"/>
        <v>41.368499999999997</v>
      </c>
      <c r="R678">
        <f t="shared" si="64"/>
        <v>6.1814999999999998</v>
      </c>
      <c r="S678" s="4">
        <f t="shared" si="65"/>
        <v>0.13</v>
      </c>
      <c r="T678" t="str">
        <f>_xlfn.XLOOKUP(C678,customers!$A$1:$A$1001,customers!$I$1:$I$1001,,0)</f>
        <v>No</v>
      </c>
    </row>
    <row r="679" spans="1:20"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INDEX(products!$A$1:$I$49,MATCH('Conditional Fomating'!$D679,products!$A$1:$A$49,0),MATCH('Conditional Fomating'!I$1,products!$A$1:$D$1,0))</f>
        <v>Lib</v>
      </c>
      <c r="J679" t="str">
        <f t="shared" si="60"/>
        <v>Liberica</v>
      </c>
      <c r="K679" t="str">
        <f>INDEX(products!$A$1:$I$49,MATCH('Conditional Fomating'!$D679,products!$A$1:$A$49,0),MATCH('Conditional Fomating'!K$1,products!$A$1:$D$1,0))</f>
        <v>M</v>
      </c>
      <c r="L679" t="str">
        <f t="shared" si="61"/>
        <v>Medium</v>
      </c>
      <c r="M679">
        <f>INDEX(products!$A$1:$I$49,MATCH('Conditional Fomating'!$D679,products!$A$1:$A$49,0),MATCH('Conditional Fomating'!M$1,products!$A$1:$D$1,0))</f>
        <v>0.5</v>
      </c>
      <c r="N679">
        <f>_xlfn.XLOOKUP(D679,products!$A$2:$A$49,products!$E$2:$E$49)</f>
        <v>8.73</v>
      </c>
      <c r="O679">
        <f>_xlfn.XLOOKUP(D679,products!$A$2:$A$49,products!$H$2:$H$49)</f>
        <v>7.5951000000000004</v>
      </c>
      <c r="P679">
        <f t="shared" si="62"/>
        <v>43.650000000000006</v>
      </c>
      <c r="Q679">
        <f t="shared" si="63"/>
        <v>37.975500000000004</v>
      </c>
      <c r="R679">
        <f t="shared" si="64"/>
        <v>5.6745000000000019</v>
      </c>
      <c r="S679" s="4">
        <f t="shared" si="65"/>
        <v>0.13000000000000003</v>
      </c>
      <c r="T679" t="str">
        <f>_xlfn.XLOOKUP(C679,customers!$A$1:$A$1001,customers!$I$1:$I$1001,,0)</f>
        <v>No</v>
      </c>
    </row>
    <row r="680" spans="1:20"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INDEX(products!$A$1:$I$49,MATCH('Conditional Fomating'!$D680,products!$A$1:$A$49,0),MATCH('Conditional Fomating'!I$1,products!$A$1:$D$1,0))</f>
        <v>Ara</v>
      </c>
      <c r="J680" t="str">
        <f t="shared" si="60"/>
        <v>Arabica</v>
      </c>
      <c r="K680" t="str">
        <f>INDEX(products!$A$1:$I$49,MATCH('Conditional Fomating'!$D680,products!$A$1:$A$49,0),MATCH('Conditional Fomating'!K$1,products!$A$1:$D$1,0))</f>
        <v>L</v>
      </c>
      <c r="L680" t="str">
        <f t="shared" si="61"/>
        <v>Light</v>
      </c>
      <c r="M680">
        <f>INDEX(products!$A$1:$I$49,MATCH('Conditional Fomating'!$D680,products!$A$1:$A$49,0),MATCH('Conditional Fomating'!M$1,products!$A$1:$D$1,0))</f>
        <v>2.5</v>
      </c>
      <c r="N680">
        <f>_xlfn.XLOOKUP(D680,products!$A$2:$A$49,products!$E$2:$E$49)</f>
        <v>29.784999999999997</v>
      </c>
      <c r="O680">
        <f>_xlfn.XLOOKUP(D680,products!$A$2:$A$49,products!$H$2:$H$49)</f>
        <v>27.104349999999997</v>
      </c>
      <c r="P680">
        <f t="shared" si="62"/>
        <v>178.70999999999998</v>
      </c>
      <c r="Q680">
        <f t="shared" si="63"/>
        <v>162.62609999999998</v>
      </c>
      <c r="R680">
        <f t="shared" si="64"/>
        <v>16.0839</v>
      </c>
      <c r="S680" s="4">
        <f t="shared" si="65"/>
        <v>9.0000000000000011E-2</v>
      </c>
      <c r="T680" t="str">
        <f>_xlfn.XLOOKUP(C680,customers!$A$1:$A$1001,customers!$I$1:$I$1001,,0)</f>
        <v>Yes</v>
      </c>
    </row>
    <row r="681" spans="1:20"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INDEX(products!$A$1:$I$49,MATCH('Conditional Fomating'!$D681,products!$A$1:$A$49,0),MATCH('Conditional Fomating'!I$1,products!$A$1:$D$1,0))</f>
        <v>Rob</v>
      </c>
      <c r="J681" t="str">
        <f t="shared" si="60"/>
        <v>Robusta</v>
      </c>
      <c r="K681" t="str">
        <f>INDEX(products!$A$1:$I$49,MATCH('Conditional Fomating'!$D681,products!$A$1:$A$49,0),MATCH('Conditional Fomating'!K$1,products!$A$1:$D$1,0))</f>
        <v>L</v>
      </c>
      <c r="L681" t="str">
        <f t="shared" si="61"/>
        <v>Light</v>
      </c>
      <c r="M681">
        <f>INDEX(products!$A$1:$I$49,MATCH('Conditional Fomating'!$D681,products!$A$1:$A$49,0),MATCH('Conditional Fomating'!M$1,products!$A$1:$D$1,0))</f>
        <v>2.5</v>
      </c>
      <c r="N681">
        <f>_xlfn.XLOOKUP(D681,products!$A$2:$A$49,products!$E$2:$E$49)</f>
        <v>27.484999999999996</v>
      </c>
      <c r="O681">
        <f>_xlfn.XLOOKUP(D681,products!$A$2:$A$49,products!$H$2:$H$49)</f>
        <v>25.835899999999995</v>
      </c>
      <c r="P681">
        <f t="shared" si="62"/>
        <v>27.484999999999996</v>
      </c>
      <c r="Q681">
        <f t="shared" si="63"/>
        <v>25.835899999999995</v>
      </c>
      <c r="R681">
        <f t="shared" si="64"/>
        <v>1.6491000000000007</v>
      </c>
      <c r="S681" s="4">
        <f t="shared" si="65"/>
        <v>6.0000000000000032E-2</v>
      </c>
      <c r="T681" t="str">
        <f>_xlfn.XLOOKUP(C681,customers!$A$1:$A$1001,customers!$I$1:$I$1001,,0)</f>
        <v>No</v>
      </c>
    </row>
    <row r="682" spans="1:20"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INDEX(products!$A$1:$I$49,MATCH('Conditional Fomating'!$D682,products!$A$1:$A$49,0),MATCH('Conditional Fomating'!I$1,products!$A$1:$D$1,0))</f>
        <v>Ara</v>
      </c>
      <c r="J682" t="str">
        <f t="shared" si="60"/>
        <v>Arabica</v>
      </c>
      <c r="K682" t="str">
        <f>INDEX(products!$A$1:$I$49,MATCH('Conditional Fomating'!$D682,products!$A$1:$A$49,0),MATCH('Conditional Fomating'!K$1,products!$A$1:$D$1,0))</f>
        <v>M</v>
      </c>
      <c r="L682" t="str">
        <f t="shared" si="61"/>
        <v>Medium</v>
      </c>
      <c r="M682">
        <f>INDEX(products!$A$1:$I$49,MATCH('Conditional Fomating'!$D682,products!$A$1:$A$49,0),MATCH('Conditional Fomating'!M$1,products!$A$1:$D$1,0))</f>
        <v>1</v>
      </c>
      <c r="N682">
        <f>_xlfn.XLOOKUP(D682,products!$A$2:$A$49,products!$E$2:$E$49)</f>
        <v>11.25</v>
      </c>
      <c r="O682">
        <f>_xlfn.XLOOKUP(D682,products!$A$2:$A$49,products!$H$2:$H$49)</f>
        <v>10.237500000000001</v>
      </c>
      <c r="P682">
        <f t="shared" si="62"/>
        <v>56.25</v>
      </c>
      <c r="Q682">
        <f t="shared" si="63"/>
        <v>51.1875</v>
      </c>
      <c r="R682">
        <f t="shared" si="64"/>
        <v>5.0625</v>
      </c>
      <c r="S682" s="4">
        <f t="shared" si="65"/>
        <v>0.09</v>
      </c>
      <c r="T682" t="str">
        <f>_xlfn.XLOOKUP(C682,customers!$A$1:$A$1001,customers!$I$1:$I$1001,,0)</f>
        <v>No</v>
      </c>
    </row>
    <row r="683" spans="1:20"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INDEX(products!$A$1:$I$49,MATCH('Conditional Fomating'!$D683,products!$A$1:$A$49,0),MATCH('Conditional Fomating'!I$1,products!$A$1:$D$1,0))</f>
        <v>Lib</v>
      </c>
      <c r="J683" t="str">
        <f t="shared" si="60"/>
        <v>Liberica</v>
      </c>
      <c r="K683" t="str">
        <f>INDEX(products!$A$1:$I$49,MATCH('Conditional Fomating'!$D683,products!$A$1:$A$49,0),MATCH('Conditional Fomating'!K$1,products!$A$1:$D$1,0))</f>
        <v>L</v>
      </c>
      <c r="L683" t="str">
        <f t="shared" si="61"/>
        <v>Light</v>
      </c>
      <c r="M683">
        <f>INDEX(products!$A$1:$I$49,MATCH('Conditional Fomating'!$D683,products!$A$1:$A$49,0),MATCH('Conditional Fomating'!M$1,products!$A$1:$D$1,0))</f>
        <v>0.2</v>
      </c>
      <c r="N683">
        <f>_xlfn.XLOOKUP(D683,products!$A$2:$A$49,products!$E$2:$E$49)</f>
        <v>4.7549999999999999</v>
      </c>
      <c r="O683">
        <f>_xlfn.XLOOKUP(D683,products!$A$2:$A$49,products!$H$2:$H$49)</f>
        <v>4.1368499999999999</v>
      </c>
      <c r="P683">
        <f t="shared" si="62"/>
        <v>9.51</v>
      </c>
      <c r="Q683">
        <f t="shared" si="63"/>
        <v>8.2736999999999998</v>
      </c>
      <c r="R683">
        <f t="shared" si="64"/>
        <v>1.2363</v>
      </c>
      <c r="S683" s="4">
        <f t="shared" si="65"/>
        <v>0.13</v>
      </c>
      <c r="T683" t="str">
        <f>_xlfn.XLOOKUP(C683,customers!$A$1:$A$1001,customers!$I$1:$I$1001,,0)</f>
        <v>Yes</v>
      </c>
    </row>
    <row r="684" spans="1:20"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INDEX(products!$A$1:$I$49,MATCH('Conditional Fomating'!$D684,products!$A$1:$A$49,0),MATCH('Conditional Fomating'!I$1,products!$A$1:$D$1,0))</f>
        <v>Exc</v>
      </c>
      <c r="J684" t="str">
        <f t="shared" si="60"/>
        <v>Excelsa</v>
      </c>
      <c r="K684" t="str">
        <f>INDEX(products!$A$1:$I$49,MATCH('Conditional Fomating'!$D684,products!$A$1:$A$49,0),MATCH('Conditional Fomating'!K$1,products!$A$1:$D$1,0))</f>
        <v>M</v>
      </c>
      <c r="L684" t="str">
        <f t="shared" si="61"/>
        <v>Medium</v>
      </c>
      <c r="M684">
        <f>INDEX(products!$A$1:$I$49,MATCH('Conditional Fomating'!$D684,products!$A$1:$A$49,0),MATCH('Conditional Fomating'!M$1,products!$A$1:$D$1,0))</f>
        <v>0.2</v>
      </c>
      <c r="N684">
        <f>_xlfn.XLOOKUP(D684,products!$A$2:$A$49,products!$E$2:$E$49)</f>
        <v>4.125</v>
      </c>
      <c r="O684">
        <f>_xlfn.XLOOKUP(D684,products!$A$2:$A$49,products!$H$2:$H$49)</f>
        <v>3.6712500000000001</v>
      </c>
      <c r="P684">
        <f t="shared" si="62"/>
        <v>8.25</v>
      </c>
      <c r="Q684">
        <f t="shared" si="63"/>
        <v>7.3425000000000002</v>
      </c>
      <c r="R684">
        <f t="shared" si="64"/>
        <v>0.90749999999999975</v>
      </c>
      <c r="S684" s="4">
        <f t="shared" si="65"/>
        <v>0.10999999999999997</v>
      </c>
      <c r="T684" t="str">
        <f>_xlfn.XLOOKUP(C684,customers!$A$1:$A$1001,customers!$I$1:$I$1001,,0)</f>
        <v>Yes</v>
      </c>
    </row>
    <row r="685" spans="1:20"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INDEX(products!$A$1:$I$49,MATCH('Conditional Fomating'!$D685,products!$A$1:$A$49,0),MATCH('Conditional Fomating'!I$1,products!$A$1:$D$1,0))</f>
        <v>Lib</v>
      </c>
      <c r="J685" t="str">
        <f t="shared" si="60"/>
        <v>Liberica</v>
      </c>
      <c r="K685" t="str">
        <f>INDEX(products!$A$1:$I$49,MATCH('Conditional Fomating'!$D685,products!$A$1:$A$49,0),MATCH('Conditional Fomating'!K$1,products!$A$1:$D$1,0))</f>
        <v>D</v>
      </c>
      <c r="L685" t="str">
        <f t="shared" si="61"/>
        <v>Dark</v>
      </c>
      <c r="M685">
        <f>INDEX(products!$A$1:$I$49,MATCH('Conditional Fomating'!$D685,products!$A$1:$A$49,0),MATCH('Conditional Fomating'!M$1,products!$A$1:$D$1,0))</f>
        <v>0.5</v>
      </c>
      <c r="N685">
        <f>_xlfn.XLOOKUP(D685,products!$A$2:$A$49,products!$E$2:$E$49)</f>
        <v>7.77</v>
      </c>
      <c r="O685">
        <f>_xlfn.XLOOKUP(D685,products!$A$2:$A$49,products!$H$2:$H$49)</f>
        <v>6.7599</v>
      </c>
      <c r="P685">
        <f t="shared" si="62"/>
        <v>46.62</v>
      </c>
      <c r="Q685">
        <f t="shared" si="63"/>
        <v>40.559399999999997</v>
      </c>
      <c r="R685">
        <f t="shared" si="64"/>
        <v>6.0606000000000009</v>
      </c>
      <c r="S685" s="4">
        <f t="shared" si="65"/>
        <v>0.13000000000000003</v>
      </c>
      <c r="T685" t="str">
        <f>_xlfn.XLOOKUP(C685,customers!$A$1:$A$1001,customers!$I$1:$I$1001,,0)</f>
        <v>No</v>
      </c>
    </row>
    <row r="686" spans="1:20"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v>
      </c>
      <c r="H686" s="2" t="str">
        <f>_xlfn.XLOOKUP(C686,customers!$A$1:$A$1001,customers!$G$1:$G$1001,,0)</f>
        <v>United States</v>
      </c>
      <c r="I686" t="str">
        <f>INDEX(products!$A$1:$I$49,MATCH('Conditional Fomating'!$D686,products!$A$1:$A$49,0),MATCH('Conditional Fomating'!I$1,products!$A$1:$D$1,0))</f>
        <v>Rob</v>
      </c>
      <c r="J686" t="str">
        <f t="shared" si="60"/>
        <v>Robusta</v>
      </c>
      <c r="K686" t="str">
        <f>INDEX(products!$A$1:$I$49,MATCH('Conditional Fomating'!$D686,products!$A$1:$A$49,0),MATCH('Conditional Fomating'!K$1,products!$A$1:$D$1,0))</f>
        <v>L</v>
      </c>
      <c r="L686" t="str">
        <f t="shared" si="61"/>
        <v>Light</v>
      </c>
      <c r="M686">
        <f>INDEX(products!$A$1:$I$49,MATCH('Conditional Fomating'!$D686,products!$A$1:$A$49,0),MATCH('Conditional Fomating'!M$1,products!$A$1:$D$1,0))</f>
        <v>1</v>
      </c>
      <c r="N686">
        <f>_xlfn.XLOOKUP(D686,products!$A$2:$A$49,products!$E$2:$E$49)</f>
        <v>11.95</v>
      </c>
      <c r="O686">
        <f>_xlfn.XLOOKUP(D686,products!$A$2:$A$49,products!$H$2:$H$49)</f>
        <v>11.232999999999999</v>
      </c>
      <c r="P686">
        <f t="shared" si="62"/>
        <v>71.699999999999989</v>
      </c>
      <c r="Q686">
        <f t="shared" si="63"/>
        <v>67.397999999999996</v>
      </c>
      <c r="R686">
        <f t="shared" si="64"/>
        <v>4.3019999999999925</v>
      </c>
      <c r="S686" s="4">
        <f t="shared" si="65"/>
        <v>5.9999999999999908E-2</v>
      </c>
      <c r="T686" t="str">
        <f>_xlfn.XLOOKUP(C686,customers!$A$1:$A$1001,customers!$I$1:$I$1001,,0)</f>
        <v>No</v>
      </c>
    </row>
    <row r="687" spans="1:20"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INDEX(products!$A$1:$I$49,MATCH('Conditional Fomating'!$D687,products!$A$1:$A$49,0),MATCH('Conditional Fomating'!I$1,products!$A$1:$D$1,0))</f>
        <v>Lib</v>
      </c>
      <c r="J687" t="str">
        <f t="shared" si="60"/>
        <v>Liberica</v>
      </c>
      <c r="K687" t="str">
        <f>INDEX(products!$A$1:$I$49,MATCH('Conditional Fomating'!$D687,products!$A$1:$A$49,0),MATCH('Conditional Fomating'!K$1,products!$A$1:$D$1,0))</f>
        <v>L</v>
      </c>
      <c r="L687" t="str">
        <f t="shared" si="61"/>
        <v>Light</v>
      </c>
      <c r="M687">
        <f>INDEX(products!$A$1:$I$49,MATCH('Conditional Fomating'!$D687,products!$A$1:$A$49,0),MATCH('Conditional Fomating'!M$1,products!$A$1:$D$1,0))</f>
        <v>2.5</v>
      </c>
      <c r="N687">
        <f>_xlfn.XLOOKUP(D687,products!$A$2:$A$49,products!$E$2:$E$49)</f>
        <v>36.454999999999998</v>
      </c>
      <c r="O687">
        <f>_xlfn.XLOOKUP(D687,products!$A$2:$A$49,products!$H$2:$H$49)</f>
        <v>31.71585</v>
      </c>
      <c r="P687">
        <f t="shared" si="62"/>
        <v>72.91</v>
      </c>
      <c r="Q687">
        <f t="shared" si="63"/>
        <v>63.431699999999999</v>
      </c>
      <c r="R687">
        <f t="shared" si="64"/>
        <v>9.4782999999999973</v>
      </c>
      <c r="S687" s="4">
        <f t="shared" si="65"/>
        <v>0.12999999999999998</v>
      </c>
      <c r="T687" t="str">
        <f>_xlfn.XLOOKUP(C687,customers!$A$1:$A$1001,customers!$I$1:$I$1001,,0)</f>
        <v>Yes</v>
      </c>
    </row>
    <row r="688" spans="1:20"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INDEX(products!$A$1:$I$49,MATCH('Conditional Fomating'!$D688,products!$A$1:$A$49,0),MATCH('Conditional Fomating'!I$1,products!$A$1:$D$1,0))</f>
        <v>Rob</v>
      </c>
      <c r="J688" t="str">
        <f t="shared" si="60"/>
        <v>Robusta</v>
      </c>
      <c r="K688" t="str">
        <f>INDEX(products!$A$1:$I$49,MATCH('Conditional Fomating'!$D688,products!$A$1:$A$49,0),MATCH('Conditional Fomating'!K$1,products!$A$1:$D$1,0))</f>
        <v>D</v>
      </c>
      <c r="L688" t="str">
        <f t="shared" si="61"/>
        <v>Dark</v>
      </c>
      <c r="M688">
        <f>INDEX(products!$A$1:$I$49,MATCH('Conditional Fomating'!$D688,products!$A$1:$A$49,0),MATCH('Conditional Fomating'!M$1,products!$A$1:$D$1,0))</f>
        <v>0.2</v>
      </c>
      <c r="N688">
        <f>_xlfn.XLOOKUP(D688,products!$A$2:$A$49,products!$E$2:$E$49)</f>
        <v>2.6849999999999996</v>
      </c>
      <c r="O688">
        <f>_xlfn.XLOOKUP(D688,products!$A$2:$A$49,products!$H$2:$H$49)</f>
        <v>2.5238999999999998</v>
      </c>
      <c r="P688">
        <f t="shared" si="62"/>
        <v>8.0549999999999997</v>
      </c>
      <c r="Q688">
        <f t="shared" si="63"/>
        <v>7.5716999999999999</v>
      </c>
      <c r="R688">
        <f t="shared" si="64"/>
        <v>0.48329999999999984</v>
      </c>
      <c r="S688" s="4">
        <f t="shared" si="65"/>
        <v>5.9999999999999984E-2</v>
      </c>
      <c r="T688" t="str">
        <f>_xlfn.XLOOKUP(C688,customers!$A$1:$A$1001,customers!$I$1:$I$1001,,0)</f>
        <v>Yes</v>
      </c>
    </row>
    <row r="689" spans="1:20"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INDEX(products!$A$1:$I$49,MATCH('Conditional Fomating'!$D689,products!$A$1:$A$49,0),MATCH('Conditional Fomating'!I$1,products!$A$1:$D$1,0))</f>
        <v>Exc</v>
      </c>
      <c r="J689" t="str">
        <f t="shared" si="60"/>
        <v>Excelsa</v>
      </c>
      <c r="K689" t="str">
        <f>INDEX(products!$A$1:$I$49,MATCH('Conditional Fomating'!$D689,products!$A$1:$A$49,0),MATCH('Conditional Fomating'!K$1,products!$A$1:$D$1,0))</f>
        <v>M</v>
      </c>
      <c r="L689" t="str">
        <f t="shared" si="61"/>
        <v>Medium</v>
      </c>
      <c r="M689">
        <f>INDEX(products!$A$1:$I$49,MATCH('Conditional Fomating'!$D689,products!$A$1:$A$49,0),MATCH('Conditional Fomating'!M$1,products!$A$1:$D$1,0))</f>
        <v>0.5</v>
      </c>
      <c r="N689">
        <f>_xlfn.XLOOKUP(D689,products!$A$2:$A$49,products!$E$2:$E$49)</f>
        <v>8.25</v>
      </c>
      <c r="O689">
        <f>_xlfn.XLOOKUP(D689,products!$A$2:$A$49,products!$H$2:$H$49)</f>
        <v>7.3425000000000002</v>
      </c>
      <c r="P689">
        <f t="shared" si="62"/>
        <v>16.5</v>
      </c>
      <c r="Q689">
        <f t="shared" si="63"/>
        <v>14.685</v>
      </c>
      <c r="R689">
        <f t="shared" si="64"/>
        <v>1.8149999999999995</v>
      </c>
      <c r="S689" s="4">
        <f t="shared" si="65"/>
        <v>0.10999999999999997</v>
      </c>
      <c r="T689" t="str">
        <f>_xlfn.XLOOKUP(C689,customers!$A$1:$A$1001,customers!$I$1:$I$1001,,0)</f>
        <v>No</v>
      </c>
    </row>
    <row r="690" spans="1:20"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INDEX(products!$A$1:$I$49,MATCH('Conditional Fomating'!$D690,products!$A$1:$A$49,0),MATCH('Conditional Fomating'!I$1,products!$A$1:$D$1,0))</f>
        <v>Ara</v>
      </c>
      <c r="J690" t="str">
        <f t="shared" si="60"/>
        <v>Arabica</v>
      </c>
      <c r="K690" t="str">
        <f>INDEX(products!$A$1:$I$49,MATCH('Conditional Fomating'!$D690,products!$A$1:$A$49,0),MATCH('Conditional Fomating'!K$1,products!$A$1:$D$1,0))</f>
        <v>L</v>
      </c>
      <c r="L690" t="str">
        <f t="shared" si="61"/>
        <v>Light</v>
      </c>
      <c r="M690">
        <f>INDEX(products!$A$1:$I$49,MATCH('Conditional Fomating'!$D690,products!$A$1:$A$49,0),MATCH('Conditional Fomating'!M$1,products!$A$1:$D$1,0))</f>
        <v>1</v>
      </c>
      <c r="N690">
        <f>_xlfn.XLOOKUP(D690,products!$A$2:$A$49,products!$E$2:$E$49)</f>
        <v>12.95</v>
      </c>
      <c r="O690">
        <f>_xlfn.XLOOKUP(D690,products!$A$2:$A$49,products!$H$2:$H$49)</f>
        <v>11.7845</v>
      </c>
      <c r="P690">
        <f t="shared" si="62"/>
        <v>64.75</v>
      </c>
      <c r="Q690">
        <f t="shared" si="63"/>
        <v>58.922499999999999</v>
      </c>
      <c r="R690">
        <f t="shared" si="64"/>
        <v>5.8275000000000006</v>
      </c>
      <c r="S690" s="4">
        <f t="shared" si="65"/>
        <v>9.0000000000000011E-2</v>
      </c>
      <c r="T690" t="str">
        <f>_xlfn.XLOOKUP(C690,customers!$A$1:$A$1001,customers!$I$1:$I$1001,,0)</f>
        <v>No</v>
      </c>
    </row>
    <row r="691" spans="1:20"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INDEX(products!$A$1:$I$49,MATCH('Conditional Fomating'!$D691,products!$A$1:$A$49,0),MATCH('Conditional Fomating'!I$1,products!$A$1:$D$1,0))</f>
        <v>Ara</v>
      </c>
      <c r="J691" t="str">
        <f t="shared" si="60"/>
        <v>Arabica</v>
      </c>
      <c r="K691" t="str">
        <f>INDEX(products!$A$1:$I$49,MATCH('Conditional Fomating'!$D691,products!$A$1:$A$49,0),MATCH('Conditional Fomating'!K$1,products!$A$1:$D$1,0))</f>
        <v>M</v>
      </c>
      <c r="L691" t="str">
        <f t="shared" si="61"/>
        <v>Medium</v>
      </c>
      <c r="M691">
        <f>INDEX(products!$A$1:$I$49,MATCH('Conditional Fomating'!$D691,products!$A$1:$A$49,0),MATCH('Conditional Fomating'!M$1,products!$A$1:$D$1,0))</f>
        <v>0.5</v>
      </c>
      <c r="N691">
        <f>_xlfn.XLOOKUP(D691,products!$A$2:$A$49,products!$E$2:$E$49)</f>
        <v>6.75</v>
      </c>
      <c r="O691">
        <f>_xlfn.XLOOKUP(D691,products!$A$2:$A$49,products!$H$2:$H$49)</f>
        <v>6.1425000000000001</v>
      </c>
      <c r="P691">
        <f t="shared" si="62"/>
        <v>33.75</v>
      </c>
      <c r="Q691">
        <f t="shared" si="63"/>
        <v>30.712499999999999</v>
      </c>
      <c r="R691">
        <f t="shared" si="64"/>
        <v>3.0375000000000014</v>
      </c>
      <c r="S691" s="4">
        <f t="shared" si="65"/>
        <v>9.0000000000000038E-2</v>
      </c>
      <c r="T691" t="str">
        <f>_xlfn.XLOOKUP(C691,customers!$A$1:$A$1001,customers!$I$1:$I$1001,,0)</f>
        <v>No</v>
      </c>
    </row>
    <row r="692" spans="1:20"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v>
      </c>
      <c r="H692" s="2" t="str">
        <f>_xlfn.XLOOKUP(C692,customers!$A$1:$A$1001,customers!$G$1:$G$1001,,0)</f>
        <v>United States</v>
      </c>
      <c r="I692" t="str">
        <f>INDEX(products!$A$1:$I$49,MATCH('Conditional Fomating'!$D692,products!$A$1:$A$49,0),MATCH('Conditional Fomating'!I$1,products!$A$1:$D$1,0))</f>
        <v>Lib</v>
      </c>
      <c r="J692" t="str">
        <f t="shared" si="60"/>
        <v>Liberica</v>
      </c>
      <c r="K692" t="str">
        <f>INDEX(products!$A$1:$I$49,MATCH('Conditional Fomating'!$D692,products!$A$1:$A$49,0),MATCH('Conditional Fomating'!K$1,products!$A$1:$D$1,0))</f>
        <v>D</v>
      </c>
      <c r="L692" t="str">
        <f t="shared" si="61"/>
        <v>Dark</v>
      </c>
      <c r="M692">
        <f>INDEX(products!$A$1:$I$49,MATCH('Conditional Fomating'!$D692,products!$A$1:$A$49,0),MATCH('Conditional Fomating'!M$1,products!$A$1:$D$1,0))</f>
        <v>2.5</v>
      </c>
      <c r="N692">
        <f>_xlfn.XLOOKUP(D692,products!$A$2:$A$49,products!$E$2:$E$49)</f>
        <v>29.784999999999997</v>
      </c>
      <c r="O692">
        <f>_xlfn.XLOOKUP(D692,products!$A$2:$A$49,products!$H$2:$H$49)</f>
        <v>25.912949999999995</v>
      </c>
      <c r="P692">
        <f t="shared" si="62"/>
        <v>178.70999999999998</v>
      </c>
      <c r="Q692">
        <f t="shared" si="63"/>
        <v>155.47769999999997</v>
      </c>
      <c r="R692">
        <f t="shared" si="64"/>
        <v>23.232300000000009</v>
      </c>
      <c r="S692" s="4">
        <f t="shared" si="65"/>
        <v>0.13000000000000006</v>
      </c>
      <c r="T692" t="str">
        <f>_xlfn.XLOOKUP(C692,customers!$A$1:$A$1001,customers!$I$1:$I$1001,,0)</f>
        <v>No</v>
      </c>
    </row>
    <row r="693" spans="1:20"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INDEX(products!$A$1:$I$49,MATCH('Conditional Fomating'!$D693,products!$A$1:$A$49,0),MATCH('Conditional Fomating'!I$1,products!$A$1:$D$1,0))</f>
        <v>Ara</v>
      </c>
      <c r="J693" t="str">
        <f t="shared" si="60"/>
        <v>Arabica</v>
      </c>
      <c r="K693" t="str">
        <f>INDEX(products!$A$1:$I$49,MATCH('Conditional Fomating'!$D693,products!$A$1:$A$49,0),MATCH('Conditional Fomating'!K$1,products!$A$1:$D$1,0))</f>
        <v>M</v>
      </c>
      <c r="L693" t="str">
        <f t="shared" si="61"/>
        <v>Medium</v>
      </c>
      <c r="M693">
        <f>INDEX(products!$A$1:$I$49,MATCH('Conditional Fomating'!$D693,products!$A$1:$A$49,0),MATCH('Conditional Fomating'!M$1,products!$A$1:$D$1,0))</f>
        <v>1</v>
      </c>
      <c r="N693">
        <f>_xlfn.XLOOKUP(D693,products!$A$2:$A$49,products!$E$2:$E$49)</f>
        <v>11.25</v>
      </c>
      <c r="O693">
        <f>_xlfn.XLOOKUP(D693,products!$A$2:$A$49,products!$H$2:$H$49)</f>
        <v>10.237500000000001</v>
      </c>
      <c r="P693">
        <f t="shared" si="62"/>
        <v>22.5</v>
      </c>
      <c r="Q693">
        <f t="shared" si="63"/>
        <v>20.475000000000001</v>
      </c>
      <c r="R693">
        <f t="shared" si="64"/>
        <v>2.0249999999999986</v>
      </c>
      <c r="S693" s="4">
        <f t="shared" si="65"/>
        <v>8.9999999999999941E-2</v>
      </c>
      <c r="T693" t="str">
        <f>_xlfn.XLOOKUP(C693,customers!$A$1:$A$1001,customers!$I$1:$I$1001,,0)</f>
        <v>No</v>
      </c>
    </row>
    <row r="694" spans="1:20"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INDEX(products!$A$1:$I$49,MATCH('Conditional Fomating'!$D694,products!$A$1:$A$49,0),MATCH('Conditional Fomating'!I$1,products!$A$1:$D$1,0))</f>
        <v>Lib</v>
      </c>
      <c r="J694" t="str">
        <f t="shared" si="60"/>
        <v>Liberica</v>
      </c>
      <c r="K694" t="str">
        <f>INDEX(products!$A$1:$I$49,MATCH('Conditional Fomating'!$D694,products!$A$1:$A$49,0),MATCH('Conditional Fomating'!K$1,products!$A$1:$D$1,0))</f>
        <v>D</v>
      </c>
      <c r="L694" t="str">
        <f t="shared" si="61"/>
        <v>Dark</v>
      </c>
      <c r="M694">
        <f>INDEX(products!$A$1:$I$49,MATCH('Conditional Fomating'!$D694,products!$A$1:$A$49,0),MATCH('Conditional Fomating'!M$1,products!$A$1:$D$1,0))</f>
        <v>1</v>
      </c>
      <c r="N694">
        <f>_xlfn.XLOOKUP(D694,products!$A$2:$A$49,products!$E$2:$E$49)</f>
        <v>12.95</v>
      </c>
      <c r="O694">
        <f>_xlfn.XLOOKUP(D694,products!$A$2:$A$49,products!$H$2:$H$49)</f>
        <v>11.266499999999999</v>
      </c>
      <c r="P694">
        <f t="shared" si="62"/>
        <v>12.95</v>
      </c>
      <c r="Q694">
        <f t="shared" si="63"/>
        <v>11.266499999999999</v>
      </c>
      <c r="R694">
        <f t="shared" si="64"/>
        <v>1.6835000000000004</v>
      </c>
      <c r="S694" s="4">
        <f t="shared" si="65"/>
        <v>0.13000000000000003</v>
      </c>
      <c r="T694" t="str">
        <f>_xlfn.XLOOKUP(C694,customers!$A$1:$A$1001,customers!$I$1:$I$1001,,0)</f>
        <v>No</v>
      </c>
    </row>
    <row r="695" spans="1:20"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INDEX(products!$A$1:$I$49,MATCH('Conditional Fomating'!$D695,products!$A$1:$A$49,0),MATCH('Conditional Fomating'!I$1,products!$A$1:$D$1,0))</f>
        <v>Ara</v>
      </c>
      <c r="J695" t="str">
        <f t="shared" si="60"/>
        <v>Arabica</v>
      </c>
      <c r="K695" t="str">
        <f>INDEX(products!$A$1:$I$49,MATCH('Conditional Fomating'!$D695,products!$A$1:$A$49,0),MATCH('Conditional Fomating'!K$1,products!$A$1:$D$1,0))</f>
        <v>M</v>
      </c>
      <c r="L695" t="str">
        <f t="shared" si="61"/>
        <v>Medium</v>
      </c>
      <c r="M695">
        <f>INDEX(products!$A$1:$I$49,MATCH('Conditional Fomating'!$D695,products!$A$1:$A$49,0),MATCH('Conditional Fomating'!M$1,products!$A$1:$D$1,0))</f>
        <v>2.5</v>
      </c>
      <c r="N695">
        <f>_xlfn.XLOOKUP(D695,products!$A$2:$A$49,products!$E$2:$E$49)</f>
        <v>25.874999999999996</v>
      </c>
      <c r="O695">
        <f>_xlfn.XLOOKUP(D695,products!$A$2:$A$49,products!$H$2:$H$49)</f>
        <v>23.546249999999997</v>
      </c>
      <c r="P695">
        <f t="shared" si="62"/>
        <v>51.749999999999993</v>
      </c>
      <c r="Q695">
        <f t="shared" si="63"/>
        <v>47.092499999999994</v>
      </c>
      <c r="R695">
        <f t="shared" si="64"/>
        <v>4.6574999999999989</v>
      </c>
      <c r="S695" s="4">
        <f t="shared" si="65"/>
        <v>0.09</v>
      </c>
      <c r="T695" t="str">
        <f>_xlfn.XLOOKUP(C695,customers!$A$1:$A$1001,customers!$I$1:$I$1001,,0)</f>
        <v>Yes</v>
      </c>
    </row>
    <row r="696" spans="1:20"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INDEX(products!$A$1:$I$49,MATCH('Conditional Fomating'!$D696,products!$A$1:$A$49,0),MATCH('Conditional Fomating'!I$1,products!$A$1:$D$1,0))</f>
        <v>Exc</v>
      </c>
      <c r="J696" t="str">
        <f t="shared" si="60"/>
        <v>Excelsa</v>
      </c>
      <c r="K696" t="str">
        <f>INDEX(products!$A$1:$I$49,MATCH('Conditional Fomating'!$D696,products!$A$1:$A$49,0),MATCH('Conditional Fomating'!K$1,products!$A$1:$D$1,0))</f>
        <v>D</v>
      </c>
      <c r="L696" t="str">
        <f t="shared" si="61"/>
        <v>Dark</v>
      </c>
      <c r="M696">
        <f>INDEX(products!$A$1:$I$49,MATCH('Conditional Fomating'!$D696,products!$A$1:$A$49,0),MATCH('Conditional Fomating'!M$1,products!$A$1:$D$1,0))</f>
        <v>0.5</v>
      </c>
      <c r="N696">
        <f>_xlfn.XLOOKUP(D696,products!$A$2:$A$49,products!$E$2:$E$49)</f>
        <v>7.29</v>
      </c>
      <c r="O696">
        <f>_xlfn.XLOOKUP(D696,products!$A$2:$A$49,products!$H$2:$H$49)</f>
        <v>6.4881000000000002</v>
      </c>
      <c r="P696">
        <f t="shared" si="62"/>
        <v>36.450000000000003</v>
      </c>
      <c r="Q696">
        <f t="shared" si="63"/>
        <v>32.4405</v>
      </c>
      <c r="R696">
        <f t="shared" si="64"/>
        <v>4.0095000000000027</v>
      </c>
      <c r="S696" s="4">
        <f t="shared" si="65"/>
        <v>0.11000000000000007</v>
      </c>
      <c r="T696" t="str">
        <f>_xlfn.XLOOKUP(C696,customers!$A$1:$A$1001,customers!$I$1:$I$1001,,0)</f>
        <v>No</v>
      </c>
    </row>
    <row r="697" spans="1:20"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INDEX(products!$A$1:$I$49,MATCH('Conditional Fomating'!$D697,products!$A$1:$A$49,0),MATCH('Conditional Fomating'!I$1,products!$A$1:$D$1,0))</f>
        <v>Lib</v>
      </c>
      <c r="J697" t="str">
        <f t="shared" si="60"/>
        <v>Liberica</v>
      </c>
      <c r="K697" t="str">
        <f>INDEX(products!$A$1:$I$49,MATCH('Conditional Fomating'!$D697,products!$A$1:$A$49,0),MATCH('Conditional Fomating'!K$1,products!$A$1:$D$1,0))</f>
        <v>L</v>
      </c>
      <c r="L697" t="str">
        <f t="shared" si="61"/>
        <v>Light</v>
      </c>
      <c r="M697">
        <f>INDEX(products!$A$1:$I$49,MATCH('Conditional Fomating'!$D697,products!$A$1:$A$49,0),MATCH('Conditional Fomating'!M$1,products!$A$1:$D$1,0))</f>
        <v>2.5</v>
      </c>
      <c r="N697">
        <f>_xlfn.XLOOKUP(D697,products!$A$2:$A$49,products!$E$2:$E$49)</f>
        <v>36.454999999999998</v>
      </c>
      <c r="O697">
        <f>_xlfn.XLOOKUP(D697,products!$A$2:$A$49,products!$H$2:$H$49)</f>
        <v>31.71585</v>
      </c>
      <c r="P697">
        <f t="shared" si="62"/>
        <v>182.27499999999998</v>
      </c>
      <c r="Q697">
        <f t="shared" si="63"/>
        <v>158.57925</v>
      </c>
      <c r="R697">
        <f t="shared" si="64"/>
        <v>23.695749999999975</v>
      </c>
      <c r="S697" s="4">
        <f t="shared" si="65"/>
        <v>0.12999999999999989</v>
      </c>
      <c r="T697" t="str">
        <f>_xlfn.XLOOKUP(C697,customers!$A$1:$A$1001,customers!$I$1:$I$1001,,0)</f>
        <v>Yes</v>
      </c>
    </row>
    <row r="698" spans="1:20"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INDEX(products!$A$1:$I$49,MATCH('Conditional Fomating'!$D698,products!$A$1:$A$49,0),MATCH('Conditional Fomating'!I$1,products!$A$1:$D$1,0))</f>
        <v>Lib</v>
      </c>
      <c r="J698" t="str">
        <f t="shared" si="60"/>
        <v>Liberica</v>
      </c>
      <c r="K698" t="str">
        <f>INDEX(products!$A$1:$I$49,MATCH('Conditional Fomating'!$D698,products!$A$1:$A$49,0),MATCH('Conditional Fomating'!K$1,products!$A$1:$D$1,0))</f>
        <v>D</v>
      </c>
      <c r="L698" t="str">
        <f t="shared" si="61"/>
        <v>Dark</v>
      </c>
      <c r="M698">
        <f>INDEX(products!$A$1:$I$49,MATCH('Conditional Fomating'!$D698,products!$A$1:$A$49,0),MATCH('Conditional Fomating'!M$1,products!$A$1:$D$1,0))</f>
        <v>0.5</v>
      </c>
      <c r="N698">
        <f>_xlfn.XLOOKUP(D698,products!$A$2:$A$49,products!$E$2:$E$49)</f>
        <v>7.77</v>
      </c>
      <c r="O698">
        <f>_xlfn.XLOOKUP(D698,products!$A$2:$A$49,products!$H$2:$H$49)</f>
        <v>6.7599</v>
      </c>
      <c r="P698">
        <f t="shared" si="62"/>
        <v>31.08</v>
      </c>
      <c r="Q698">
        <f t="shared" si="63"/>
        <v>27.0396</v>
      </c>
      <c r="R698">
        <f t="shared" si="64"/>
        <v>4.0403999999999982</v>
      </c>
      <c r="S698" s="4">
        <f t="shared" si="65"/>
        <v>0.12999999999999995</v>
      </c>
      <c r="T698" t="str">
        <f>_xlfn.XLOOKUP(C698,customers!$A$1:$A$1001,customers!$I$1:$I$1001,,0)</f>
        <v>No</v>
      </c>
    </row>
    <row r="699" spans="1:20"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v>
      </c>
      <c r="H699" s="2" t="str">
        <f>_xlfn.XLOOKUP(C699,customers!$A$1:$A$1001,customers!$G$1:$G$1001,,0)</f>
        <v>Ireland</v>
      </c>
      <c r="I699" t="str">
        <f>INDEX(products!$A$1:$I$49,MATCH('Conditional Fomating'!$D699,products!$A$1:$A$49,0),MATCH('Conditional Fomating'!I$1,products!$A$1:$D$1,0))</f>
        <v>Ara</v>
      </c>
      <c r="J699" t="str">
        <f t="shared" si="60"/>
        <v>Arabica</v>
      </c>
      <c r="K699" t="str">
        <f>INDEX(products!$A$1:$I$49,MATCH('Conditional Fomating'!$D699,products!$A$1:$A$49,0),MATCH('Conditional Fomating'!K$1,products!$A$1:$D$1,0))</f>
        <v>M</v>
      </c>
      <c r="L699" t="str">
        <f t="shared" si="61"/>
        <v>Medium</v>
      </c>
      <c r="M699">
        <f>INDEX(products!$A$1:$I$49,MATCH('Conditional Fomating'!$D699,products!$A$1:$A$49,0),MATCH('Conditional Fomating'!M$1,products!$A$1:$D$1,0))</f>
        <v>0.5</v>
      </c>
      <c r="N699">
        <f>_xlfn.XLOOKUP(D699,products!$A$2:$A$49,products!$E$2:$E$49)</f>
        <v>6.75</v>
      </c>
      <c r="O699">
        <f>_xlfn.XLOOKUP(D699,products!$A$2:$A$49,products!$H$2:$H$49)</f>
        <v>6.1425000000000001</v>
      </c>
      <c r="P699">
        <f t="shared" si="62"/>
        <v>20.25</v>
      </c>
      <c r="Q699">
        <f t="shared" si="63"/>
        <v>18.427500000000002</v>
      </c>
      <c r="R699">
        <f t="shared" si="64"/>
        <v>1.822499999999998</v>
      </c>
      <c r="S699" s="4">
        <f t="shared" si="65"/>
        <v>8.99999999999999E-2</v>
      </c>
      <c r="T699" t="str">
        <f>_xlfn.XLOOKUP(C699,customers!$A$1:$A$1001,customers!$I$1:$I$1001,,0)</f>
        <v>No</v>
      </c>
    </row>
    <row r="700" spans="1:20"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INDEX(products!$A$1:$I$49,MATCH('Conditional Fomating'!$D700,products!$A$1:$A$49,0),MATCH('Conditional Fomating'!I$1,products!$A$1:$D$1,0))</f>
        <v>Lib</v>
      </c>
      <c r="J700" t="str">
        <f t="shared" si="60"/>
        <v>Liberica</v>
      </c>
      <c r="K700" t="str">
        <f>INDEX(products!$A$1:$I$49,MATCH('Conditional Fomating'!$D700,products!$A$1:$A$49,0),MATCH('Conditional Fomating'!K$1,products!$A$1:$D$1,0))</f>
        <v>D</v>
      </c>
      <c r="L700" t="str">
        <f t="shared" si="61"/>
        <v>Dark</v>
      </c>
      <c r="M700">
        <f>INDEX(products!$A$1:$I$49,MATCH('Conditional Fomating'!$D700,products!$A$1:$A$49,0),MATCH('Conditional Fomating'!M$1,products!$A$1:$D$1,0))</f>
        <v>1</v>
      </c>
      <c r="N700">
        <f>_xlfn.XLOOKUP(D700,products!$A$2:$A$49,products!$E$2:$E$49)</f>
        <v>12.95</v>
      </c>
      <c r="O700">
        <f>_xlfn.XLOOKUP(D700,products!$A$2:$A$49,products!$H$2:$H$49)</f>
        <v>11.266499999999999</v>
      </c>
      <c r="P700">
        <f t="shared" si="62"/>
        <v>25.9</v>
      </c>
      <c r="Q700">
        <f t="shared" si="63"/>
        <v>22.532999999999998</v>
      </c>
      <c r="R700">
        <f t="shared" si="64"/>
        <v>3.3670000000000009</v>
      </c>
      <c r="S700" s="4">
        <f t="shared" si="65"/>
        <v>0.13000000000000003</v>
      </c>
      <c r="T700" t="str">
        <f>_xlfn.XLOOKUP(C700,customers!$A$1:$A$1001,customers!$I$1:$I$1001,,0)</f>
        <v>No</v>
      </c>
    </row>
    <row r="701" spans="1:20"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INDEX(products!$A$1:$I$49,MATCH('Conditional Fomating'!$D701,products!$A$1:$A$49,0),MATCH('Conditional Fomating'!I$1,products!$A$1:$D$1,0))</f>
        <v>Ara</v>
      </c>
      <c r="J701" t="str">
        <f t="shared" si="60"/>
        <v>Arabica</v>
      </c>
      <c r="K701" t="str">
        <f>INDEX(products!$A$1:$I$49,MATCH('Conditional Fomating'!$D701,products!$A$1:$A$49,0),MATCH('Conditional Fomating'!K$1,products!$A$1:$D$1,0))</f>
        <v>D</v>
      </c>
      <c r="L701" t="str">
        <f t="shared" si="61"/>
        <v>Dark</v>
      </c>
      <c r="M701">
        <f>INDEX(products!$A$1:$I$49,MATCH('Conditional Fomating'!$D701,products!$A$1:$A$49,0),MATCH('Conditional Fomating'!M$1,products!$A$1:$D$1,0))</f>
        <v>0.5</v>
      </c>
      <c r="N701">
        <f>_xlfn.XLOOKUP(D701,products!$A$2:$A$49,products!$E$2:$E$49)</f>
        <v>5.97</v>
      </c>
      <c r="O701">
        <f>_xlfn.XLOOKUP(D701,products!$A$2:$A$49,products!$H$2:$H$49)</f>
        <v>5.4326999999999996</v>
      </c>
      <c r="P701">
        <f t="shared" si="62"/>
        <v>23.88</v>
      </c>
      <c r="Q701">
        <f t="shared" si="63"/>
        <v>21.730799999999999</v>
      </c>
      <c r="R701">
        <f t="shared" si="64"/>
        <v>2.1492000000000004</v>
      </c>
      <c r="S701" s="4">
        <f t="shared" si="65"/>
        <v>9.0000000000000024E-2</v>
      </c>
      <c r="T701" t="str">
        <f>_xlfn.XLOOKUP(C701,customers!$A$1:$A$1001,customers!$I$1:$I$1001,,0)</f>
        <v>Yes</v>
      </c>
    </row>
    <row r="702" spans="1:20"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INDEX(products!$A$1:$I$49,MATCH('Conditional Fomating'!$D702,products!$A$1:$A$49,0),MATCH('Conditional Fomating'!I$1,products!$A$1:$D$1,0))</f>
        <v>Lib</v>
      </c>
      <c r="J702" t="str">
        <f t="shared" si="60"/>
        <v>Liberica</v>
      </c>
      <c r="K702" t="str">
        <f>INDEX(products!$A$1:$I$49,MATCH('Conditional Fomating'!$D702,products!$A$1:$A$49,0),MATCH('Conditional Fomating'!K$1,products!$A$1:$D$1,0))</f>
        <v>L</v>
      </c>
      <c r="L702" t="str">
        <f t="shared" si="61"/>
        <v>Light</v>
      </c>
      <c r="M702">
        <f>INDEX(products!$A$1:$I$49,MATCH('Conditional Fomating'!$D702,products!$A$1:$A$49,0),MATCH('Conditional Fomating'!M$1,products!$A$1:$D$1,0))</f>
        <v>0.5</v>
      </c>
      <c r="N702">
        <f>_xlfn.XLOOKUP(D702,products!$A$2:$A$49,products!$E$2:$E$49)</f>
        <v>9.51</v>
      </c>
      <c r="O702">
        <f>_xlfn.XLOOKUP(D702,products!$A$2:$A$49,products!$H$2:$H$49)</f>
        <v>8.2736999999999998</v>
      </c>
      <c r="P702">
        <f t="shared" si="62"/>
        <v>19.02</v>
      </c>
      <c r="Q702">
        <f t="shared" si="63"/>
        <v>16.5474</v>
      </c>
      <c r="R702">
        <f t="shared" si="64"/>
        <v>2.4725999999999999</v>
      </c>
      <c r="S702" s="4">
        <f t="shared" si="65"/>
        <v>0.13</v>
      </c>
      <c r="T702" t="str">
        <f>_xlfn.XLOOKUP(C702,customers!$A$1:$A$1001,customers!$I$1:$I$1001,,0)</f>
        <v>No</v>
      </c>
    </row>
    <row r="703" spans="1:20"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INDEX(products!$A$1:$I$49,MATCH('Conditional Fomating'!$D703,products!$A$1:$A$49,0),MATCH('Conditional Fomating'!I$1,products!$A$1:$D$1,0))</f>
        <v>Ara</v>
      </c>
      <c r="J703" t="str">
        <f t="shared" si="60"/>
        <v>Arabica</v>
      </c>
      <c r="K703" t="str">
        <f>INDEX(products!$A$1:$I$49,MATCH('Conditional Fomating'!$D703,products!$A$1:$A$49,0),MATCH('Conditional Fomating'!K$1,products!$A$1:$D$1,0))</f>
        <v>D</v>
      </c>
      <c r="L703" t="str">
        <f t="shared" si="61"/>
        <v>Dark</v>
      </c>
      <c r="M703">
        <f>INDEX(products!$A$1:$I$49,MATCH('Conditional Fomating'!$D703,products!$A$1:$A$49,0),MATCH('Conditional Fomating'!M$1,products!$A$1:$D$1,0))</f>
        <v>0.5</v>
      </c>
      <c r="N703">
        <f>_xlfn.XLOOKUP(D703,products!$A$2:$A$49,products!$E$2:$E$49)</f>
        <v>5.97</v>
      </c>
      <c r="O703">
        <f>_xlfn.XLOOKUP(D703,products!$A$2:$A$49,products!$H$2:$H$49)</f>
        <v>5.4326999999999996</v>
      </c>
      <c r="P703">
        <f t="shared" si="62"/>
        <v>29.849999999999998</v>
      </c>
      <c r="Q703">
        <f t="shared" si="63"/>
        <v>27.163499999999999</v>
      </c>
      <c r="R703">
        <f t="shared" si="64"/>
        <v>2.6864999999999988</v>
      </c>
      <c r="S703" s="4">
        <f t="shared" si="65"/>
        <v>8.9999999999999969E-2</v>
      </c>
      <c r="T703" t="str">
        <f>_xlfn.XLOOKUP(C703,customers!$A$1:$A$1001,customers!$I$1:$I$1001,,0)</f>
        <v>Yes</v>
      </c>
    </row>
    <row r="704" spans="1:20"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INDEX(products!$A$1:$I$49,MATCH('Conditional Fomating'!$D704,products!$A$1:$A$49,0),MATCH('Conditional Fomating'!I$1,products!$A$1:$D$1,0))</f>
        <v>Ara</v>
      </c>
      <c r="J704" t="str">
        <f t="shared" si="60"/>
        <v>Arabica</v>
      </c>
      <c r="K704" t="str">
        <f>INDEX(products!$A$1:$I$49,MATCH('Conditional Fomating'!$D704,products!$A$1:$A$49,0),MATCH('Conditional Fomating'!K$1,products!$A$1:$D$1,0))</f>
        <v>L</v>
      </c>
      <c r="L704" t="str">
        <f t="shared" si="61"/>
        <v>Light</v>
      </c>
      <c r="M704">
        <f>INDEX(products!$A$1:$I$49,MATCH('Conditional Fomating'!$D704,products!$A$1:$A$49,0),MATCH('Conditional Fomating'!M$1,products!$A$1:$D$1,0))</f>
        <v>0.5</v>
      </c>
      <c r="N704">
        <f>_xlfn.XLOOKUP(D704,products!$A$2:$A$49,products!$E$2:$E$49)</f>
        <v>7.77</v>
      </c>
      <c r="O704">
        <f>_xlfn.XLOOKUP(D704,products!$A$2:$A$49,products!$H$2:$H$49)</f>
        <v>7.0706999999999995</v>
      </c>
      <c r="P704">
        <f t="shared" si="62"/>
        <v>7.77</v>
      </c>
      <c r="Q704">
        <f t="shared" si="63"/>
        <v>7.0706999999999995</v>
      </c>
      <c r="R704">
        <f t="shared" si="64"/>
        <v>0.69930000000000003</v>
      </c>
      <c r="S704" s="4">
        <f t="shared" si="65"/>
        <v>9.0000000000000011E-2</v>
      </c>
      <c r="T704" t="str">
        <f>_xlfn.XLOOKUP(C704,customers!$A$1:$A$1001,customers!$I$1:$I$1001,,0)</f>
        <v>Yes</v>
      </c>
    </row>
    <row r="705" spans="1:20"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v>
      </c>
      <c r="H705" s="2" t="str">
        <f>_xlfn.XLOOKUP(C705,customers!$A$1:$A$1001,customers!$G$1:$G$1001,,0)</f>
        <v>Ireland</v>
      </c>
      <c r="I705" t="str">
        <f>INDEX(products!$A$1:$I$49,MATCH('Conditional Fomating'!$D705,products!$A$1:$A$49,0),MATCH('Conditional Fomating'!I$1,products!$A$1:$D$1,0))</f>
        <v>Lib</v>
      </c>
      <c r="J705" t="str">
        <f t="shared" si="60"/>
        <v>Liberica</v>
      </c>
      <c r="K705" t="str">
        <f>INDEX(products!$A$1:$I$49,MATCH('Conditional Fomating'!$D705,products!$A$1:$A$49,0),MATCH('Conditional Fomating'!K$1,products!$A$1:$D$1,0))</f>
        <v>D</v>
      </c>
      <c r="L705" t="str">
        <f t="shared" si="61"/>
        <v>Dark</v>
      </c>
      <c r="M705">
        <f>INDEX(products!$A$1:$I$49,MATCH('Conditional Fomating'!$D705,products!$A$1:$A$49,0),MATCH('Conditional Fomating'!M$1,products!$A$1:$D$1,0))</f>
        <v>2.5</v>
      </c>
      <c r="N705">
        <f>_xlfn.XLOOKUP(D705,products!$A$2:$A$49,products!$E$2:$E$49)</f>
        <v>29.784999999999997</v>
      </c>
      <c r="O705">
        <f>_xlfn.XLOOKUP(D705,products!$A$2:$A$49,products!$H$2:$H$49)</f>
        <v>25.912949999999995</v>
      </c>
      <c r="P705">
        <f t="shared" si="62"/>
        <v>119.13999999999999</v>
      </c>
      <c r="Q705">
        <f t="shared" si="63"/>
        <v>103.65179999999998</v>
      </c>
      <c r="R705">
        <f t="shared" si="64"/>
        <v>15.488200000000006</v>
      </c>
      <c r="S705" s="4">
        <f t="shared" si="65"/>
        <v>0.13000000000000006</v>
      </c>
      <c r="T705" t="str">
        <f>_xlfn.XLOOKUP(C705,customers!$A$1:$A$1001,customers!$I$1:$I$1001,,0)</f>
        <v>Yes</v>
      </c>
    </row>
    <row r="706" spans="1:20"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v>
      </c>
      <c r="H706" s="2" t="str">
        <f>_xlfn.XLOOKUP(C706,customers!$A$1:$A$1001,customers!$G$1:$G$1001,,0)</f>
        <v>United States</v>
      </c>
      <c r="I706" t="str">
        <f>INDEX(products!$A$1:$I$49,MATCH('Conditional Fomating'!$D706,products!$A$1:$A$49,0),MATCH('Conditional Fomating'!I$1,products!$A$1:$D$1,0))</f>
        <v>Exc</v>
      </c>
      <c r="J706" t="str">
        <f t="shared" si="60"/>
        <v>Excelsa</v>
      </c>
      <c r="K706" t="str">
        <f>INDEX(products!$A$1:$I$49,MATCH('Conditional Fomating'!$D706,products!$A$1:$A$49,0),MATCH('Conditional Fomating'!K$1,products!$A$1:$D$1,0))</f>
        <v>D</v>
      </c>
      <c r="L706" t="str">
        <f t="shared" si="61"/>
        <v>Dark</v>
      </c>
      <c r="M706">
        <f>INDEX(products!$A$1:$I$49,MATCH('Conditional Fomating'!$D706,products!$A$1:$A$49,0),MATCH('Conditional Fomating'!M$1,products!$A$1:$D$1,0))</f>
        <v>0.2</v>
      </c>
      <c r="N706">
        <f>_xlfn.XLOOKUP(D706,products!$A$2:$A$49,products!$E$2:$E$49)</f>
        <v>3.645</v>
      </c>
      <c r="O706">
        <f>_xlfn.XLOOKUP(D706,products!$A$2:$A$49,products!$H$2:$H$49)</f>
        <v>3.2440500000000001</v>
      </c>
      <c r="P706">
        <f t="shared" si="62"/>
        <v>21.87</v>
      </c>
      <c r="Q706">
        <f t="shared" si="63"/>
        <v>19.464300000000001</v>
      </c>
      <c r="R706">
        <f t="shared" si="64"/>
        <v>2.4056999999999995</v>
      </c>
      <c r="S706" s="4">
        <f t="shared" si="65"/>
        <v>0.10999999999999997</v>
      </c>
      <c r="T706" t="str">
        <f>_xlfn.XLOOKUP(C706,customers!$A$1:$A$1001,customers!$I$1:$I$1001,,0)</f>
        <v>Yes</v>
      </c>
    </row>
    <row r="707" spans="1:20"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INDEX(products!$A$1:$I$49,MATCH('Conditional Fomating'!$D707,products!$A$1:$A$49,0),MATCH('Conditional Fomating'!I$1,products!$A$1:$D$1,0))</f>
        <v>Exc</v>
      </c>
      <c r="J707" t="str">
        <f t="shared" ref="J707:J770" si="66">IF(I707="Rob","Robusta",IF(I707="Exc","Excelsa",IF(I707="Ara","Arabica",IF(I707="Lib","Liberica",""))))</f>
        <v>Excelsa</v>
      </c>
      <c r="K707" t="str">
        <f>INDEX(products!$A$1:$I$49,MATCH('Conditional Fomating'!$D707,products!$A$1:$A$49,0),MATCH('Conditional Fomating'!K$1,products!$A$1:$D$1,0))</f>
        <v>L</v>
      </c>
      <c r="L707" t="str">
        <f t="shared" ref="L707:L770" si="67">IF(K707="M","Medium",IF(K707="L","Light",IF(K707="D","Dark","")))</f>
        <v>Light</v>
      </c>
      <c r="M707">
        <f>INDEX(products!$A$1:$I$49,MATCH('Conditional Fomating'!$D707,products!$A$1:$A$49,0),MATCH('Conditional Fomating'!M$1,products!$A$1:$D$1,0))</f>
        <v>0.5</v>
      </c>
      <c r="N707">
        <f>_xlfn.XLOOKUP(D707,products!$A$2:$A$49,products!$E$2:$E$49)</f>
        <v>8.91</v>
      </c>
      <c r="O707">
        <f>_xlfn.XLOOKUP(D707,products!$A$2:$A$49,products!$H$2:$H$49)</f>
        <v>7.9298999999999999</v>
      </c>
      <c r="P707">
        <f t="shared" ref="P707:P770" si="68">N707*E707</f>
        <v>17.82</v>
      </c>
      <c r="Q707">
        <f t="shared" ref="Q707:Q770" si="69">O707*E707</f>
        <v>15.8598</v>
      </c>
      <c r="R707">
        <f t="shared" ref="R707:R770" si="70">P707-Q707</f>
        <v>1.9602000000000004</v>
      </c>
      <c r="S707" s="4">
        <f t="shared" ref="S707:S770" si="71">R707/P707</f>
        <v>0.11000000000000001</v>
      </c>
      <c r="T707" t="str">
        <f>_xlfn.XLOOKUP(C707,customers!$A$1:$A$1001,customers!$I$1:$I$1001,,0)</f>
        <v>No</v>
      </c>
    </row>
    <row r="708" spans="1:20"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INDEX(products!$A$1:$I$49,MATCH('Conditional Fomating'!$D708,products!$A$1:$A$49,0),MATCH('Conditional Fomating'!I$1,products!$A$1:$D$1,0))</f>
        <v>Exc</v>
      </c>
      <c r="J708" t="str">
        <f t="shared" si="66"/>
        <v>Excelsa</v>
      </c>
      <c r="K708" t="str">
        <f>INDEX(products!$A$1:$I$49,MATCH('Conditional Fomating'!$D708,products!$A$1:$A$49,0),MATCH('Conditional Fomating'!K$1,products!$A$1:$D$1,0))</f>
        <v>M</v>
      </c>
      <c r="L708" t="str">
        <f t="shared" si="67"/>
        <v>Medium</v>
      </c>
      <c r="M708">
        <f>INDEX(products!$A$1:$I$49,MATCH('Conditional Fomating'!$D708,products!$A$1:$A$49,0),MATCH('Conditional Fomating'!M$1,products!$A$1:$D$1,0))</f>
        <v>0.2</v>
      </c>
      <c r="N708">
        <f>_xlfn.XLOOKUP(D708,products!$A$2:$A$49,products!$E$2:$E$49)</f>
        <v>4.125</v>
      </c>
      <c r="O708">
        <f>_xlfn.XLOOKUP(D708,products!$A$2:$A$49,products!$H$2:$H$49)</f>
        <v>3.6712500000000001</v>
      </c>
      <c r="P708">
        <f t="shared" si="68"/>
        <v>12.375</v>
      </c>
      <c r="Q708">
        <f t="shared" si="69"/>
        <v>11.01375</v>
      </c>
      <c r="R708">
        <f t="shared" si="70"/>
        <v>1.3612500000000001</v>
      </c>
      <c r="S708" s="4">
        <f t="shared" si="71"/>
        <v>0.11</v>
      </c>
      <c r="T708" t="str">
        <f>_xlfn.XLOOKUP(C708,customers!$A$1:$A$1001,customers!$I$1:$I$1001,,0)</f>
        <v>No</v>
      </c>
    </row>
    <row r="709" spans="1:20"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v>
      </c>
      <c r="H709" s="2" t="str">
        <f>_xlfn.XLOOKUP(C709,customers!$A$1:$A$1001,customers!$G$1:$G$1001,,0)</f>
        <v>Ireland</v>
      </c>
      <c r="I709" t="str">
        <f>INDEX(products!$A$1:$I$49,MATCH('Conditional Fomating'!$D709,products!$A$1:$A$49,0),MATCH('Conditional Fomating'!I$1,products!$A$1:$D$1,0))</f>
        <v>Lib</v>
      </c>
      <c r="J709" t="str">
        <f t="shared" si="66"/>
        <v>Liberica</v>
      </c>
      <c r="K709" t="str">
        <f>INDEX(products!$A$1:$I$49,MATCH('Conditional Fomating'!$D709,products!$A$1:$A$49,0),MATCH('Conditional Fomating'!K$1,products!$A$1:$D$1,0))</f>
        <v>D</v>
      </c>
      <c r="L709" t="str">
        <f t="shared" si="67"/>
        <v>Dark</v>
      </c>
      <c r="M709">
        <f>INDEX(products!$A$1:$I$49,MATCH('Conditional Fomating'!$D709,products!$A$1:$A$49,0),MATCH('Conditional Fomating'!M$1,products!$A$1:$D$1,0))</f>
        <v>1</v>
      </c>
      <c r="N709">
        <f>_xlfn.XLOOKUP(D709,products!$A$2:$A$49,products!$E$2:$E$49)</f>
        <v>12.95</v>
      </c>
      <c r="O709">
        <f>_xlfn.XLOOKUP(D709,products!$A$2:$A$49,products!$H$2:$H$49)</f>
        <v>11.266499999999999</v>
      </c>
      <c r="P709">
        <f t="shared" si="68"/>
        <v>25.9</v>
      </c>
      <c r="Q709">
        <f t="shared" si="69"/>
        <v>22.532999999999998</v>
      </c>
      <c r="R709">
        <f t="shared" si="70"/>
        <v>3.3670000000000009</v>
      </c>
      <c r="S709" s="4">
        <f t="shared" si="71"/>
        <v>0.13000000000000003</v>
      </c>
      <c r="T709" t="str">
        <f>_xlfn.XLOOKUP(C709,customers!$A$1:$A$1001,customers!$I$1:$I$1001,,0)</f>
        <v>No</v>
      </c>
    </row>
    <row r="710" spans="1:20"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INDEX(products!$A$1:$I$49,MATCH('Conditional Fomating'!$D710,products!$A$1:$A$49,0),MATCH('Conditional Fomating'!I$1,products!$A$1:$D$1,0))</f>
        <v>Ara</v>
      </c>
      <c r="J710" t="str">
        <f t="shared" si="66"/>
        <v>Arabica</v>
      </c>
      <c r="K710" t="str">
        <f>INDEX(products!$A$1:$I$49,MATCH('Conditional Fomating'!$D710,products!$A$1:$A$49,0),MATCH('Conditional Fomating'!K$1,products!$A$1:$D$1,0))</f>
        <v>M</v>
      </c>
      <c r="L710" t="str">
        <f t="shared" si="67"/>
        <v>Medium</v>
      </c>
      <c r="M710">
        <f>INDEX(products!$A$1:$I$49,MATCH('Conditional Fomating'!$D710,products!$A$1:$A$49,0),MATCH('Conditional Fomating'!M$1,products!$A$1:$D$1,0))</f>
        <v>0.5</v>
      </c>
      <c r="N710">
        <f>_xlfn.XLOOKUP(D710,products!$A$2:$A$49,products!$E$2:$E$49)</f>
        <v>6.75</v>
      </c>
      <c r="O710">
        <f>_xlfn.XLOOKUP(D710,products!$A$2:$A$49,products!$H$2:$H$49)</f>
        <v>6.1425000000000001</v>
      </c>
      <c r="P710">
        <f t="shared" si="68"/>
        <v>13.5</v>
      </c>
      <c r="Q710">
        <f t="shared" si="69"/>
        <v>12.285</v>
      </c>
      <c r="R710">
        <f t="shared" si="70"/>
        <v>1.2149999999999999</v>
      </c>
      <c r="S710" s="4">
        <f t="shared" si="71"/>
        <v>8.9999999999999983E-2</v>
      </c>
      <c r="T710" t="str">
        <f>_xlfn.XLOOKUP(C710,customers!$A$1:$A$1001,customers!$I$1:$I$1001,,0)</f>
        <v>Yes</v>
      </c>
    </row>
    <row r="711" spans="1:20"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v>
      </c>
      <c r="H711" s="2" t="str">
        <f>_xlfn.XLOOKUP(C711,customers!$A$1:$A$1001,customers!$G$1:$G$1001,,0)</f>
        <v>United States</v>
      </c>
      <c r="I711" t="str">
        <f>INDEX(products!$A$1:$I$49,MATCH('Conditional Fomating'!$D711,products!$A$1:$A$49,0),MATCH('Conditional Fomating'!I$1,products!$A$1:$D$1,0))</f>
        <v>Exc</v>
      </c>
      <c r="J711" t="str">
        <f t="shared" si="66"/>
        <v>Excelsa</v>
      </c>
      <c r="K711" t="str">
        <f>INDEX(products!$A$1:$I$49,MATCH('Conditional Fomating'!$D711,products!$A$1:$A$49,0),MATCH('Conditional Fomating'!K$1,products!$A$1:$D$1,0))</f>
        <v>L</v>
      </c>
      <c r="L711" t="str">
        <f t="shared" si="67"/>
        <v>Light</v>
      </c>
      <c r="M711">
        <f>INDEX(products!$A$1:$I$49,MATCH('Conditional Fomating'!$D711,products!$A$1:$A$49,0),MATCH('Conditional Fomating'!M$1,products!$A$1:$D$1,0))</f>
        <v>0.5</v>
      </c>
      <c r="N711">
        <f>_xlfn.XLOOKUP(D711,products!$A$2:$A$49,products!$E$2:$E$49)</f>
        <v>8.91</v>
      </c>
      <c r="O711">
        <f>_xlfn.XLOOKUP(D711,products!$A$2:$A$49,products!$H$2:$H$49)</f>
        <v>7.9298999999999999</v>
      </c>
      <c r="P711">
        <f t="shared" si="68"/>
        <v>17.82</v>
      </c>
      <c r="Q711">
        <f t="shared" si="69"/>
        <v>15.8598</v>
      </c>
      <c r="R711">
        <f t="shared" si="70"/>
        <v>1.9602000000000004</v>
      </c>
      <c r="S711" s="4">
        <f t="shared" si="71"/>
        <v>0.11000000000000001</v>
      </c>
      <c r="T711" t="str">
        <f>_xlfn.XLOOKUP(C711,customers!$A$1:$A$1001,customers!$I$1:$I$1001,,0)</f>
        <v>Yes</v>
      </c>
    </row>
    <row r="712" spans="1:20"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INDEX(products!$A$1:$I$49,MATCH('Conditional Fomating'!$D712,products!$A$1:$A$49,0),MATCH('Conditional Fomating'!I$1,products!$A$1:$D$1,0))</f>
        <v>Exc</v>
      </c>
      <c r="J712" t="str">
        <f t="shared" si="66"/>
        <v>Excelsa</v>
      </c>
      <c r="K712" t="str">
        <f>INDEX(products!$A$1:$I$49,MATCH('Conditional Fomating'!$D712,products!$A$1:$A$49,0),MATCH('Conditional Fomating'!K$1,products!$A$1:$D$1,0))</f>
        <v>M</v>
      </c>
      <c r="L712" t="str">
        <f t="shared" si="67"/>
        <v>Medium</v>
      </c>
      <c r="M712">
        <f>INDEX(products!$A$1:$I$49,MATCH('Conditional Fomating'!$D712,products!$A$1:$A$49,0),MATCH('Conditional Fomating'!M$1,products!$A$1:$D$1,0))</f>
        <v>0.5</v>
      </c>
      <c r="N712">
        <f>_xlfn.XLOOKUP(D712,products!$A$2:$A$49,products!$E$2:$E$49)</f>
        <v>8.25</v>
      </c>
      <c r="O712">
        <f>_xlfn.XLOOKUP(D712,products!$A$2:$A$49,products!$H$2:$H$49)</f>
        <v>7.3425000000000002</v>
      </c>
      <c r="P712">
        <f t="shared" si="68"/>
        <v>24.75</v>
      </c>
      <c r="Q712">
        <f t="shared" si="69"/>
        <v>22.0275</v>
      </c>
      <c r="R712">
        <f t="shared" si="70"/>
        <v>2.7225000000000001</v>
      </c>
      <c r="S712" s="4">
        <f t="shared" si="71"/>
        <v>0.11</v>
      </c>
      <c r="T712" t="str">
        <f>_xlfn.XLOOKUP(C712,customers!$A$1:$A$1001,customers!$I$1:$I$1001,,0)</f>
        <v>No</v>
      </c>
    </row>
    <row r="713" spans="1:20"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INDEX(products!$A$1:$I$49,MATCH('Conditional Fomating'!$D713,products!$A$1:$A$49,0),MATCH('Conditional Fomating'!I$1,products!$A$1:$D$1,0))</f>
        <v>Rob</v>
      </c>
      <c r="J713" t="str">
        <f t="shared" si="66"/>
        <v>Robusta</v>
      </c>
      <c r="K713" t="str">
        <f>INDEX(products!$A$1:$I$49,MATCH('Conditional Fomating'!$D713,products!$A$1:$A$49,0),MATCH('Conditional Fomating'!K$1,products!$A$1:$D$1,0))</f>
        <v>M</v>
      </c>
      <c r="L713" t="str">
        <f t="shared" si="67"/>
        <v>Medium</v>
      </c>
      <c r="M713">
        <f>INDEX(products!$A$1:$I$49,MATCH('Conditional Fomating'!$D713,products!$A$1:$A$49,0),MATCH('Conditional Fomating'!M$1,products!$A$1:$D$1,0))</f>
        <v>0.2</v>
      </c>
      <c r="N713">
        <f>_xlfn.XLOOKUP(D713,products!$A$2:$A$49,products!$E$2:$E$49)</f>
        <v>2.9849999999999999</v>
      </c>
      <c r="O713">
        <f>_xlfn.XLOOKUP(D713,products!$A$2:$A$49,products!$H$2:$H$49)</f>
        <v>2.8058999999999998</v>
      </c>
      <c r="P713">
        <f t="shared" si="68"/>
        <v>17.91</v>
      </c>
      <c r="Q713">
        <f t="shared" si="69"/>
        <v>16.8354</v>
      </c>
      <c r="R713">
        <f t="shared" si="70"/>
        <v>1.0746000000000002</v>
      </c>
      <c r="S713" s="4">
        <f t="shared" si="71"/>
        <v>6.0000000000000012E-2</v>
      </c>
      <c r="T713" t="str">
        <f>_xlfn.XLOOKUP(C713,customers!$A$1:$A$1001,customers!$I$1:$I$1001,,0)</f>
        <v>No</v>
      </c>
    </row>
    <row r="714" spans="1:20"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v>
      </c>
      <c r="H714" s="2" t="str">
        <f>_xlfn.XLOOKUP(C714,customers!$A$1:$A$1001,customers!$G$1:$G$1001,,0)</f>
        <v>United Kingdom</v>
      </c>
      <c r="I714" t="str">
        <f>INDEX(products!$A$1:$I$49,MATCH('Conditional Fomating'!$D714,products!$A$1:$A$49,0),MATCH('Conditional Fomating'!I$1,products!$A$1:$D$1,0))</f>
        <v>Exc</v>
      </c>
      <c r="J714" t="str">
        <f t="shared" si="66"/>
        <v>Excelsa</v>
      </c>
      <c r="K714" t="str">
        <f>INDEX(products!$A$1:$I$49,MATCH('Conditional Fomating'!$D714,products!$A$1:$A$49,0),MATCH('Conditional Fomating'!K$1,products!$A$1:$D$1,0))</f>
        <v>M</v>
      </c>
      <c r="L714" t="str">
        <f t="shared" si="67"/>
        <v>Medium</v>
      </c>
      <c r="M714">
        <f>INDEX(products!$A$1:$I$49,MATCH('Conditional Fomating'!$D714,products!$A$1:$A$49,0),MATCH('Conditional Fomating'!M$1,products!$A$1:$D$1,0))</f>
        <v>0.5</v>
      </c>
      <c r="N714">
        <f>_xlfn.XLOOKUP(D714,products!$A$2:$A$49,products!$E$2:$E$49)</f>
        <v>8.25</v>
      </c>
      <c r="O714">
        <f>_xlfn.XLOOKUP(D714,products!$A$2:$A$49,products!$H$2:$H$49)</f>
        <v>7.3425000000000002</v>
      </c>
      <c r="P714">
        <f t="shared" si="68"/>
        <v>16.5</v>
      </c>
      <c r="Q714">
        <f t="shared" si="69"/>
        <v>14.685</v>
      </c>
      <c r="R714">
        <f t="shared" si="70"/>
        <v>1.8149999999999995</v>
      </c>
      <c r="S714" s="4">
        <f t="shared" si="71"/>
        <v>0.10999999999999997</v>
      </c>
      <c r="T714" t="str">
        <f>_xlfn.XLOOKUP(C714,customers!$A$1:$A$1001,customers!$I$1:$I$1001,,0)</f>
        <v>No</v>
      </c>
    </row>
    <row r="715" spans="1:20"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INDEX(products!$A$1:$I$49,MATCH('Conditional Fomating'!$D715,products!$A$1:$A$49,0),MATCH('Conditional Fomating'!I$1,products!$A$1:$D$1,0))</f>
        <v>Rob</v>
      </c>
      <c r="J715" t="str">
        <f t="shared" si="66"/>
        <v>Robusta</v>
      </c>
      <c r="K715" t="str">
        <f>INDEX(products!$A$1:$I$49,MATCH('Conditional Fomating'!$D715,products!$A$1:$A$49,0),MATCH('Conditional Fomating'!K$1,products!$A$1:$D$1,0))</f>
        <v>M</v>
      </c>
      <c r="L715" t="str">
        <f t="shared" si="67"/>
        <v>Medium</v>
      </c>
      <c r="M715">
        <f>INDEX(products!$A$1:$I$49,MATCH('Conditional Fomating'!$D715,products!$A$1:$A$49,0),MATCH('Conditional Fomating'!M$1,products!$A$1:$D$1,0))</f>
        <v>0.2</v>
      </c>
      <c r="N715">
        <f>_xlfn.XLOOKUP(D715,products!$A$2:$A$49,products!$E$2:$E$49)</f>
        <v>2.9849999999999999</v>
      </c>
      <c r="O715">
        <f>_xlfn.XLOOKUP(D715,products!$A$2:$A$49,products!$H$2:$H$49)</f>
        <v>2.8058999999999998</v>
      </c>
      <c r="P715">
        <f t="shared" si="68"/>
        <v>2.9849999999999999</v>
      </c>
      <c r="Q715">
        <f t="shared" si="69"/>
        <v>2.8058999999999998</v>
      </c>
      <c r="R715">
        <f t="shared" si="70"/>
        <v>0.17910000000000004</v>
      </c>
      <c r="S715" s="4">
        <f t="shared" si="71"/>
        <v>6.0000000000000012E-2</v>
      </c>
      <c r="T715" t="str">
        <f>_xlfn.XLOOKUP(C715,customers!$A$1:$A$1001,customers!$I$1:$I$1001,,0)</f>
        <v>No</v>
      </c>
    </row>
    <row r="716" spans="1:20"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INDEX(products!$A$1:$I$49,MATCH('Conditional Fomating'!$D716,products!$A$1:$A$49,0),MATCH('Conditional Fomating'!I$1,products!$A$1:$D$1,0))</f>
        <v>Exc</v>
      </c>
      <c r="J716" t="str">
        <f t="shared" si="66"/>
        <v>Excelsa</v>
      </c>
      <c r="K716" t="str">
        <f>INDEX(products!$A$1:$I$49,MATCH('Conditional Fomating'!$D716,products!$A$1:$A$49,0),MATCH('Conditional Fomating'!K$1,products!$A$1:$D$1,0))</f>
        <v>D</v>
      </c>
      <c r="L716" t="str">
        <f t="shared" si="67"/>
        <v>Dark</v>
      </c>
      <c r="M716">
        <f>INDEX(products!$A$1:$I$49,MATCH('Conditional Fomating'!$D716,products!$A$1:$A$49,0),MATCH('Conditional Fomating'!M$1,products!$A$1:$D$1,0))</f>
        <v>0.2</v>
      </c>
      <c r="N716">
        <f>_xlfn.XLOOKUP(D716,products!$A$2:$A$49,products!$E$2:$E$49)</f>
        <v>3.645</v>
      </c>
      <c r="O716">
        <f>_xlfn.XLOOKUP(D716,products!$A$2:$A$49,products!$H$2:$H$49)</f>
        <v>3.2440500000000001</v>
      </c>
      <c r="P716">
        <f t="shared" si="68"/>
        <v>14.58</v>
      </c>
      <c r="Q716">
        <f t="shared" si="69"/>
        <v>12.9762</v>
      </c>
      <c r="R716">
        <f t="shared" si="70"/>
        <v>1.6037999999999997</v>
      </c>
      <c r="S716" s="4">
        <f t="shared" si="71"/>
        <v>0.10999999999999997</v>
      </c>
      <c r="T716" t="str">
        <f>_xlfn.XLOOKUP(C716,customers!$A$1:$A$1001,customers!$I$1:$I$1001,,0)</f>
        <v>Yes</v>
      </c>
    </row>
    <row r="717" spans="1:20"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INDEX(products!$A$1:$I$49,MATCH('Conditional Fomating'!$D717,products!$A$1:$A$49,0),MATCH('Conditional Fomating'!I$1,products!$A$1:$D$1,0))</f>
        <v>Exc</v>
      </c>
      <c r="J717" t="str">
        <f t="shared" si="66"/>
        <v>Excelsa</v>
      </c>
      <c r="K717" t="str">
        <f>INDEX(products!$A$1:$I$49,MATCH('Conditional Fomating'!$D717,products!$A$1:$A$49,0),MATCH('Conditional Fomating'!K$1,products!$A$1:$D$1,0))</f>
        <v>L</v>
      </c>
      <c r="L717" t="str">
        <f t="shared" si="67"/>
        <v>Light</v>
      </c>
      <c r="M717">
        <f>INDEX(products!$A$1:$I$49,MATCH('Conditional Fomating'!$D717,products!$A$1:$A$49,0),MATCH('Conditional Fomating'!M$1,products!$A$1:$D$1,0))</f>
        <v>1</v>
      </c>
      <c r="N717">
        <f>_xlfn.XLOOKUP(D717,products!$A$2:$A$49,products!$E$2:$E$49)</f>
        <v>14.85</v>
      </c>
      <c r="O717">
        <f>_xlfn.XLOOKUP(D717,products!$A$2:$A$49,products!$H$2:$H$49)</f>
        <v>13.2165</v>
      </c>
      <c r="P717">
        <f t="shared" si="68"/>
        <v>89.1</v>
      </c>
      <c r="Q717">
        <f t="shared" si="69"/>
        <v>79.299000000000007</v>
      </c>
      <c r="R717">
        <f t="shared" si="70"/>
        <v>9.8009999999999877</v>
      </c>
      <c r="S717" s="4">
        <f t="shared" si="71"/>
        <v>0.10999999999999988</v>
      </c>
      <c r="T717" t="str">
        <f>_xlfn.XLOOKUP(C717,customers!$A$1:$A$1001,customers!$I$1:$I$1001,,0)</f>
        <v>No</v>
      </c>
    </row>
    <row r="718" spans="1:20"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INDEX(products!$A$1:$I$49,MATCH('Conditional Fomating'!$D718,products!$A$1:$A$49,0),MATCH('Conditional Fomating'!I$1,products!$A$1:$D$1,0))</f>
        <v>Rob</v>
      </c>
      <c r="J718" t="str">
        <f t="shared" si="66"/>
        <v>Robusta</v>
      </c>
      <c r="K718" t="str">
        <f>INDEX(products!$A$1:$I$49,MATCH('Conditional Fomating'!$D718,products!$A$1:$A$49,0),MATCH('Conditional Fomating'!K$1,products!$A$1:$D$1,0))</f>
        <v>L</v>
      </c>
      <c r="L718" t="str">
        <f t="shared" si="67"/>
        <v>Light</v>
      </c>
      <c r="M718">
        <f>INDEX(products!$A$1:$I$49,MATCH('Conditional Fomating'!$D718,products!$A$1:$A$49,0),MATCH('Conditional Fomating'!M$1,products!$A$1:$D$1,0))</f>
        <v>1</v>
      </c>
      <c r="N718">
        <f>_xlfn.XLOOKUP(D718,products!$A$2:$A$49,products!$E$2:$E$49)</f>
        <v>11.95</v>
      </c>
      <c r="O718">
        <f>_xlfn.XLOOKUP(D718,products!$A$2:$A$49,products!$H$2:$H$49)</f>
        <v>11.232999999999999</v>
      </c>
      <c r="P718">
        <f t="shared" si="68"/>
        <v>35.849999999999994</v>
      </c>
      <c r="Q718">
        <f t="shared" si="69"/>
        <v>33.698999999999998</v>
      </c>
      <c r="R718">
        <f t="shared" si="70"/>
        <v>2.1509999999999962</v>
      </c>
      <c r="S718" s="4">
        <f t="shared" si="71"/>
        <v>5.9999999999999908E-2</v>
      </c>
      <c r="T718" t="str">
        <f>_xlfn.XLOOKUP(C718,customers!$A$1:$A$1001,customers!$I$1:$I$1001,,0)</f>
        <v>No</v>
      </c>
    </row>
    <row r="719" spans="1:20"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INDEX(products!$A$1:$I$49,MATCH('Conditional Fomating'!$D719,products!$A$1:$A$49,0),MATCH('Conditional Fomating'!I$1,products!$A$1:$D$1,0))</f>
        <v>Ara</v>
      </c>
      <c r="J719" t="str">
        <f t="shared" si="66"/>
        <v>Arabica</v>
      </c>
      <c r="K719" t="str">
        <f>INDEX(products!$A$1:$I$49,MATCH('Conditional Fomating'!$D719,products!$A$1:$A$49,0),MATCH('Conditional Fomating'!K$1,products!$A$1:$D$1,0))</f>
        <v>D</v>
      </c>
      <c r="L719" t="str">
        <f t="shared" si="67"/>
        <v>Dark</v>
      </c>
      <c r="M719">
        <f>INDEX(products!$A$1:$I$49,MATCH('Conditional Fomating'!$D719,products!$A$1:$A$49,0),MATCH('Conditional Fomating'!M$1,products!$A$1:$D$1,0))</f>
        <v>2.5</v>
      </c>
      <c r="N719">
        <f>_xlfn.XLOOKUP(D719,products!$A$2:$A$49,products!$E$2:$E$49)</f>
        <v>22.884999999999998</v>
      </c>
      <c r="O719">
        <f>_xlfn.XLOOKUP(D719,products!$A$2:$A$49,products!$H$2:$H$49)</f>
        <v>20.82535</v>
      </c>
      <c r="P719">
        <f t="shared" si="68"/>
        <v>68.655000000000001</v>
      </c>
      <c r="Q719">
        <f t="shared" si="69"/>
        <v>62.476050000000001</v>
      </c>
      <c r="R719">
        <f t="shared" si="70"/>
        <v>6.1789500000000004</v>
      </c>
      <c r="S719" s="4">
        <f t="shared" si="71"/>
        <v>9.0000000000000011E-2</v>
      </c>
      <c r="T719" t="str">
        <f>_xlfn.XLOOKUP(C719,customers!$A$1:$A$1001,customers!$I$1:$I$1001,,0)</f>
        <v>No</v>
      </c>
    </row>
    <row r="720" spans="1:20"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INDEX(products!$A$1:$I$49,MATCH('Conditional Fomating'!$D720,products!$A$1:$A$49,0),MATCH('Conditional Fomating'!I$1,products!$A$1:$D$1,0))</f>
        <v>Lib</v>
      </c>
      <c r="J720" t="str">
        <f t="shared" si="66"/>
        <v>Liberica</v>
      </c>
      <c r="K720" t="str">
        <f>INDEX(products!$A$1:$I$49,MATCH('Conditional Fomating'!$D720,products!$A$1:$A$49,0),MATCH('Conditional Fomating'!K$1,products!$A$1:$D$1,0))</f>
        <v>D</v>
      </c>
      <c r="L720" t="str">
        <f t="shared" si="67"/>
        <v>Dark</v>
      </c>
      <c r="M720">
        <f>INDEX(products!$A$1:$I$49,MATCH('Conditional Fomating'!$D720,products!$A$1:$A$49,0),MATCH('Conditional Fomating'!M$1,products!$A$1:$D$1,0))</f>
        <v>1</v>
      </c>
      <c r="N720">
        <f>_xlfn.XLOOKUP(D720,products!$A$2:$A$49,products!$E$2:$E$49)</f>
        <v>12.95</v>
      </c>
      <c r="O720">
        <f>_xlfn.XLOOKUP(D720,products!$A$2:$A$49,products!$H$2:$H$49)</f>
        <v>11.266499999999999</v>
      </c>
      <c r="P720">
        <f t="shared" si="68"/>
        <v>38.849999999999994</v>
      </c>
      <c r="Q720">
        <f t="shared" si="69"/>
        <v>33.799499999999995</v>
      </c>
      <c r="R720">
        <f t="shared" si="70"/>
        <v>5.0504999999999995</v>
      </c>
      <c r="S720" s="4">
        <f t="shared" si="71"/>
        <v>0.13</v>
      </c>
      <c r="T720" t="str">
        <f>_xlfn.XLOOKUP(C720,customers!$A$1:$A$1001,customers!$I$1:$I$1001,,0)</f>
        <v>No</v>
      </c>
    </row>
    <row r="721" spans="1:20"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INDEX(products!$A$1:$I$49,MATCH('Conditional Fomating'!$D721,products!$A$1:$A$49,0),MATCH('Conditional Fomating'!I$1,products!$A$1:$D$1,0))</f>
        <v>Lib</v>
      </c>
      <c r="J721" t="str">
        <f t="shared" si="66"/>
        <v>Liberica</v>
      </c>
      <c r="K721" t="str">
        <f>INDEX(products!$A$1:$I$49,MATCH('Conditional Fomating'!$D721,products!$A$1:$A$49,0),MATCH('Conditional Fomating'!K$1,products!$A$1:$D$1,0))</f>
        <v>L</v>
      </c>
      <c r="L721" t="str">
        <f t="shared" si="67"/>
        <v>Light</v>
      </c>
      <c r="M721">
        <f>INDEX(products!$A$1:$I$49,MATCH('Conditional Fomating'!$D721,products!$A$1:$A$49,0),MATCH('Conditional Fomating'!M$1,products!$A$1:$D$1,0))</f>
        <v>1</v>
      </c>
      <c r="N721">
        <f>_xlfn.XLOOKUP(D721,products!$A$2:$A$49,products!$E$2:$E$49)</f>
        <v>15.85</v>
      </c>
      <c r="O721">
        <f>_xlfn.XLOOKUP(D721,products!$A$2:$A$49,products!$H$2:$H$49)</f>
        <v>13.7895</v>
      </c>
      <c r="P721">
        <f t="shared" si="68"/>
        <v>79.25</v>
      </c>
      <c r="Q721">
        <f t="shared" si="69"/>
        <v>68.947500000000005</v>
      </c>
      <c r="R721">
        <f t="shared" si="70"/>
        <v>10.302499999999995</v>
      </c>
      <c r="S721" s="4">
        <f t="shared" si="71"/>
        <v>0.12999999999999995</v>
      </c>
      <c r="T721" t="str">
        <f>_xlfn.XLOOKUP(C721,customers!$A$1:$A$1001,customers!$I$1:$I$1001,,0)</f>
        <v>Yes</v>
      </c>
    </row>
    <row r="722" spans="1:20"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INDEX(products!$A$1:$I$49,MATCH('Conditional Fomating'!$D722,products!$A$1:$A$49,0),MATCH('Conditional Fomating'!I$1,products!$A$1:$D$1,0))</f>
        <v>Exc</v>
      </c>
      <c r="J722" t="str">
        <f t="shared" si="66"/>
        <v>Excelsa</v>
      </c>
      <c r="K722" t="str">
        <f>INDEX(products!$A$1:$I$49,MATCH('Conditional Fomating'!$D722,products!$A$1:$A$49,0),MATCH('Conditional Fomating'!K$1,products!$A$1:$D$1,0))</f>
        <v>D</v>
      </c>
      <c r="L722" t="str">
        <f t="shared" si="67"/>
        <v>Dark</v>
      </c>
      <c r="M722">
        <f>INDEX(products!$A$1:$I$49,MATCH('Conditional Fomating'!$D722,products!$A$1:$A$49,0),MATCH('Conditional Fomating'!M$1,products!$A$1:$D$1,0))</f>
        <v>0.5</v>
      </c>
      <c r="N722">
        <f>_xlfn.XLOOKUP(D722,products!$A$2:$A$49,products!$E$2:$E$49)</f>
        <v>7.29</v>
      </c>
      <c r="O722">
        <f>_xlfn.XLOOKUP(D722,products!$A$2:$A$49,products!$H$2:$H$49)</f>
        <v>6.4881000000000002</v>
      </c>
      <c r="P722">
        <f t="shared" si="68"/>
        <v>36.450000000000003</v>
      </c>
      <c r="Q722">
        <f t="shared" si="69"/>
        <v>32.4405</v>
      </c>
      <c r="R722">
        <f t="shared" si="70"/>
        <v>4.0095000000000027</v>
      </c>
      <c r="S722" s="4">
        <f t="shared" si="71"/>
        <v>0.11000000000000007</v>
      </c>
      <c r="T722" t="str">
        <f>_xlfn.XLOOKUP(C722,customers!$A$1:$A$1001,customers!$I$1:$I$1001,,0)</f>
        <v>Yes</v>
      </c>
    </row>
    <row r="723" spans="1:20"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INDEX(products!$A$1:$I$49,MATCH('Conditional Fomating'!$D723,products!$A$1:$A$49,0),MATCH('Conditional Fomating'!I$1,products!$A$1:$D$1,0))</f>
        <v>Rob</v>
      </c>
      <c r="J723" t="str">
        <f t="shared" si="66"/>
        <v>Robusta</v>
      </c>
      <c r="K723" t="str">
        <f>INDEX(products!$A$1:$I$49,MATCH('Conditional Fomating'!$D723,products!$A$1:$A$49,0),MATCH('Conditional Fomating'!K$1,products!$A$1:$D$1,0))</f>
        <v>M</v>
      </c>
      <c r="L723" t="str">
        <f t="shared" si="67"/>
        <v>Medium</v>
      </c>
      <c r="M723">
        <f>INDEX(products!$A$1:$I$49,MATCH('Conditional Fomating'!$D723,products!$A$1:$A$49,0),MATCH('Conditional Fomating'!M$1,products!$A$1:$D$1,0))</f>
        <v>0.2</v>
      </c>
      <c r="N723">
        <f>_xlfn.XLOOKUP(D723,products!$A$2:$A$49,products!$E$2:$E$49)</f>
        <v>2.9849999999999999</v>
      </c>
      <c r="O723">
        <f>_xlfn.XLOOKUP(D723,products!$A$2:$A$49,products!$H$2:$H$49)</f>
        <v>2.8058999999999998</v>
      </c>
      <c r="P723">
        <f t="shared" si="68"/>
        <v>8.9550000000000001</v>
      </c>
      <c r="Q723">
        <f t="shared" si="69"/>
        <v>8.4177</v>
      </c>
      <c r="R723">
        <f t="shared" si="70"/>
        <v>0.53730000000000011</v>
      </c>
      <c r="S723" s="4">
        <f t="shared" si="71"/>
        <v>6.0000000000000012E-2</v>
      </c>
      <c r="T723" t="str">
        <f>_xlfn.XLOOKUP(C723,customers!$A$1:$A$1001,customers!$I$1:$I$1001,,0)</f>
        <v>Yes</v>
      </c>
    </row>
    <row r="724" spans="1:20"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v>
      </c>
      <c r="H724" s="2" t="str">
        <f>_xlfn.XLOOKUP(C724,customers!$A$1:$A$1001,customers!$G$1:$G$1001,,0)</f>
        <v>United States</v>
      </c>
      <c r="I724" t="str">
        <f>INDEX(products!$A$1:$I$49,MATCH('Conditional Fomating'!$D724,products!$A$1:$A$49,0),MATCH('Conditional Fomating'!I$1,products!$A$1:$D$1,0))</f>
        <v>Exc</v>
      </c>
      <c r="J724" t="str">
        <f t="shared" si="66"/>
        <v>Excelsa</v>
      </c>
      <c r="K724" t="str">
        <f>INDEX(products!$A$1:$I$49,MATCH('Conditional Fomating'!$D724,products!$A$1:$A$49,0),MATCH('Conditional Fomating'!K$1,products!$A$1:$D$1,0))</f>
        <v>D</v>
      </c>
      <c r="L724" t="str">
        <f t="shared" si="67"/>
        <v>Dark</v>
      </c>
      <c r="M724">
        <f>INDEX(products!$A$1:$I$49,MATCH('Conditional Fomating'!$D724,products!$A$1:$A$49,0),MATCH('Conditional Fomating'!M$1,products!$A$1:$D$1,0))</f>
        <v>1</v>
      </c>
      <c r="N724">
        <f>_xlfn.XLOOKUP(D724,products!$A$2:$A$49,products!$E$2:$E$49)</f>
        <v>12.15</v>
      </c>
      <c r="O724">
        <f>_xlfn.XLOOKUP(D724,products!$A$2:$A$49,products!$H$2:$H$49)</f>
        <v>10.813500000000001</v>
      </c>
      <c r="P724">
        <f t="shared" si="68"/>
        <v>24.3</v>
      </c>
      <c r="Q724">
        <f t="shared" si="69"/>
        <v>21.627000000000002</v>
      </c>
      <c r="R724">
        <f t="shared" si="70"/>
        <v>2.6729999999999983</v>
      </c>
      <c r="S724" s="4">
        <f t="shared" si="71"/>
        <v>0.10999999999999993</v>
      </c>
      <c r="T724" t="str">
        <f>_xlfn.XLOOKUP(C724,customers!$A$1:$A$1001,customers!$I$1:$I$1001,,0)</f>
        <v>No</v>
      </c>
    </row>
    <row r="725" spans="1:20"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INDEX(products!$A$1:$I$49,MATCH('Conditional Fomating'!$D725,products!$A$1:$A$49,0),MATCH('Conditional Fomating'!I$1,products!$A$1:$D$1,0))</f>
        <v>Exc</v>
      </c>
      <c r="J725" t="str">
        <f t="shared" si="66"/>
        <v>Excelsa</v>
      </c>
      <c r="K725" t="str">
        <f>INDEX(products!$A$1:$I$49,MATCH('Conditional Fomating'!$D725,products!$A$1:$A$49,0),MATCH('Conditional Fomating'!K$1,products!$A$1:$D$1,0))</f>
        <v>M</v>
      </c>
      <c r="L725" t="str">
        <f t="shared" si="67"/>
        <v>Medium</v>
      </c>
      <c r="M725">
        <f>INDEX(products!$A$1:$I$49,MATCH('Conditional Fomating'!$D725,products!$A$1:$A$49,0),MATCH('Conditional Fomating'!M$1,products!$A$1:$D$1,0))</f>
        <v>2.5</v>
      </c>
      <c r="N725">
        <f>_xlfn.XLOOKUP(D725,products!$A$2:$A$49,products!$E$2:$E$49)</f>
        <v>31.624999999999996</v>
      </c>
      <c r="O725">
        <f>_xlfn.XLOOKUP(D725,products!$A$2:$A$49,products!$H$2:$H$49)</f>
        <v>28.146249999999995</v>
      </c>
      <c r="P725">
        <f t="shared" si="68"/>
        <v>63.249999999999993</v>
      </c>
      <c r="Q725">
        <f t="shared" si="69"/>
        <v>56.29249999999999</v>
      </c>
      <c r="R725">
        <f t="shared" si="70"/>
        <v>6.9575000000000031</v>
      </c>
      <c r="S725" s="4">
        <f t="shared" si="71"/>
        <v>0.11000000000000006</v>
      </c>
      <c r="T725" t="str">
        <f>_xlfn.XLOOKUP(C725,customers!$A$1:$A$1001,customers!$I$1:$I$1001,,0)</f>
        <v>No</v>
      </c>
    </row>
    <row r="726" spans="1:20"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v>
      </c>
      <c r="H726" s="2" t="str">
        <f>_xlfn.XLOOKUP(C726,customers!$A$1:$A$1001,customers!$G$1:$G$1001,,0)</f>
        <v>United States</v>
      </c>
      <c r="I726" t="str">
        <f>INDEX(products!$A$1:$I$49,MATCH('Conditional Fomating'!$D726,products!$A$1:$A$49,0),MATCH('Conditional Fomating'!I$1,products!$A$1:$D$1,0))</f>
        <v>Ara</v>
      </c>
      <c r="J726" t="str">
        <f t="shared" si="66"/>
        <v>Arabica</v>
      </c>
      <c r="K726" t="str">
        <f>INDEX(products!$A$1:$I$49,MATCH('Conditional Fomating'!$D726,products!$A$1:$A$49,0),MATCH('Conditional Fomating'!K$1,products!$A$1:$D$1,0))</f>
        <v>M</v>
      </c>
      <c r="L726" t="str">
        <f t="shared" si="67"/>
        <v>Medium</v>
      </c>
      <c r="M726">
        <f>INDEX(products!$A$1:$I$49,MATCH('Conditional Fomating'!$D726,products!$A$1:$A$49,0),MATCH('Conditional Fomating'!M$1,products!$A$1:$D$1,0))</f>
        <v>0.2</v>
      </c>
      <c r="N726">
        <f>_xlfn.XLOOKUP(D726,products!$A$2:$A$49,products!$E$2:$E$49)</f>
        <v>3.375</v>
      </c>
      <c r="O726">
        <f>_xlfn.XLOOKUP(D726,products!$A$2:$A$49,products!$H$2:$H$49)</f>
        <v>3.07125</v>
      </c>
      <c r="P726">
        <f t="shared" si="68"/>
        <v>6.75</v>
      </c>
      <c r="Q726">
        <f t="shared" si="69"/>
        <v>6.1425000000000001</v>
      </c>
      <c r="R726">
        <f t="shared" si="70"/>
        <v>0.60749999999999993</v>
      </c>
      <c r="S726" s="4">
        <f t="shared" si="71"/>
        <v>8.9999999999999983E-2</v>
      </c>
      <c r="T726" t="str">
        <f>_xlfn.XLOOKUP(C726,customers!$A$1:$A$1001,customers!$I$1:$I$1001,,0)</f>
        <v>Yes</v>
      </c>
    </row>
    <row r="727" spans="1:20"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INDEX(products!$A$1:$I$49,MATCH('Conditional Fomating'!$D727,products!$A$1:$A$49,0),MATCH('Conditional Fomating'!I$1,products!$A$1:$D$1,0))</f>
        <v>Ara</v>
      </c>
      <c r="J727" t="str">
        <f t="shared" si="66"/>
        <v>Arabica</v>
      </c>
      <c r="K727" t="str">
        <f>INDEX(products!$A$1:$I$49,MATCH('Conditional Fomating'!$D727,products!$A$1:$A$49,0),MATCH('Conditional Fomating'!K$1,products!$A$1:$D$1,0))</f>
        <v>L</v>
      </c>
      <c r="L727" t="str">
        <f t="shared" si="67"/>
        <v>Light</v>
      </c>
      <c r="M727">
        <f>INDEX(products!$A$1:$I$49,MATCH('Conditional Fomating'!$D727,products!$A$1:$A$49,0),MATCH('Conditional Fomating'!M$1,products!$A$1:$D$1,0))</f>
        <v>0.2</v>
      </c>
      <c r="N727">
        <f>_xlfn.XLOOKUP(D727,products!$A$2:$A$49,products!$E$2:$E$49)</f>
        <v>3.8849999999999998</v>
      </c>
      <c r="O727">
        <f>_xlfn.XLOOKUP(D727,products!$A$2:$A$49,products!$H$2:$H$49)</f>
        <v>3.5353499999999998</v>
      </c>
      <c r="P727">
        <f t="shared" si="68"/>
        <v>23.31</v>
      </c>
      <c r="Q727">
        <f t="shared" si="69"/>
        <v>21.2121</v>
      </c>
      <c r="R727">
        <f t="shared" si="70"/>
        <v>2.0978999999999992</v>
      </c>
      <c r="S727" s="4">
        <f t="shared" si="71"/>
        <v>8.9999999999999969E-2</v>
      </c>
      <c r="T727" t="str">
        <f>_xlfn.XLOOKUP(C727,customers!$A$1:$A$1001,customers!$I$1:$I$1001,,0)</f>
        <v>No</v>
      </c>
    </row>
    <row r="728" spans="1:20"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v>
      </c>
      <c r="H728" s="2" t="str">
        <f>_xlfn.XLOOKUP(C728,customers!$A$1:$A$1001,customers!$G$1:$G$1001,,0)</f>
        <v>United States</v>
      </c>
      <c r="I728" t="str">
        <f>INDEX(products!$A$1:$I$49,MATCH('Conditional Fomating'!$D728,products!$A$1:$A$49,0),MATCH('Conditional Fomating'!I$1,products!$A$1:$D$1,0))</f>
        <v>Lib</v>
      </c>
      <c r="J728" t="str">
        <f t="shared" si="66"/>
        <v>Liberica</v>
      </c>
      <c r="K728" t="str">
        <f>INDEX(products!$A$1:$I$49,MATCH('Conditional Fomating'!$D728,products!$A$1:$A$49,0),MATCH('Conditional Fomating'!K$1,products!$A$1:$D$1,0))</f>
        <v>L</v>
      </c>
      <c r="L728" t="str">
        <f t="shared" si="67"/>
        <v>Light</v>
      </c>
      <c r="M728">
        <f>INDEX(products!$A$1:$I$49,MATCH('Conditional Fomating'!$D728,products!$A$1:$A$49,0),MATCH('Conditional Fomating'!M$1,products!$A$1:$D$1,0))</f>
        <v>2.5</v>
      </c>
      <c r="N728">
        <f>_xlfn.XLOOKUP(D728,products!$A$2:$A$49,products!$E$2:$E$49)</f>
        <v>36.454999999999998</v>
      </c>
      <c r="O728">
        <f>_xlfn.XLOOKUP(D728,products!$A$2:$A$49,products!$H$2:$H$49)</f>
        <v>31.71585</v>
      </c>
      <c r="P728">
        <f t="shared" si="68"/>
        <v>145.82</v>
      </c>
      <c r="Q728">
        <f t="shared" si="69"/>
        <v>126.8634</v>
      </c>
      <c r="R728">
        <f t="shared" si="70"/>
        <v>18.956599999999995</v>
      </c>
      <c r="S728" s="4">
        <f t="shared" si="71"/>
        <v>0.12999999999999998</v>
      </c>
      <c r="T728" t="str">
        <f>_xlfn.XLOOKUP(C728,customers!$A$1:$A$1001,customers!$I$1:$I$1001,,0)</f>
        <v>No</v>
      </c>
    </row>
    <row r="729" spans="1:20"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INDEX(products!$A$1:$I$49,MATCH('Conditional Fomating'!$D729,products!$A$1:$A$49,0),MATCH('Conditional Fomating'!I$1,products!$A$1:$D$1,0))</f>
        <v>Rob</v>
      </c>
      <c r="J729" t="str">
        <f t="shared" si="66"/>
        <v>Robusta</v>
      </c>
      <c r="K729" t="str">
        <f>INDEX(products!$A$1:$I$49,MATCH('Conditional Fomating'!$D729,products!$A$1:$A$49,0),MATCH('Conditional Fomating'!K$1,products!$A$1:$D$1,0))</f>
        <v>M</v>
      </c>
      <c r="L729" t="str">
        <f t="shared" si="67"/>
        <v>Medium</v>
      </c>
      <c r="M729">
        <f>INDEX(products!$A$1:$I$49,MATCH('Conditional Fomating'!$D729,products!$A$1:$A$49,0),MATCH('Conditional Fomating'!M$1,products!$A$1:$D$1,0))</f>
        <v>0.5</v>
      </c>
      <c r="N729">
        <f>_xlfn.XLOOKUP(D729,products!$A$2:$A$49,products!$E$2:$E$49)</f>
        <v>5.97</v>
      </c>
      <c r="O729">
        <f>_xlfn.XLOOKUP(D729,products!$A$2:$A$49,products!$H$2:$H$49)</f>
        <v>5.6117999999999997</v>
      </c>
      <c r="P729">
        <f t="shared" si="68"/>
        <v>29.849999999999998</v>
      </c>
      <c r="Q729">
        <f t="shared" si="69"/>
        <v>28.058999999999997</v>
      </c>
      <c r="R729">
        <f t="shared" si="70"/>
        <v>1.7910000000000004</v>
      </c>
      <c r="S729" s="4">
        <f t="shared" si="71"/>
        <v>6.0000000000000019E-2</v>
      </c>
      <c r="T729" t="str">
        <f>_xlfn.XLOOKUP(C729,customers!$A$1:$A$1001,customers!$I$1:$I$1001,,0)</f>
        <v>Yes</v>
      </c>
    </row>
    <row r="730" spans="1:20"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INDEX(products!$A$1:$I$49,MATCH('Conditional Fomating'!$D730,products!$A$1:$A$49,0),MATCH('Conditional Fomating'!I$1,products!$A$1:$D$1,0))</f>
        <v>Exc</v>
      </c>
      <c r="J730" t="str">
        <f t="shared" si="66"/>
        <v>Excelsa</v>
      </c>
      <c r="K730" t="str">
        <f>INDEX(products!$A$1:$I$49,MATCH('Conditional Fomating'!$D730,products!$A$1:$A$49,0),MATCH('Conditional Fomating'!K$1,products!$A$1:$D$1,0))</f>
        <v>D</v>
      </c>
      <c r="L730" t="str">
        <f t="shared" si="67"/>
        <v>Dark</v>
      </c>
      <c r="M730">
        <f>INDEX(products!$A$1:$I$49,MATCH('Conditional Fomating'!$D730,products!$A$1:$A$49,0),MATCH('Conditional Fomating'!M$1,products!$A$1:$D$1,0))</f>
        <v>0.5</v>
      </c>
      <c r="N730">
        <f>_xlfn.XLOOKUP(D730,products!$A$2:$A$49,products!$E$2:$E$49)</f>
        <v>7.29</v>
      </c>
      <c r="O730">
        <f>_xlfn.XLOOKUP(D730,products!$A$2:$A$49,products!$H$2:$H$49)</f>
        <v>6.4881000000000002</v>
      </c>
      <c r="P730">
        <f t="shared" si="68"/>
        <v>21.87</v>
      </c>
      <c r="Q730">
        <f t="shared" si="69"/>
        <v>19.464300000000001</v>
      </c>
      <c r="R730">
        <f t="shared" si="70"/>
        <v>2.4056999999999995</v>
      </c>
      <c r="S730" s="4">
        <f t="shared" si="71"/>
        <v>0.10999999999999997</v>
      </c>
      <c r="T730" t="str">
        <f>_xlfn.XLOOKUP(C730,customers!$A$1:$A$1001,customers!$I$1:$I$1001,,0)</f>
        <v>Yes</v>
      </c>
    </row>
    <row r="731" spans="1:20"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INDEX(products!$A$1:$I$49,MATCH('Conditional Fomating'!$D731,products!$A$1:$A$49,0),MATCH('Conditional Fomating'!I$1,products!$A$1:$D$1,0))</f>
        <v>Lib</v>
      </c>
      <c r="J731" t="str">
        <f t="shared" si="66"/>
        <v>Liberica</v>
      </c>
      <c r="K731" t="str">
        <f>INDEX(products!$A$1:$I$49,MATCH('Conditional Fomating'!$D731,products!$A$1:$A$49,0),MATCH('Conditional Fomating'!K$1,products!$A$1:$D$1,0))</f>
        <v>M</v>
      </c>
      <c r="L731" t="str">
        <f t="shared" si="67"/>
        <v>Medium</v>
      </c>
      <c r="M731">
        <f>INDEX(products!$A$1:$I$49,MATCH('Conditional Fomating'!$D731,products!$A$1:$A$49,0),MATCH('Conditional Fomating'!M$1,products!$A$1:$D$1,0))</f>
        <v>0.2</v>
      </c>
      <c r="N731">
        <f>_xlfn.XLOOKUP(D731,products!$A$2:$A$49,products!$E$2:$E$49)</f>
        <v>4.3650000000000002</v>
      </c>
      <c r="O731">
        <f>_xlfn.XLOOKUP(D731,products!$A$2:$A$49,products!$H$2:$H$49)</f>
        <v>3.7975500000000002</v>
      </c>
      <c r="P731">
        <f t="shared" si="68"/>
        <v>4.3650000000000002</v>
      </c>
      <c r="Q731">
        <f t="shared" si="69"/>
        <v>3.7975500000000002</v>
      </c>
      <c r="R731">
        <f t="shared" si="70"/>
        <v>0.56745000000000001</v>
      </c>
      <c r="S731" s="4">
        <f t="shared" si="71"/>
        <v>0.13</v>
      </c>
      <c r="T731" t="str">
        <f>_xlfn.XLOOKUP(C731,customers!$A$1:$A$1001,customers!$I$1:$I$1001,,0)</f>
        <v>No</v>
      </c>
    </row>
    <row r="732" spans="1:20"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INDEX(products!$A$1:$I$49,MATCH('Conditional Fomating'!$D732,products!$A$1:$A$49,0),MATCH('Conditional Fomating'!I$1,products!$A$1:$D$1,0))</f>
        <v>Lib</v>
      </c>
      <c r="J732" t="str">
        <f t="shared" si="66"/>
        <v>Liberica</v>
      </c>
      <c r="K732" t="str">
        <f>INDEX(products!$A$1:$I$49,MATCH('Conditional Fomating'!$D732,products!$A$1:$A$49,0),MATCH('Conditional Fomating'!K$1,products!$A$1:$D$1,0))</f>
        <v>L</v>
      </c>
      <c r="L732" t="str">
        <f t="shared" si="67"/>
        <v>Light</v>
      </c>
      <c r="M732">
        <f>INDEX(products!$A$1:$I$49,MATCH('Conditional Fomating'!$D732,products!$A$1:$A$49,0),MATCH('Conditional Fomating'!M$1,products!$A$1:$D$1,0))</f>
        <v>2.5</v>
      </c>
      <c r="N732">
        <f>_xlfn.XLOOKUP(D732,products!$A$2:$A$49,products!$E$2:$E$49)</f>
        <v>36.454999999999998</v>
      </c>
      <c r="O732">
        <f>_xlfn.XLOOKUP(D732,products!$A$2:$A$49,products!$H$2:$H$49)</f>
        <v>31.71585</v>
      </c>
      <c r="P732">
        <f t="shared" si="68"/>
        <v>36.454999999999998</v>
      </c>
      <c r="Q732">
        <f t="shared" si="69"/>
        <v>31.71585</v>
      </c>
      <c r="R732">
        <f t="shared" si="70"/>
        <v>4.7391499999999986</v>
      </c>
      <c r="S732" s="4">
        <f t="shared" si="71"/>
        <v>0.12999999999999998</v>
      </c>
      <c r="T732" t="str">
        <f>_xlfn.XLOOKUP(C732,customers!$A$1:$A$1001,customers!$I$1:$I$1001,,0)</f>
        <v>No</v>
      </c>
    </row>
    <row r="733" spans="1:20"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v>
      </c>
      <c r="H733" s="2" t="str">
        <f>_xlfn.XLOOKUP(C733,customers!$A$1:$A$1001,customers!$G$1:$G$1001,,0)</f>
        <v>United States</v>
      </c>
      <c r="I733" t="str">
        <f>INDEX(products!$A$1:$I$49,MATCH('Conditional Fomating'!$D733,products!$A$1:$A$49,0),MATCH('Conditional Fomating'!I$1,products!$A$1:$D$1,0))</f>
        <v>Lib</v>
      </c>
      <c r="J733" t="str">
        <f t="shared" si="66"/>
        <v>Liberica</v>
      </c>
      <c r="K733" t="str">
        <f>INDEX(products!$A$1:$I$49,MATCH('Conditional Fomating'!$D733,products!$A$1:$A$49,0),MATCH('Conditional Fomating'!K$1,products!$A$1:$D$1,0))</f>
        <v>D</v>
      </c>
      <c r="L733" t="str">
        <f t="shared" si="67"/>
        <v>Dark</v>
      </c>
      <c r="M733">
        <f>INDEX(products!$A$1:$I$49,MATCH('Conditional Fomating'!$D733,products!$A$1:$A$49,0),MATCH('Conditional Fomating'!M$1,products!$A$1:$D$1,0))</f>
        <v>0.2</v>
      </c>
      <c r="N733">
        <f>_xlfn.XLOOKUP(D733,products!$A$2:$A$49,products!$E$2:$E$49)</f>
        <v>3.8849999999999998</v>
      </c>
      <c r="O733">
        <f>_xlfn.XLOOKUP(D733,products!$A$2:$A$49,products!$H$2:$H$49)</f>
        <v>3.37995</v>
      </c>
      <c r="P733">
        <f t="shared" si="68"/>
        <v>15.54</v>
      </c>
      <c r="Q733">
        <f t="shared" si="69"/>
        <v>13.5198</v>
      </c>
      <c r="R733">
        <f t="shared" si="70"/>
        <v>2.0201999999999991</v>
      </c>
      <c r="S733" s="4">
        <f t="shared" si="71"/>
        <v>0.12999999999999995</v>
      </c>
      <c r="T733" t="str">
        <f>_xlfn.XLOOKUP(C733,customers!$A$1:$A$1001,customers!$I$1:$I$1001,,0)</f>
        <v>Yes</v>
      </c>
    </row>
    <row r="734" spans="1:20"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INDEX(products!$A$1:$I$49,MATCH('Conditional Fomating'!$D734,products!$A$1:$A$49,0),MATCH('Conditional Fomating'!I$1,products!$A$1:$D$1,0))</f>
        <v>Exc</v>
      </c>
      <c r="J734" t="str">
        <f t="shared" si="66"/>
        <v>Excelsa</v>
      </c>
      <c r="K734" t="str">
        <f>INDEX(products!$A$1:$I$49,MATCH('Conditional Fomating'!$D734,products!$A$1:$A$49,0),MATCH('Conditional Fomating'!K$1,products!$A$1:$D$1,0))</f>
        <v>L</v>
      </c>
      <c r="L734" t="str">
        <f t="shared" si="67"/>
        <v>Light</v>
      </c>
      <c r="M734">
        <f>INDEX(products!$A$1:$I$49,MATCH('Conditional Fomating'!$D734,products!$A$1:$A$49,0),MATCH('Conditional Fomating'!M$1,products!$A$1:$D$1,0))</f>
        <v>0.2</v>
      </c>
      <c r="N734">
        <f>_xlfn.XLOOKUP(D734,products!$A$2:$A$49,products!$E$2:$E$49)</f>
        <v>4.4550000000000001</v>
      </c>
      <c r="O734">
        <f>_xlfn.XLOOKUP(D734,products!$A$2:$A$49,products!$H$2:$H$49)</f>
        <v>3.96495</v>
      </c>
      <c r="P734">
        <f t="shared" si="68"/>
        <v>8.91</v>
      </c>
      <c r="Q734">
        <f t="shared" si="69"/>
        <v>7.9298999999999999</v>
      </c>
      <c r="R734">
        <f t="shared" si="70"/>
        <v>0.98010000000000019</v>
      </c>
      <c r="S734" s="4">
        <f t="shared" si="71"/>
        <v>0.11000000000000001</v>
      </c>
      <c r="T734" t="str">
        <f>_xlfn.XLOOKUP(C734,customers!$A$1:$A$1001,customers!$I$1:$I$1001,,0)</f>
        <v>No</v>
      </c>
    </row>
    <row r="735" spans="1:20"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INDEX(products!$A$1:$I$49,MATCH('Conditional Fomating'!$D735,products!$A$1:$A$49,0),MATCH('Conditional Fomating'!I$1,products!$A$1:$D$1,0))</f>
        <v>Lib</v>
      </c>
      <c r="J735" t="str">
        <f t="shared" si="66"/>
        <v>Liberica</v>
      </c>
      <c r="K735" t="str">
        <f>INDEX(products!$A$1:$I$49,MATCH('Conditional Fomating'!$D735,products!$A$1:$A$49,0),MATCH('Conditional Fomating'!K$1,products!$A$1:$D$1,0))</f>
        <v>M</v>
      </c>
      <c r="L735" t="str">
        <f t="shared" si="67"/>
        <v>Medium</v>
      </c>
      <c r="M735">
        <f>INDEX(products!$A$1:$I$49,MATCH('Conditional Fomating'!$D735,products!$A$1:$A$49,0),MATCH('Conditional Fomating'!M$1,products!$A$1:$D$1,0))</f>
        <v>2.5</v>
      </c>
      <c r="N735">
        <f>_xlfn.XLOOKUP(D735,products!$A$2:$A$49,products!$E$2:$E$49)</f>
        <v>33.464999999999996</v>
      </c>
      <c r="O735">
        <f>_xlfn.XLOOKUP(D735,products!$A$2:$A$49,products!$H$2:$H$49)</f>
        <v>29.114549999999998</v>
      </c>
      <c r="P735">
        <f t="shared" si="68"/>
        <v>100.39499999999998</v>
      </c>
      <c r="Q735">
        <f t="shared" si="69"/>
        <v>87.343649999999997</v>
      </c>
      <c r="R735">
        <f t="shared" si="70"/>
        <v>13.051349999999985</v>
      </c>
      <c r="S735" s="4">
        <f t="shared" si="71"/>
        <v>0.12999999999999987</v>
      </c>
      <c r="T735" t="str">
        <f>_xlfn.XLOOKUP(C735,customers!$A$1:$A$1001,customers!$I$1:$I$1001,,0)</f>
        <v>Yes</v>
      </c>
    </row>
    <row r="736" spans="1:20"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v>
      </c>
      <c r="H736" s="2" t="str">
        <f>_xlfn.XLOOKUP(C736,customers!$A$1:$A$1001,customers!$G$1:$G$1001,,0)</f>
        <v>United States</v>
      </c>
      <c r="I736" t="str">
        <f>INDEX(products!$A$1:$I$49,MATCH('Conditional Fomating'!$D736,products!$A$1:$A$49,0),MATCH('Conditional Fomating'!I$1,products!$A$1:$D$1,0))</f>
        <v>Rob</v>
      </c>
      <c r="J736" t="str">
        <f t="shared" si="66"/>
        <v>Robusta</v>
      </c>
      <c r="K736" t="str">
        <f>INDEX(products!$A$1:$I$49,MATCH('Conditional Fomating'!$D736,products!$A$1:$A$49,0),MATCH('Conditional Fomating'!K$1,products!$A$1:$D$1,0))</f>
        <v>D</v>
      </c>
      <c r="L736" t="str">
        <f t="shared" si="67"/>
        <v>Dark</v>
      </c>
      <c r="M736">
        <f>INDEX(products!$A$1:$I$49,MATCH('Conditional Fomating'!$D736,products!$A$1:$A$49,0),MATCH('Conditional Fomating'!M$1,products!$A$1:$D$1,0))</f>
        <v>0.2</v>
      </c>
      <c r="N736">
        <f>_xlfn.XLOOKUP(D736,products!$A$2:$A$49,products!$E$2:$E$49)</f>
        <v>2.6849999999999996</v>
      </c>
      <c r="O736">
        <f>_xlfn.XLOOKUP(D736,products!$A$2:$A$49,products!$H$2:$H$49)</f>
        <v>2.5238999999999998</v>
      </c>
      <c r="P736">
        <f t="shared" si="68"/>
        <v>13.424999999999997</v>
      </c>
      <c r="Q736">
        <f t="shared" si="69"/>
        <v>12.619499999999999</v>
      </c>
      <c r="R736">
        <f t="shared" si="70"/>
        <v>0.80549999999999855</v>
      </c>
      <c r="S736" s="4">
        <f t="shared" si="71"/>
        <v>5.9999999999999908E-2</v>
      </c>
      <c r="T736" t="str">
        <f>_xlfn.XLOOKUP(C736,customers!$A$1:$A$1001,customers!$I$1:$I$1001,,0)</f>
        <v>No</v>
      </c>
    </row>
    <row r="737" spans="1:20"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INDEX(products!$A$1:$I$49,MATCH('Conditional Fomating'!$D737,products!$A$1:$A$49,0),MATCH('Conditional Fomating'!I$1,products!$A$1:$D$1,0))</f>
        <v>Exc</v>
      </c>
      <c r="J737" t="str">
        <f t="shared" si="66"/>
        <v>Excelsa</v>
      </c>
      <c r="K737" t="str">
        <f>INDEX(products!$A$1:$I$49,MATCH('Conditional Fomating'!$D737,products!$A$1:$A$49,0),MATCH('Conditional Fomating'!K$1,products!$A$1:$D$1,0))</f>
        <v>D</v>
      </c>
      <c r="L737" t="str">
        <f t="shared" si="67"/>
        <v>Dark</v>
      </c>
      <c r="M737">
        <f>INDEX(products!$A$1:$I$49,MATCH('Conditional Fomating'!$D737,products!$A$1:$A$49,0),MATCH('Conditional Fomating'!M$1,products!$A$1:$D$1,0))</f>
        <v>0.2</v>
      </c>
      <c r="N737">
        <f>_xlfn.XLOOKUP(D737,products!$A$2:$A$49,products!$E$2:$E$49)</f>
        <v>3.645</v>
      </c>
      <c r="O737">
        <f>_xlfn.XLOOKUP(D737,products!$A$2:$A$49,products!$H$2:$H$49)</f>
        <v>3.2440500000000001</v>
      </c>
      <c r="P737">
        <f t="shared" si="68"/>
        <v>21.87</v>
      </c>
      <c r="Q737">
        <f t="shared" si="69"/>
        <v>19.464300000000001</v>
      </c>
      <c r="R737">
        <f t="shared" si="70"/>
        <v>2.4056999999999995</v>
      </c>
      <c r="S737" s="4">
        <f t="shared" si="71"/>
        <v>0.10999999999999997</v>
      </c>
      <c r="T737" t="str">
        <f>_xlfn.XLOOKUP(C737,customers!$A$1:$A$1001,customers!$I$1:$I$1001,,0)</f>
        <v>No</v>
      </c>
    </row>
    <row r="738" spans="1:20"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INDEX(products!$A$1:$I$49,MATCH('Conditional Fomating'!$D738,products!$A$1:$A$49,0),MATCH('Conditional Fomating'!I$1,products!$A$1:$D$1,0))</f>
        <v>Lib</v>
      </c>
      <c r="J738" t="str">
        <f t="shared" si="66"/>
        <v>Liberica</v>
      </c>
      <c r="K738" t="str">
        <f>INDEX(products!$A$1:$I$49,MATCH('Conditional Fomating'!$D738,products!$A$1:$A$49,0),MATCH('Conditional Fomating'!K$1,products!$A$1:$D$1,0))</f>
        <v>D</v>
      </c>
      <c r="L738" t="str">
        <f t="shared" si="67"/>
        <v>Dark</v>
      </c>
      <c r="M738">
        <f>INDEX(products!$A$1:$I$49,MATCH('Conditional Fomating'!$D738,products!$A$1:$A$49,0),MATCH('Conditional Fomating'!M$1,products!$A$1:$D$1,0))</f>
        <v>1</v>
      </c>
      <c r="N738">
        <f>_xlfn.XLOOKUP(D738,products!$A$2:$A$49,products!$E$2:$E$49)</f>
        <v>12.95</v>
      </c>
      <c r="O738">
        <f>_xlfn.XLOOKUP(D738,products!$A$2:$A$49,products!$H$2:$H$49)</f>
        <v>11.266499999999999</v>
      </c>
      <c r="P738">
        <f t="shared" si="68"/>
        <v>25.9</v>
      </c>
      <c r="Q738">
        <f t="shared" si="69"/>
        <v>22.532999999999998</v>
      </c>
      <c r="R738">
        <f t="shared" si="70"/>
        <v>3.3670000000000009</v>
      </c>
      <c r="S738" s="4">
        <f t="shared" si="71"/>
        <v>0.13000000000000003</v>
      </c>
      <c r="T738" t="str">
        <f>_xlfn.XLOOKUP(C738,customers!$A$1:$A$1001,customers!$I$1:$I$1001,,0)</f>
        <v>Yes</v>
      </c>
    </row>
    <row r="739" spans="1:20"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INDEX(products!$A$1:$I$49,MATCH('Conditional Fomating'!$D739,products!$A$1:$A$49,0),MATCH('Conditional Fomating'!I$1,products!$A$1:$D$1,0))</f>
        <v>Ara</v>
      </c>
      <c r="J739" t="str">
        <f t="shared" si="66"/>
        <v>Arabica</v>
      </c>
      <c r="K739" t="str">
        <f>INDEX(products!$A$1:$I$49,MATCH('Conditional Fomating'!$D739,products!$A$1:$A$49,0),MATCH('Conditional Fomating'!K$1,products!$A$1:$D$1,0))</f>
        <v>M</v>
      </c>
      <c r="L739" t="str">
        <f t="shared" si="67"/>
        <v>Medium</v>
      </c>
      <c r="M739">
        <f>INDEX(products!$A$1:$I$49,MATCH('Conditional Fomating'!$D739,products!$A$1:$A$49,0),MATCH('Conditional Fomating'!M$1,products!$A$1:$D$1,0))</f>
        <v>1</v>
      </c>
      <c r="N739">
        <f>_xlfn.XLOOKUP(D739,products!$A$2:$A$49,products!$E$2:$E$49)</f>
        <v>11.25</v>
      </c>
      <c r="O739">
        <f>_xlfn.XLOOKUP(D739,products!$A$2:$A$49,products!$H$2:$H$49)</f>
        <v>10.237500000000001</v>
      </c>
      <c r="P739">
        <f t="shared" si="68"/>
        <v>56.25</v>
      </c>
      <c r="Q739">
        <f t="shared" si="69"/>
        <v>51.1875</v>
      </c>
      <c r="R739">
        <f t="shared" si="70"/>
        <v>5.0625</v>
      </c>
      <c r="S739" s="4">
        <f t="shared" si="71"/>
        <v>0.09</v>
      </c>
      <c r="T739" t="str">
        <f>_xlfn.XLOOKUP(C739,customers!$A$1:$A$1001,customers!$I$1:$I$1001,,0)</f>
        <v>No</v>
      </c>
    </row>
    <row r="740" spans="1:20"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INDEX(products!$A$1:$I$49,MATCH('Conditional Fomating'!$D740,products!$A$1:$A$49,0),MATCH('Conditional Fomating'!I$1,products!$A$1:$D$1,0))</f>
        <v>Rob</v>
      </c>
      <c r="J740" t="str">
        <f t="shared" si="66"/>
        <v>Robusta</v>
      </c>
      <c r="K740" t="str">
        <f>INDEX(products!$A$1:$I$49,MATCH('Conditional Fomating'!$D740,products!$A$1:$A$49,0),MATCH('Conditional Fomating'!K$1,products!$A$1:$D$1,0))</f>
        <v>L</v>
      </c>
      <c r="L740" t="str">
        <f t="shared" si="67"/>
        <v>Light</v>
      </c>
      <c r="M740">
        <f>INDEX(products!$A$1:$I$49,MATCH('Conditional Fomating'!$D740,products!$A$1:$A$49,0),MATCH('Conditional Fomating'!M$1,products!$A$1:$D$1,0))</f>
        <v>0.2</v>
      </c>
      <c r="N740">
        <f>_xlfn.XLOOKUP(D740,products!$A$2:$A$49,products!$E$2:$E$49)</f>
        <v>3.5849999999999995</v>
      </c>
      <c r="O740">
        <f>_xlfn.XLOOKUP(D740,products!$A$2:$A$49,products!$H$2:$H$49)</f>
        <v>3.3698999999999995</v>
      </c>
      <c r="P740">
        <f t="shared" si="68"/>
        <v>10.754999999999999</v>
      </c>
      <c r="Q740">
        <f t="shared" si="69"/>
        <v>10.109699999999998</v>
      </c>
      <c r="R740">
        <f t="shared" si="70"/>
        <v>0.64530000000000065</v>
      </c>
      <c r="S740" s="4">
        <f t="shared" si="71"/>
        <v>6.0000000000000067E-2</v>
      </c>
      <c r="T740" t="str">
        <f>_xlfn.XLOOKUP(C740,customers!$A$1:$A$1001,customers!$I$1:$I$1001,,0)</f>
        <v>No</v>
      </c>
    </row>
    <row r="741" spans="1:20"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INDEX(products!$A$1:$I$49,MATCH('Conditional Fomating'!$D741,products!$A$1:$A$49,0),MATCH('Conditional Fomating'!I$1,products!$A$1:$D$1,0))</f>
        <v>Exc</v>
      </c>
      <c r="J741" t="str">
        <f t="shared" si="66"/>
        <v>Excelsa</v>
      </c>
      <c r="K741" t="str">
        <f>INDEX(products!$A$1:$I$49,MATCH('Conditional Fomating'!$D741,products!$A$1:$A$49,0),MATCH('Conditional Fomating'!K$1,products!$A$1:$D$1,0))</f>
        <v>D</v>
      </c>
      <c r="L741" t="str">
        <f t="shared" si="67"/>
        <v>Dark</v>
      </c>
      <c r="M741">
        <f>INDEX(products!$A$1:$I$49,MATCH('Conditional Fomating'!$D741,products!$A$1:$A$49,0),MATCH('Conditional Fomating'!M$1,products!$A$1:$D$1,0))</f>
        <v>0.2</v>
      </c>
      <c r="N741">
        <f>_xlfn.XLOOKUP(D741,products!$A$2:$A$49,products!$E$2:$E$49)</f>
        <v>3.645</v>
      </c>
      <c r="O741">
        <f>_xlfn.XLOOKUP(D741,products!$A$2:$A$49,products!$H$2:$H$49)</f>
        <v>3.2440500000000001</v>
      </c>
      <c r="P741">
        <f t="shared" si="68"/>
        <v>18.225000000000001</v>
      </c>
      <c r="Q741">
        <f t="shared" si="69"/>
        <v>16.22025</v>
      </c>
      <c r="R741">
        <f t="shared" si="70"/>
        <v>2.0047500000000014</v>
      </c>
      <c r="S741" s="4">
        <f t="shared" si="71"/>
        <v>0.11000000000000007</v>
      </c>
      <c r="T741" t="str">
        <f>_xlfn.XLOOKUP(C741,customers!$A$1:$A$1001,customers!$I$1:$I$1001,,0)</f>
        <v>No</v>
      </c>
    </row>
    <row r="742" spans="1:20"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INDEX(products!$A$1:$I$49,MATCH('Conditional Fomating'!$D742,products!$A$1:$A$49,0),MATCH('Conditional Fomating'!I$1,products!$A$1:$D$1,0))</f>
        <v>Rob</v>
      </c>
      <c r="J742" t="str">
        <f t="shared" si="66"/>
        <v>Robusta</v>
      </c>
      <c r="K742" t="str">
        <f>INDEX(products!$A$1:$I$49,MATCH('Conditional Fomating'!$D742,products!$A$1:$A$49,0),MATCH('Conditional Fomating'!K$1,products!$A$1:$D$1,0))</f>
        <v>L</v>
      </c>
      <c r="L742" t="str">
        <f t="shared" si="67"/>
        <v>Light</v>
      </c>
      <c r="M742">
        <f>INDEX(products!$A$1:$I$49,MATCH('Conditional Fomating'!$D742,products!$A$1:$A$49,0),MATCH('Conditional Fomating'!M$1,products!$A$1:$D$1,0))</f>
        <v>0.5</v>
      </c>
      <c r="N742">
        <f>_xlfn.XLOOKUP(D742,products!$A$2:$A$49,products!$E$2:$E$49)</f>
        <v>7.169999999999999</v>
      </c>
      <c r="O742">
        <f>_xlfn.XLOOKUP(D742,products!$A$2:$A$49,products!$H$2:$H$49)</f>
        <v>6.7397999999999989</v>
      </c>
      <c r="P742">
        <f t="shared" si="68"/>
        <v>28.679999999999996</v>
      </c>
      <c r="Q742">
        <f t="shared" si="69"/>
        <v>26.959199999999996</v>
      </c>
      <c r="R742">
        <f t="shared" si="70"/>
        <v>1.7208000000000006</v>
      </c>
      <c r="S742" s="4">
        <f t="shared" si="71"/>
        <v>6.0000000000000026E-2</v>
      </c>
      <c r="T742" t="str">
        <f>_xlfn.XLOOKUP(C742,customers!$A$1:$A$1001,customers!$I$1:$I$1001,,0)</f>
        <v>No</v>
      </c>
    </row>
    <row r="743" spans="1:20"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INDEX(products!$A$1:$I$49,MATCH('Conditional Fomating'!$D743,products!$A$1:$A$49,0),MATCH('Conditional Fomating'!I$1,products!$A$1:$D$1,0))</f>
        <v>Lib</v>
      </c>
      <c r="J743" t="str">
        <f t="shared" si="66"/>
        <v>Liberica</v>
      </c>
      <c r="K743" t="str">
        <f>INDEX(products!$A$1:$I$49,MATCH('Conditional Fomating'!$D743,products!$A$1:$A$49,0),MATCH('Conditional Fomating'!K$1,products!$A$1:$D$1,0))</f>
        <v>M</v>
      </c>
      <c r="L743" t="str">
        <f t="shared" si="67"/>
        <v>Medium</v>
      </c>
      <c r="M743">
        <f>INDEX(products!$A$1:$I$49,MATCH('Conditional Fomating'!$D743,products!$A$1:$A$49,0),MATCH('Conditional Fomating'!M$1,products!$A$1:$D$1,0))</f>
        <v>0.2</v>
      </c>
      <c r="N743">
        <f>_xlfn.XLOOKUP(D743,products!$A$2:$A$49,products!$E$2:$E$49)</f>
        <v>4.3650000000000002</v>
      </c>
      <c r="O743">
        <f>_xlfn.XLOOKUP(D743,products!$A$2:$A$49,products!$H$2:$H$49)</f>
        <v>3.7975500000000002</v>
      </c>
      <c r="P743">
        <f t="shared" si="68"/>
        <v>8.73</v>
      </c>
      <c r="Q743">
        <f t="shared" si="69"/>
        <v>7.5951000000000004</v>
      </c>
      <c r="R743">
        <f t="shared" si="70"/>
        <v>1.1349</v>
      </c>
      <c r="S743" s="4">
        <f t="shared" si="71"/>
        <v>0.13</v>
      </c>
      <c r="T743" t="str">
        <f>_xlfn.XLOOKUP(C743,customers!$A$1:$A$1001,customers!$I$1:$I$1001,,0)</f>
        <v>No</v>
      </c>
    </row>
    <row r="744" spans="1:20"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INDEX(products!$A$1:$I$49,MATCH('Conditional Fomating'!$D744,products!$A$1:$A$49,0),MATCH('Conditional Fomating'!I$1,products!$A$1:$D$1,0))</f>
        <v>Lib</v>
      </c>
      <c r="J744" t="str">
        <f t="shared" si="66"/>
        <v>Liberica</v>
      </c>
      <c r="K744" t="str">
        <f>INDEX(products!$A$1:$I$49,MATCH('Conditional Fomating'!$D744,products!$A$1:$A$49,0),MATCH('Conditional Fomating'!K$1,products!$A$1:$D$1,0))</f>
        <v>M</v>
      </c>
      <c r="L744" t="str">
        <f t="shared" si="67"/>
        <v>Medium</v>
      </c>
      <c r="M744">
        <f>INDEX(products!$A$1:$I$49,MATCH('Conditional Fomating'!$D744,products!$A$1:$A$49,0),MATCH('Conditional Fomating'!M$1,products!$A$1:$D$1,0))</f>
        <v>1</v>
      </c>
      <c r="N744">
        <f>_xlfn.XLOOKUP(D744,products!$A$2:$A$49,products!$E$2:$E$49)</f>
        <v>14.55</v>
      </c>
      <c r="O744">
        <f>_xlfn.XLOOKUP(D744,products!$A$2:$A$49,products!$H$2:$H$49)</f>
        <v>12.6585</v>
      </c>
      <c r="P744">
        <f t="shared" si="68"/>
        <v>58.2</v>
      </c>
      <c r="Q744">
        <f t="shared" si="69"/>
        <v>50.634</v>
      </c>
      <c r="R744">
        <f t="shared" si="70"/>
        <v>7.5660000000000025</v>
      </c>
      <c r="S744" s="4">
        <f t="shared" si="71"/>
        <v>0.13000000000000003</v>
      </c>
      <c r="T744" t="str">
        <f>_xlfn.XLOOKUP(C744,customers!$A$1:$A$1001,customers!$I$1:$I$1001,,0)</f>
        <v>No</v>
      </c>
    </row>
    <row r="745" spans="1:20"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INDEX(products!$A$1:$I$49,MATCH('Conditional Fomating'!$D745,products!$A$1:$A$49,0),MATCH('Conditional Fomating'!I$1,products!$A$1:$D$1,0))</f>
        <v>Ara</v>
      </c>
      <c r="J745" t="str">
        <f t="shared" si="66"/>
        <v>Arabica</v>
      </c>
      <c r="K745" t="str">
        <f>INDEX(products!$A$1:$I$49,MATCH('Conditional Fomating'!$D745,products!$A$1:$A$49,0),MATCH('Conditional Fomating'!K$1,products!$A$1:$D$1,0))</f>
        <v>D</v>
      </c>
      <c r="L745" t="str">
        <f t="shared" si="67"/>
        <v>Dark</v>
      </c>
      <c r="M745">
        <f>INDEX(products!$A$1:$I$49,MATCH('Conditional Fomating'!$D745,products!$A$1:$A$49,0),MATCH('Conditional Fomating'!M$1,products!$A$1:$D$1,0))</f>
        <v>0.5</v>
      </c>
      <c r="N745">
        <f>_xlfn.XLOOKUP(D745,products!$A$2:$A$49,products!$E$2:$E$49)</f>
        <v>5.97</v>
      </c>
      <c r="O745">
        <f>_xlfn.XLOOKUP(D745,products!$A$2:$A$49,products!$H$2:$H$49)</f>
        <v>5.4326999999999996</v>
      </c>
      <c r="P745">
        <f t="shared" si="68"/>
        <v>17.91</v>
      </c>
      <c r="Q745">
        <f t="shared" si="69"/>
        <v>16.298099999999998</v>
      </c>
      <c r="R745">
        <f t="shared" si="70"/>
        <v>1.6119000000000021</v>
      </c>
      <c r="S745" s="4">
        <f t="shared" si="71"/>
        <v>9.0000000000000122E-2</v>
      </c>
      <c r="T745" t="str">
        <f>_xlfn.XLOOKUP(C745,customers!$A$1:$A$1001,customers!$I$1:$I$1001,,0)</f>
        <v>No</v>
      </c>
    </row>
    <row r="746" spans="1:20"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v>
      </c>
      <c r="H746" s="2" t="str">
        <f>_xlfn.XLOOKUP(C746,customers!$A$1:$A$1001,customers!$G$1:$G$1001,,0)</f>
        <v>United States</v>
      </c>
      <c r="I746" t="str">
        <f>INDEX(products!$A$1:$I$49,MATCH('Conditional Fomating'!$D746,products!$A$1:$A$49,0),MATCH('Conditional Fomating'!I$1,products!$A$1:$D$1,0))</f>
        <v>Rob</v>
      </c>
      <c r="J746" t="str">
        <f t="shared" si="66"/>
        <v>Robusta</v>
      </c>
      <c r="K746" t="str">
        <f>INDEX(products!$A$1:$I$49,MATCH('Conditional Fomating'!$D746,products!$A$1:$A$49,0),MATCH('Conditional Fomating'!K$1,products!$A$1:$D$1,0))</f>
        <v>M</v>
      </c>
      <c r="L746" t="str">
        <f t="shared" si="67"/>
        <v>Medium</v>
      </c>
      <c r="M746">
        <f>INDEX(products!$A$1:$I$49,MATCH('Conditional Fomating'!$D746,products!$A$1:$A$49,0),MATCH('Conditional Fomating'!M$1,products!$A$1:$D$1,0))</f>
        <v>0.2</v>
      </c>
      <c r="N746">
        <f>_xlfn.XLOOKUP(D746,products!$A$2:$A$49,products!$E$2:$E$49)</f>
        <v>2.9849999999999999</v>
      </c>
      <c r="O746">
        <f>_xlfn.XLOOKUP(D746,products!$A$2:$A$49,products!$H$2:$H$49)</f>
        <v>2.8058999999999998</v>
      </c>
      <c r="P746">
        <f t="shared" si="68"/>
        <v>17.91</v>
      </c>
      <c r="Q746">
        <f t="shared" si="69"/>
        <v>16.8354</v>
      </c>
      <c r="R746">
        <f t="shared" si="70"/>
        <v>1.0746000000000002</v>
      </c>
      <c r="S746" s="4">
        <f t="shared" si="71"/>
        <v>6.0000000000000012E-2</v>
      </c>
      <c r="T746" t="str">
        <f>_xlfn.XLOOKUP(C746,customers!$A$1:$A$1001,customers!$I$1:$I$1001,,0)</f>
        <v>Yes</v>
      </c>
    </row>
    <row r="747" spans="1:20"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INDEX(products!$A$1:$I$49,MATCH('Conditional Fomating'!$D747,products!$A$1:$A$49,0),MATCH('Conditional Fomating'!I$1,products!$A$1:$D$1,0))</f>
        <v>Exc</v>
      </c>
      <c r="J747" t="str">
        <f t="shared" si="66"/>
        <v>Excelsa</v>
      </c>
      <c r="K747" t="str">
        <f>INDEX(products!$A$1:$I$49,MATCH('Conditional Fomating'!$D747,products!$A$1:$A$49,0),MATCH('Conditional Fomating'!K$1,products!$A$1:$D$1,0))</f>
        <v>D</v>
      </c>
      <c r="L747" t="str">
        <f t="shared" si="67"/>
        <v>Dark</v>
      </c>
      <c r="M747">
        <f>INDEX(products!$A$1:$I$49,MATCH('Conditional Fomating'!$D747,products!$A$1:$A$49,0),MATCH('Conditional Fomating'!M$1,products!$A$1:$D$1,0))</f>
        <v>0.5</v>
      </c>
      <c r="N747">
        <f>_xlfn.XLOOKUP(D747,products!$A$2:$A$49,products!$E$2:$E$49)</f>
        <v>7.29</v>
      </c>
      <c r="O747">
        <f>_xlfn.XLOOKUP(D747,products!$A$2:$A$49,products!$H$2:$H$49)</f>
        <v>6.4881000000000002</v>
      </c>
      <c r="P747">
        <f t="shared" si="68"/>
        <v>14.58</v>
      </c>
      <c r="Q747">
        <f t="shared" si="69"/>
        <v>12.9762</v>
      </c>
      <c r="R747">
        <f t="shared" si="70"/>
        <v>1.6037999999999997</v>
      </c>
      <c r="S747" s="4">
        <f t="shared" si="71"/>
        <v>0.10999999999999997</v>
      </c>
      <c r="T747" t="str">
        <f>_xlfn.XLOOKUP(C747,customers!$A$1:$A$1001,customers!$I$1:$I$1001,,0)</f>
        <v>No</v>
      </c>
    </row>
    <row r="748" spans="1:20"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INDEX(products!$A$1:$I$49,MATCH('Conditional Fomating'!$D748,products!$A$1:$A$49,0),MATCH('Conditional Fomating'!I$1,products!$A$1:$D$1,0))</f>
        <v>Ara</v>
      </c>
      <c r="J748" t="str">
        <f t="shared" si="66"/>
        <v>Arabica</v>
      </c>
      <c r="K748" t="str">
        <f>INDEX(products!$A$1:$I$49,MATCH('Conditional Fomating'!$D748,products!$A$1:$A$49,0),MATCH('Conditional Fomating'!K$1,products!$A$1:$D$1,0))</f>
        <v>M</v>
      </c>
      <c r="L748" t="str">
        <f t="shared" si="67"/>
        <v>Medium</v>
      </c>
      <c r="M748">
        <f>INDEX(products!$A$1:$I$49,MATCH('Conditional Fomating'!$D748,products!$A$1:$A$49,0),MATCH('Conditional Fomating'!M$1,products!$A$1:$D$1,0))</f>
        <v>1</v>
      </c>
      <c r="N748">
        <f>_xlfn.XLOOKUP(D748,products!$A$2:$A$49,products!$E$2:$E$49)</f>
        <v>11.25</v>
      </c>
      <c r="O748">
        <f>_xlfn.XLOOKUP(D748,products!$A$2:$A$49,products!$H$2:$H$49)</f>
        <v>10.237500000000001</v>
      </c>
      <c r="P748">
        <f t="shared" si="68"/>
        <v>33.75</v>
      </c>
      <c r="Q748">
        <f t="shared" si="69"/>
        <v>30.712500000000002</v>
      </c>
      <c r="R748">
        <f t="shared" si="70"/>
        <v>3.0374999999999979</v>
      </c>
      <c r="S748" s="4">
        <f t="shared" si="71"/>
        <v>8.9999999999999941E-2</v>
      </c>
      <c r="T748" t="str">
        <f>_xlfn.XLOOKUP(C748,customers!$A$1:$A$1001,customers!$I$1:$I$1001,,0)</f>
        <v>No</v>
      </c>
    </row>
    <row r="749" spans="1:20"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INDEX(products!$A$1:$I$49,MATCH('Conditional Fomating'!$D749,products!$A$1:$A$49,0),MATCH('Conditional Fomating'!I$1,products!$A$1:$D$1,0))</f>
        <v>Lib</v>
      </c>
      <c r="J749" t="str">
        <f t="shared" si="66"/>
        <v>Liberica</v>
      </c>
      <c r="K749" t="str">
        <f>INDEX(products!$A$1:$I$49,MATCH('Conditional Fomating'!$D749,products!$A$1:$A$49,0),MATCH('Conditional Fomating'!K$1,products!$A$1:$D$1,0))</f>
        <v>M</v>
      </c>
      <c r="L749" t="str">
        <f t="shared" si="67"/>
        <v>Medium</v>
      </c>
      <c r="M749">
        <f>INDEX(products!$A$1:$I$49,MATCH('Conditional Fomating'!$D749,products!$A$1:$A$49,0),MATCH('Conditional Fomating'!M$1,products!$A$1:$D$1,0))</f>
        <v>0.5</v>
      </c>
      <c r="N749">
        <f>_xlfn.XLOOKUP(D749,products!$A$2:$A$49,products!$E$2:$E$49)</f>
        <v>8.73</v>
      </c>
      <c r="O749">
        <f>_xlfn.XLOOKUP(D749,products!$A$2:$A$49,products!$H$2:$H$49)</f>
        <v>7.5951000000000004</v>
      </c>
      <c r="P749">
        <f t="shared" si="68"/>
        <v>34.92</v>
      </c>
      <c r="Q749">
        <f t="shared" si="69"/>
        <v>30.380400000000002</v>
      </c>
      <c r="R749">
        <f t="shared" si="70"/>
        <v>4.5396000000000001</v>
      </c>
      <c r="S749" s="4">
        <f t="shared" si="71"/>
        <v>0.13</v>
      </c>
      <c r="T749" t="str">
        <f>_xlfn.XLOOKUP(C749,customers!$A$1:$A$1001,customers!$I$1:$I$1001,,0)</f>
        <v>Yes</v>
      </c>
    </row>
    <row r="750" spans="1:20"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INDEX(products!$A$1:$I$49,MATCH('Conditional Fomating'!$D750,products!$A$1:$A$49,0),MATCH('Conditional Fomating'!I$1,products!$A$1:$D$1,0))</f>
        <v>Exc</v>
      </c>
      <c r="J750" t="str">
        <f t="shared" si="66"/>
        <v>Excelsa</v>
      </c>
      <c r="K750" t="str">
        <f>INDEX(products!$A$1:$I$49,MATCH('Conditional Fomating'!$D750,products!$A$1:$A$49,0),MATCH('Conditional Fomating'!K$1,products!$A$1:$D$1,0))</f>
        <v>D</v>
      </c>
      <c r="L750" t="str">
        <f t="shared" si="67"/>
        <v>Dark</v>
      </c>
      <c r="M750">
        <f>INDEX(products!$A$1:$I$49,MATCH('Conditional Fomating'!$D750,products!$A$1:$A$49,0),MATCH('Conditional Fomating'!M$1,products!$A$1:$D$1,0))</f>
        <v>0.5</v>
      </c>
      <c r="N750">
        <f>_xlfn.XLOOKUP(D750,products!$A$2:$A$49,products!$E$2:$E$49)</f>
        <v>7.29</v>
      </c>
      <c r="O750">
        <f>_xlfn.XLOOKUP(D750,products!$A$2:$A$49,products!$H$2:$H$49)</f>
        <v>6.4881000000000002</v>
      </c>
      <c r="P750">
        <f t="shared" si="68"/>
        <v>14.58</v>
      </c>
      <c r="Q750">
        <f t="shared" si="69"/>
        <v>12.9762</v>
      </c>
      <c r="R750">
        <f t="shared" si="70"/>
        <v>1.6037999999999997</v>
      </c>
      <c r="S750" s="4">
        <f t="shared" si="71"/>
        <v>0.10999999999999997</v>
      </c>
      <c r="T750" t="str">
        <f>_xlfn.XLOOKUP(C750,customers!$A$1:$A$1001,customers!$I$1:$I$1001,,0)</f>
        <v>No</v>
      </c>
    </row>
    <row r="751" spans="1:20"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INDEX(products!$A$1:$I$49,MATCH('Conditional Fomating'!$D751,products!$A$1:$A$49,0),MATCH('Conditional Fomating'!I$1,products!$A$1:$D$1,0))</f>
        <v>Rob</v>
      </c>
      <c r="J751" t="str">
        <f t="shared" si="66"/>
        <v>Robusta</v>
      </c>
      <c r="K751" t="str">
        <f>INDEX(products!$A$1:$I$49,MATCH('Conditional Fomating'!$D751,products!$A$1:$A$49,0),MATCH('Conditional Fomating'!K$1,products!$A$1:$D$1,0))</f>
        <v>D</v>
      </c>
      <c r="L751" t="str">
        <f t="shared" si="67"/>
        <v>Dark</v>
      </c>
      <c r="M751">
        <f>INDEX(products!$A$1:$I$49,MATCH('Conditional Fomating'!$D751,products!$A$1:$A$49,0),MATCH('Conditional Fomating'!M$1,products!$A$1:$D$1,0))</f>
        <v>0.2</v>
      </c>
      <c r="N751">
        <f>_xlfn.XLOOKUP(D751,products!$A$2:$A$49,products!$E$2:$E$49)</f>
        <v>2.6849999999999996</v>
      </c>
      <c r="O751">
        <f>_xlfn.XLOOKUP(D751,products!$A$2:$A$49,products!$H$2:$H$49)</f>
        <v>2.5238999999999998</v>
      </c>
      <c r="P751">
        <f t="shared" si="68"/>
        <v>5.3699999999999992</v>
      </c>
      <c r="Q751">
        <f t="shared" si="69"/>
        <v>5.0477999999999996</v>
      </c>
      <c r="R751">
        <f t="shared" si="70"/>
        <v>0.3221999999999996</v>
      </c>
      <c r="S751" s="4">
        <f t="shared" si="71"/>
        <v>5.9999999999999935E-2</v>
      </c>
      <c r="T751" t="str">
        <f>_xlfn.XLOOKUP(C751,customers!$A$1:$A$1001,customers!$I$1:$I$1001,,0)</f>
        <v>Yes</v>
      </c>
    </row>
    <row r="752" spans="1:20"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v>
      </c>
      <c r="H752" s="2" t="str">
        <f>_xlfn.XLOOKUP(C752,customers!$A$1:$A$1001,customers!$G$1:$G$1001,,0)</f>
        <v>United States</v>
      </c>
      <c r="I752" t="str">
        <f>INDEX(products!$A$1:$I$49,MATCH('Conditional Fomating'!$D752,products!$A$1:$A$49,0),MATCH('Conditional Fomating'!I$1,products!$A$1:$D$1,0))</f>
        <v>Rob</v>
      </c>
      <c r="J752" t="str">
        <f t="shared" si="66"/>
        <v>Robusta</v>
      </c>
      <c r="K752" t="str">
        <f>INDEX(products!$A$1:$I$49,MATCH('Conditional Fomating'!$D752,products!$A$1:$A$49,0),MATCH('Conditional Fomating'!K$1,products!$A$1:$D$1,0))</f>
        <v>M</v>
      </c>
      <c r="L752" t="str">
        <f t="shared" si="67"/>
        <v>Medium</v>
      </c>
      <c r="M752">
        <f>INDEX(products!$A$1:$I$49,MATCH('Conditional Fomating'!$D752,products!$A$1:$A$49,0),MATCH('Conditional Fomating'!M$1,products!$A$1:$D$1,0))</f>
        <v>0.5</v>
      </c>
      <c r="N752">
        <f>_xlfn.XLOOKUP(D752,products!$A$2:$A$49,products!$E$2:$E$49)</f>
        <v>5.97</v>
      </c>
      <c r="O752">
        <f>_xlfn.XLOOKUP(D752,products!$A$2:$A$49,products!$H$2:$H$49)</f>
        <v>5.6117999999999997</v>
      </c>
      <c r="P752">
        <f t="shared" si="68"/>
        <v>5.97</v>
      </c>
      <c r="Q752">
        <f t="shared" si="69"/>
        <v>5.6117999999999997</v>
      </c>
      <c r="R752">
        <f t="shared" si="70"/>
        <v>0.35820000000000007</v>
      </c>
      <c r="S752" s="4">
        <f t="shared" si="71"/>
        <v>6.0000000000000012E-2</v>
      </c>
      <c r="T752" t="str">
        <f>_xlfn.XLOOKUP(C752,customers!$A$1:$A$1001,customers!$I$1:$I$1001,,0)</f>
        <v>Yes</v>
      </c>
    </row>
    <row r="753" spans="1:20"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INDEX(products!$A$1:$I$49,MATCH('Conditional Fomating'!$D753,products!$A$1:$A$49,0),MATCH('Conditional Fomating'!I$1,products!$A$1:$D$1,0))</f>
        <v>Lib</v>
      </c>
      <c r="J753" t="str">
        <f t="shared" si="66"/>
        <v>Liberica</v>
      </c>
      <c r="K753" t="str">
        <f>INDEX(products!$A$1:$I$49,MATCH('Conditional Fomating'!$D753,products!$A$1:$A$49,0),MATCH('Conditional Fomating'!K$1,products!$A$1:$D$1,0))</f>
        <v>L</v>
      </c>
      <c r="L753" t="str">
        <f t="shared" si="67"/>
        <v>Light</v>
      </c>
      <c r="M753">
        <f>INDEX(products!$A$1:$I$49,MATCH('Conditional Fomating'!$D753,products!$A$1:$A$49,0),MATCH('Conditional Fomating'!M$1,products!$A$1:$D$1,0))</f>
        <v>0.5</v>
      </c>
      <c r="N753">
        <f>_xlfn.XLOOKUP(D753,products!$A$2:$A$49,products!$E$2:$E$49)</f>
        <v>9.51</v>
      </c>
      <c r="O753">
        <f>_xlfn.XLOOKUP(D753,products!$A$2:$A$49,products!$H$2:$H$49)</f>
        <v>8.2736999999999998</v>
      </c>
      <c r="P753">
        <f t="shared" si="68"/>
        <v>19.02</v>
      </c>
      <c r="Q753">
        <f t="shared" si="69"/>
        <v>16.5474</v>
      </c>
      <c r="R753">
        <f t="shared" si="70"/>
        <v>2.4725999999999999</v>
      </c>
      <c r="S753" s="4">
        <f t="shared" si="71"/>
        <v>0.13</v>
      </c>
      <c r="T753" t="str">
        <f>_xlfn.XLOOKUP(C753,customers!$A$1:$A$1001,customers!$I$1:$I$1001,,0)</f>
        <v>No</v>
      </c>
    </row>
    <row r="754" spans="1:20"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INDEX(products!$A$1:$I$49,MATCH('Conditional Fomating'!$D754,products!$A$1:$A$49,0),MATCH('Conditional Fomating'!I$1,products!$A$1:$D$1,0))</f>
        <v>Exc</v>
      </c>
      <c r="J754" t="str">
        <f t="shared" si="66"/>
        <v>Excelsa</v>
      </c>
      <c r="K754" t="str">
        <f>INDEX(products!$A$1:$I$49,MATCH('Conditional Fomating'!$D754,products!$A$1:$A$49,0),MATCH('Conditional Fomating'!K$1,products!$A$1:$D$1,0))</f>
        <v>M</v>
      </c>
      <c r="L754" t="str">
        <f t="shared" si="67"/>
        <v>Medium</v>
      </c>
      <c r="M754">
        <f>INDEX(products!$A$1:$I$49,MATCH('Conditional Fomating'!$D754,products!$A$1:$A$49,0),MATCH('Conditional Fomating'!M$1,products!$A$1:$D$1,0))</f>
        <v>1</v>
      </c>
      <c r="N754">
        <f>_xlfn.XLOOKUP(D754,products!$A$2:$A$49,products!$E$2:$E$49)</f>
        <v>13.75</v>
      </c>
      <c r="O754">
        <f>_xlfn.XLOOKUP(D754,products!$A$2:$A$49,products!$H$2:$H$49)</f>
        <v>12.237500000000001</v>
      </c>
      <c r="P754">
        <f t="shared" si="68"/>
        <v>27.5</v>
      </c>
      <c r="Q754">
        <f t="shared" si="69"/>
        <v>24.475000000000001</v>
      </c>
      <c r="R754">
        <f t="shared" si="70"/>
        <v>3.0249999999999986</v>
      </c>
      <c r="S754" s="4">
        <f t="shared" si="71"/>
        <v>0.10999999999999995</v>
      </c>
      <c r="T754" t="str">
        <f>_xlfn.XLOOKUP(C754,customers!$A$1:$A$1001,customers!$I$1:$I$1001,,0)</f>
        <v>Yes</v>
      </c>
    </row>
    <row r="755" spans="1:20"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INDEX(products!$A$1:$I$49,MATCH('Conditional Fomating'!$D755,products!$A$1:$A$49,0),MATCH('Conditional Fomating'!I$1,products!$A$1:$D$1,0))</f>
        <v>Ara</v>
      </c>
      <c r="J755" t="str">
        <f t="shared" si="66"/>
        <v>Arabica</v>
      </c>
      <c r="K755" t="str">
        <f>INDEX(products!$A$1:$I$49,MATCH('Conditional Fomating'!$D755,products!$A$1:$A$49,0),MATCH('Conditional Fomating'!K$1,products!$A$1:$D$1,0))</f>
        <v>D</v>
      </c>
      <c r="L755" t="str">
        <f t="shared" si="67"/>
        <v>Dark</v>
      </c>
      <c r="M755">
        <f>INDEX(products!$A$1:$I$49,MATCH('Conditional Fomating'!$D755,products!$A$1:$A$49,0),MATCH('Conditional Fomating'!M$1,products!$A$1:$D$1,0))</f>
        <v>0.5</v>
      </c>
      <c r="N755">
        <f>_xlfn.XLOOKUP(D755,products!$A$2:$A$49,products!$E$2:$E$49)</f>
        <v>5.97</v>
      </c>
      <c r="O755">
        <f>_xlfn.XLOOKUP(D755,products!$A$2:$A$49,products!$H$2:$H$49)</f>
        <v>5.4326999999999996</v>
      </c>
      <c r="P755">
        <f t="shared" si="68"/>
        <v>29.849999999999998</v>
      </c>
      <c r="Q755">
        <f t="shared" si="69"/>
        <v>27.163499999999999</v>
      </c>
      <c r="R755">
        <f t="shared" si="70"/>
        <v>2.6864999999999988</v>
      </c>
      <c r="S755" s="4">
        <f t="shared" si="71"/>
        <v>8.9999999999999969E-2</v>
      </c>
      <c r="T755" t="str">
        <f>_xlfn.XLOOKUP(C755,customers!$A$1:$A$1001,customers!$I$1:$I$1001,,0)</f>
        <v>No</v>
      </c>
    </row>
    <row r="756" spans="1:20"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INDEX(products!$A$1:$I$49,MATCH('Conditional Fomating'!$D756,products!$A$1:$A$49,0),MATCH('Conditional Fomating'!I$1,products!$A$1:$D$1,0))</f>
        <v>Ara</v>
      </c>
      <c r="J756" t="str">
        <f t="shared" si="66"/>
        <v>Arabica</v>
      </c>
      <c r="K756" t="str">
        <f>INDEX(products!$A$1:$I$49,MATCH('Conditional Fomating'!$D756,products!$A$1:$A$49,0),MATCH('Conditional Fomating'!K$1,products!$A$1:$D$1,0))</f>
        <v>D</v>
      </c>
      <c r="L756" t="str">
        <f t="shared" si="67"/>
        <v>Dark</v>
      </c>
      <c r="M756">
        <f>INDEX(products!$A$1:$I$49,MATCH('Conditional Fomating'!$D756,products!$A$1:$A$49,0),MATCH('Conditional Fomating'!M$1,products!$A$1:$D$1,0))</f>
        <v>0.2</v>
      </c>
      <c r="N756">
        <f>_xlfn.XLOOKUP(D756,products!$A$2:$A$49,products!$E$2:$E$49)</f>
        <v>2.9849999999999999</v>
      </c>
      <c r="O756">
        <f>_xlfn.XLOOKUP(D756,products!$A$2:$A$49,products!$H$2:$H$49)</f>
        <v>2.7163499999999998</v>
      </c>
      <c r="P756">
        <f t="shared" si="68"/>
        <v>17.91</v>
      </c>
      <c r="Q756">
        <f t="shared" si="69"/>
        <v>16.298099999999998</v>
      </c>
      <c r="R756">
        <f t="shared" si="70"/>
        <v>1.6119000000000021</v>
      </c>
      <c r="S756" s="4">
        <f t="shared" si="71"/>
        <v>9.0000000000000122E-2</v>
      </c>
      <c r="T756" t="str">
        <f>_xlfn.XLOOKUP(C756,customers!$A$1:$A$1001,customers!$I$1:$I$1001,,0)</f>
        <v>No</v>
      </c>
    </row>
    <row r="757" spans="1:20"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INDEX(products!$A$1:$I$49,MATCH('Conditional Fomating'!$D757,products!$A$1:$A$49,0),MATCH('Conditional Fomating'!I$1,products!$A$1:$D$1,0))</f>
        <v>Lib</v>
      </c>
      <c r="J757" t="str">
        <f t="shared" si="66"/>
        <v>Liberica</v>
      </c>
      <c r="K757" t="str">
        <f>INDEX(products!$A$1:$I$49,MATCH('Conditional Fomating'!$D757,products!$A$1:$A$49,0),MATCH('Conditional Fomating'!K$1,products!$A$1:$D$1,0))</f>
        <v>L</v>
      </c>
      <c r="L757" t="str">
        <f t="shared" si="67"/>
        <v>Light</v>
      </c>
      <c r="M757">
        <f>INDEX(products!$A$1:$I$49,MATCH('Conditional Fomating'!$D757,products!$A$1:$A$49,0),MATCH('Conditional Fomating'!M$1,products!$A$1:$D$1,0))</f>
        <v>0.2</v>
      </c>
      <c r="N757">
        <f>_xlfn.XLOOKUP(D757,products!$A$2:$A$49,products!$E$2:$E$49)</f>
        <v>4.7549999999999999</v>
      </c>
      <c r="O757">
        <f>_xlfn.XLOOKUP(D757,products!$A$2:$A$49,products!$H$2:$H$49)</f>
        <v>4.1368499999999999</v>
      </c>
      <c r="P757">
        <f t="shared" si="68"/>
        <v>28.53</v>
      </c>
      <c r="Q757">
        <f t="shared" si="69"/>
        <v>24.821100000000001</v>
      </c>
      <c r="R757">
        <f t="shared" si="70"/>
        <v>3.7088999999999999</v>
      </c>
      <c r="S757" s="4">
        <f t="shared" si="71"/>
        <v>0.12999999999999998</v>
      </c>
      <c r="T757" t="str">
        <f>_xlfn.XLOOKUP(C757,customers!$A$1:$A$1001,customers!$I$1:$I$1001,,0)</f>
        <v>No</v>
      </c>
    </row>
    <row r="758" spans="1:20"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INDEX(products!$A$1:$I$49,MATCH('Conditional Fomating'!$D758,products!$A$1:$A$49,0),MATCH('Conditional Fomating'!I$1,products!$A$1:$D$1,0))</f>
        <v>Rob</v>
      </c>
      <c r="J758" t="str">
        <f t="shared" si="66"/>
        <v>Robusta</v>
      </c>
      <c r="K758" t="str">
        <f>INDEX(products!$A$1:$I$49,MATCH('Conditional Fomating'!$D758,products!$A$1:$A$49,0),MATCH('Conditional Fomating'!K$1,products!$A$1:$D$1,0))</f>
        <v>D</v>
      </c>
      <c r="L758" t="str">
        <f t="shared" si="67"/>
        <v>Dark</v>
      </c>
      <c r="M758">
        <f>INDEX(products!$A$1:$I$49,MATCH('Conditional Fomating'!$D758,products!$A$1:$A$49,0),MATCH('Conditional Fomating'!M$1,products!$A$1:$D$1,0))</f>
        <v>1</v>
      </c>
      <c r="N758">
        <f>_xlfn.XLOOKUP(D758,products!$A$2:$A$49,products!$E$2:$E$49)</f>
        <v>8.9499999999999993</v>
      </c>
      <c r="O758">
        <f>_xlfn.XLOOKUP(D758,products!$A$2:$A$49,products!$H$2:$H$49)</f>
        <v>8.4130000000000003</v>
      </c>
      <c r="P758">
        <f t="shared" si="68"/>
        <v>35.799999999999997</v>
      </c>
      <c r="Q758">
        <f t="shared" si="69"/>
        <v>33.652000000000001</v>
      </c>
      <c r="R758">
        <f t="shared" si="70"/>
        <v>2.1479999999999961</v>
      </c>
      <c r="S758" s="4">
        <f t="shared" si="71"/>
        <v>5.9999999999999894E-2</v>
      </c>
      <c r="T758" t="str">
        <f>_xlfn.XLOOKUP(C758,customers!$A$1:$A$1001,customers!$I$1:$I$1001,,0)</f>
        <v>Yes</v>
      </c>
    </row>
    <row r="759" spans="1:20"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INDEX(products!$A$1:$I$49,MATCH('Conditional Fomating'!$D759,products!$A$1:$A$49,0),MATCH('Conditional Fomating'!I$1,products!$A$1:$D$1,0))</f>
        <v>Ara</v>
      </c>
      <c r="J759" t="str">
        <f t="shared" si="66"/>
        <v>Arabica</v>
      </c>
      <c r="K759" t="str">
        <f>INDEX(products!$A$1:$I$49,MATCH('Conditional Fomating'!$D759,products!$A$1:$A$49,0),MATCH('Conditional Fomating'!K$1,products!$A$1:$D$1,0))</f>
        <v>D</v>
      </c>
      <c r="L759" t="str">
        <f t="shared" si="67"/>
        <v>Dark</v>
      </c>
      <c r="M759">
        <f>INDEX(products!$A$1:$I$49,MATCH('Conditional Fomating'!$D759,products!$A$1:$A$49,0),MATCH('Conditional Fomating'!M$1,products!$A$1:$D$1,0))</f>
        <v>0.5</v>
      </c>
      <c r="N759">
        <f>_xlfn.XLOOKUP(D759,products!$A$2:$A$49,products!$E$2:$E$49)</f>
        <v>5.97</v>
      </c>
      <c r="O759">
        <f>_xlfn.XLOOKUP(D759,products!$A$2:$A$49,products!$H$2:$H$49)</f>
        <v>5.4326999999999996</v>
      </c>
      <c r="P759">
        <f t="shared" si="68"/>
        <v>17.91</v>
      </c>
      <c r="Q759">
        <f t="shared" si="69"/>
        <v>16.298099999999998</v>
      </c>
      <c r="R759">
        <f t="shared" si="70"/>
        <v>1.6119000000000021</v>
      </c>
      <c r="S759" s="4">
        <f t="shared" si="71"/>
        <v>9.0000000000000122E-2</v>
      </c>
      <c r="T759" t="str">
        <f>_xlfn.XLOOKUP(C759,customers!$A$1:$A$1001,customers!$I$1:$I$1001,,0)</f>
        <v>Yes</v>
      </c>
    </row>
    <row r="760" spans="1:20"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INDEX(products!$A$1:$I$49,MATCH('Conditional Fomating'!$D760,products!$A$1:$A$49,0),MATCH('Conditional Fomating'!I$1,products!$A$1:$D$1,0))</f>
        <v>Rob</v>
      </c>
      <c r="J760" t="str">
        <f t="shared" si="66"/>
        <v>Robusta</v>
      </c>
      <c r="K760" t="str">
        <f>INDEX(products!$A$1:$I$49,MATCH('Conditional Fomating'!$D760,products!$A$1:$A$49,0),MATCH('Conditional Fomating'!K$1,products!$A$1:$D$1,0))</f>
        <v>D</v>
      </c>
      <c r="L760" t="str">
        <f t="shared" si="67"/>
        <v>Dark</v>
      </c>
      <c r="M760">
        <f>INDEX(products!$A$1:$I$49,MATCH('Conditional Fomating'!$D760,products!$A$1:$A$49,0),MATCH('Conditional Fomating'!M$1,products!$A$1:$D$1,0))</f>
        <v>1</v>
      </c>
      <c r="N760">
        <f>_xlfn.XLOOKUP(D760,products!$A$2:$A$49,products!$E$2:$E$49)</f>
        <v>8.9499999999999993</v>
      </c>
      <c r="O760">
        <f>_xlfn.XLOOKUP(D760,products!$A$2:$A$49,products!$H$2:$H$49)</f>
        <v>8.4130000000000003</v>
      </c>
      <c r="P760">
        <f t="shared" si="68"/>
        <v>8.9499999999999993</v>
      </c>
      <c r="Q760">
        <f t="shared" si="69"/>
        <v>8.4130000000000003</v>
      </c>
      <c r="R760">
        <f t="shared" si="70"/>
        <v>0.53699999999999903</v>
      </c>
      <c r="S760" s="4">
        <f t="shared" si="71"/>
        <v>5.9999999999999894E-2</v>
      </c>
      <c r="T760" t="str">
        <f>_xlfn.XLOOKUP(C760,customers!$A$1:$A$1001,customers!$I$1:$I$1001,,0)</f>
        <v>No</v>
      </c>
    </row>
    <row r="761" spans="1:20"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INDEX(products!$A$1:$I$49,MATCH('Conditional Fomating'!$D761,products!$A$1:$A$49,0),MATCH('Conditional Fomating'!I$1,products!$A$1:$D$1,0))</f>
        <v>Lib</v>
      </c>
      <c r="J761" t="str">
        <f t="shared" si="66"/>
        <v>Liberica</v>
      </c>
      <c r="K761" t="str">
        <f>INDEX(products!$A$1:$I$49,MATCH('Conditional Fomating'!$D761,products!$A$1:$A$49,0),MATCH('Conditional Fomating'!K$1,products!$A$1:$D$1,0))</f>
        <v>D</v>
      </c>
      <c r="L761" t="str">
        <f t="shared" si="67"/>
        <v>Dark</v>
      </c>
      <c r="M761">
        <f>INDEX(products!$A$1:$I$49,MATCH('Conditional Fomating'!$D761,products!$A$1:$A$49,0),MATCH('Conditional Fomating'!M$1,products!$A$1:$D$1,0))</f>
        <v>2.5</v>
      </c>
      <c r="N761">
        <f>_xlfn.XLOOKUP(D761,products!$A$2:$A$49,products!$E$2:$E$49)</f>
        <v>29.784999999999997</v>
      </c>
      <c r="O761">
        <f>_xlfn.XLOOKUP(D761,products!$A$2:$A$49,products!$H$2:$H$49)</f>
        <v>25.912949999999995</v>
      </c>
      <c r="P761">
        <f t="shared" si="68"/>
        <v>29.784999999999997</v>
      </c>
      <c r="Q761">
        <f t="shared" si="69"/>
        <v>25.912949999999995</v>
      </c>
      <c r="R761">
        <f t="shared" si="70"/>
        <v>3.8720500000000015</v>
      </c>
      <c r="S761" s="4">
        <f t="shared" si="71"/>
        <v>0.13000000000000006</v>
      </c>
      <c r="T761" t="str">
        <f>_xlfn.XLOOKUP(C761,customers!$A$1:$A$1001,customers!$I$1:$I$1001,,0)</f>
        <v>Yes</v>
      </c>
    </row>
    <row r="762" spans="1:20"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INDEX(products!$A$1:$I$49,MATCH('Conditional Fomating'!$D762,products!$A$1:$A$49,0),MATCH('Conditional Fomating'!I$1,products!$A$1:$D$1,0))</f>
        <v>Exc</v>
      </c>
      <c r="J762" t="str">
        <f t="shared" si="66"/>
        <v>Excelsa</v>
      </c>
      <c r="K762" t="str">
        <f>INDEX(products!$A$1:$I$49,MATCH('Conditional Fomating'!$D762,products!$A$1:$A$49,0),MATCH('Conditional Fomating'!K$1,products!$A$1:$D$1,0))</f>
        <v>L</v>
      </c>
      <c r="L762" t="str">
        <f t="shared" si="67"/>
        <v>Light</v>
      </c>
      <c r="M762">
        <f>INDEX(products!$A$1:$I$49,MATCH('Conditional Fomating'!$D762,products!$A$1:$A$49,0),MATCH('Conditional Fomating'!M$1,products!$A$1:$D$1,0))</f>
        <v>0.5</v>
      </c>
      <c r="N762">
        <f>_xlfn.XLOOKUP(D762,products!$A$2:$A$49,products!$E$2:$E$49)</f>
        <v>8.91</v>
      </c>
      <c r="O762">
        <f>_xlfn.XLOOKUP(D762,products!$A$2:$A$49,products!$H$2:$H$49)</f>
        <v>7.9298999999999999</v>
      </c>
      <c r="P762">
        <f t="shared" si="68"/>
        <v>44.55</v>
      </c>
      <c r="Q762">
        <f t="shared" si="69"/>
        <v>39.649500000000003</v>
      </c>
      <c r="R762">
        <f t="shared" si="70"/>
        <v>4.9004999999999939</v>
      </c>
      <c r="S762" s="4">
        <f t="shared" si="71"/>
        <v>0.10999999999999988</v>
      </c>
      <c r="T762" t="str">
        <f>_xlfn.XLOOKUP(C762,customers!$A$1:$A$1001,customers!$I$1:$I$1001,,0)</f>
        <v>No</v>
      </c>
    </row>
    <row r="763" spans="1:20"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INDEX(products!$A$1:$I$49,MATCH('Conditional Fomating'!$D763,products!$A$1:$A$49,0),MATCH('Conditional Fomating'!I$1,products!$A$1:$D$1,0))</f>
        <v>Exc</v>
      </c>
      <c r="J763" t="str">
        <f t="shared" si="66"/>
        <v>Excelsa</v>
      </c>
      <c r="K763" t="str">
        <f>INDEX(products!$A$1:$I$49,MATCH('Conditional Fomating'!$D763,products!$A$1:$A$49,0),MATCH('Conditional Fomating'!K$1,products!$A$1:$D$1,0))</f>
        <v>L</v>
      </c>
      <c r="L763" t="str">
        <f t="shared" si="67"/>
        <v>Light</v>
      </c>
      <c r="M763">
        <f>INDEX(products!$A$1:$I$49,MATCH('Conditional Fomating'!$D763,products!$A$1:$A$49,0),MATCH('Conditional Fomating'!M$1,products!$A$1:$D$1,0))</f>
        <v>1</v>
      </c>
      <c r="N763">
        <f>_xlfn.XLOOKUP(D763,products!$A$2:$A$49,products!$E$2:$E$49)</f>
        <v>14.85</v>
      </c>
      <c r="O763">
        <f>_xlfn.XLOOKUP(D763,products!$A$2:$A$49,products!$H$2:$H$49)</f>
        <v>13.2165</v>
      </c>
      <c r="P763">
        <f t="shared" si="68"/>
        <v>89.1</v>
      </c>
      <c r="Q763">
        <f t="shared" si="69"/>
        <v>79.299000000000007</v>
      </c>
      <c r="R763">
        <f t="shared" si="70"/>
        <v>9.8009999999999877</v>
      </c>
      <c r="S763" s="4">
        <f t="shared" si="71"/>
        <v>0.10999999999999988</v>
      </c>
      <c r="T763" t="str">
        <f>_xlfn.XLOOKUP(C763,customers!$A$1:$A$1001,customers!$I$1:$I$1001,,0)</f>
        <v>Yes</v>
      </c>
    </row>
    <row r="764" spans="1:20"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INDEX(products!$A$1:$I$49,MATCH('Conditional Fomating'!$D764,products!$A$1:$A$49,0),MATCH('Conditional Fomating'!I$1,products!$A$1:$D$1,0))</f>
        <v>Lib</v>
      </c>
      <c r="J764" t="str">
        <f t="shared" si="66"/>
        <v>Liberica</v>
      </c>
      <c r="K764" t="str">
        <f>INDEX(products!$A$1:$I$49,MATCH('Conditional Fomating'!$D764,products!$A$1:$A$49,0),MATCH('Conditional Fomating'!K$1,products!$A$1:$D$1,0))</f>
        <v>M</v>
      </c>
      <c r="L764" t="str">
        <f t="shared" si="67"/>
        <v>Medium</v>
      </c>
      <c r="M764">
        <f>INDEX(products!$A$1:$I$49,MATCH('Conditional Fomating'!$D764,products!$A$1:$A$49,0),MATCH('Conditional Fomating'!M$1,products!$A$1:$D$1,0))</f>
        <v>0.5</v>
      </c>
      <c r="N764">
        <f>_xlfn.XLOOKUP(D764,products!$A$2:$A$49,products!$E$2:$E$49)</f>
        <v>8.73</v>
      </c>
      <c r="O764">
        <f>_xlfn.XLOOKUP(D764,products!$A$2:$A$49,products!$H$2:$H$49)</f>
        <v>7.5951000000000004</v>
      </c>
      <c r="P764">
        <f t="shared" si="68"/>
        <v>43.650000000000006</v>
      </c>
      <c r="Q764">
        <f t="shared" si="69"/>
        <v>37.975500000000004</v>
      </c>
      <c r="R764">
        <f t="shared" si="70"/>
        <v>5.6745000000000019</v>
      </c>
      <c r="S764" s="4">
        <f t="shared" si="71"/>
        <v>0.13000000000000003</v>
      </c>
      <c r="T764" t="str">
        <f>_xlfn.XLOOKUP(C764,customers!$A$1:$A$1001,customers!$I$1:$I$1001,,0)</f>
        <v>No</v>
      </c>
    </row>
    <row r="765" spans="1:20"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v>
      </c>
      <c r="H765" s="2" t="str">
        <f>_xlfn.XLOOKUP(C765,customers!$A$1:$A$1001,customers!$G$1:$G$1001,,0)</f>
        <v>United States</v>
      </c>
      <c r="I765" t="str">
        <f>INDEX(products!$A$1:$I$49,MATCH('Conditional Fomating'!$D765,products!$A$1:$A$49,0),MATCH('Conditional Fomating'!I$1,products!$A$1:$D$1,0))</f>
        <v>Ara</v>
      </c>
      <c r="J765" t="str">
        <f t="shared" si="66"/>
        <v>Arabica</v>
      </c>
      <c r="K765" t="str">
        <f>INDEX(products!$A$1:$I$49,MATCH('Conditional Fomating'!$D765,products!$A$1:$A$49,0),MATCH('Conditional Fomating'!K$1,products!$A$1:$D$1,0))</f>
        <v>L</v>
      </c>
      <c r="L765" t="str">
        <f t="shared" si="67"/>
        <v>Light</v>
      </c>
      <c r="M765">
        <f>INDEX(products!$A$1:$I$49,MATCH('Conditional Fomating'!$D765,products!$A$1:$A$49,0),MATCH('Conditional Fomating'!M$1,products!$A$1:$D$1,0))</f>
        <v>0.5</v>
      </c>
      <c r="N765">
        <f>_xlfn.XLOOKUP(D765,products!$A$2:$A$49,products!$E$2:$E$49)</f>
        <v>7.77</v>
      </c>
      <c r="O765">
        <f>_xlfn.XLOOKUP(D765,products!$A$2:$A$49,products!$H$2:$H$49)</f>
        <v>7.0706999999999995</v>
      </c>
      <c r="P765">
        <f t="shared" si="68"/>
        <v>23.31</v>
      </c>
      <c r="Q765">
        <f t="shared" si="69"/>
        <v>21.2121</v>
      </c>
      <c r="R765">
        <f t="shared" si="70"/>
        <v>2.0978999999999992</v>
      </c>
      <c r="S765" s="4">
        <f t="shared" si="71"/>
        <v>8.9999999999999969E-2</v>
      </c>
      <c r="T765" t="str">
        <f>_xlfn.XLOOKUP(C765,customers!$A$1:$A$1001,customers!$I$1:$I$1001,,0)</f>
        <v>No</v>
      </c>
    </row>
    <row r="766" spans="1:20"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INDEX(products!$A$1:$I$49,MATCH('Conditional Fomating'!$D766,products!$A$1:$A$49,0),MATCH('Conditional Fomating'!I$1,products!$A$1:$D$1,0))</f>
        <v>Ara</v>
      </c>
      <c r="J766" t="str">
        <f t="shared" si="66"/>
        <v>Arabica</v>
      </c>
      <c r="K766" t="str">
        <f>INDEX(products!$A$1:$I$49,MATCH('Conditional Fomating'!$D766,products!$A$1:$A$49,0),MATCH('Conditional Fomating'!K$1,products!$A$1:$D$1,0))</f>
        <v>L</v>
      </c>
      <c r="L766" t="str">
        <f t="shared" si="67"/>
        <v>Light</v>
      </c>
      <c r="M766">
        <f>INDEX(products!$A$1:$I$49,MATCH('Conditional Fomating'!$D766,products!$A$1:$A$49,0),MATCH('Conditional Fomating'!M$1,products!$A$1:$D$1,0))</f>
        <v>2.5</v>
      </c>
      <c r="N766">
        <f>_xlfn.XLOOKUP(D766,products!$A$2:$A$49,products!$E$2:$E$49)</f>
        <v>29.784999999999997</v>
      </c>
      <c r="O766">
        <f>_xlfn.XLOOKUP(D766,products!$A$2:$A$49,products!$H$2:$H$49)</f>
        <v>27.104349999999997</v>
      </c>
      <c r="P766">
        <f t="shared" si="68"/>
        <v>178.70999999999998</v>
      </c>
      <c r="Q766">
        <f t="shared" si="69"/>
        <v>162.62609999999998</v>
      </c>
      <c r="R766">
        <f t="shared" si="70"/>
        <v>16.0839</v>
      </c>
      <c r="S766" s="4">
        <f t="shared" si="71"/>
        <v>9.0000000000000011E-2</v>
      </c>
      <c r="T766" t="str">
        <f>_xlfn.XLOOKUP(C766,customers!$A$1:$A$1001,customers!$I$1:$I$1001,,0)</f>
        <v>Yes</v>
      </c>
    </row>
    <row r="767" spans="1:20"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INDEX(products!$A$1:$I$49,MATCH('Conditional Fomating'!$D767,products!$A$1:$A$49,0),MATCH('Conditional Fomating'!I$1,products!$A$1:$D$1,0))</f>
        <v>Rob</v>
      </c>
      <c r="J767" t="str">
        <f t="shared" si="66"/>
        <v>Robusta</v>
      </c>
      <c r="K767" t="str">
        <f>INDEX(products!$A$1:$I$49,MATCH('Conditional Fomating'!$D767,products!$A$1:$A$49,0),MATCH('Conditional Fomating'!K$1,products!$A$1:$D$1,0))</f>
        <v>M</v>
      </c>
      <c r="L767" t="str">
        <f t="shared" si="67"/>
        <v>Medium</v>
      </c>
      <c r="M767">
        <f>INDEX(products!$A$1:$I$49,MATCH('Conditional Fomating'!$D767,products!$A$1:$A$49,0),MATCH('Conditional Fomating'!M$1,products!$A$1:$D$1,0))</f>
        <v>1</v>
      </c>
      <c r="N767">
        <f>_xlfn.XLOOKUP(D767,products!$A$2:$A$49,products!$E$2:$E$49)</f>
        <v>9.9499999999999993</v>
      </c>
      <c r="O767">
        <f>_xlfn.XLOOKUP(D767,products!$A$2:$A$49,products!$H$2:$H$49)</f>
        <v>9.3529999999999998</v>
      </c>
      <c r="P767">
        <f t="shared" si="68"/>
        <v>59.699999999999996</v>
      </c>
      <c r="Q767">
        <f t="shared" si="69"/>
        <v>56.117999999999995</v>
      </c>
      <c r="R767">
        <f t="shared" si="70"/>
        <v>3.5820000000000007</v>
      </c>
      <c r="S767" s="4">
        <f t="shared" si="71"/>
        <v>6.0000000000000019E-2</v>
      </c>
      <c r="T767" t="str">
        <f>_xlfn.XLOOKUP(C767,customers!$A$1:$A$1001,customers!$I$1:$I$1001,,0)</f>
        <v>Yes</v>
      </c>
    </row>
    <row r="768" spans="1:20"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INDEX(products!$A$1:$I$49,MATCH('Conditional Fomating'!$D768,products!$A$1:$A$49,0),MATCH('Conditional Fomating'!I$1,products!$A$1:$D$1,0))</f>
        <v>Ara</v>
      </c>
      <c r="J768" t="str">
        <f t="shared" si="66"/>
        <v>Arabica</v>
      </c>
      <c r="K768" t="str">
        <f>INDEX(products!$A$1:$I$49,MATCH('Conditional Fomating'!$D768,products!$A$1:$A$49,0),MATCH('Conditional Fomating'!K$1,products!$A$1:$D$1,0))</f>
        <v>L</v>
      </c>
      <c r="L768" t="str">
        <f t="shared" si="67"/>
        <v>Light</v>
      </c>
      <c r="M768">
        <f>INDEX(products!$A$1:$I$49,MATCH('Conditional Fomating'!$D768,products!$A$1:$A$49,0),MATCH('Conditional Fomating'!M$1,products!$A$1:$D$1,0))</f>
        <v>0.5</v>
      </c>
      <c r="N768">
        <f>_xlfn.XLOOKUP(D768,products!$A$2:$A$49,products!$E$2:$E$49)</f>
        <v>7.77</v>
      </c>
      <c r="O768">
        <f>_xlfn.XLOOKUP(D768,products!$A$2:$A$49,products!$H$2:$H$49)</f>
        <v>7.0706999999999995</v>
      </c>
      <c r="P768">
        <f t="shared" si="68"/>
        <v>15.54</v>
      </c>
      <c r="Q768">
        <f t="shared" si="69"/>
        <v>14.141399999999999</v>
      </c>
      <c r="R768">
        <f t="shared" si="70"/>
        <v>1.3986000000000001</v>
      </c>
      <c r="S768" s="4">
        <f t="shared" si="71"/>
        <v>9.0000000000000011E-2</v>
      </c>
      <c r="T768" t="str">
        <f>_xlfn.XLOOKUP(C768,customers!$A$1:$A$1001,customers!$I$1:$I$1001,,0)</f>
        <v>Yes</v>
      </c>
    </row>
    <row r="769" spans="1:20"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INDEX(products!$A$1:$I$49,MATCH('Conditional Fomating'!$D769,products!$A$1:$A$49,0),MATCH('Conditional Fomating'!I$1,products!$A$1:$D$1,0))</f>
        <v>Ara</v>
      </c>
      <c r="J769" t="str">
        <f t="shared" si="66"/>
        <v>Arabica</v>
      </c>
      <c r="K769" t="str">
        <f>INDEX(products!$A$1:$I$49,MATCH('Conditional Fomating'!$D769,products!$A$1:$A$49,0),MATCH('Conditional Fomating'!K$1,products!$A$1:$D$1,0))</f>
        <v>L</v>
      </c>
      <c r="L769" t="str">
        <f t="shared" si="67"/>
        <v>Light</v>
      </c>
      <c r="M769">
        <f>INDEX(products!$A$1:$I$49,MATCH('Conditional Fomating'!$D769,products!$A$1:$A$49,0),MATCH('Conditional Fomating'!M$1,products!$A$1:$D$1,0))</f>
        <v>2.5</v>
      </c>
      <c r="N769">
        <f>_xlfn.XLOOKUP(D769,products!$A$2:$A$49,products!$E$2:$E$49)</f>
        <v>29.784999999999997</v>
      </c>
      <c r="O769">
        <f>_xlfn.XLOOKUP(D769,products!$A$2:$A$49,products!$H$2:$H$49)</f>
        <v>27.104349999999997</v>
      </c>
      <c r="P769">
        <f t="shared" si="68"/>
        <v>89.35499999999999</v>
      </c>
      <c r="Q769">
        <f t="shared" si="69"/>
        <v>81.31304999999999</v>
      </c>
      <c r="R769">
        <f t="shared" si="70"/>
        <v>8.0419499999999999</v>
      </c>
      <c r="S769" s="4">
        <f t="shared" si="71"/>
        <v>9.0000000000000011E-2</v>
      </c>
      <c r="T769" t="str">
        <f>_xlfn.XLOOKUP(C769,customers!$A$1:$A$1001,customers!$I$1:$I$1001,,0)</f>
        <v>No</v>
      </c>
    </row>
    <row r="770" spans="1:20"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INDEX(products!$A$1:$I$49,MATCH('Conditional Fomating'!$D770,products!$A$1:$A$49,0),MATCH('Conditional Fomating'!I$1,products!$A$1:$D$1,0))</f>
        <v>Rob</v>
      </c>
      <c r="J770" t="str">
        <f t="shared" si="66"/>
        <v>Robusta</v>
      </c>
      <c r="K770" t="str">
        <f>INDEX(products!$A$1:$I$49,MATCH('Conditional Fomating'!$D770,products!$A$1:$A$49,0),MATCH('Conditional Fomating'!K$1,products!$A$1:$D$1,0))</f>
        <v>L</v>
      </c>
      <c r="L770" t="str">
        <f t="shared" si="67"/>
        <v>Light</v>
      </c>
      <c r="M770">
        <f>INDEX(products!$A$1:$I$49,MATCH('Conditional Fomating'!$D770,products!$A$1:$A$49,0),MATCH('Conditional Fomating'!M$1,products!$A$1:$D$1,0))</f>
        <v>1</v>
      </c>
      <c r="N770">
        <f>_xlfn.XLOOKUP(D770,products!$A$2:$A$49,products!$E$2:$E$49)</f>
        <v>11.95</v>
      </c>
      <c r="O770">
        <f>_xlfn.XLOOKUP(D770,products!$A$2:$A$49,products!$H$2:$H$49)</f>
        <v>11.232999999999999</v>
      </c>
      <c r="P770">
        <f t="shared" si="68"/>
        <v>23.9</v>
      </c>
      <c r="Q770">
        <f t="shared" si="69"/>
        <v>22.465999999999998</v>
      </c>
      <c r="R770">
        <f t="shared" si="70"/>
        <v>1.4340000000000011</v>
      </c>
      <c r="S770" s="4">
        <f t="shared" si="71"/>
        <v>6.0000000000000046E-2</v>
      </c>
      <c r="T770" t="str">
        <f>_xlfn.XLOOKUP(C770,customers!$A$1:$A$1001,customers!$I$1:$I$1001,,0)</f>
        <v>No</v>
      </c>
    </row>
    <row r="771" spans="1:20"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INDEX(products!$A$1:$I$49,MATCH('Conditional Fomating'!$D771,products!$A$1:$A$49,0),MATCH('Conditional Fomating'!I$1,products!$A$1:$D$1,0))</f>
        <v>Rob</v>
      </c>
      <c r="J771" t="str">
        <f t="shared" ref="J771:J834" si="72">IF(I771="Rob","Robusta",IF(I771="Exc","Excelsa",IF(I771="Ara","Arabica",IF(I771="Lib","Liberica",""))))</f>
        <v>Robusta</v>
      </c>
      <c r="K771" t="str">
        <f>INDEX(products!$A$1:$I$49,MATCH('Conditional Fomating'!$D771,products!$A$1:$A$49,0),MATCH('Conditional Fomating'!K$1,products!$A$1:$D$1,0))</f>
        <v>M</v>
      </c>
      <c r="L771" t="str">
        <f t="shared" ref="L771:L834" si="73">IF(K771="M","Medium",IF(K771="L","Light",IF(K771="D","Dark","")))</f>
        <v>Medium</v>
      </c>
      <c r="M771">
        <f>INDEX(products!$A$1:$I$49,MATCH('Conditional Fomating'!$D771,products!$A$1:$A$49,0),MATCH('Conditional Fomating'!M$1,products!$A$1:$D$1,0))</f>
        <v>2.5</v>
      </c>
      <c r="N771">
        <f>_xlfn.XLOOKUP(D771,products!$A$2:$A$49,products!$E$2:$E$49)</f>
        <v>22.884999999999998</v>
      </c>
      <c r="O771">
        <f>_xlfn.XLOOKUP(D771,products!$A$2:$A$49,products!$H$2:$H$49)</f>
        <v>21.511899999999997</v>
      </c>
      <c r="P771">
        <f t="shared" ref="P771:P834" si="74">N771*E771</f>
        <v>137.31</v>
      </c>
      <c r="Q771">
        <f t="shared" ref="Q771:Q834" si="75">O771*E771</f>
        <v>129.07139999999998</v>
      </c>
      <c r="R771">
        <f t="shared" ref="R771:R834" si="76">P771-Q771</f>
        <v>8.2386000000000195</v>
      </c>
      <c r="S771" s="4">
        <f t="shared" ref="S771:S834" si="77">R771/P771</f>
        <v>6.0000000000000143E-2</v>
      </c>
      <c r="T771" t="str">
        <f>_xlfn.XLOOKUP(C771,customers!$A$1:$A$1001,customers!$I$1:$I$1001,,0)</f>
        <v>No</v>
      </c>
    </row>
    <row r="772" spans="1:20"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INDEX(products!$A$1:$I$49,MATCH('Conditional Fomating'!$D772,products!$A$1:$A$49,0),MATCH('Conditional Fomating'!I$1,products!$A$1:$D$1,0))</f>
        <v>Ara</v>
      </c>
      <c r="J772" t="str">
        <f t="shared" si="72"/>
        <v>Arabica</v>
      </c>
      <c r="K772" t="str">
        <f>INDEX(products!$A$1:$I$49,MATCH('Conditional Fomating'!$D772,products!$A$1:$A$49,0),MATCH('Conditional Fomating'!K$1,products!$A$1:$D$1,0))</f>
        <v>D</v>
      </c>
      <c r="L772" t="str">
        <f t="shared" si="73"/>
        <v>Dark</v>
      </c>
      <c r="M772">
        <f>INDEX(products!$A$1:$I$49,MATCH('Conditional Fomating'!$D772,products!$A$1:$A$49,0),MATCH('Conditional Fomating'!M$1,products!$A$1:$D$1,0))</f>
        <v>1</v>
      </c>
      <c r="N772">
        <f>_xlfn.XLOOKUP(D772,products!$A$2:$A$49,products!$E$2:$E$49)</f>
        <v>9.9499999999999993</v>
      </c>
      <c r="O772">
        <f>_xlfn.XLOOKUP(D772,products!$A$2:$A$49,products!$H$2:$H$49)</f>
        <v>9.0544999999999991</v>
      </c>
      <c r="P772">
        <f t="shared" si="74"/>
        <v>9.9499999999999993</v>
      </c>
      <c r="Q772">
        <f t="shared" si="75"/>
        <v>9.0544999999999991</v>
      </c>
      <c r="R772">
        <f t="shared" si="76"/>
        <v>0.89550000000000018</v>
      </c>
      <c r="S772" s="4">
        <f t="shared" si="77"/>
        <v>9.0000000000000024E-2</v>
      </c>
      <c r="T772" t="str">
        <f>_xlfn.XLOOKUP(C772,customers!$A$1:$A$1001,customers!$I$1:$I$1001,,0)</f>
        <v>No</v>
      </c>
    </row>
    <row r="773" spans="1:20"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INDEX(products!$A$1:$I$49,MATCH('Conditional Fomating'!$D773,products!$A$1:$A$49,0),MATCH('Conditional Fomating'!I$1,products!$A$1:$D$1,0))</f>
        <v>Rob</v>
      </c>
      <c r="J773" t="str">
        <f t="shared" si="72"/>
        <v>Robusta</v>
      </c>
      <c r="K773" t="str">
        <f>INDEX(products!$A$1:$I$49,MATCH('Conditional Fomating'!$D773,products!$A$1:$A$49,0),MATCH('Conditional Fomating'!K$1,products!$A$1:$D$1,0))</f>
        <v>L</v>
      </c>
      <c r="L773" t="str">
        <f t="shared" si="73"/>
        <v>Light</v>
      </c>
      <c r="M773">
        <f>INDEX(products!$A$1:$I$49,MATCH('Conditional Fomating'!$D773,products!$A$1:$A$49,0),MATCH('Conditional Fomating'!M$1,products!$A$1:$D$1,0))</f>
        <v>0.5</v>
      </c>
      <c r="N773">
        <f>_xlfn.XLOOKUP(D773,products!$A$2:$A$49,products!$E$2:$E$49)</f>
        <v>7.169999999999999</v>
      </c>
      <c r="O773">
        <f>_xlfn.XLOOKUP(D773,products!$A$2:$A$49,products!$H$2:$H$49)</f>
        <v>6.7397999999999989</v>
      </c>
      <c r="P773">
        <f t="shared" si="74"/>
        <v>21.509999999999998</v>
      </c>
      <c r="Q773">
        <f t="shared" si="75"/>
        <v>20.219399999999997</v>
      </c>
      <c r="R773">
        <f t="shared" si="76"/>
        <v>1.2906000000000013</v>
      </c>
      <c r="S773" s="4">
        <f t="shared" si="77"/>
        <v>6.0000000000000067E-2</v>
      </c>
      <c r="T773" t="str">
        <f>_xlfn.XLOOKUP(C773,customers!$A$1:$A$1001,customers!$I$1:$I$1001,,0)</f>
        <v>No</v>
      </c>
    </row>
    <row r="774" spans="1:20"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v>
      </c>
      <c r="H774" s="2" t="str">
        <f>_xlfn.XLOOKUP(C774,customers!$A$1:$A$1001,customers!$G$1:$G$1001,,0)</f>
        <v>United States</v>
      </c>
      <c r="I774" t="str">
        <f>INDEX(products!$A$1:$I$49,MATCH('Conditional Fomating'!$D774,products!$A$1:$A$49,0),MATCH('Conditional Fomating'!I$1,products!$A$1:$D$1,0))</f>
        <v>Exc</v>
      </c>
      <c r="J774" t="str">
        <f t="shared" si="72"/>
        <v>Excelsa</v>
      </c>
      <c r="K774" t="str">
        <f>INDEX(products!$A$1:$I$49,MATCH('Conditional Fomating'!$D774,products!$A$1:$A$49,0),MATCH('Conditional Fomating'!K$1,products!$A$1:$D$1,0))</f>
        <v>M</v>
      </c>
      <c r="L774" t="str">
        <f t="shared" si="73"/>
        <v>Medium</v>
      </c>
      <c r="M774">
        <f>INDEX(products!$A$1:$I$49,MATCH('Conditional Fomating'!$D774,products!$A$1:$A$49,0),MATCH('Conditional Fomating'!M$1,products!$A$1:$D$1,0))</f>
        <v>1</v>
      </c>
      <c r="N774">
        <f>_xlfn.XLOOKUP(D774,products!$A$2:$A$49,products!$E$2:$E$49)</f>
        <v>13.75</v>
      </c>
      <c r="O774">
        <f>_xlfn.XLOOKUP(D774,products!$A$2:$A$49,products!$H$2:$H$49)</f>
        <v>12.237500000000001</v>
      </c>
      <c r="P774">
        <f t="shared" si="74"/>
        <v>82.5</v>
      </c>
      <c r="Q774">
        <f t="shared" si="75"/>
        <v>73.425000000000011</v>
      </c>
      <c r="R774">
        <f t="shared" si="76"/>
        <v>9.0749999999999886</v>
      </c>
      <c r="S774" s="4">
        <f t="shared" si="77"/>
        <v>0.10999999999999986</v>
      </c>
      <c r="T774" t="str">
        <f>_xlfn.XLOOKUP(C774,customers!$A$1:$A$1001,customers!$I$1:$I$1001,,0)</f>
        <v>No</v>
      </c>
    </row>
    <row r="775" spans="1:20"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INDEX(products!$A$1:$I$49,MATCH('Conditional Fomating'!$D775,products!$A$1:$A$49,0),MATCH('Conditional Fomating'!I$1,products!$A$1:$D$1,0))</f>
        <v>Lib</v>
      </c>
      <c r="J775" t="str">
        <f t="shared" si="72"/>
        <v>Liberica</v>
      </c>
      <c r="K775" t="str">
        <f>INDEX(products!$A$1:$I$49,MATCH('Conditional Fomating'!$D775,products!$A$1:$A$49,0),MATCH('Conditional Fomating'!K$1,products!$A$1:$D$1,0))</f>
        <v>M</v>
      </c>
      <c r="L775" t="str">
        <f t="shared" si="73"/>
        <v>Medium</v>
      </c>
      <c r="M775">
        <f>INDEX(products!$A$1:$I$49,MATCH('Conditional Fomating'!$D775,products!$A$1:$A$49,0),MATCH('Conditional Fomating'!M$1,products!$A$1:$D$1,0))</f>
        <v>0.2</v>
      </c>
      <c r="N775">
        <f>_xlfn.XLOOKUP(D775,products!$A$2:$A$49,products!$E$2:$E$49)</f>
        <v>4.3650000000000002</v>
      </c>
      <c r="O775">
        <f>_xlfn.XLOOKUP(D775,products!$A$2:$A$49,products!$H$2:$H$49)</f>
        <v>3.7975500000000002</v>
      </c>
      <c r="P775">
        <f t="shared" si="74"/>
        <v>8.73</v>
      </c>
      <c r="Q775">
        <f t="shared" si="75"/>
        <v>7.5951000000000004</v>
      </c>
      <c r="R775">
        <f t="shared" si="76"/>
        <v>1.1349</v>
      </c>
      <c r="S775" s="4">
        <f t="shared" si="77"/>
        <v>0.13</v>
      </c>
      <c r="T775" t="str">
        <f>_xlfn.XLOOKUP(C775,customers!$A$1:$A$1001,customers!$I$1:$I$1001,,0)</f>
        <v>No</v>
      </c>
    </row>
    <row r="776" spans="1:20"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v>
      </c>
      <c r="H776" s="2" t="str">
        <f>_xlfn.XLOOKUP(C776,customers!$A$1:$A$1001,customers!$G$1:$G$1001,,0)</f>
        <v>United States</v>
      </c>
      <c r="I776" t="str">
        <f>INDEX(products!$A$1:$I$49,MATCH('Conditional Fomating'!$D776,products!$A$1:$A$49,0),MATCH('Conditional Fomating'!I$1,products!$A$1:$D$1,0))</f>
        <v>Rob</v>
      </c>
      <c r="J776" t="str">
        <f t="shared" si="72"/>
        <v>Robusta</v>
      </c>
      <c r="K776" t="str">
        <f>INDEX(products!$A$1:$I$49,MATCH('Conditional Fomating'!$D776,products!$A$1:$A$49,0),MATCH('Conditional Fomating'!K$1,products!$A$1:$D$1,0))</f>
        <v>M</v>
      </c>
      <c r="L776" t="str">
        <f t="shared" si="73"/>
        <v>Medium</v>
      </c>
      <c r="M776">
        <f>INDEX(products!$A$1:$I$49,MATCH('Conditional Fomating'!$D776,products!$A$1:$A$49,0),MATCH('Conditional Fomating'!M$1,products!$A$1:$D$1,0))</f>
        <v>1</v>
      </c>
      <c r="N776">
        <f>_xlfn.XLOOKUP(D776,products!$A$2:$A$49,products!$E$2:$E$49)</f>
        <v>9.9499999999999993</v>
      </c>
      <c r="O776">
        <f>_xlfn.XLOOKUP(D776,products!$A$2:$A$49,products!$H$2:$H$49)</f>
        <v>9.3529999999999998</v>
      </c>
      <c r="P776">
        <f t="shared" si="74"/>
        <v>19.899999999999999</v>
      </c>
      <c r="Q776">
        <f t="shared" si="75"/>
        <v>18.706</v>
      </c>
      <c r="R776">
        <f t="shared" si="76"/>
        <v>1.1939999999999991</v>
      </c>
      <c r="S776" s="4">
        <f t="shared" si="77"/>
        <v>5.9999999999999956E-2</v>
      </c>
      <c r="T776" t="str">
        <f>_xlfn.XLOOKUP(C776,customers!$A$1:$A$1001,customers!$I$1:$I$1001,,0)</f>
        <v>Yes</v>
      </c>
    </row>
    <row r="777" spans="1:20"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INDEX(products!$A$1:$I$49,MATCH('Conditional Fomating'!$D777,products!$A$1:$A$49,0),MATCH('Conditional Fomating'!I$1,products!$A$1:$D$1,0))</f>
        <v>Exc</v>
      </c>
      <c r="J777" t="str">
        <f t="shared" si="72"/>
        <v>Excelsa</v>
      </c>
      <c r="K777" t="str">
        <f>INDEX(products!$A$1:$I$49,MATCH('Conditional Fomating'!$D777,products!$A$1:$A$49,0),MATCH('Conditional Fomating'!K$1,products!$A$1:$D$1,0))</f>
        <v>L</v>
      </c>
      <c r="L777" t="str">
        <f t="shared" si="73"/>
        <v>Light</v>
      </c>
      <c r="M777">
        <f>INDEX(products!$A$1:$I$49,MATCH('Conditional Fomating'!$D777,products!$A$1:$A$49,0),MATCH('Conditional Fomating'!M$1,products!$A$1:$D$1,0))</f>
        <v>0.5</v>
      </c>
      <c r="N777">
        <f>_xlfn.XLOOKUP(D777,products!$A$2:$A$49,products!$E$2:$E$49)</f>
        <v>8.91</v>
      </c>
      <c r="O777">
        <f>_xlfn.XLOOKUP(D777,products!$A$2:$A$49,products!$H$2:$H$49)</f>
        <v>7.9298999999999999</v>
      </c>
      <c r="P777">
        <f t="shared" si="74"/>
        <v>17.82</v>
      </c>
      <c r="Q777">
        <f t="shared" si="75"/>
        <v>15.8598</v>
      </c>
      <c r="R777">
        <f t="shared" si="76"/>
        <v>1.9602000000000004</v>
      </c>
      <c r="S777" s="4">
        <f t="shared" si="77"/>
        <v>0.11000000000000001</v>
      </c>
      <c r="T777" t="str">
        <f>_xlfn.XLOOKUP(C777,customers!$A$1:$A$1001,customers!$I$1:$I$1001,,0)</f>
        <v>Yes</v>
      </c>
    </row>
    <row r="778" spans="1:20"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INDEX(products!$A$1:$I$49,MATCH('Conditional Fomating'!$D778,products!$A$1:$A$49,0),MATCH('Conditional Fomating'!I$1,products!$A$1:$D$1,0))</f>
        <v>Ara</v>
      </c>
      <c r="J778" t="str">
        <f t="shared" si="72"/>
        <v>Arabica</v>
      </c>
      <c r="K778" t="str">
        <f>INDEX(products!$A$1:$I$49,MATCH('Conditional Fomating'!$D778,products!$A$1:$A$49,0),MATCH('Conditional Fomating'!K$1,products!$A$1:$D$1,0))</f>
        <v>M</v>
      </c>
      <c r="L778" t="str">
        <f t="shared" si="73"/>
        <v>Medium</v>
      </c>
      <c r="M778">
        <f>INDEX(products!$A$1:$I$49,MATCH('Conditional Fomating'!$D778,products!$A$1:$A$49,0),MATCH('Conditional Fomating'!M$1,products!$A$1:$D$1,0))</f>
        <v>0.5</v>
      </c>
      <c r="N778">
        <f>_xlfn.XLOOKUP(D778,products!$A$2:$A$49,products!$E$2:$E$49)</f>
        <v>6.75</v>
      </c>
      <c r="O778">
        <f>_xlfn.XLOOKUP(D778,products!$A$2:$A$49,products!$H$2:$H$49)</f>
        <v>6.1425000000000001</v>
      </c>
      <c r="P778">
        <f t="shared" si="74"/>
        <v>20.25</v>
      </c>
      <c r="Q778">
        <f t="shared" si="75"/>
        <v>18.427500000000002</v>
      </c>
      <c r="R778">
        <f t="shared" si="76"/>
        <v>1.822499999999998</v>
      </c>
      <c r="S778" s="4">
        <f t="shared" si="77"/>
        <v>8.99999999999999E-2</v>
      </c>
      <c r="T778" t="str">
        <f>_xlfn.XLOOKUP(C778,customers!$A$1:$A$1001,customers!$I$1:$I$1001,,0)</f>
        <v>No</v>
      </c>
    </row>
    <row r="779" spans="1:20"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INDEX(products!$A$1:$I$49,MATCH('Conditional Fomating'!$D779,products!$A$1:$A$49,0),MATCH('Conditional Fomating'!I$1,products!$A$1:$D$1,0))</f>
        <v>Ara</v>
      </c>
      <c r="J779" t="str">
        <f t="shared" si="72"/>
        <v>Arabica</v>
      </c>
      <c r="K779" t="str">
        <f>INDEX(products!$A$1:$I$49,MATCH('Conditional Fomating'!$D779,products!$A$1:$A$49,0),MATCH('Conditional Fomating'!K$1,products!$A$1:$D$1,0))</f>
        <v>L</v>
      </c>
      <c r="L779" t="str">
        <f t="shared" si="73"/>
        <v>Light</v>
      </c>
      <c r="M779">
        <f>INDEX(products!$A$1:$I$49,MATCH('Conditional Fomating'!$D779,products!$A$1:$A$49,0),MATCH('Conditional Fomating'!M$1,products!$A$1:$D$1,0))</f>
        <v>2.5</v>
      </c>
      <c r="N779">
        <f>_xlfn.XLOOKUP(D779,products!$A$2:$A$49,products!$E$2:$E$49)</f>
        <v>29.784999999999997</v>
      </c>
      <c r="O779">
        <f>_xlfn.XLOOKUP(D779,products!$A$2:$A$49,products!$H$2:$H$49)</f>
        <v>27.104349999999997</v>
      </c>
      <c r="P779">
        <f t="shared" si="74"/>
        <v>59.569999999999993</v>
      </c>
      <c r="Q779">
        <f t="shared" si="75"/>
        <v>54.208699999999993</v>
      </c>
      <c r="R779">
        <f t="shared" si="76"/>
        <v>5.3613</v>
      </c>
      <c r="S779" s="4">
        <f t="shared" si="77"/>
        <v>9.0000000000000011E-2</v>
      </c>
      <c r="T779" t="str">
        <f>_xlfn.XLOOKUP(C779,customers!$A$1:$A$1001,customers!$I$1:$I$1001,,0)</f>
        <v>No</v>
      </c>
    </row>
    <row r="780" spans="1:20"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INDEX(products!$A$1:$I$49,MATCH('Conditional Fomating'!$D780,products!$A$1:$A$49,0),MATCH('Conditional Fomating'!I$1,products!$A$1:$D$1,0))</f>
        <v>Lib</v>
      </c>
      <c r="J780" t="str">
        <f t="shared" si="72"/>
        <v>Liberica</v>
      </c>
      <c r="K780" t="str">
        <f>INDEX(products!$A$1:$I$49,MATCH('Conditional Fomating'!$D780,products!$A$1:$A$49,0),MATCH('Conditional Fomating'!K$1,products!$A$1:$D$1,0))</f>
        <v>L</v>
      </c>
      <c r="L780" t="str">
        <f t="shared" si="73"/>
        <v>Light</v>
      </c>
      <c r="M780">
        <f>INDEX(products!$A$1:$I$49,MATCH('Conditional Fomating'!$D780,products!$A$1:$A$49,0),MATCH('Conditional Fomating'!M$1,products!$A$1:$D$1,0))</f>
        <v>0.5</v>
      </c>
      <c r="N780">
        <f>_xlfn.XLOOKUP(D780,products!$A$2:$A$49,products!$E$2:$E$49)</f>
        <v>9.51</v>
      </c>
      <c r="O780">
        <f>_xlfn.XLOOKUP(D780,products!$A$2:$A$49,products!$H$2:$H$49)</f>
        <v>8.2736999999999998</v>
      </c>
      <c r="P780">
        <f t="shared" si="74"/>
        <v>19.02</v>
      </c>
      <c r="Q780">
        <f t="shared" si="75"/>
        <v>16.5474</v>
      </c>
      <c r="R780">
        <f t="shared" si="76"/>
        <v>2.4725999999999999</v>
      </c>
      <c r="S780" s="4">
        <f t="shared" si="77"/>
        <v>0.13</v>
      </c>
      <c r="T780" t="str">
        <f>_xlfn.XLOOKUP(C780,customers!$A$1:$A$1001,customers!$I$1:$I$1001,,0)</f>
        <v>Yes</v>
      </c>
    </row>
    <row r="781" spans="1:20"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INDEX(products!$A$1:$I$49,MATCH('Conditional Fomating'!$D781,products!$A$1:$A$49,0),MATCH('Conditional Fomating'!I$1,products!$A$1:$D$1,0))</f>
        <v>Lib</v>
      </c>
      <c r="J781" t="str">
        <f t="shared" si="72"/>
        <v>Liberica</v>
      </c>
      <c r="K781" t="str">
        <f>INDEX(products!$A$1:$I$49,MATCH('Conditional Fomating'!$D781,products!$A$1:$A$49,0),MATCH('Conditional Fomating'!K$1,products!$A$1:$D$1,0))</f>
        <v>D</v>
      </c>
      <c r="L781" t="str">
        <f t="shared" si="73"/>
        <v>Dark</v>
      </c>
      <c r="M781">
        <f>INDEX(products!$A$1:$I$49,MATCH('Conditional Fomating'!$D781,products!$A$1:$A$49,0),MATCH('Conditional Fomating'!M$1,products!$A$1:$D$1,0))</f>
        <v>1</v>
      </c>
      <c r="N781">
        <f>_xlfn.XLOOKUP(D781,products!$A$2:$A$49,products!$E$2:$E$49)</f>
        <v>12.95</v>
      </c>
      <c r="O781">
        <f>_xlfn.XLOOKUP(D781,products!$A$2:$A$49,products!$H$2:$H$49)</f>
        <v>11.266499999999999</v>
      </c>
      <c r="P781">
        <f t="shared" si="74"/>
        <v>77.699999999999989</v>
      </c>
      <c r="Q781">
        <f t="shared" si="75"/>
        <v>67.59899999999999</v>
      </c>
      <c r="R781">
        <f t="shared" si="76"/>
        <v>10.100999999999999</v>
      </c>
      <c r="S781" s="4">
        <f t="shared" si="77"/>
        <v>0.13</v>
      </c>
      <c r="T781" t="str">
        <f>_xlfn.XLOOKUP(C781,customers!$A$1:$A$1001,customers!$I$1:$I$1001,,0)</f>
        <v>Yes</v>
      </c>
    </row>
    <row r="782" spans="1:20"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v>
      </c>
      <c r="H782" s="2" t="str">
        <f>_xlfn.XLOOKUP(C782,customers!$A$1:$A$1001,customers!$G$1:$G$1001,,0)</f>
        <v>United States</v>
      </c>
      <c r="I782" t="str">
        <f>INDEX(products!$A$1:$I$49,MATCH('Conditional Fomating'!$D782,products!$A$1:$A$49,0),MATCH('Conditional Fomating'!I$1,products!$A$1:$D$1,0))</f>
        <v>Exc</v>
      </c>
      <c r="J782" t="str">
        <f t="shared" si="72"/>
        <v>Excelsa</v>
      </c>
      <c r="K782" t="str">
        <f>INDEX(products!$A$1:$I$49,MATCH('Conditional Fomating'!$D782,products!$A$1:$A$49,0),MATCH('Conditional Fomating'!K$1,products!$A$1:$D$1,0))</f>
        <v>M</v>
      </c>
      <c r="L782" t="str">
        <f t="shared" si="73"/>
        <v>Medium</v>
      </c>
      <c r="M782">
        <f>INDEX(products!$A$1:$I$49,MATCH('Conditional Fomating'!$D782,products!$A$1:$A$49,0),MATCH('Conditional Fomating'!M$1,products!$A$1:$D$1,0))</f>
        <v>1</v>
      </c>
      <c r="N782">
        <f>_xlfn.XLOOKUP(D782,products!$A$2:$A$49,products!$E$2:$E$49)</f>
        <v>13.75</v>
      </c>
      <c r="O782">
        <f>_xlfn.XLOOKUP(D782,products!$A$2:$A$49,products!$H$2:$H$49)</f>
        <v>12.237500000000001</v>
      </c>
      <c r="P782">
        <f t="shared" si="74"/>
        <v>41.25</v>
      </c>
      <c r="Q782">
        <f t="shared" si="75"/>
        <v>36.712500000000006</v>
      </c>
      <c r="R782">
        <f t="shared" si="76"/>
        <v>4.5374999999999943</v>
      </c>
      <c r="S782" s="4">
        <f t="shared" si="77"/>
        <v>0.10999999999999986</v>
      </c>
      <c r="T782" t="str">
        <f>_xlfn.XLOOKUP(C782,customers!$A$1:$A$1001,customers!$I$1:$I$1001,,0)</f>
        <v>No</v>
      </c>
    </row>
    <row r="783" spans="1:20"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INDEX(products!$A$1:$I$49,MATCH('Conditional Fomating'!$D783,products!$A$1:$A$49,0),MATCH('Conditional Fomating'!I$1,products!$A$1:$D$1,0))</f>
        <v>Lib</v>
      </c>
      <c r="J783" t="str">
        <f t="shared" si="72"/>
        <v>Liberica</v>
      </c>
      <c r="K783" t="str">
        <f>INDEX(products!$A$1:$I$49,MATCH('Conditional Fomating'!$D783,products!$A$1:$A$49,0),MATCH('Conditional Fomating'!K$1,products!$A$1:$D$1,0))</f>
        <v>L</v>
      </c>
      <c r="L783" t="str">
        <f t="shared" si="73"/>
        <v>Light</v>
      </c>
      <c r="M783">
        <f>INDEX(products!$A$1:$I$49,MATCH('Conditional Fomating'!$D783,products!$A$1:$A$49,0),MATCH('Conditional Fomating'!M$1,products!$A$1:$D$1,0))</f>
        <v>2.5</v>
      </c>
      <c r="N783">
        <f>_xlfn.XLOOKUP(D783,products!$A$2:$A$49,products!$E$2:$E$49)</f>
        <v>36.454999999999998</v>
      </c>
      <c r="O783">
        <f>_xlfn.XLOOKUP(D783,products!$A$2:$A$49,products!$H$2:$H$49)</f>
        <v>31.71585</v>
      </c>
      <c r="P783">
        <f t="shared" si="74"/>
        <v>145.82</v>
      </c>
      <c r="Q783">
        <f t="shared" si="75"/>
        <v>126.8634</v>
      </c>
      <c r="R783">
        <f t="shared" si="76"/>
        <v>18.956599999999995</v>
      </c>
      <c r="S783" s="4">
        <f t="shared" si="77"/>
        <v>0.12999999999999998</v>
      </c>
      <c r="T783" t="str">
        <f>_xlfn.XLOOKUP(C783,customers!$A$1:$A$1001,customers!$I$1:$I$1001,,0)</f>
        <v>No</v>
      </c>
    </row>
    <row r="784" spans="1:20"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INDEX(products!$A$1:$I$49,MATCH('Conditional Fomating'!$D784,products!$A$1:$A$49,0),MATCH('Conditional Fomating'!I$1,products!$A$1:$D$1,0))</f>
        <v>Exc</v>
      </c>
      <c r="J784" t="str">
        <f t="shared" si="72"/>
        <v>Excelsa</v>
      </c>
      <c r="K784" t="str">
        <f>INDEX(products!$A$1:$I$49,MATCH('Conditional Fomating'!$D784,products!$A$1:$A$49,0),MATCH('Conditional Fomating'!K$1,products!$A$1:$D$1,0))</f>
        <v>L</v>
      </c>
      <c r="L784" t="str">
        <f t="shared" si="73"/>
        <v>Light</v>
      </c>
      <c r="M784">
        <f>INDEX(products!$A$1:$I$49,MATCH('Conditional Fomating'!$D784,products!$A$1:$A$49,0),MATCH('Conditional Fomating'!M$1,products!$A$1:$D$1,0))</f>
        <v>0.2</v>
      </c>
      <c r="N784">
        <f>_xlfn.XLOOKUP(D784,products!$A$2:$A$49,products!$E$2:$E$49)</f>
        <v>4.4550000000000001</v>
      </c>
      <c r="O784">
        <f>_xlfn.XLOOKUP(D784,products!$A$2:$A$49,products!$H$2:$H$49)</f>
        <v>3.96495</v>
      </c>
      <c r="P784">
        <f t="shared" si="74"/>
        <v>26.73</v>
      </c>
      <c r="Q784">
        <f t="shared" si="75"/>
        <v>23.7897</v>
      </c>
      <c r="R784">
        <f t="shared" si="76"/>
        <v>2.9403000000000006</v>
      </c>
      <c r="S784" s="4">
        <f t="shared" si="77"/>
        <v>0.11000000000000001</v>
      </c>
      <c r="T784" t="str">
        <f>_xlfn.XLOOKUP(C784,customers!$A$1:$A$1001,customers!$I$1:$I$1001,,0)</f>
        <v>No</v>
      </c>
    </row>
    <row r="785" spans="1:20"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INDEX(products!$A$1:$I$49,MATCH('Conditional Fomating'!$D785,products!$A$1:$A$49,0),MATCH('Conditional Fomating'!I$1,products!$A$1:$D$1,0))</f>
        <v>Lib</v>
      </c>
      <c r="J785" t="str">
        <f t="shared" si="72"/>
        <v>Liberica</v>
      </c>
      <c r="K785" t="str">
        <f>INDEX(products!$A$1:$I$49,MATCH('Conditional Fomating'!$D785,products!$A$1:$A$49,0),MATCH('Conditional Fomating'!K$1,products!$A$1:$D$1,0))</f>
        <v>M</v>
      </c>
      <c r="L785" t="str">
        <f t="shared" si="73"/>
        <v>Medium</v>
      </c>
      <c r="M785">
        <f>INDEX(products!$A$1:$I$49,MATCH('Conditional Fomating'!$D785,products!$A$1:$A$49,0),MATCH('Conditional Fomating'!M$1,products!$A$1:$D$1,0))</f>
        <v>0.5</v>
      </c>
      <c r="N785">
        <f>_xlfn.XLOOKUP(D785,products!$A$2:$A$49,products!$E$2:$E$49)</f>
        <v>8.73</v>
      </c>
      <c r="O785">
        <f>_xlfn.XLOOKUP(D785,products!$A$2:$A$49,products!$H$2:$H$49)</f>
        <v>7.5951000000000004</v>
      </c>
      <c r="P785">
        <f t="shared" si="74"/>
        <v>43.650000000000006</v>
      </c>
      <c r="Q785">
        <f t="shared" si="75"/>
        <v>37.975500000000004</v>
      </c>
      <c r="R785">
        <f t="shared" si="76"/>
        <v>5.6745000000000019</v>
      </c>
      <c r="S785" s="4">
        <f t="shared" si="77"/>
        <v>0.13000000000000003</v>
      </c>
      <c r="T785" t="str">
        <f>_xlfn.XLOOKUP(C785,customers!$A$1:$A$1001,customers!$I$1:$I$1001,,0)</f>
        <v>Yes</v>
      </c>
    </row>
    <row r="786" spans="1:20"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INDEX(products!$A$1:$I$49,MATCH('Conditional Fomating'!$D786,products!$A$1:$A$49,0),MATCH('Conditional Fomating'!I$1,products!$A$1:$D$1,0))</f>
        <v>Lib</v>
      </c>
      <c r="J786" t="str">
        <f t="shared" si="72"/>
        <v>Liberica</v>
      </c>
      <c r="K786" t="str">
        <f>INDEX(products!$A$1:$I$49,MATCH('Conditional Fomating'!$D786,products!$A$1:$A$49,0),MATCH('Conditional Fomating'!K$1,products!$A$1:$D$1,0))</f>
        <v>L</v>
      </c>
      <c r="L786" t="str">
        <f t="shared" si="73"/>
        <v>Light</v>
      </c>
      <c r="M786">
        <f>INDEX(products!$A$1:$I$49,MATCH('Conditional Fomating'!$D786,products!$A$1:$A$49,0),MATCH('Conditional Fomating'!M$1,products!$A$1:$D$1,0))</f>
        <v>1</v>
      </c>
      <c r="N786">
        <f>_xlfn.XLOOKUP(D786,products!$A$2:$A$49,products!$E$2:$E$49)</f>
        <v>15.85</v>
      </c>
      <c r="O786">
        <f>_xlfn.XLOOKUP(D786,products!$A$2:$A$49,products!$H$2:$H$49)</f>
        <v>13.7895</v>
      </c>
      <c r="P786">
        <f t="shared" si="74"/>
        <v>31.7</v>
      </c>
      <c r="Q786">
        <f t="shared" si="75"/>
        <v>27.579000000000001</v>
      </c>
      <c r="R786">
        <f t="shared" si="76"/>
        <v>4.1209999999999987</v>
      </c>
      <c r="S786" s="4">
        <f t="shared" si="77"/>
        <v>0.12999999999999995</v>
      </c>
      <c r="T786" t="str">
        <f>_xlfn.XLOOKUP(C786,customers!$A$1:$A$1001,customers!$I$1:$I$1001,,0)</f>
        <v>No</v>
      </c>
    </row>
    <row r="787" spans="1:20"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INDEX(products!$A$1:$I$49,MATCH('Conditional Fomating'!$D787,products!$A$1:$A$49,0),MATCH('Conditional Fomating'!I$1,products!$A$1:$D$1,0))</f>
        <v>Ara</v>
      </c>
      <c r="J787" t="str">
        <f t="shared" si="72"/>
        <v>Arabica</v>
      </c>
      <c r="K787" t="str">
        <f>INDEX(products!$A$1:$I$49,MATCH('Conditional Fomating'!$D787,products!$A$1:$A$49,0),MATCH('Conditional Fomating'!K$1,products!$A$1:$D$1,0))</f>
        <v>D</v>
      </c>
      <c r="L787" t="str">
        <f t="shared" si="73"/>
        <v>Dark</v>
      </c>
      <c r="M787">
        <f>INDEX(products!$A$1:$I$49,MATCH('Conditional Fomating'!$D787,products!$A$1:$A$49,0),MATCH('Conditional Fomating'!M$1,products!$A$1:$D$1,0))</f>
        <v>2.5</v>
      </c>
      <c r="N787">
        <f>_xlfn.XLOOKUP(D787,products!$A$2:$A$49,products!$E$2:$E$49)</f>
        <v>22.884999999999998</v>
      </c>
      <c r="O787">
        <f>_xlfn.XLOOKUP(D787,products!$A$2:$A$49,products!$H$2:$H$49)</f>
        <v>20.82535</v>
      </c>
      <c r="P787">
        <f t="shared" si="74"/>
        <v>22.884999999999998</v>
      </c>
      <c r="Q787">
        <f t="shared" si="75"/>
        <v>20.82535</v>
      </c>
      <c r="R787">
        <f t="shared" si="76"/>
        <v>2.0596499999999978</v>
      </c>
      <c r="S787" s="4">
        <f t="shared" si="77"/>
        <v>8.9999999999999913E-2</v>
      </c>
      <c r="T787" t="str">
        <f>_xlfn.XLOOKUP(C787,customers!$A$1:$A$1001,customers!$I$1:$I$1001,,0)</f>
        <v>No</v>
      </c>
    </row>
    <row r="788" spans="1:20"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INDEX(products!$A$1:$I$49,MATCH('Conditional Fomating'!$D788,products!$A$1:$A$49,0),MATCH('Conditional Fomating'!I$1,products!$A$1:$D$1,0))</f>
        <v>Exc</v>
      </c>
      <c r="J788" t="str">
        <f t="shared" si="72"/>
        <v>Excelsa</v>
      </c>
      <c r="K788" t="str">
        <f>INDEX(products!$A$1:$I$49,MATCH('Conditional Fomating'!$D788,products!$A$1:$A$49,0),MATCH('Conditional Fomating'!K$1,products!$A$1:$D$1,0))</f>
        <v>D</v>
      </c>
      <c r="L788" t="str">
        <f t="shared" si="73"/>
        <v>Dark</v>
      </c>
      <c r="M788">
        <f>INDEX(products!$A$1:$I$49,MATCH('Conditional Fomating'!$D788,products!$A$1:$A$49,0),MATCH('Conditional Fomating'!M$1,products!$A$1:$D$1,0))</f>
        <v>2.5</v>
      </c>
      <c r="N788">
        <f>_xlfn.XLOOKUP(D788,products!$A$2:$A$49,products!$E$2:$E$49)</f>
        <v>27.945</v>
      </c>
      <c r="O788">
        <f>_xlfn.XLOOKUP(D788,products!$A$2:$A$49,products!$H$2:$H$49)</f>
        <v>24.87105</v>
      </c>
      <c r="P788">
        <f t="shared" si="74"/>
        <v>27.945</v>
      </c>
      <c r="Q788">
        <f t="shared" si="75"/>
        <v>24.87105</v>
      </c>
      <c r="R788">
        <f t="shared" si="76"/>
        <v>3.07395</v>
      </c>
      <c r="S788" s="4">
        <f t="shared" si="77"/>
        <v>0.11</v>
      </c>
      <c r="T788" t="str">
        <f>_xlfn.XLOOKUP(C788,customers!$A$1:$A$1001,customers!$I$1:$I$1001,,0)</f>
        <v>Yes</v>
      </c>
    </row>
    <row r="789" spans="1:20"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v>
      </c>
      <c r="H789" s="2" t="str">
        <f>_xlfn.XLOOKUP(C789,customers!$A$1:$A$1001,customers!$G$1:$G$1001,,0)</f>
        <v>United States</v>
      </c>
      <c r="I789" t="str">
        <f>INDEX(products!$A$1:$I$49,MATCH('Conditional Fomating'!$D789,products!$A$1:$A$49,0),MATCH('Conditional Fomating'!I$1,products!$A$1:$D$1,0))</f>
        <v>Exc</v>
      </c>
      <c r="J789" t="str">
        <f t="shared" si="72"/>
        <v>Excelsa</v>
      </c>
      <c r="K789" t="str">
        <f>INDEX(products!$A$1:$I$49,MATCH('Conditional Fomating'!$D789,products!$A$1:$A$49,0),MATCH('Conditional Fomating'!K$1,products!$A$1:$D$1,0))</f>
        <v>M</v>
      </c>
      <c r="L789" t="str">
        <f t="shared" si="73"/>
        <v>Medium</v>
      </c>
      <c r="M789">
        <f>INDEX(products!$A$1:$I$49,MATCH('Conditional Fomating'!$D789,products!$A$1:$A$49,0),MATCH('Conditional Fomating'!M$1,products!$A$1:$D$1,0))</f>
        <v>1</v>
      </c>
      <c r="N789">
        <f>_xlfn.XLOOKUP(D789,products!$A$2:$A$49,products!$E$2:$E$49)</f>
        <v>13.75</v>
      </c>
      <c r="O789">
        <f>_xlfn.XLOOKUP(D789,products!$A$2:$A$49,products!$H$2:$H$49)</f>
        <v>12.237500000000001</v>
      </c>
      <c r="P789">
        <f t="shared" si="74"/>
        <v>82.5</v>
      </c>
      <c r="Q789">
        <f t="shared" si="75"/>
        <v>73.425000000000011</v>
      </c>
      <c r="R789">
        <f t="shared" si="76"/>
        <v>9.0749999999999886</v>
      </c>
      <c r="S789" s="4">
        <f t="shared" si="77"/>
        <v>0.10999999999999986</v>
      </c>
      <c r="T789" t="str">
        <f>_xlfn.XLOOKUP(C789,customers!$A$1:$A$1001,customers!$I$1:$I$1001,,0)</f>
        <v>Yes</v>
      </c>
    </row>
    <row r="790" spans="1:20"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INDEX(products!$A$1:$I$49,MATCH('Conditional Fomating'!$D790,products!$A$1:$A$49,0),MATCH('Conditional Fomating'!I$1,products!$A$1:$D$1,0))</f>
        <v>Rob</v>
      </c>
      <c r="J790" t="str">
        <f t="shared" si="72"/>
        <v>Robusta</v>
      </c>
      <c r="K790" t="str">
        <f>INDEX(products!$A$1:$I$49,MATCH('Conditional Fomating'!$D790,products!$A$1:$A$49,0),MATCH('Conditional Fomating'!K$1,products!$A$1:$D$1,0))</f>
        <v>M</v>
      </c>
      <c r="L790" t="str">
        <f t="shared" si="73"/>
        <v>Medium</v>
      </c>
      <c r="M790">
        <f>INDEX(products!$A$1:$I$49,MATCH('Conditional Fomating'!$D790,products!$A$1:$A$49,0),MATCH('Conditional Fomating'!M$1,products!$A$1:$D$1,0))</f>
        <v>2.5</v>
      </c>
      <c r="N790">
        <f>_xlfn.XLOOKUP(D790,products!$A$2:$A$49,products!$E$2:$E$49)</f>
        <v>22.884999999999998</v>
      </c>
      <c r="O790">
        <f>_xlfn.XLOOKUP(D790,products!$A$2:$A$49,products!$H$2:$H$49)</f>
        <v>21.511899999999997</v>
      </c>
      <c r="P790">
        <f t="shared" si="74"/>
        <v>45.769999999999996</v>
      </c>
      <c r="Q790">
        <f t="shared" si="75"/>
        <v>43.023799999999994</v>
      </c>
      <c r="R790">
        <f t="shared" si="76"/>
        <v>2.7462000000000018</v>
      </c>
      <c r="S790" s="4">
        <f t="shared" si="77"/>
        <v>6.0000000000000046E-2</v>
      </c>
      <c r="T790" t="str">
        <f>_xlfn.XLOOKUP(C790,customers!$A$1:$A$1001,customers!$I$1:$I$1001,,0)</f>
        <v>Yes</v>
      </c>
    </row>
    <row r="791" spans="1:20"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INDEX(products!$A$1:$I$49,MATCH('Conditional Fomating'!$D791,products!$A$1:$A$49,0),MATCH('Conditional Fomating'!I$1,products!$A$1:$D$1,0))</f>
        <v>Ara</v>
      </c>
      <c r="J791" t="str">
        <f t="shared" si="72"/>
        <v>Arabica</v>
      </c>
      <c r="K791" t="str">
        <f>INDEX(products!$A$1:$I$49,MATCH('Conditional Fomating'!$D791,products!$A$1:$A$49,0),MATCH('Conditional Fomating'!K$1,products!$A$1:$D$1,0))</f>
        <v>L</v>
      </c>
      <c r="L791" t="str">
        <f t="shared" si="73"/>
        <v>Light</v>
      </c>
      <c r="M791">
        <f>INDEX(products!$A$1:$I$49,MATCH('Conditional Fomating'!$D791,products!$A$1:$A$49,0),MATCH('Conditional Fomating'!M$1,products!$A$1:$D$1,0))</f>
        <v>1</v>
      </c>
      <c r="N791">
        <f>_xlfn.XLOOKUP(D791,products!$A$2:$A$49,products!$E$2:$E$49)</f>
        <v>12.95</v>
      </c>
      <c r="O791">
        <f>_xlfn.XLOOKUP(D791,products!$A$2:$A$49,products!$H$2:$H$49)</f>
        <v>11.7845</v>
      </c>
      <c r="P791">
        <f t="shared" si="74"/>
        <v>77.699999999999989</v>
      </c>
      <c r="Q791">
        <f t="shared" si="75"/>
        <v>70.706999999999994</v>
      </c>
      <c r="R791">
        <f t="shared" si="76"/>
        <v>6.992999999999995</v>
      </c>
      <c r="S791" s="4">
        <f t="shared" si="77"/>
        <v>8.9999999999999955E-2</v>
      </c>
      <c r="T791" t="str">
        <f>_xlfn.XLOOKUP(C791,customers!$A$1:$A$1001,customers!$I$1:$I$1001,,0)</f>
        <v>No</v>
      </c>
    </row>
    <row r="792" spans="1:20"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INDEX(products!$A$1:$I$49,MATCH('Conditional Fomating'!$D792,products!$A$1:$A$49,0),MATCH('Conditional Fomating'!I$1,products!$A$1:$D$1,0))</f>
        <v>Ara</v>
      </c>
      <c r="J792" t="str">
        <f t="shared" si="72"/>
        <v>Arabica</v>
      </c>
      <c r="K792" t="str">
        <f>INDEX(products!$A$1:$I$49,MATCH('Conditional Fomating'!$D792,products!$A$1:$A$49,0),MATCH('Conditional Fomating'!K$1,products!$A$1:$D$1,0))</f>
        <v>L</v>
      </c>
      <c r="L792" t="str">
        <f t="shared" si="73"/>
        <v>Light</v>
      </c>
      <c r="M792">
        <f>INDEX(products!$A$1:$I$49,MATCH('Conditional Fomating'!$D792,products!$A$1:$A$49,0),MATCH('Conditional Fomating'!M$1,products!$A$1:$D$1,0))</f>
        <v>0.5</v>
      </c>
      <c r="N792">
        <f>_xlfn.XLOOKUP(D792,products!$A$2:$A$49,products!$E$2:$E$49)</f>
        <v>7.77</v>
      </c>
      <c r="O792">
        <f>_xlfn.XLOOKUP(D792,products!$A$2:$A$49,products!$H$2:$H$49)</f>
        <v>7.0706999999999995</v>
      </c>
      <c r="P792">
        <f t="shared" si="74"/>
        <v>23.31</v>
      </c>
      <c r="Q792">
        <f t="shared" si="75"/>
        <v>21.2121</v>
      </c>
      <c r="R792">
        <f t="shared" si="76"/>
        <v>2.0978999999999992</v>
      </c>
      <c r="S792" s="4">
        <f t="shared" si="77"/>
        <v>8.9999999999999969E-2</v>
      </c>
      <c r="T792" t="str">
        <f>_xlfn.XLOOKUP(C792,customers!$A$1:$A$1001,customers!$I$1:$I$1001,,0)</f>
        <v>No</v>
      </c>
    </row>
    <row r="793" spans="1:20"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INDEX(products!$A$1:$I$49,MATCH('Conditional Fomating'!$D793,products!$A$1:$A$49,0),MATCH('Conditional Fomating'!I$1,products!$A$1:$D$1,0))</f>
        <v>Lib</v>
      </c>
      <c r="J793" t="str">
        <f t="shared" si="72"/>
        <v>Liberica</v>
      </c>
      <c r="K793" t="str">
        <f>INDEX(products!$A$1:$I$49,MATCH('Conditional Fomating'!$D793,products!$A$1:$A$49,0),MATCH('Conditional Fomating'!K$1,products!$A$1:$D$1,0))</f>
        <v>L</v>
      </c>
      <c r="L793" t="str">
        <f t="shared" si="73"/>
        <v>Light</v>
      </c>
      <c r="M793">
        <f>INDEX(products!$A$1:$I$49,MATCH('Conditional Fomating'!$D793,products!$A$1:$A$49,0),MATCH('Conditional Fomating'!M$1,products!$A$1:$D$1,0))</f>
        <v>0.2</v>
      </c>
      <c r="N793">
        <f>_xlfn.XLOOKUP(D793,products!$A$2:$A$49,products!$E$2:$E$49)</f>
        <v>4.7549999999999999</v>
      </c>
      <c r="O793">
        <f>_xlfn.XLOOKUP(D793,products!$A$2:$A$49,products!$H$2:$H$49)</f>
        <v>4.1368499999999999</v>
      </c>
      <c r="P793">
        <f t="shared" si="74"/>
        <v>23.774999999999999</v>
      </c>
      <c r="Q793">
        <f t="shared" si="75"/>
        <v>20.684249999999999</v>
      </c>
      <c r="R793">
        <f t="shared" si="76"/>
        <v>3.0907499999999999</v>
      </c>
      <c r="S793" s="4">
        <f t="shared" si="77"/>
        <v>0.13</v>
      </c>
      <c r="T793" t="str">
        <f>_xlfn.XLOOKUP(C793,customers!$A$1:$A$1001,customers!$I$1:$I$1001,,0)</f>
        <v>Yes</v>
      </c>
    </row>
    <row r="794" spans="1:20"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INDEX(products!$A$1:$I$49,MATCH('Conditional Fomating'!$D794,products!$A$1:$A$49,0),MATCH('Conditional Fomating'!I$1,products!$A$1:$D$1,0))</f>
        <v>Lib</v>
      </c>
      <c r="J794" t="str">
        <f t="shared" si="72"/>
        <v>Liberica</v>
      </c>
      <c r="K794" t="str">
        <f>INDEX(products!$A$1:$I$49,MATCH('Conditional Fomating'!$D794,products!$A$1:$A$49,0),MATCH('Conditional Fomating'!K$1,products!$A$1:$D$1,0))</f>
        <v>M</v>
      </c>
      <c r="L794" t="str">
        <f t="shared" si="73"/>
        <v>Medium</v>
      </c>
      <c r="M794">
        <f>INDEX(products!$A$1:$I$49,MATCH('Conditional Fomating'!$D794,products!$A$1:$A$49,0),MATCH('Conditional Fomating'!M$1,products!$A$1:$D$1,0))</f>
        <v>0.5</v>
      </c>
      <c r="N794">
        <f>_xlfn.XLOOKUP(D794,products!$A$2:$A$49,products!$E$2:$E$49)</f>
        <v>8.73</v>
      </c>
      <c r="O794">
        <f>_xlfn.XLOOKUP(D794,products!$A$2:$A$49,products!$H$2:$H$49)</f>
        <v>7.5951000000000004</v>
      </c>
      <c r="P794">
        <f t="shared" si="74"/>
        <v>52.38</v>
      </c>
      <c r="Q794">
        <f t="shared" si="75"/>
        <v>45.570599999999999</v>
      </c>
      <c r="R794">
        <f t="shared" si="76"/>
        <v>6.8094000000000037</v>
      </c>
      <c r="S794" s="4">
        <f t="shared" si="77"/>
        <v>0.13000000000000006</v>
      </c>
      <c r="T794" t="str">
        <f>_xlfn.XLOOKUP(C794,customers!$A$1:$A$1001,customers!$I$1:$I$1001,,0)</f>
        <v>Yes</v>
      </c>
    </row>
    <row r="795" spans="1:20"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INDEX(products!$A$1:$I$49,MATCH('Conditional Fomating'!$D795,products!$A$1:$A$49,0),MATCH('Conditional Fomating'!I$1,products!$A$1:$D$1,0))</f>
        <v>Rob</v>
      </c>
      <c r="J795" t="str">
        <f t="shared" si="72"/>
        <v>Robusta</v>
      </c>
      <c r="K795" t="str">
        <f>INDEX(products!$A$1:$I$49,MATCH('Conditional Fomating'!$D795,products!$A$1:$A$49,0),MATCH('Conditional Fomating'!K$1,products!$A$1:$D$1,0))</f>
        <v>L</v>
      </c>
      <c r="L795" t="str">
        <f t="shared" si="73"/>
        <v>Light</v>
      </c>
      <c r="M795">
        <f>INDEX(products!$A$1:$I$49,MATCH('Conditional Fomating'!$D795,products!$A$1:$A$49,0),MATCH('Conditional Fomating'!M$1,products!$A$1:$D$1,0))</f>
        <v>0.2</v>
      </c>
      <c r="N795">
        <f>_xlfn.XLOOKUP(D795,products!$A$2:$A$49,products!$E$2:$E$49)</f>
        <v>3.5849999999999995</v>
      </c>
      <c r="O795">
        <f>_xlfn.XLOOKUP(D795,products!$A$2:$A$49,products!$H$2:$H$49)</f>
        <v>3.3698999999999995</v>
      </c>
      <c r="P795">
        <f t="shared" si="74"/>
        <v>17.924999999999997</v>
      </c>
      <c r="Q795">
        <f t="shared" si="75"/>
        <v>16.849499999999999</v>
      </c>
      <c r="R795">
        <f t="shared" si="76"/>
        <v>1.0754999999999981</v>
      </c>
      <c r="S795" s="4">
        <f t="shared" si="77"/>
        <v>5.9999999999999908E-2</v>
      </c>
      <c r="T795" t="str">
        <f>_xlfn.XLOOKUP(C795,customers!$A$1:$A$1001,customers!$I$1:$I$1001,,0)</f>
        <v>No</v>
      </c>
    </row>
    <row r="796" spans="1:20"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INDEX(products!$A$1:$I$49,MATCH('Conditional Fomating'!$D796,products!$A$1:$A$49,0),MATCH('Conditional Fomating'!I$1,products!$A$1:$D$1,0))</f>
        <v>Ara</v>
      </c>
      <c r="J796" t="str">
        <f t="shared" si="72"/>
        <v>Arabica</v>
      </c>
      <c r="K796" t="str">
        <f>INDEX(products!$A$1:$I$49,MATCH('Conditional Fomating'!$D796,products!$A$1:$A$49,0),MATCH('Conditional Fomating'!K$1,products!$A$1:$D$1,0))</f>
        <v>L</v>
      </c>
      <c r="L796" t="str">
        <f t="shared" si="73"/>
        <v>Light</v>
      </c>
      <c r="M796">
        <f>INDEX(products!$A$1:$I$49,MATCH('Conditional Fomating'!$D796,products!$A$1:$A$49,0),MATCH('Conditional Fomating'!M$1,products!$A$1:$D$1,0))</f>
        <v>2.5</v>
      </c>
      <c r="N796">
        <f>_xlfn.XLOOKUP(D796,products!$A$2:$A$49,products!$E$2:$E$49)</f>
        <v>29.784999999999997</v>
      </c>
      <c r="O796">
        <f>_xlfn.XLOOKUP(D796,products!$A$2:$A$49,products!$H$2:$H$49)</f>
        <v>27.104349999999997</v>
      </c>
      <c r="P796">
        <f t="shared" si="74"/>
        <v>148.92499999999998</v>
      </c>
      <c r="Q796">
        <f t="shared" si="75"/>
        <v>135.52175</v>
      </c>
      <c r="R796">
        <f t="shared" si="76"/>
        <v>13.403249999999986</v>
      </c>
      <c r="S796" s="4">
        <f t="shared" si="77"/>
        <v>8.9999999999999913E-2</v>
      </c>
      <c r="T796" t="str">
        <f>_xlfn.XLOOKUP(C796,customers!$A$1:$A$1001,customers!$I$1:$I$1001,,0)</f>
        <v>No</v>
      </c>
    </row>
    <row r="797" spans="1:20"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INDEX(products!$A$1:$I$49,MATCH('Conditional Fomating'!$D797,products!$A$1:$A$49,0),MATCH('Conditional Fomating'!I$1,products!$A$1:$D$1,0))</f>
        <v>Rob</v>
      </c>
      <c r="J797" t="str">
        <f t="shared" si="72"/>
        <v>Robusta</v>
      </c>
      <c r="K797" t="str">
        <f>INDEX(products!$A$1:$I$49,MATCH('Conditional Fomating'!$D797,products!$A$1:$A$49,0),MATCH('Conditional Fomating'!K$1,products!$A$1:$D$1,0))</f>
        <v>L</v>
      </c>
      <c r="L797" t="str">
        <f t="shared" si="73"/>
        <v>Light</v>
      </c>
      <c r="M797">
        <f>INDEX(products!$A$1:$I$49,MATCH('Conditional Fomating'!$D797,products!$A$1:$A$49,0),MATCH('Conditional Fomating'!M$1,products!$A$1:$D$1,0))</f>
        <v>0.5</v>
      </c>
      <c r="N797">
        <f>_xlfn.XLOOKUP(D797,products!$A$2:$A$49,products!$E$2:$E$49)</f>
        <v>7.169999999999999</v>
      </c>
      <c r="O797">
        <f>_xlfn.XLOOKUP(D797,products!$A$2:$A$49,products!$H$2:$H$49)</f>
        <v>6.7397999999999989</v>
      </c>
      <c r="P797">
        <f t="shared" si="74"/>
        <v>28.679999999999996</v>
      </c>
      <c r="Q797">
        <f t="shared" si="75"/>
        <v>26.959199999999996</v>
      </c>
      <c r="R797">
        <f t="shared" si="76"/>
        <v>1.7208000000000006</v>
      </c>
      <c r="S797" s="4">
        <f t="shared" si="77"/>
        <v>6.0000000000000026E-2</v>
      </c>
      <c r="T797" t="str">
        <f>_xlfn.XLOOKUP(C797,customers!$A$1:$A$1001,customers!$I$1:$I$1001,,0)</f>
        <v>No</v>
      </c>
    </row>
    <row r="798" spans="1:20"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v>
      </c>
      <c r="H798" s="2" t="str">
        <f>_xlfn.XLOOKUP(C798,customers!$A$1:$A$1001,customers!$G$1:$G$1001,,0)</f>
        <v>United States</v>
      </c>
      <c r="I798" t="str">
        <f>INDEX(products!$A$1:$I$49,MATCH('Conditional Fomating'!$D798,products!$A$1:$A$49,0),MATCH('Conditional Fomating'!I$1,products!$A$1:$D$1,0))</f>
        <v>Lib</v>
      </c>
      <c r="J798" t="str">
        <f t="shared" si="72"/>
        <v>Liberica</v>
      </c>
      <c r="K798" t="str">
        <f>INDEX(products!$A$1:$I$49,MATCH('Conditional Fomating'!$D798,products!$A$1:$A$49,0),MATCH('Conditional Fomating'!K$1,products!$A$1:$D$1,0))</f>
        <v>L</v>
      </c>
      <c r="L798" t="str">
        <f t="shared" si="73"/>
        <v>Light</v>
      </c>
      <c r="M798">
        <f>INDEX(products!$A$1:$I$49,MATCH('Conditional Fomating'!$D798,products!$A$1:$A$49,0),MATCH('Conditional Fomating'!M$1,products!$A$1:$D$1,0))</f>
        <v>0.5</v>
      </c>
      <c r="N798">
        <f>_xlfn.XLOOKUP(D798,products!$A$2:$A$49,products!$E$2:$E$49)</f>
        <v>9.51</v>
      </c>
      <c r="O798">
        <f>_xlfn.XLOOKUP(D798,products!$A$2:$A$49,products!$H$2:$H$49)</f>
        <v>8.2736999999999998</v>
      </c>
      <c r="P798">
        <f t="shared" si="74"/>
        <v>9.51</v>
      </c>
      <c r="Q798">
        <f t="shared" si="75"/>
        <v>8.2736999999999998</v>
      </c>
      <c r="R798">
        <f t="shared" si="76"/>
        <v>1.2363</v>
      </c>
      <c r="S798" s="4">
        <f t="shared" si="77"/>
        <v>0.13</v>
      </c>
      <c r="T798" t="str">
        <f>_xlfn.XLOOKUP(C798,customers!$A$1:$A$1001,customers!$I$1:$I$1001,,0)</f>
        <v>No</v>
      </c>
    </row>
    <row r="799" spans="1:20"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INDEX(products!$A$1:$I$49,MATCH('Conditional Fomating'!$D799,products!$A$1:$A$49,0),MATCH('Conditional Fomating'!I$1,products!$A$1:$D$1,0))</f>
        <v>Ara</v>
      </c>
      <c r="J799" t="str">
        <f t="shared" si="72"/>
        <v>Arabica</v>
      </c>
      <c r="K799" t="str">
        <f>INDEX(products!$A$1:$I$49,MATCH('Conditional Fomating'!$D799,products!$A$1:$A$49,0),MATCH('Conditional Fomating'!K$1,products!$A$1:$D$1,0))</f>
        <v>L</v>
      </c>
      <c r="L799" t="str">
        <f t="shared" si="73"/>
        <v>Light</v>
      </c>
      <c r="M799">
        <f>INDEX(products!$A$1:$I$49,MATCH('Conditional Fomating'!$D799,products!$A$1:$A$49,0),MATCH('Conditional Fomating'!M$1,products!$A$1:$D$1,0))</f>
        <v>0.5</v>
      </c>
      <c r="N799">
        <f>_xlfn.XLOOKUP(D799,products!$A$2:$A$49,products!$E$2:$E$49)</f>
        <v>7.77</v>
      </c>
      <c r="O799">
        <f>_xlfn.XLOOKUP(D799,products!$A$2:$A$49,products!$H$2:$H$49)</f>
        <v>7.0706999999999995</v>
      </c>
      <c r="P799">
        <f t="shared" si="74"/>
        <v>31.08</v>
      </c>
      <c r="Q799">
        <f t="shared" si="75"/>
        <v>28.282799999999998</v>
      </c>
      <c r="R799">
        <f t="shared" si="76"/>
        <v>2.7972000000000001</v>
      </c>
      <c r="S799" s="4">
        <f t="shared" si="77"/>
        <v>9.0000000000000011E-2</v>
      </c>
      <c r="T799" t="str">
        <f>_xlfn.XLOOKUP(C799,customers!$A$1:$A$1001,customers!$I$1:$I$1001,,0)</f>
        <v>No</v>
      </c>
    </row>
    <row r="800" spans="1:20"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INDEX(products!$A$1:$I$49,MATCH('Conditional Fomating'!$D800,products!$A$1:$A$49,0),MATCH('Conditional Fomating'!I$1,products!$A$1:$D$1,0))</f>
        <v>Rob</v>
      </c>
      <c r="J800" t="str">
        <f t="shared" si="72"/>
        <v>Robusta</v>
      </c>
      <c r="K800" t="str">
        <f>INDEX(products!$A$1:$I$49,MATCH('Conditional Fomating'!$D800,products!$A$1:$A$49,0),MATCH('Conditional Fomating'!K$1,products!$A$1:$D$1,0))</f>
        <v>D</v>
      </c>
      <c r="L800" t="str">
        <f t="shared" si="73"/>
        <v>Dark</v>
      </c>
      <c r="M800">
        <f>INDEX(products!$A$1:$I$49,MATCH('Conditional Fomating'!$D800,products!$A$1:$A$49,0),MATCH('Conditional Fomating'!M$1,products!$A$1:$D$1,0))</f>
        <v>0.2</v>
      </c>
      <c r="N800">
        <f>_xlfn.XLOOKUP(D800,products!$A$2:$A$49,products!$E$2:$E$49)</f>
        <v>2.6849999999999996</v>
      </c>
      <c r="O800">
        <f>_xlfn.XLOOKUP(D800,products!$A$2:$A$49,products!$H$2:$H$49)</f>
        <v>2.5238999999999998</v>
      </c>
      <c r="P800">
        <f t="shared" si="74"/>
        <v>8.0549999999999997</v>
      </c>
      <c r="Q800">
        <f t="shared" si="75"/>
        <v>7.5716999999999999</v>
      </c>
      <c r="R800">
        <f t="shared" si="76"/>
        <v>0.48329999999999984</v>
      </c>
      <c r="S800" s="4">
        <f t="shared" si="77"/>
        <v>5.9999999999999984E-2</v>
      </c>
      <c r="T800" t="str">
        <f>_xlfn.XLOOKUP(C800,customers!$A$1:$A$1001,customers!$I$1:$I$1001,,0)</f>
        <v>Yes</v>
      </c>
    </row>
    <row r="801" spans="1:20"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v>
      </c>
      <c r="H801" s="2" t="str">
        <f>_xlfn.XLOOKUP(C801,customers!$A$1:$A$1001,customers!$G$1:$G$1001,,0)</f>
        <v>United States</v>
      </c>
      <c r="I801" t="str">
        <f>INDEX(products!$A$1:$I$49,MATCH('Conditional Fomating'!$D801,products!$A$1:$A$49,0),MATCH('Conditional Fomating'!I$1,products!$A$1:$D$1,0))</f>
        <v>Exc</v>
      </c>
      <c r="J801" t="str">
        <f t="shared" si="72"/>
        <v>Excelsa</v>
      </c>
      <c r="K801" t="str">
        <f>INDEX(products!$A$1:$I$49,MATCH('Conditional Fomating'!$D801,products!$A$1:$A$49,0),MATCH('Conditional Fomating'!K$1,products!$A$1:$D$1,0))</f>
        <v>D</v>
      </c>
      <c r="L801" t="str">
        <f t="shared" si="73"/>
        <v>Dark</v>
      </c>
      <c r="M801">
        <f>INDEX(products!$A$1:$I$49,MATCH('Conditional Fomating'!$D801,products!$A$1:$A$49,0),MATCH('Conditional Fomating'!M$1,products!$A$1:$D$1,0))</f>
        <v>1</v>
      </c>
      <c r="N801">
        <f>_xlfn.XLOOKUP(D801,products!$A$2:$A$49,products!$E$2:$E$49)</f>
        <v>12.15</v>
      </c>
      <c r="O801">
        <f>_xlfn.XLOOKUP(D801,products!$A$2:$A$49,products!$H$2:$H$49)</f>
        <v>10.813500000000001</v>
      </c>
      <c r="P801">
        <f t="shared" si="74"/>
        <v>36.450000000000003</v>
      </c>
      <c r="Q801">
        <f t="shared" si="75"/>
        <v>32.4405</v>
      </c>
      <c r="R801">
        <f t="shared" si="76"/>
        <v>4.0095000000000027</v>
      </c>
      <c r="S801" s="4">
        <f t="shared" si="77"/>
        <v>0.11000000000000007</v>
      </c>
      <c r="T801" t="str">
        <f>_xlfn.XLOOKUP(C801,customers!$A$1:$A$1001,customers!$I$1:$I$1001,,0)</f>
        <v>Yes</v>
      </c>
    </row>
    <row r="802" spans="1:20"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INDEX(products!$A$1:$I$49,MATCH('Conditional Fomating'!$D802,products!$A$1:$A$49,0),MATCH('Conditional Fomating'!I$1,products!$A$1:$D$1,0))</f>
        <v>Rob</v>
      </c>
      <c r="J802" t="str">
        <f t="shared" si="72"/>
        <v>Robusta</v>
      </c>
      <c r="K802" t="str">
        <f>INDEX(products!$A$1:$I$49,MATCH('Conditional Fomating'!$D802,products!$A$1:$A$49,0),MATCH('Conditional Fomating'!K$1,products!$A$1:$D$1,0))</f>
        <v>D</v>
      </c>
      <c r="L802" t="str">
        <f t="shared" si="73"/>
        <v>Dark</v>
      </c>
      <c r="M802">
        <f>INDEX(products!$A$1:$I$49,MATCH('Conditional Fomating'!$D802,products!$A$1:$A$49,0),MATCH('Conditional Fomating'!M$1,products!$A$1:$D$1,0))</f>
        <v>0.2</v>
      </c>
      <c r="N802">
        <f>_xlfn.XLOOKUP(D802,products!$A$2:$A$49,products!$E$2:$E$49)</f>
        <v>2.6849999999999996</v>
      </c>
      <c r="O802">
        <f>_xlfn.XLOOKUP(D802,products!$A$2:$A$49,products!$H$2:$H$49)</f>
        <v>2.5238999999999998</v>
      </c>
      <c r="P802">
        <f t="shared" si="74"/>
        <v>16.11</v>
      </c>
      <c r="Q802">
        <f t="shared" si="75"/>
        <v>15.1434</v>
      </c>
      <c r="R802">
        <f t="shared" si="76"/>
        <v>0.96659999999999968</v>
      </c>
      <c r="S802" s="4">
        <f t="shared" si="77"/>
        <v>5.9999999999999984E-2</v>
      </c>
      <c r="T802" t="str">
        <f>_xlfn.XLOOKUP(C802,customers!$A$1:$A$1001,customers!$I$1:$I$1001,,0)</f>
        <v>No</v>
      </c>
    </row>
    <row r="803" spans="1:20"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INDEX(products!$A$1:$I$49,MATCH('Conditional Fomating'!$D803,products!$A$1:$A$49,0),MATCH('Conditional Fomating'!I$1,products!$A$1:$D$1,0))</f>
        <v>Rob</v>
      </c>
      <c r="J803" t="str">
        <f t="shared" si="72"/>
        <v>Robusta</v>
      </c>
      <c r="K803" t="str">
        <f>INDEX(products!$A$1:$I$49,MATCH('Conditional Fomating'!$D803,products!$A$1:$A$49,0),MATCH('Conditional Fomating'!K$1,products!$A$1:$D$1,0))</f>
        <v>D</v>
      </c>
      <c r="L803" t="str">
        <f t="shared" si="73"/>
        <v>Dark</v>
      </c>
      <c r="M803">
        <f>INDEX(products!$A$1:$I$49,MATCH('Conditional Fomating'!$D803,products!$A$1:$A$49,0),MATCH('Conditional Fomating'!M$1,products!$A$1:$D$1,0))</f>
        <v>2.5</v>
      </c>
      <c r="N803">
        <f>_xlfn.XLOOKUP(D803,products!$A$2:$A$49,products!$E$2:$E$49)</f>
        <v>20.584999999999997</v>
      </c>
      <c r="O803">
        <f>_xlfn.XLOOKUP(D803,products!$A$2:$A$49,products!$H$2:$H$49)</f>
        <v>19.349899999999998</v>
      </c>
      <c r="P803">
        <f t="shared" si="74"/>
        <v>41.169999999999995</v>
      </c>
      <c r="Q803">
        <f t="shared" si="75"/>
        <v>38.699799999999996</v>
      </c>
      <c r="R803">
        <f t="shared" si="76"/>
        <v>2.4701999999999984</v>
      </c>
      <c r="S803" s="4">
        <f t="shared" si="77"/>
        <v>5.999999999999997E-2</v>
      </c>
      <c r="T803" t="str">
        <f>_xlfn.XLOOKUP(C803,customers!$A$1:$A$1001,customers!$I$1:$I$1001,,0)</f>
        <v>Yes</v>
      </c>
    </row>
    <row r="804" spans="1:20"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INDEX(products!$A$1:$I$49,MATCH('Conditional Fomating'!$D804,products!$A$1:$A$49,0),MATCH('Conditional Fomating'!I$1,products!$A$1:$D$1,0))</f>
        <v>Rob</v>
      </c>
      <c r="J804" t="str">
        <f t="shared" si="72"/>
        <v>Robusta</v>
      </c>
      <c r="K804" t="str">
        <f>INDEX(products!$A$1:$I$49,MATCH('Conditional Fomating'!$D804,products!$A$1:$A$49,0),MATCH('Conditional Fomating'!K$1,products!$A$1:$D$1,0))</f>
        <v>D</v>
      </c>
      <c r="L804" t="str">
        <f t="shared" si="73"/>
        <v>Dark</v>
      </c>
      <c r="M804">
        <f>INDEX(products!$A$1:$I$49,MATCH('Conditional Fomating'!$D804,products!$A$1:$A$49,0),MATCH('Conditional Fomating'!M$1,products!$A$1:$D$1,0))</f>
        <v>0.2</v>
      </c>
      <c r="N804">
        <f>_xlfn.XLOOKUP(D804,products!$A$2:$A$49,products!$E$2:$E$49)</f>
        <v>2.6849999999999996</v>
      </c>
      <c r="O804">
        <f>_xlfn.XLOOKUP(D804,products!$A$2:$A$49,products!$H$2:$H$49)</f>
        <v>2.5238999999999998</v>
      </c>
      <c r="P804">
        <f t="shared" si="74"/>
        <v>10.739999999999998</v>
      </c>
      <c r="Q804">
        <f t="shared" si="75"/>
        <v>10.095599999999999</v>
      </c>
      <c r="R804">
        <f t="shared" si="76"/>
        <v>0.6443999999999992</v>
      </c>
      <c r="S804" s="4">
        <f t="shared" si="77"/>
        <v>5.9999999999999935E-2</v>
      </c>
      <c r="T804" t="str">
        <f>_xlfn.XLOOKUP(C804,customers!$A$1:$A$1001,customers!$I$1:$I$1001,,0)</f>
        <v>No</v>
      </c>
    </row>
    <row r="805" spans="1:20"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INDEX(products!$A$1:$I$49,MATCH('Conditional Fomating'!$D805,products!$A$1:$A$49,0),MATCH('Conditional Fomating'!I$1,products!$A$1:$D$1,0))</f>
        <v>Exc</v>
      </c>
      <c r="J805" t="str">
        <f t="shared" si="72"/>
        <v>Excelsa</v>
      </c>
      <c r="K805" t="str">
        <f>INDEX(products!$A$1:$I$49,MATCH('Conditional Fomating'!$D805,products!$A$1:$A$49,0),MATCH('Conditional Fomating'!K$1,products!$A$1:$D$1,0))</f>
        <v>M</v>
      </c>
      <c r="L805" t="str">
        <f t="shared" si="73"/>
        <v>Medium</v>
      </c>
      <c r="M805">
        <f>INDEX(products!$A$1:$I$49,MATCH('Conditional Fomating'!$D805,products!$A$1:$A$49,0),MATCH('Conditional Fomating'!M$1,products!$A$1:$D$1,0))</f>
        <v>2.5</v>
      </c>
      <c r="N805">
        <f>_xlfn.XLOOKUP(D805,products!$A$2:$A$49,products!$E$2:$E$49)</f>
        <v>31.624999999999996</v>
      </c>
      <c r="O805">
        <f>_xlfn.XLOOKUP(D805,products!$A$2:$A$49,products!$H$2:$H$49)</f>
        <v>28.146249999999995</v>
      </c>
      <c r="P805">
        <f t="shared" si="74"/>
        <v>126.49999999999999</v>
      </c>
      <c r="Q805">
        <f t="shared" si="75"/>
        <v>112.58499999999998</v>
      </c>
      <c r="R805">
        <f t="shared" si="76"/>
        <v>13.915000000000006</v>
      </c>
      <c r="S805" s="4">
        <f t="shared" si="77"/>
        <v>0.11000000000000006</v>
      </c>
      <c r="T805" t="str">
        <f>_xlfn.XLOOKUP(C805,customers!$A$1:$A$1001,customers!$I$1:$I$1001,,0)</f>
        <v>No</v>
      </c>
    </row>
    <row r="806" spans="1:20"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v>
      </c>
      <c r="H806" s="2" t="str">
        <f>_xlfn.XLOOKUP(C806,customers!$A$1:$A$1001,customers!$G$1:$G$1001,,0)</f>
        <v>United Kingdom</v>
      </c>
      <c r="I806" t="str">
        <f>INDEX(products!$A$1:$I$49,MATCH('Conditional Fomating'!$D806,products!$A$1:$A$49,0),MATCH('Conditional Fomating'!I$1,products!$A$1:$D$1,0))</f>
        <v>Rob</v>
      </c>
      <c r="J806" t="str">
        <f t="shared" si="72"/>
        <v>Robusta</v>
      </c>
      <c r="K806" t="str">
        <f>INDEX(products!$A$1:$I$49,MATCH('Conditional Fomating'!$D806,products!$A$1:$A$49,0),MATCH('Conditional Fomating'!K$1,products!$A$1:$D$1,0))</f>
        <v>L</v>
      </c>
      <c r="L806" t="str">
        <f t="shared" si="73"/>
        <v>Light</v>
      </c>
      <c r="M806">
        <f>INDEX(products!$A$1:$I$49,MATCH('Conditional Fomating'!$D806,products!$A$1:$A$49,0),MATCH('Conditional Fomating'!M$1,products!$A$1:$D$1,0))</f>
        <v>1</v>
      </c>
      <c r="N806">
        <f>_xlfn.XLOOKUP(D806,products!$A$2:$A$49,products!$E$2:$E$49)</f>
        <v>11.95</v>
      </c>
      <c r="O806">
        <f>_xlfn.XLOOKUP(D806,products!$A$2:$A$49,products!$H$2:$H$49)</f>
        <v>11.232999999999999</v>
      </c>
      <c r="P806">
        <f t="shared" si="74"/>
        <v>23.9</v>
      </c>
      <c r="Q806">
        <f t="shared" si="75"/>
        <v>22.465999999999998</v>
      </c>
      <c r="R806">
        <f t="shared" si="76"/>
        <v>1.4340000000000011</v>
      </c>
      <c r="S806" s="4">
        <f t="shared" si="77"/>
        <v>6.0000000000000046E-2</v>
      </c>
      <c r="T806" t="str">
        <f>_xlfn.XLOOKUP(C806,customers!$A$1:$A$1001,customers!$I$1:$I$1001,,0)</f>
        <v>No</v>
      </c>
    </row>
    <row r="807" spans="1:20"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v>
      </c>
      <c r="H807" s="2" t="str">
        <f>_xlfn.XLOOKUP(C807,customers!$A$1:$A$1001,customers!$G$1:$G$1001,,0)</f>
        <v>United States</v>
      </c>
      <c r="I807" t="str">
        <f>INDEX(products!$A$1:$I$49,MATCH('Conditional Fomating'!$D807,products!$A$1:$A$49,0),MATCH('Conditional Fomating'!I$1,products!$A$1:$D$1,0))</f>
        <v>Rob</v>
      </c>
      <c r="J807" t="str">
        <f t="shared" si="72"/>
        <v>Robusta</v>
      </c>
      <c r="K807" t="str">
        <f>INDEX(products!$A$1:$I$49,MATCH('Conditional Fomating'!$D807,products!$A$1:$A$49,0),MATCH('Conditional Fomating'!K$1,products!$A$1:$D$1,0))</f>
        <v>M</v>
      </c>
      <c r="L807" t="str">
        <f t="shared" si="73"/>
        <v>Medium</v>
      </c>
      <c r="M807">
        <f>INDEX(products!$A$1:$I$49,MATCH('Conditional Fomating'!$D807,products!$A$1:$A$49,0),MATCH('Conditional Fomating'!M$1,products!$A$1:$D$1,0))</f>
        <v>0.5</v>
      </c>
      <c r="N807">
        <f>_xlfn.XLOOKUP(D807,products!$A$2:$A$49,products!$E$2:$E$49)</f>
        <v>5.97</v>
      </c>
      <c r="O807">
        <f>_xlfn.XLOOKUP(D807,products!$A$2:$A$49,products!$H$2:$H$49)</f>
        <v>5.6117999999999997</v>
      </c>
      <c r="P807">
        <f t="shared" si="74"/>
        <v>5.97</v>
      </c>
      <c r="Q807">
        <f t="shared" si="75"/>
        <v>5.6117999999999997</v>
      </c>
      <c r="R807">
        <f t="shared" si="76"/>
        <v>0.35820000000000007</v>
      </c>
      <c r="S807" s="4">
        <f t="shared" si="77"/>
        <v>6.0000000000000012E-2</v>
      </c>
      <c r="T807" t="str">
        <f>_xlfn.XLOOKUP(C807,customers!$A$1:$A$1001,customers!$I$1:$I$1001,,0)</f>
        <v>No</v>
      </c>
    </row>
    <row r="808" spans="1:20"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v>
      </c>
      <c r="H808" s="2" t="str">
        <f>_xlfn.XLOOKUP(C808,customers!$A$1:$A$1001,customers!$G$1:$G$1001,,0)</f>
        <v>United Kingdom</v>
      </c>
      <c r="I808" t="str">
        <f>INDEX(products!$A$1:$I$49,MATCH('Conditional Fomating'!$D808,products!$A$1:$A$49,0),MATCH('Conditional Fomating'!I$1,products!$A$1:$D$1,0))</f>
        <v>Lib</v>
      </c>
      <c r="J808" t="str">
        <f t="shared" si="72"/>
        <v>Liberica</v>
      </c>
      <c r="K808" t="str">
        <f>INDEX(products!$A$1:$I$49,MATCH('Conditional Fomating'!$D808,products!$A$1:$A$49,0),MATCH('Conditional Fomating'!K$1,products!$A$1:$D$1,0))</f>
        <v>D</v>
      </c>
      <c r="L808" t="str">
        <f t="shared" si="73"/>
        <v>Dark</v>
      </c>
      <c r="M808">
        <f>INDEX(products!$A$1:$I$49,MATCH('Conditional Fomating'!$D808,products!$A$1:$A$49,0),MATCH('Conditional Fomating'!M$1,products!$A$1:$D$1,0))</f>
        <v>0.2</v>
      </c>
      <c r="N808">
        <f>_xlfn.XLOOKUP(D808,products!$A$2:$A$49,products!$E$2:$E$49)</f>
        <v>3.8849999999999998</v>
      </c>
      <c r="O808">
        <f>_xlfn.XLOOKUP(D808,products!$A$2:$A$49,products!$H$2:$H$49)</f>
        <v>3.37995</v>
      </c>
      <c r="P808">
        <f t="shared" si="74"/>
        <v>7.77</v>
      </c>
      <c r="Q808">
        <f t="shared" si="75"/>
        <v>6.7599</v>
      </c>
      <c r="R808">
        <f t="shared" si="76"/>
        <v>1.0100999999999996</v>
      </c>
      <c r="S808" s="4">
        <f t="shared" si="77"/>
        <v>0.12999999999999995</v>
      </c>
      <c r="T808" t="str">
        <f>_xlfn.XLOOKUP(C808,customers!$A$1:$A$1001,customers!$I$1:$I$1001,,0)</f>
        <v>Yes</v>
      </c>
    </row>
    <row r="809" spans="1:20"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INDEX(products!$A$1:$I$49,MATCH('Conditional Fomating'!$D809,products!$A$1:$A$49,0),MATCH('Conditional Fomating'!I$1,products!$A$1:$D$1,0))</f>
        <v>Lib</v>
      </c>
      <c r="J809" t="str">
        <f t="shared" si="72"/>
        <v>Liberica</v>
      </c>
      <c r="K809" t="str">
        <f>INDEX(products!$A$1:$I$49,MATCH('Conditional Fomating'!$D809,products!$A$1:$A$49,0),MATCH('Conditional Fomating'!K$1,products!$A$1:$D$1,0))</f>
        <v>D</v>
      </c>
      <c r="L809" t="str">
        <f t="shared" si="73"/>
        <v>Dark</v>
      </c>
      <c r="M809">
        <f>INDEX(products!$A$1:$I$49,MATCH('Conditional Fomating'!$D809,products!$A$1:$A$49,0),MATCH('Conditional Fomating'!M$1,products!$A$1:$D$1,0))</f>
        <v>0.5</v>
      </c>
      <c r="N809">
        <f>_xlfn.XLOOKUP(D809,products!$A$2:$A$49,products!$E$2:$E$49)</f>
        <v>7.77</v>
      </c>
      <c r="O809">
        <f>_xlfn.XLOOKUP(D809,products!$A$2:$A$49,products!$H$2:$H$49)</f>
        <v>6.7599</v>
      </c>
      <c r="P809">
        <f t="shared" si="74"/>
        <v>23.31</v>
      </c>
      <c r="Q809">
        <f t="shared" si="75"/>
        <v>20.279699999999998</v>
      </c>
      <c r="R809">
        <f t="shared" si="76"/>
        <v>3.0303000000000004</v>
      </c>
      <c r="S809" s="4">
        <f t="shared" si="77"/>
        <v>0.13000000000000003</v>
      </c>
      <c r="T809" t="str">
        <f>_xlfn.XLOOKUP(C809,customers!$A$1:$A$1001,customers!$I$1:$I$1001,,0)</f>
        <v>No</v>
      </c>
    </row>
    <row r="810" spans="1:20"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v>
      </c>
      <c r="H810" s="2" t="str">
        <f>_xlfn.XLOOKUP(C810,customers!$A$1:$A$1001,customers!$G$1:$G$1001,,0)</f>
        <v>United States</v>
      </c>
      <c r="I810" t="str">
        <f>INDEX(products!$A$1:$I$49,MATCH('Conditional Fomating'!$D810,products!$A$1:$A$49,0),MATCH('Conditional Fomating'!I$1,products!$A$1:$D$1,0))</f>
        <v>Rob</v>
      </c>
      <c r="J810" t="str">
        <f t="shared" si="72"/>
        <v>Robusta</v>
      </c>
      <c r="K810" t="str">
        <f>INDEX(products!$A$1:$I$49,MATCH('Conditional Fomating'!$D810,products!$A$1:$A$49,0),MATCH('Conditional Fomating'!K$1,products!$A$1:$D$1,0))</f>
        <v>L</v>
      </c>
      <c r="L810" t="str">
        <f t="shared" si="73"/>
        <v>Light</v>
      </c>
      <c r="M810">
        <f>INDEX(products!$A$1:$I$49,MATCH('Conditional Fomating'!$D810,products!$A$1:$A$49,0),MATCH('Conditional Fomating'!M$1,products!$A$1:$D$1,0))</f>
        <v>2.5</v>
      </c>
      <c r="N810">
        <f>_xlfn.XLOOKUP(D810,products!$A$2:$A$49,products!$E$2:$E$49)</f>
        <v>27.484999999999996</v>
      </c>
      <c r="O810">
        <f>_xlfn.XLOOKUP(D810,products!$A$2:$A$49,products!$H$2:$H$49)</f>
        <v>25.835899999999995</v>
      </c>
      <c r="P810">
        <f t="shared" si="74"/>
        <v>137.42499999999998</v>
      </c>
      <c r="Q810">
        <f t="shared" si="75"/>
        <v>129.17949999999996</v>
      </c>
      <c r="R810">
        <f t="shared" si="76"/>
        <v>8.2455000000000211</v>
      </c>
      <c r="S810" s="4">
        <f t="shared" si="77"/>
        <v>6.0000000000000164E-2</v>
      </c>
      <c r="T810" t="str">
        <f>_xlfn.XLOOKUP(C810,customers!$A$1:$A$1001,customers!$I$1:$I$1001,,0)</f>
        <v>No</v>
      </c>
    </row>
    <row r="811" spans="1:20"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v>
      </c>
      <c r="H811" s="2" t="str">
        <f>_xlfn.XLOOKUP(C811,customers!$A$1:$A$1001,customers!$G$1:$G$1001,,0)</f>
        <v>United States</v>
      </c>
      <c r="I811" t="str">
        <f>INDEX(products!$A$1:$I$49,MATCH('Conditional Fomating'!$D811,products!$A$1:$A$49,0),MATCH('Conditional Fomating'!I$1,products!$A$1:$D$1,0))</f>
        <v>Rob</v>
      </c>
      <c r="J811" t="str">
        <f t="shared" si="72"/>
        <v>Robusta</v>
      </c>
      <c r="K811" t="str">
        <f>INDEX(products!$A$1:$I$49,MATCH('Conditional Fomating'!$D811,products!$A$1:$A$49,0),MATCH('Conditional Fomating'!K$1,products!$A$1:$D$1,0))</f>
        <v>D</v>
      </c>
      <c r="L811" t="str">
        <f t="shared" si="73"/>
        <v>Dark</v>
      </c>
      <c r="M811">
        <f>INDEX(products!$A$1:$I$49,MATCH('Conditional Fomating'!$D811,products!$A$1:$A$49,0),MATCH('Conditional Fomating'!M$1,products!$A$1:$D$1,0))</f>
        <v>0.2</v>
      </c>
      <c r="N811">
        <f>_xlfn.XLOOKUP(D811,products!$A$2:$A$49,products!$E$2:$E$49)</f>
        <v>2.6849999999999996</v>
      </c>
      <c r="O811">
        <f>_xlfn.XLOOKUP(D811,products!$A$2:$A$49,products!$H$2:$H$49)</f>
        <v>2.5238999999999998</v>
      </c>
      <c r="P811">
        <f t="shared" si="74"/>
        <v>8.0549999999999997</v>
      </c>
      <c r="Q811">
        <f t="shared" si="75"/>
        <v>7.5716999999999999</v>
      </c>
      <c r="R811">
        <f t="shared" si="76"/>
        <v>0.48329999999999984</v>
      </c>
      <c r="S811" s="4">
        <f t="shared" si="77"/>
        <v>5.9999999999999984E-2</v>
      </c>
      <c r="T811" t="str">
        <f>_xlfn.XLOOKUP(C811,customers!$A$1:$A$1001,customers!$I$1:$I$1001,,0)</f>
        <v>Yes</v>
      </c>
    </row>
    <row r="812" spans="1:20"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INDEX(products!$A$1:$I$49,MATCH('Conditional Fomating'!$D812,products!$A$1:$A$49,0),MATCH('Conditional Fomating'!I$1,products!$A$1:$D$1,0))</f>
        <v>Lib</v>
      </c>
      <c r="J812" t="str">
        <f t="shared" si="72"/>
        <v>Liberica</v>
      </c>
      <c r="K812" t="str">
        <f>INDEX(products!$A$1:$I$49,MATCH('Conditional Fomating'!$D812,products!$A$1:$A$49,0),MATCH('Conditional Fomating'!K$1,products!$A$1:$D$1,0))</f>
        <v>L</v>
      </c>
      <c r="L812" t="str">
        <f t="shared" si="73"/>
        <v>Light</v>
      </c>
      <c r="M812">
        <f>INDEX(products!$A$1:$I$49,MATCH('Conditional Fomating'!$D812,products!$A$1:$A$49,0),MATCH('Conditional Fomating'!M$1,products!$A$1:$D$1,0))</f>
        <v>0.5</v>
      </c>
      <c r="N812">
        <f>_xlfn.XLOOKUP(D812,products!$A$2:$A$49,products!$E$2:$E$49)</f>
        <v>9.51</v>
      </c>
      <c r="O812">
        <f>_xlfn.XLOOKUP(D812,products!$A$2:$A$49,products!$H$2:$H$49)</f>
        <v>8.2736999999999998</v>
      </c>
      <c r="P812">
        <f t="shared" si="74"/>
        <v>28.53</v>
      </c>
      <c r="Q812">
        <f t="shared" si="75"/>
        <v>24.821100000000001</v>
      </c>
      <c r="R812">
        <f t="shared" si="76"/>
        <v>3.7088999999999999</v>
      </c>
      <c r="S812" s="4">
        <f t="shared" si="77"/>
        <v>0.12999999999999998</v>
      </c>
      <c r="T812" t="str">
        <f>_xlfn.XLOOKUP(C812,customers!$A$1:$A$1001,customers!$I$1:$I$1001,,0)</f>
        <v>No</v>
      </c>
    </row>
    <row r="813" spans="1:20"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INDEX(products!$A$1:$I$49,MATCH('Conditional Fomating'!$D813,products!$A$1:$A$49,0),MATCH('Conditional Fomating'!I$1,products!$A$1:$D$1,0))</f>
        <v>Ara</v>
      </c>
      <c r="J813" t="str">
        <f t="shared" si="72"/>
        <v>Arabica</v>
      </c>
      <c r="K813" t="str">
        <f>INDEX(products!$A$1:$I$49,MATCH('Conditional Fomating'!$D813,products!$A$1:$A$49,0),MATCH('Conditional Fomating'!K$1,products!$A$1:$D$1,0))</f>
        <v>M</v>
      </c>
      <c r="L813" t="str">
        <f t="shared" si="73"/>
        <v>Medium</v>
      </c>
      <c r="M813">
        <f>INDEX(products!$A$1:$I$49,MATCH('Conditional Fomating'!$D813,products!$A$1:$A$49,0),MATCH('Conditional Fomating'!M$1,products!$A$1:$D$1,0))</f>
        <v>1</v>
      </c>
      <c r="N813">
        <f>_xlfn.XLOOKUP(D813,products!$A$2:$A$49,products!$E$2:$E$49)</f>
        <v>11.25</v>
      </c>
      <c r="O813">
        <f>_xlfn.XLOOKUP(D813,products!$A$2:$A$49,products!$H$2:$H$49)</f>
        <v>10.237500000000001</v>
      </c>
      <c r="P813">
        <f t="shared" si="74"/>
        <v>67.5</v>
      </c>
      <c r="Q813">
        <f t="shared" si="75"/>
        <v>61.425000000000004</v>
      </c>
      <c r="R813">
        <f t="shared" si="76"/>
        <v>6.0749999999999957</v>
      </c>
      <c r="S813" s="4">
        <f t="shared" si="77"/>
        <v>8.9999999999999941E-2</v>
      </c>
      <c r="T813" t="str">
        <f>_xlfn.XLOOKUP(C813,customers!$A$1:$A$1001,customers!$I$1:$I$1001,,0)</f>
        <v>Yes</v>
      </c>
    </row>
    <row r="814" spans="1:20"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INDEX(products!$A$1:$I$49,MATCH('Conditional Fomating'!$D814,products!$A$1:$A$49,0),MATCH('Conditional Fomating'!I$1,products!$A$1:$D$1,0))</f>
        <v>Lib</v>
      </c>
      <c r="J814" t="str">
        <f t="shared" si="72"/>
        <v>Liberica</v>
      </c>
      <c r="K814" t="str">
        <f>INDEX(products!$A$1:$I$49,MATCH('Conditional Fomating'!$D814,products!$A$1:$A$49,0),MATCH('Conditional Fomating'!K$1,products!$A$1:$D$1,0))</f>
        <v>D</v>
      </c>
      <c r="L814" t="str">
        <f t="shared" si="73"/>
        <v>Dark</v>
      </c>
      <c r="M814">
        <f>INDEX(products!$A$1:$I$49,MATCH('Conditional Fomating'!$D814,products!$A$1:$A$49,0),MATCH('Conditional Fomating'!M$1,products!$A$1:$D$1,0))</f>
        <v>2.5</v>
      </c>
      <c r="N814">
        <f>_xlfn.XLOOKUP(D814,products!$A$2:$A$49,products!$E$2:$E$49)</f>
        <v>29.784999999999997</v>
      </c>
      <c r="O814">
        <f>_xlfn.XLOOKUP(D814,products!$A$2:$A$49,products!$H$2:$H$49)</f>
        <v>25.912949999999995</v>
      </c>
      <c r="P814">
        <f t="shared" si="74"/>
        <v>178.70999999999998</v>
      </c>
      <c r="Q814">
        <f t="shared" si="75"/>
        <v>155.47769999999997</v>
      </c>
      <c r="R814">
        <f t="shared" si="76"/>
        <v>23.232300000000009</v>
      </c>
      <c r="S814" s="4">
        <f t="shared" si="77"/>
        <v>0.13000000000000006</v>
      </c>
      <c r="T814" t="str">
        <f>_xlfn.XLOOKUP(C814,customers!$A$1:$A$1001,customers!$I$1:$I$1001,,0)</f>
        <v>Yes</v>
      </c>
    </row>
    <row r="815" spans="1:20"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INDEX(products!$A$1:$I$49,MATCH('Conditional Fomating'!$D815,products!$A$1:$A$49,0),MATCH('Conditional Fomating'!I$1,products!$A$1:$D$1,0))</f>
        <v>Exc</v>
      </c>
      <c r="J815" t="str">
        <f t="shared" si="72"/>
        <v>Excelsa</v>
      </c>
      <c r="K815" t="str">
        <f>INDEX(products!$A$1:$I$49,MATCH('Conditional Fomating'!$D815,products!$A$1:$A$49,0),MATCH('Conditional Fomating'!K$1,products!$A$1:$D$1,0))</f>
        <v>M</v>
      </c>
      <c r="L815" t="str">
        <f t="shared" si="73"/>
        <v>Medium</v>
      </c>
      <c r="M815">
        <f>INDEX(products!$A$1:$I$49,MATCH('Conditional Fomating'!$D815,products!$A$1:$A$49,0),MATCH('Conditional Fomating'!M$1,products!$A$1:$D$1,0))</f>
        <v>2.5</v>
      </c>
      <c r="N815">
        <f>_xlfn.XLOOKUP(D815,products!$A$2:$A$49,products!$E$2:$E$49)</f>
        <v>31.624999999999996</v>
      </c>
      <c r="O815">
        <f>_xlfn.XLOOKUP(D815,products!$A$2:$A$49,products!$H$2:$H$49)</f>
        <v>28.146249999999995</v>
      </c>
      <c r="P815">
        <f t="shared" si="74"/>
        <v>31.624999999999996</v>
      </c>
      <c r="Q815">
        <f t="shared" si="75"/>
        <v>28.146249999999995</v>
      </c>
      <c r="R815">
        <f t="shared" si="76"/>
        <v>3.4787500000000016</v>
      </c>
      <c r="S815" s="4">
        <f t="shared" si="77"/>
        <v>0.11000000000000006</v>
      </c>
      <c r="T815" t="str">
        <f>_xlfn.XLOOKUP(C815,customers!$A$1:$A$1001,customers!$I$1:$I$1001,,0)</f>
        <v>Yes</v>
      </c>
    </row>
    <row r="816" spans="1:20"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INDEX(products!$A$1:$I$49,MATCH('Conditional Fomating'!$D816,products!$A$1:$A$49,0),MATCH('Conditional Fomating'!I$1,products!$A$1:$D$1,0))</f>
        <v>Exc</v>
      </c>
      <c r="J816" t="str">
        <f t="shared" si="72"/>
        <v>Excelsa</v>
      </c>
      <c r="K816" t="str">
        <f>INDEX(products!$A$1:$I$49,MATCH('Conditional Fomating'!$D816,products!$A$1:$A$49,0),MATCH('Conditional Fomating'!K$1,products!$A$1:$D$1,0))</f>
        <v>L</v>
      </c>
      <c r="L816" t="str">
        <f t="shared" si="73"/>
        <v>Light</v>
      </c>
      <c r="M816">
        <f>INDEX(products!$A$1:$I$49,MATCH('Conditional Fomating'!$D816,products!$A$1:$A$49,0),MATCH('Conditional Fomating'!M$1,products!$A$1:$D$1,0))</f>
        <v>0.2</v>
      </c>
      <c r="N816">
        <f>_xlfn.XLOOKUP(D816,products!$A$2:$A$49,products!$E$2:$E$49)</f>
        <v>4.4550000000000001</v>
      </c>
      <c r="O816">
        <f>_xlfn.XLOOKUP(D816,products!$A$2:$A$49,products!$H$2:$H$49)</f>
        <v>3.96495</v>
      </c>
      <c r="P816">
        <f t="shared" si="74"/>
        <v>8.91</v>
      </c>
      <c r="Q816">
        <f t="shared" si="75"/>
        <v>7.9298999999999999</v>
      </c>
      <c r="R816">
        <f t="shared" si="76"/>
        <v>0.98010000000000019</v>
      </c>
      <c r="S816" s="4">
        <f t="shared" si="77"/>
        <v>0.11000000000000001</v>
      </c>
      <c r="T816" t="str">
        <f>_xlfn.XLOOKUP(C816,customers!$A$1:$A$1001,customers!$I$1:$I$1001,,0)</f>
        <v>No</v>
      </c>
    </row>
    <row r="817" spans="1:20"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INDEX(products!$A$1:$I$49,MATCH('Conditional Fomating'!$D817,products!$A$1:$A$49,0),MATCH('Conditional Fomating'!I$1,products!$A$1:$D$1,0))</f>
        <v>Rob</v>
      </c>
      <c r="J817" t="str">
        <f t="shared" si="72"/>
        <v>Robusta</v>
      </c>
      <c r="K817" t="str">
        <f>INDEX(products!$A$1:$I$49,MATCH('Conditional Fomating'!$D817,products!$A$1:$A$49,0),MATCH('Conditional Fomating'!K$1,products!$A$1:$D$1,0))</f>
        <v>M</v>
      </c>
      <c r="L817" t="str">
        <f t="shared" si="73"/>
        <v>Medium</v>
      </c>
      <c r="M817">
        <f>INDEX(products!$A$1:$I$49,MATCH('Conditional Fomating'!$D817,products!$A$1:$A$49,0),MATCH('Conditional Fomating'!M$1,products!$A$1:$D$1,0))</f>
        <v>0.5</v>
      </c>
      <c r="N817">
        <f>_xlfn.XLOOKUP(D817,products!$A$2:$A$49,products!$E$2:$E$49)</f>
        <v>5.97</v>
      </c>
      <c r="O817">
        <f>_xlfn.XLOOKUP(D817,products!$A$2:$A$49,products!$H$2:$H$49)</f>
        <v>5.6117999999999997</v>
      </c>
      <c r="P817">
        <f t="shared" si="74"/>
        <v>35.82</v>
      </c>
      <c r="Q817">
        <f t="shared" si="75"/>
        <v>33.6708</v>
      </c>
      <c r="R817">
        <f t="shared" si="76"/>
        <v>2.1492000000000004</v>
      </c>
      <c r="S817" s="4">
        <f t="shared" si="77"/>
        <v>6.0000000000000012E-2</v>
      </c>
      <c r="T817" t="str">
        <f>_xlfn.XLOOKUP(C817,customers!$A$1:$A$1001,customers!$I$1:$I$1001,,0)</f>
        <v>No</v>
      </c>
    </row>
    <row r="818" spans="1:20"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INDEX(products!$A$1:$I$49,MATCH('Conditional Fomating'!$D818,products!$A$1:$A$49,0),MATCH('Conditional Fomating'!I$1,products!$A$1:$D$1,0))</f>
        <v>Lib</v>
      </c>
      <c r="J818" t="str">
        <f t="shared" si="72"/>
        <v>Liberica</v>
      </c>
      <c r="K818" t="str">
        <f>INDEX(products!$A$1:$I$49,MATCH('Conditional Fomating'!$D818,products!$A$1:$A$49,0),MATCH('Conditional Fomating'!K$1,products!$A$1:$D$1,0))</f>
        <v>L</v>
      </c>
      <c r="L818" t="str">
        <f t="shared" si="73"/>
        <v>Light</v>
      </c>
      <c r="M818">
        <f>INDEX(products!$A$1:$I$49,MATCH('Conditional Fomating'!$D818,products!$A$1:$A$49,0),MATCH('Conditional Fomating'!M$1,products!$A$1:$D$1,0))</f>
        <v>0.5</v>
      </c>
      <c r="N818">
        <f>_xlfn.XLOOKUP(D818,products!$A$2:$A$49,products!$E$2:$E$49)</f>
        <v>9.51</v>
      </c>
      <c r="O818">
        <f>_xlfn.XLOOKUP(D818,products!$A$2:$A$49,products!$H$2:$H$49)</f>
        <v>8.2736999999999998</v>
      </c>
      <c r="P818">
        <f t="shared" si="74"/>
        <v>38.04</v>
      </c>
      <c r="Q818">
        <f t="shared" si="75"/>
        <v>33.094799999999999</v>
      </c>
      <c r="R818">
        <f t="shared" si="76"/>
        <v>4.9451999999999998</v>
      </c>
      <c r="S818" s="4">
        <f t="shared" si="77"/>
        <v>0.13</v>
      </c>
      <c r="T818" t="str">
        <f>_xlfn.XLOOKUP(C818,customers!$A$1:$A$1001,customers!$I$1:$I$1001,,0)</f>
        <v>No</v>
      </c>
    </row>
    <row r="819" spans="1:20"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INDEX(products!$A$1:$I$49,MATCH('Conditional Fomating'!$D819,products!$A$1:$A$49,0),MATCH('Conditional Fomating'!I$1,products!$A$1:$D$1,0))</f>
        <v>Lib</v>
      </c>
      <c r="J819" t="str">
        <f t="shared" si="72"/>
        <v>Liberica</v>
      </c>
      <c r="K819" t="str">
        <f>INDEX(products!$A$1:$I$49,MATCH('Conditional Fomating'!$D819,products!$A$1:$A$49,0),MATCH('Conditional Fomating'!K$1,products!$A$1:$D$1,0))</f>
        <v>D</v>
      </c>
      <c r="L819" t="str">
        <f t="shared" si="73"/>
        <v>Dark</v>
      </c>
      <c r="M819">
        <f>INDEX(products!$A$1:$I$49,MATCH('Conditional Fomating'!$D819,products!$A$1:$A$49,0),MATCH('Conditional Fomating'!M$1,products!$A$1:$D$1,0))</f>
        <v>0.5</v>
      </c>
      <c r="N819">
        <f>_xlfn.XLOOKUP(D819,products!$A$2:$A$49,products!$E$2:$E$49)</f>
        <v>7.77</v>
      </c>
      <c r="O819">
        <f>_xlfn.XLOOKUP(D819,products!$A$2:$A$49,products!$H$2:$H$49)</f>
        <v>6.7599</v>
      </c>
      <c r="P819">
        <f t="shared" si="74"/>
        <v>15.54</v>
      </c>
      <c r="Q819">
        <f t="shared" si="75"/>
        <v>13.5198</v>
      </c>
      <c r="R819">
        <f t="shared" si="76"/>
        <v>2.0201999999999991</v>
      </c>
      <c r="S819" s="4">
        <f t="shared" si="77"/>
        <v>0.12999999999999995</v>
      </c>
      <c r="T819" t="str">
        <f>_xlfn.XLOOKUP(C819,customers!$A$1:$A$1001,customers!$I$1:$I$1001,,0)</f>
        <v>No</v>
      </c>
    </row>
    <row r="820" spans="1:20"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v>
      </c>
      <c r="H820" s="2" t="str">
        <f>_xlfn.XLOOKUP(C820,customers!$A$1:$A$1001,customers!$G$1:$G$1001,,0)</f>
        <v>United States</v>
      </c>
      <c r="I820" t="str">
        <f>INDEX(products!$A$1:$I$49,MATCH('Conditional Fomating'!$D820,products!$A$1:$A$49,0),MATCH('Conditional Fomating'!I$1,products!$A$1:$D$1,0))</f>
        <v>Lib</v>
      </c>
      <c r="J820" t="str">
        <f t="shared" si="72"/>
        <v>Liberica</v>
      </c>
      <c r="K820" t="str">
        <f>INDEX(products!$A$1:$I$49,MATCH('Conditional Fomating'!$D820,products!$A$1:$A$49,0),MATCH('Conditional Fomating'!K$1,products!$A$1:$D$1,0))</f>
        <v>L</v>
      </c>
      <c r="L820" t="str">
        <f t="shared" si="73"/>
        <v>Light</v>
      </c>
      <c r="M820">
        <f>INDEX(products!$A$1:$I$49,MATCH('Conditional Fomating'!$D820,products!$A$1:$A$49,0),MATCH('Conditional Fomating'!M$1,products!$A$1:$D$1,0))</f>
        <v>1</v>
      </c>
      <c r="N820">
        <f>_xlfn.XLOOKUP(D820,products!$A$2:$A$49,products!$E$2:$E$49)</f>
        <v>15.85</v>
      </c>
      <c r="O820">
        <f>_xlfn.XLOOKUP(D820,products!$A$2:$A$49,products!$H$2:$H$49)</f>
        <v>13.7895</v>
      </c>
      <c r="P820">
        <f t="shared" si="74"/>
        <v>79.25</v>
      </c>
      <c r="Q820">
        <f t="shared" si="75"/>
        <v>68.947500000000005</v>
      </c>
      <c r="R820">
        <f t="shared" si="76"/>
        <v>10.302499999999995</v>
      </c>
      <c r="S820" s="4">
        <f t="shared" si="77"/>
        <v>0.12999999999999995</v>
      </c>
      <c r="T820" t="str">
        <f>_xlfn.XLOOKUP(C820,customers!$A$1:$A$1001,customers!$I$1:$I$1001,,0)</f>
        <v>No</v>
      </c>
    </row>
    <row r="821" spans="1:20"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INDEX(products!$A$1:$I$49,MATCH('Conditional Fomating'!$D821,products!$A$1:$A$49,0),MATCH('Conditional Fomating'!I$1,products!$A$1:$D$1,0))</f>
        <v>Lib</v>
      </c>
      <c r="J821" t="str">
        <f t="shared" si="72"/>
        <v>Liberica</v>
      </c>
      <c r="K821" t="str">
        <f>INDEX(products!$A$1:$I$49,MATCH('Conditional Fomating'!$D821,products!$A$1:$A$49,0),MATCH('Conditional Fomating'!K$1,products!$A$1:$D$1,0))</f>
        <v>L</v>
      </c>
      <c r="L821" t="str">
        <f t="shared" si="73"/>
        <v>Light</v>
      </c>
      <c r="M821">
        <f>INDEX(products!$A$1:$I$49,MATCH('Conditional Fomating'!$D821,products!$A$1:$A$49,0),MATCH('Conditional Fomating'!M$1,products!$A$1:$D$1,0))</f>
        <v>0.2</v>
      </c>
      <c r="N821">
        <f>_xlfn.XLOOKUP(D821,products!$A$2:$A$49,products!$E$2:$E$49)</f>
        <v>4.7549999999999999</v>
      </c>
      <c r="O821">
        <f>_xlfn.XLOOKUP(D821,products!$A$2:$A$49,products!$H$2:$H$49)</f>
        <v>4.1368499999999999</v>
      </c>
      <c r="P821">
        <f t="shared" si="74"/>
        <v>4.7549999999999999</v>
      </c>
      <c r="Q821">
        <f t="shared" si="75"/>
        <v>4.1368499999999999</v>
      </c>
      <c r="R821">
        <f t="shared" si="76"/>
        <v>0.61814999999999998</v>
      </c>
      <c r="S821" s="4">
        <f t="shared" si="77"/>
        <v>0.13</v>
      </c>
      <c r="T821" t="str">
        <f>_xlfn.XLOOKUP(C821,customers!$A$1:$A$1001,customers!$I$1:$I$1001,,0)</f>
        <v>Yes</v>
      </c>
    </row>
    <row r="822" spans="1:20"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INDEX(products!$A$1:$I$49,MATCH('Conditional Fomating'!$D822,products!$A$1:$A$49,0),MATCH('Conditional Fomating'!I$1,products!$A$1:$D$1,0))</f>
        <v>Exc</v>
      </c>
      <c r="J822" t="str">
        <f t="shared" si="72"/>
        <v>Excelsa</v>
      </c>
      <c r="K822" t="str">
        <f>INDEX(products!$A$1:$I$49,MATCH('Conditional Fomating'!$D822,products!$A$1:$A$49,0),MATCH('Conditional Fomating'!K$1,products!$A$1:$D$1,0))</f>
        <v>M</v>
      </c>
      <c r="L822" t="str">
        <f t="shared" si="73"/>
        <v>Medium</v>
      </c>
      <c r="M822">
        <f>INDEX(products!$A$1:$I$49,MATCH('Conditional Fomating'!$D822,products!$A$1:$A$49,0),MATCH('Conditional Fomating'!M$1,products!$A$1:$D$1,0))</f>
        <v>1</v>
      </c>
      <c r="N822">
        <f>_xlfn.XLOOKUP(D822,products!$A$2:$A$49,products!$E$2:$E$49)</f>
        <v>13.75</v>
      </c>
      <c r="O822">
        <f>_xlfn.XLOOKUP(D822,products!$A$2:$A$49,products!$H$2:$H$49)</f>
        <v>12.237500000000001</v>
      </c>
      <c r="P822">
        <f t="shared" si="74"/>
        <v>55</v>
      </c>
      <c r="Q822">
        <f t="shared" si="75"/>
        <v>48.95</v>
      </c>
      <c r="R822">
        <f t="shared" si="76"/>
        <v>6.0499999999999972</v>
      </c>
      <c r="S822" s="4">
        <f t="shared" si="77"/>
        <v>0.10999999999999995</v>
      </c>
      <c r="T822" t="str">
        <f>_xlfn.XLOOKUP(C822,customers!$A$1:$A$1001,customers!$I$1:$I$1001,,0)</f>
        <v>Yes</v>
      </c>
    </row>
    <row r="823" spans="1:20"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INDEX(products!$A$1:$I$49,MATCH('Conditional Fomating'!$D823,products!$A$1:$A$49,0),MATCH('Conditional Fomating'!I$1,products!$A$1:$D$1,0))</f>
        <v>Rob</v>
      </c>
      <c r="J823" t="str">
        <f t="shared" si="72"/>
        <v>Robusta</v>
      </c>
      <c r="K823" t="str">
        <f>INDEX(products!$A$1:$I$49,MATCH('Conditional Fomating'!$D823,products!$A$1:$A$49,0),MATCH('Conditional Fomating'!K$1,products!$A$1:$D$1,0))</f>
        <v>D</v>
      </c>
      <c r="L823" t="str">
        <f t="shared" si="73"/>
        <v>Dark</v>
      </c>
      <c r="M823">
        <f>INDEX(products!$A$1:$I$49,MATCH('Conditional Fomating'!$D823,products!$A$1:$A$49,0),MATCH('Conditional Fomating'!M$1,products!$A$1:$D$1,0))</f>
        <v>0.5</v>
      </c>
      <c r="N823">
        <f>_xlfn.XLOOKUP(D823,products!$A$2:$A$49,products!$E$2:$E$49)</f>
        <v>5.3699999999999992</v>
      </c>
      <c r="O823">
        <f>_xlfn.XLOOKUP(D823,products!$A$2:$A$49,products!$H$2:$H$49)</f>
        <v>5.0477999999999996</v>
      </c>
      <c r="P823">
        <f t="shared" si="74"/>
        <v>26.849999999999994</v>
      </c>
      <c r="Q823">
        <f t="shared" si="75"/>
        <v>25.238999999999997</v>
      </c>
      <c r="R823">
        <f t="shared" si="76"/>
        <v>1.6109999999999971</v>
      </c>
      <c r="S823" s="4">
        <f t="shared" si="77"/>
        <v>5.9999999999999908E-2</v>
      </c>
      <c r="T823" t="str">
        <f>_xlfn.XLOOKUP(C823,customers!$A$1:$A$1001,customers!$I$1:$I$1001,,0)</f>
        <v>No</v>
      </c>
    </row>
    <row r="824" spans="1:20"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INDEX(products!$A$1:$I$49,MATCH('Conditional Fomating'!$D824,products!$A$1:$A$49,0),MATCH('Conditional Fomating'!I$1,products!$A$1:$D$1,0))</f>
        <v>Exc</v>
      </c>
      <c r="J824" t="str">
        <f t="shared" si="72"/>
        <v>Excelsa</v>
      </c>
      <c r="K824" t="str">
        <f>INDEX(products!$A$1:$I$49,MATCH('Conditional Fomating'!$D824,products!$A$1:$A$49,0),MATCH('Conditional Fomating'!K$1,products!$A$1:$D$1,0))</f>
        <v>L</v>
      </c>
      <c r="L824" t="str">
        <f t="shared" si="73"/>
        <v>Light</v>
      </c>
      <c r="M824">
        <f>INDEX(products!$A$1:$I$49,MATCH('Conditional Fomating'!$D824,products!$A$1:$A$49,0),MATCH('Conditional Fomating'!M$1,products!$A$1:$D$1,0))</f>
        <v>2.5</v>
      </c>
      <c r="N824">
        <f>_xlfn.XLOOKUP(D824,products!$A$2:$A$49,products!$E$2:$E$49)</f>
        <v>34.154999999999994</v>
      </c>
      <c r="O824">
        <f>_xlfn.XLOOKUP(D824,products!$A$2:$A$49,products!$H$2:$H$49)</f>
        <v>30.397949999999994</v>
      </c>
      <c r="P824">
        <f t="shared" si="74"/>
        <v>136.61999999999998</v>
      </c>
      <c r="Q824">
        <f t="shared" si="75"/>
        <v>121.59179999999998</v>
      </c>
      <c r="R824">
        <f t="shared" si="76"/>
        <v>15.028199999999998</v>
      </c>
      <c r="S824" s="4">
        <f t="shared" si="77"/>
        <v>0.11</v>
      </c>
      <c r="T824" t="str">
        <f>_xlfn.XLOOKUP(C824,customers!$A$1:$A$1001,customers!$I$1:$I$1001,,0)</f>
        <v>No</v>
      </c>
    </row>
    <row r="825" spans="1:20"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INDEX(products!$A$1:$I$49,MATCH('Conditional Fomating'!$D825,products!$A$1:$A$49,0),MATCH('Conditional Fomating'!I$1,products!$A$1:$D$1,0))</f>
        <v>Lib</v>
      </c>
      <c r="J825" t="str">
        <f t="shared" si="72"/>
        <v>Liberica</v>
      </c>
      <c r="K825" t="str">
        <f>INDEX(products!$A$1:$I$49,MATCH('Conditional Fomating'!$D825,products!$A$1:$A$49,0),MATCH('Conditional Fomating'!K$1,products!$A$1:$D$1,0))</f>
        <v>L</v>
      </c>
      <c r="L825" t="str">
        <f t="shared" si="73"/>
        <v>Light</v>
      </c>
      <c r="M825">
        <f>INDEX(products!$A$1:$I$49,MATCH('Conditional Fomating'!$D825,products!$A$1:$A$49,0),MATCH('Conditional Fomating'!M$1,products!$A$1:$D$1,0))</f>
        <v>1</v>
      </c>
      <c r="N825">
        <f>_xlfn.XLOOKUP(D825,products!$A$2:$A$49,products!$E$2:$E$49)</f>
        <v>15.85</v>
      </c>
      <c r="O825">
        <f>_xlfn.XLOOKUP(D825,products!$A$2:$A$49,products!$H$2:$H$49)</f>
        <v>13.7895</v>
      </c>
      <c r="P825">
        <f t="shared" si="74"/>
        <v>47.55</v>
      </c>
      <c r="Q825">
        <f t="shared" si="75"/>
        <v>41.368499999999997</v>
      </c>
      <c r="R825">
        <f t="shared" si="76"/>
        <v>6.1814999999999998</v>
      </c>
      <c r="S825" s="4">
        <f t="shared" si="77"/>
        <v>0.13</v>
      </c>
      <c r="T825" t="str">
        <f>_xlfn.XLOOKUP(C825,customers!$A$1:$A$1001,customers!$I$1:$I$1001,,0)</f>
        <v>Yes</v>
      </c>
    </row>
    <row r="826" spans="1:20"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INDEX(products!$A$1:$I$49,MATCH('Conditional Fomating'!$D826,products!$A$1:$A$49,0),MATCH('Conditional Fomating'!I$1,products!$A$1:$D$1,0))</f>
        <v>Ara</v>
      </c>
      <c r="J826" t="str">
        <f t="shared" si="72"/>
        <v>Arabica</v>
      </c>
      <c r="K826" t="str">
        <f>INDEX(products!$A$1:$I$49,MATCH('Conditional Fomating'!$D826,products!$A$1:$A$49,0),MATCH('Conditional Fomating'!K$1,products!$A$1:$D$1,0))</f>
        <v>M</v>
      </c>
      <c r="L826" t="str">
        <f t="shared" si="73"/>
        <v>Medium</v>
      </c>
      <c r="M826">
        <f>INDEX(products!$A$1:$I$49,MATCH('Conditional Fomating'!$D826,products!$A$1:$A$49,0),MATCH('Conditional Fomating'!M$1,products!$A$1:$D$1,0))</f>
        <v>0.2</v>
      </c>
      <c r="N826">
        <f>_xlfn.XLOOKUP(D826,products!$A$2:$A$49,products!$E$2:$E$49)</f>
        <v>3.375</v>
      </c>
      <c r="O826">
        <f>_xlfn.XLOOKUP(D826,products!$A$2:$A$49,products!$H$2:$H$49)</f>
        <v>3.07125</v>
      </c>
      <c r="P826">
        <f t="shared" si="74"/>
        <v>16.875</v>
      </c>
      <c r="Q826">
        <f t="shared" si="75"/>
        <v>15.356249999999999</v>
      </c>
      <c r="R826">
        <f t="shared" si="76"/>
        <v>1.5187500000000007</v>
      </c>
      <c r="S826" s="4">
        <f t="shared" si="77"/>
        <v>9.0000000000000038E-2</v>
      </c>
      <c r="T826" t="str">
        <f>_xlfn.XLOOKUP(C826,customers!$A$1:$A$1001,customers!$I$1:$I$1001,,0)</f>
        <v>Yes</v>
      </c>
    </row>
    <row r="827" spans="1:20"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INDEX(products!$A$1:$I$49,MATCH('Conditional Fomating'!$D827,products!$A$1:$A$49,0),MATCH('Conditional Fomating'!I$1,products!$A$1:$D$1,0))</f>
        <v>Ara</v>
      </c>
      <c r="J827" t="str">
        <f t="shared" si="72"/>
        <v>Arabica</v>
      </c>
      <c r="K827" t="str">
        <f>INDEX(products!$A$1:$I$49,MATCH('Conditional Fomating'!$D827,products!$A$1:$A$49,0),MATCH('Conditional Fomating'!K$1,products!$A$1:$D$1,0))</f>
        <v>D</v>
      </c>
      <c r="L827" t="str">
        <f t="shared" si="73"/>
        <v>Dark</v>
      </c>
      <c r="M827">
        <f>INDEX(products!$A$1:$I$49,MATCH('Conditional Fomating'!$D827,products!$A$1:$A$49,0),MATCH('Conditional Fomating'!M$1,products!$A$1:$D$1,0))</f>
        <v>1</v>
      </c>
      <c r="N827">
        <f>_xlfn.XLOOKUP(D827,products!$A$2:$A$49,products!$E$2:$E$49)</f>
        <v>9.9499999999999993</v>
      </c>
      <c r="O827">
        <f>_xlfn.XLOOKUP(D827,products!$A$2:$A$49,products!$H$2:$H$49)</f>
        <v>9.0544999999999991</v>
      </c>
      <c r="P827">
        <f t="shared" si="74"/>
        <v>29.849999999999998</v>
      </c>
      <c r="Q827">
        <f t="shared" si="75"/>
        <v>27.163499999999999</v>
      </c>
      <c r="R827">
        <f t="shared" si="76"/>
        <v>2.6864999999999988</v>
      </c>
      <c r="S827" s="4">
        <f t="shared" si="77"/>
        <v>8.9999999999999969E-2</v>
      </c>
      <c r="T827" t="str">
        <f>_xlfn.XLOOKUP(C827,customers!$A$1:$A$1001,customers!$I$1:$I$1001,,0)</f>
        <v>Yes</v>
      </c>
    </row>
    <row r="828" spans="1:20"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INDEX(products!$A$1:$I$49,MATCH('Conditional Fomating'!$D828,products!$A$1:$A$49,0),MATCH('Conditional Fomating'!I$1,products!$A$1:$D$1,0))</f>
        <v>Exc</v>
      </c>
      <c r="J828" t="str">
        <f t="shared" si="72"/>
        <v>Excelsa</v>
      </c>
      <c r="K828" t="str">
        <f>INDEX(products!$A$1:$I$49,MATCH('Conditional Fomating'!$D828,products!$A$1:$A$49,0),MATCH('Conditional Fomating'!K$1,products!$A$1:$D$1,0))</f>
        <v>M</v>
      </c>
      <c r="L828" t="str">
        <f t="shared" si="73"/>
        <v>Medium</v>
      </c>
      <c r="M828">
        <f>INDEX(products!$A$1:$I$49,MATCH('Conditional Fomating'!$D828,products!$A$1:$A$49,0),MATCH('Conditional Fomating'!M$1,products!$A$1:$D$1,0))</f>
        <v>0.5</v>
      </c>
      <c r="N828">
        <f>_xlfn.XLOOKUP(D828,products!$A$2:$A$49,products!$E$2:$E$49)</f>
        <v>8.25</v>
      </c>
      <c r="O828">
        <f>_xlfn.XLOOKUP(D828,products!$A$2:$A$49,products!$H$2:$H$49)</f>
        <v>7.3425000000000002</v>
      </c>
      <c r="P828">
        <f t="shared" si="74"/>
        <v>41.25</v>
      </c>
      <c r="Q828">
        <f t="shared" si="75"/>
        <v>36.712499999999999</v>
      </c>
      <c r="R828">
        <f t="shared" si="76"/>
        <v>4.5375000000000014</v>
      </c>
      <c r="S828" s="4">
        <f t="shared" si="77"/>
        <v>0.11000000000000003</v>
      </c>
      <c r="T828" t="str">
        <f>_xlfn.XLOOKUP(C828,customers!$A$1:$A$1001,customers!$I$1:$I$1001,,0)</f>
        <v>Yes</v>
      </c>
    </row>
    <row r="829" spans="1:20"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INDEX(products!$A$1:$I$49,MATCH('Conditional Fomating'!$D829,products!$A$1:$A$49,0),MATCH('Conditional Fomating'!I$1,products!$A$1:$D$1,0))</f>
        <v>Exc</v>
      </c>
      <c r="J829" t="str">
        <f t="shared" si="72"/>
        <v>Excelsa</v>
      </c>
      <c r="K829" t="str">
        <f>INDEX(products!$A$1:$I$49,MATCH('Conditional Fomating'!$D829,products!$A$1:$A$49,0),MATCH('Conditional Fomating'!K$1,products!$A$1:$D$1,0))</f>
        <v>M</v>
      </c>
      <c r="L829" t="str">
        <f t="shared" si="73"/>
        <v>Medium</v>
      </c>
      <c r="M829">
        <f>INDEX(products!$A$1:$I$49,MATCH('Conditional Fomating'!$D829,products!$A$1:$A$49,0),MATCH('Conditional Fomating'!M$1,products!$A$1:$D$1,0))</f>
        <v>0.2</v>
      </c>
      <c r="N829">
        <f>_xlfn.XLOOKUP(D829,products!$A$2:$A$49,products!$E$2:$E$49)</f>
        <v>4.125</v>
      </c>
      <c r="O829">
        <f>_xlfn.XLOOKUP(D829,products!$A$2:$A$49,products!$H$2:$H$49)</f>
        <v>3.6712500000000001</v>
      </c>
      <c r="P829">
        <f t="shared" si="74"/>
        <v>20.625</v>
      </c>
      <c r="Q829">
        <f t="shared" si="75"/>
        <v>18.356249999999999</v>
      </c>
      <c r="R829">
        <f t="shared" si="76"/>
        <v>2.2687500000000007</v>
      </c>
      <c r="S829" s="4">
        <f t="shared" si="77"/>
        <v>0.11000000000000003</v>
      </c>
      <c r="T829" t="str">
        <f>_xlfn.XLOOKUP(C829,customers!$A$1:$A$1001,customers!$I$1:$I$1001,,0)</f>
        <v>No</v>
      </c>
    </row>
    <row r="830" spans="1:20"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INDEX(products!$A$1:$I$49,MATCH('Conditional Fomating'!$D830,products!$A$1:$A$49,0),MATCH('Conditional Fomating'!I$1,products!$A$1:$D$1,0))</f>
        <v>Ara</v>
      </c>
      <c r="J830" t="str">
        <f t="shared" si="72"/>
        <v>Arabica</v>
      </c>
      <c r="K830" t="str">
        <f>INDEX(products!$A$1:$I$49,MATCH('Conditional Fomating'!$D830,products!$A$1:$A$49,0),MATCH('Conditional Fomating'!K$1,products!$A$1:$D$1,0))</f>
        <v>D</v>
      </c>
      <c r="L830" t="str">
        <f t="shared" si="73"/>
        <v>Dark</v>
      </c>
      <c r="M830">
        <f>INDEX(products!$A$1:$I$49,MATCH('Conditional Fomating'!$D830,products!$A$1:$A$49,0),MATCH('Conditional Fomating'!M$1,products!$A$1:$D$1,0))</f>
        <v>2.5</v>
      </c>
      <c r="N830">
        <f>_xlfn.XLOOKUP(D830,products!$A$2:$A$49,products!$E$2:$E$49)</f>
        <v>22.884999999999998</v>
      </c>
      <c r="O830">
        <f>_xlfn.XLOOKUP(D830,products!$A$2:$A$49,products!$H$2:$H$49)</f>
        <v>20.82535</v>
      </c>
      <c r="P830">
        <f t="shared" si="74"/>
        <v>137.31</v>
      </c>
      <c r="Q830">
        <f t="shared" si="75"/>
        <v>124.9521</v>
      </c>
      <c r="R830">
        <f t="shared" si="76"/>
        <v>12.357900000000001</v>
      </c>
      <c r="S830" s="4">
        <f t="shared" si="77"/>
        <v>9.0000000000000011E-2</v>
      </c>
      <c r="T830" t="str">
        <f>_xlfn.XLOOKUP(C830,customers!$A$1:$A$1001,customers!$I$1:$I$1001,,0)</f>
        <v>Yes</v>
      </c>
    </row>
    <row r="831" spans="1:20"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INDEX(products!$A$1:$I$49,MATCH('Conditional Fomating'!$D831,products!$A$1:$A$49,0),MATCH('Conditional Fomating'!I$1,products!$A$1:$D$1,0))</f>
        <v>Ara</v>
      </c>
      <c r="J831" t="str">
        <f t="shared" si="72"/>
        <v>Arabica</v>
      </c>
      <c r="K831" t="str">
        <f>INDEX(products!$A$1:$I$49,MATCH('Conditional Fomating'!$D831,products!$A$1:$A$49,0),MATCH('Conditional Fomating'!K$1,products!$A$1:$D$1,0))</f>
        <v>D</v>
      </c>
      <c r="L831" t="str">
        <f t="shared" si="73"/>
        <v>Dark</v>
      </c>
      <c r="M831">
        <f>INDEX(products!$A$1:$I$49,MATCH('Conditional Fomating'!$D831,products!$A$1:$A$49,0),MATCH('Conditional Fomating'!M$1,products!$A$1:$D$1,0))</f>
        <v>0.2</v>
      </c>
      <c r="N831">
        <f>_xlfn.XLOOKUP(D831,products!$A$2:$A$49,products!$E$2:$E$49)</f>
        <v>2.9849999999999999</v>
      </c>
      <c r="O831">
        <f>_xlfn.XLOOKUP(D831,products!$A$2:$A$49,products!$H$2:$H$49)</f>
        <v>2.7163499999999998</v>
      </c>
      <c r="P831">
        <f t="shared" si="74"/>
        <v>2.9849999999999999</v>
      </c>
      <c r="Q831">
        <f t="shared" si="75"/>
        <v>2.7163499999999998</v>
      </c>
      <c r="R831">
        <f t="shared" si="76"/>
        <v>0.26865000000000006</v>
      </c>
      <c r="S831" s="4">
        <f t="shared" si="77"/>
        <v>9.0000000000000024E-2</v>
      </c>
      <c r="T831" t="str">
        <f>_xlfn.XLOOKUP(C831,customers!$A$1:$A$1001,customers!$I$1:$I$1001,,0)</f>
        <v>No</v>
      </c>
    </row>
    <row r="832" spans="1:20"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INDEX(products!$A$1:$I$49,MATCH('Conditional Fomating'!$D832,products!$A$1:$A$49,0),MATCH('Conditional Fomating'!I$1,products!$A$1:$D$1,0))</f>
        <v>Exc</v>
      </c>
      <c r="J832" t="str">
        <f t="shared" si="72"/>
        <v>Excelsa</v>
      </c>
      <c r="K832" t="str">
        <f>INDEX(products!$A$1:$I$49,MATCH('Conditional Fomating'!$D832,products!$A$1:$A$49,0),MATCH('Conditional Fomating'!K$1,products!$A$1:$D$1,0))</f>
        <v>M</v>
      </c>
      <c r="L832" t="str">
        <f t="shared" si="73"/>
        <v>Medium</v>
      </c>
      <c r="M832">
        <f>INDEX(products!$A$1:$I$49,MATCH('Conditional Fomating'!$D832,products!$A$1:$A$49,0),MATCH('Conditional Fomating'!M$1,products!$A$1:$D$1,0))</f>
        <v>1</v>
      </c>
      <c r="N832">
        <f>_xlfn.XLOOKUP(D832,products!$A$2:$A$49,products!$E$2:$E$49)</f>
        <v>13.75</v>
      </c>
      <c r="O832">
        <f>_xlfn.XLOOKUP(D832,products!$A$2:$A$49,products!$H$2:$H$49)</f>
        <v>12.237500000000001</v>
      </c>
      <c r="P832">
        <f t="shared" si="74"/>
        <v>27.5</v>
      </c>
      <c r="Q832">
        <f t="shared" si="75"/>
        <v>24.475000000000001</v>
      </c>
      <c r="R832">
        <f t="shared" si="76"/>
        <v>3.0249999999999986</v>
      </c>
      <c r="S832" s="4">
        <f t="shared" si="77"/>
        <v>0.10999999999999995</v>
      </c>
      <c r="T832" t="str">
        <f>_xlfn.XLOOKUP(C832,customers!$A$1:$A$1001,customers!$I$1:$I$1001,,0)</f>
        <v>No</v>
      </c>
    </row>
    <row r="833" spans="1:20"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INDEX(products!$A$1:$I$49,MATCH('Conditional Fomating'!$D833,products!$A$1:$A$49,0),MATCH('Conditional Fomating'!I$1,products!$A$1:$D$1,0))</f>
        <v>Ara</v>
      </c>
      <c r="J833" t="str">
        <f t="shared" si="72"/>
        <v>Arabica</v>
      </c>
      <c r="K833" t="str">
        <f>INDEX(products!$A$1:$I$49,MATCH('Conditional Fomating'!$D833,products!$A$1:$A$49,0),MATCH('Conditional Fomating'!K$1,products!$A$1:$D$1,0))</f>
        <v>D</v>
      </c>
      <c r="L833" t="str">
        <f t="shared" si="73"/>
        <v>Dark</v>
      </c>
      <c r="M833">
        <f>INDEX(products!$A$1:$I$49,MATCH('Conditional Fomating'!$D833,products!$A$1:$A$49,0),MATCH('Conditional Fomating'!M$1,products!$A$1:$D$1,0))</f>
        <v>0.2</v>
      </c>
      <c r="N833">
        <f>_xlfn.XLOOKUP(D833,products!$A$2:$A$49,products!$E$2:$E$49)</f>
        <v>2.9849999999999999</v>
      </c>
      <c r="O833">
        <f>_xlfn.XLOOKUP(D833,products!$A$2:$A$49,products!$H$2:$H$49)</f>
        <v>2.7163499999999998</v>
      </c>
      <c r="P833">
        <f t="shared" si="74"/>
        <v>5.97</v>
      </c>
      <c r="Q833">
        <f t="shared" si="75"/>
        <v>5.4326999999999996</v>
      </c>
      <c r="R833">
        <f t="shared" si="76"/>
        <v>0.53730000000000011</v>
      </c>
      <c r="S833" s="4">
        <f t="shared" si="77"/>
        <v>9.0000000000000024E-2</v>
      </c>
      <c r="T833" t="str">
        <f>_xlfn.XLOOKUP(C833,customers!$A$1:$A$1001,customers!$I$1:$I$1001,,0)</f>
        <v>No</v>
      </c>
    </row>
    <row r="834" spans="1:20"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INDEX(products!$A$1:$I$49,MATCH('Conditional Fomating'!$D834,products!$A$1:$A$49,0),MATCH('Conditional Fomating'!I$1,products!$A$1:$D$1,0))</f>
        <v>Rob</v>
      </c>
      <c r="J834" t="str">
        <f t="shared" si="72"/>
        <v>Robusta</v>
      </c>
      <c r="K834" t="str">
        <f>INDEX(products!$A$1:$I$49,MATCH('Conditional Fomating'!$D834,products!$A$1:$A$49,0),MATCH('Conditional Fomating'!K$1,products!$A$1:$D$1,0))</f>
        <v>M</v>
      </c>
      <c r="L834" t="str">
        <f t="shared" si="73"/>
        <v>Medium</v>
      </c>
      <c r="M834">
        <f>INDEX(products!$A$1:$I$49,MATCH('Conditional Fomating'!$D834,products!$A$1:$A$49,0),MATCH('Conditional Fomating'!M$1,products!$A$1:$D$1,0))</f>
        <v>1</v>
      </c>
      <c r="N834">
        <f>_xlfn.XLOOKUP(D834,products!$A$2:$A$49,products!$E$2:$E$49)</f>
        <v>9.9499999999999993</v>
      </c>
      <c r="O834">
        <f>_xlfn.XLOOKUP(D834,products!$A$2:$A$49,products!$H$2:$H$49)</f>
        <v>9.3529999999999998</v>
      </c>
      <c r="P834">
        <f t="shared" si="74"/>
        <v>59.699999999999996</v>
      </c>
      <c r="Q834">
        <f t="shared" si="75"/>
        <v>56.117999999999995</v>
      </c>
      <c r="R834">
        <f t="shared" si="76"/>
        <v>3.5820000000000007</v>
      </c>
      <c r="S834" s="4">
        <f t="shared" si="77"/>
        <v>6.0000000000000019E-2</v>
      </c>
      <c r="T834" t="str">
        <f>_xlfn.XLOOKUP(C834,customers!$A$1:$A$1001,customers!$I$1:$I$1001,,0)</f>
        <v>No</v>
      </c>
    </row>
    <row r="835" spans="1:20"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INDEX(products!$A$1:$I$49,MATCH('Conditional Fomating'!$D835,products!$A$1:$A$49,0),MATCH('Conditional Fomating'!I$1,products!$A$1:$D$1,0))</f>
        <v>Rob</v>
      </c>
      <c r="J835" t="str">
        <f t="shared" ref="J835:J898" si="78">IF(I835="Rob","Robusta",IF(I835="Exc","Excelsa",IF(I835="Ara","Arabica",IF(I835="Lib","Liberica",""))))</f>
        <v>Robusta</v>
      </c>
      <c r="K835" t="str">
        <f>INDEX(products!$A$1:$I$49,MATCH('Conditional Fomating'!$D835,products!$A$1:$A$49,0),MATCH('Conditional Fomating'!K$1,products!$A$1:$D$1,0))</f>
        <v>D</v>
      </c>
      <c r="L835" t="str">
        <f t="shared" ref="L835:L898" si="79">IF(K835="M","Medium",IF(K835="L","Light",IF(K835="D","Dark","")))</f>
        <v>Dark</v>
      </c>
      <c r="M835">
        <f>INDEX(products!$A$1:$I$49,MATCH('Conditional Fomating'!$D835,products!$A$1:$A$49,0),MATCH('Conditional Fomating'!M$1,products!$A$1:$D$1,0))</f>
        <v>2.5</v>
      </c>
      <c r="N835">
        <f>_xlfn.XLOOKUP(D835,products!$A$2:$A$49,products!$E$2:$E$49)</f>
        <v>20.584999999999997</v>
      </c>
      <c r="O835">
        <f>_xlfn.XLOOKUP(D835,products!$A$2:$A$49,products!$H$2:$H$49)</f>
        <v>19.349899999999998</v>
      </c>
      <c r="P835">
        <f t="shared" ref="P835:P898" si="80">N835*E835</f>
        <v>82.339999999999989</v>
      </c>
      <c r="Q835">
        <f t="shared" ref="Q835:Q898" si="81">O835*E835</f>
        <v>77.399599999999992</v>
      </c>
      <c r="R835">
        <f t="shared" ref="R835:R898" si="82">P835-Q835</f>
        <v>4.9403999999999968</v>
      </c>
      <c r="S835" s="4">
        <f t="shared" ref="S835:S898" si="83">R835/P835</f>
        <v>5.999999999999997E-2</v>
      </c>
      <c r="T835" t="str">
        <f>_xlfn.XLOOKUP(C835,customers!$A$1:$A$1001,customers!$I$1:$I$1001,,0)</f>
        <v>Yes</v>
      </c>
    </row>
    <row r="836" spans="1:20"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INDEX(products!$A$1:$I$49,MATCH('Conditional Fomating'!$D836,products!$A$1:$A$49,0),MATCH('Conditional Fomating'!I$1,products!$A$1:$D$1,0))</f>
        <v>Ara</v>
      </c>
      <c r="J836" t="str">
        <f t="shared" si="78"/>
        <v>Arabica</v>
      </c>
      <c r="K836" t="str">
        <f>INDEX(products!$A$1:$I$49,MATCH('Conditional Fomating'!$D836,products!$A$1:$A$49,0),MATCH('Conditional Fomating'!K$1,products!$A$1:$D$1,0))</f>
        <v>D</v>
      </c>
      <c r="L836" t="str">
        <f t="shared" si="79"/>
        <v>Dark</v>
      </c>
      <c r="M836">
        <f>INDEX(products!$A$1:$I$49,MATCH('Conditional Fomating'!$D836,products!$A$1:$A$49,0),MATCH('Conditional Fomating'!M$1,products!$A$1:$D$1,0))</f>
        <v>2.5</v>
      </c>
      <c r="N836">
        <f>_xlfn.XLOOKUP(D836,products!$A$2:$A$49,products!$E$2:$E$49)</f>
        <v>22.884999999999998</v>
      </c>
      <c r="O836">
        <f>_xlfn.XLOOKUP(D836,products!$A$2:$A$49,products!$H$2:$H$49)</f>
        <v>20.82535</v>
      </c>
      <c r="P836">
        <f t="shared" si="80"/>
        <v>22.884999999999998</v>
      </c>
      <c r="Q836">
        <f t="shared" si="81"/>
        <v>20.82535</v>
      </c>
      <c r="R836">
        <f t="shared" si="82"/>
        <v>2.0596499999999978</v>
      </c>
      <c r="S836" s="4">
        <f t="shared" si="83"/>
        <v>8.9999999999999913E-2</v>
      </c>
      <c r="T836" t="str">
        <f>_xlfn.XLOOKUP(C836,customers!$A$1:$A$1001,customers!$I$1:$I$1001,,0)</f>
        <v>No</v>
      </c>
    </row>
    <row r="837" spans="1:20"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INDEX(products!$A$1:$I$49,MATCH('Conditional Fomating'!$D837,products!$A$1:$A$49,0),MATCH('Conditional Fomating'!I$1,products!$A$1:$D$1,0))</f>
        <v>Exc</v>
      </c>
      <c r="J837" t="str">
        <f t="shared" si="78"/>
        <v>Excelsa</v>
      </c>
      <c r="K837" t="str">
        <f>INDEX(products!$A$1:$I$49,MATCH('Conditional Fomating'!$D837,products!$A$1:$A$49,0),MATCH('Conditional Fomating'!K$1,products!$A$1:$D$1,0))</f>
        <v>L</v>
      </c>
      <c r="L837" t="str">
        <f t="shared" si="79"/>
        <v>Light</v>
      </c>
      <c r="M837">
        <f>INDEX(products!$A$1:$I$49,MATCH('Conditional Fomating'!$D837,products!$A$1:$A$49,0),MATCH('Conditional Fomating'!M$1,products!$A$1:$D$1,0))</f>
        <v>0.5</v>
      </c>
      <c r="N837">
        <f>_xlfn.XLOOKUP(D837,products!$A$2:$A$49,products!$E$2:$E$49)</f>
        <v>8.91</v>
      </c>
      <c r="O837">
        <f>_xlfn.XLOOKUP(D837,products!$A$2:$A$49,products!$H$2:$H$49)</f>
        <v>7.9298999999999999</v>
      </c>
      <c r="P837">
        <f t="shared" si="80"/>
        <v>8.91</v>
      </c>
      <c r="Q837">
        <f t="shared" si="81"/>
        <v>7.9298999999999999</v>
      </c>
      <c r="R837">
        <f t="shared" si="82"/>
        <v>0.98010000000000019</v>
      </c>
      <c r="S837" s="4">
        <f t="shared" si="83"/>
        <v>0.11000000000000001</v>
      </c>
      <c r="T837" t="str">
        <f>_xlfn.XLOOKUP(C837,customers!$A$1:$A$1001,customers!$I$1:$I$1001,,0)</f>
        <v>Yes</v>
      </c>
    </row>
    <row r="838" spans="1:20"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INDEX(products!$A$1:$I$49,MATCH('Conditional Fomating'!$D838,products!$A$1:$A$49,0),MATCH('Conditional Fomating'!I$1,products!$A$1:$D$1,0))</f>
        <v>Ara</v>
      </c>
      <c r="J838" t="str">
        <f t="shared" si="78"/>
        <v>Arabica</v>
      </c>
      <c r="K838" t="str">
        <f>INDEX(products!$A$1:$I$49,MATCH('Conditional Fomating'!$D838,products!$A$1:$A$49,0),MATCH('Conditional Fomating'!K$1,products!$A$1:$D$1,0))</f>
        <v>D</v>
      </c>
      <c r="L838" t="str">
        <f t="shared" si="79"/>
        <v>Dark</v>
      </c>
      <c r="M838">
        <f>INDEX(products!$A$1:$I$49,MATCH('Conditional Fomating'!$D838,products!$A$1:$A$49,0),MATCH('Conditional Fomating'!M$1,products!$A$1:$D$1,0))</f>
        <v>0.2</v>
      </c>
      <c r="N838">
        <f>_xlfn.XLOOKUP(D838,products!$A$2:$A$49,products!$E$2:$E$49)</f>
        <v>2.9849999999999999</v>
      </c>
      <c r="O838">
        <f>_xlfn.XLOOKUP(D838,products!$A$2:$A$49,products!$H$2:$H$49)</f>
        <v>2.7163499999999998</v>
      </c>
      <c r="P838">
        <f t="shared" si="80"/>
        <v>11.94</v>
      </c>
      <c r="Q838">
        <f t="shared" si="81"/>
        <v>10.865399999999999</v>
      </c>
      <c r="R838">
        <f t="shared" si="82"/>
        <v>1.0746000000000002</v>
      </c>
      <c r="S838" s="4">
        <f t="shared" si="83"/>
        <v>9.0000000000000024E-2</v>
      </c>
      <c r="T838" t="str">
        <f>_xlfn.XLOOKUP(C838,customers!$A$1:$A$1001,customers!$I$1:$I$1001,,0)</f>
        <v>No</v>
      </c>
    </row>
    <row r="839" spans="1:20"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v>
      </c>
      <c r="H839" s="2" t="str">
        <f>_xlfn.XLOOKUP(C839,customers!$A$1:$A$1001,customers!$G$1:$G$1001,,0)</f>
        <v>United States</v>
      </c>
      <c r="I839" t="str">
        <f>INDEX(products!$A$1:$I$49,MATCH('Conditional Fomating'!$D839,products!$A$1:$A$49,0),MATCH('Conditional Fomating'!I$1,products!$A$1:$D$1,0))</f>
        <v>Lib</v>
      </c>
      <c r="J839" t="str">
        <f t="shared" si="78"/>
        <v>Liberica</v>
      </c>
      <c r="K839" t="str">
        <f>INDEX(products!$A$1:$I$49,MATCH('Conditional Fomating'!$D839,products!$A$1:$A$49,0),MATCH('Conditional Fomating'!K$1,products!$A$1:$D$1,0))</f>
        <v>M</v>
      </c>
      <c r="L839" t="str">
        <f t="shared" si="79"/>
        <v>Medium</v>
      </c>
      <c r="M839">
        <f>INDEX(products!$A$1:$I$49,MATCH('Conditional Fomating'!$D839,products!$A$1:$A$49,0),MATCH('Conditional Fomating'!M$1,products!$A$1:$D$1,0))</f>
        <v>2.5</v>
      </c>
      <c r="N839">
        <f>_xlfn.XLOOKUP(D839,products!$A$2:$A$49,products!$E$2:$E$49)</f>
        <v>33.464999999999996</v>
      </c>
      <c r="O839">
        <f>_xlfn.XLOOKUP(D839,products!$A$2:$A$49,products!$H$2:$H$49)</f>
        <v>29.114549999999998</v>
      </c>
      <c r="P839">
        <f t="shared" si="80"/>
        <v>100.39499999999998</v>
      </c>
      <c r="Q839">
        <f t="shared" si="81"/>
        <v>87.343649999999997</v>
      </c>
      <c r="R839">
        <f t="shared" si="82"/>
        <v>13.051349999999985</v>
      </c>
      <c r="S839" s="4">
        <f t="shared" si="83"/>
        <v>0.12999999999999987</v>
      </c>
      <c r="T839" t="str">
        <f>_xlfn.XLOOKUP(C839,customers!$A$1:$A$1001,customers!$I$1:$I$1001,,0)</f>
        <v>No</v>
      </c>
    </row>
    <row r="840" spans="1:20"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INDEX(products!$A$1:$I$49,MATCH('Conditional Fomating'!$D840,products!$A$1:$A$49,0),MATCH('Conditional Fomating'!I$1,products!$A$1:$D$1,0))</f>
        <v>Ara</v>
      </c>
      <c r="J840" t="str">
        <f t="shared" si="78"/>
        <v>Arabica</v>
      </c>
      <c r="K840" t="str">
        <f>INDEX(products!$A$1:$I$49,MATCH('Conditional Fomating'!$D840,products!$A$1:$A$49,0),MATCH('Conditional Fomating'!K$1,products!$A$1:$D$1,0))</f>
        <v>D</v>
      </c>
      <c r="L840" t="str">
        <f t="shared" si="79"/>
        <v>Dark</v>
      </c>
      <c r="M840">
        <f>INDEX(products!$A$1:$I$49,MATCH('Conditional Fomating'!$D840,products!$A$1:$A$49,0),MATCH('Conditional Fomating'!M$1,products!$A$1:$D$1,0))</f>
        <v>2.5</v>
      </c>
      <c r="N840">
        <f>_xlfn.XLOOKUP(D840,products!$A$2:$A$49,products!$E$2:$E$49)</f>
        <v>22.884999999999998</v>
      </c>
      <c r="O840">
        <f>_xlfn.XLOOKUP(D840,products!$A$2:$A$49,products!$H$2:$H$49)</f>
        <v>20.82535</v>
      </c>
      <c r="P840">
        <f t="shared" si="80"/>
        <v>114.42499999999998</v>
      </c>
      <c r="Q840">
        <f t="shared" si="81"/>
        <v>104.12675</v>
      </c>
      <c r="R840">
        <f t="shared" si="82"/>
        <v>10.298249999999982</v>
      </c>
      <c r="S840" s="4">
        <f t="shared" si="83"/>
        <v>8.9999999999999858E-2</v>
      </c>
      <c r="T840" t="str">
        <f>_xlfn.XLOOKUP(C840,customers!$A$1:$A$1001,customers!$I$1:$I$1001,,0)</f>
        <v>No</v>
      </c>
    </row>
    <row r="841" spans="1:20"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INDEX(products!$A$1:$I$49,MATCH('Conditional Fomating'!$D841,products!$A$1:$A$49,0),MATCH('Conditional Fomating'!I$1,products!$A$1:$D$1,0))</f>
        <v>Exc</v>
      </c>
      <c r="J841" t="str">
        <f t="shared" si="78"/>
        <v>Excelsa</v>
      </c>
      <c r="K841" t="str">
        <f>INDEX(products!$A$1:$I$49,MATCH('Conditional Fomating'!$D841,products!$A$1:$A$49,0),MATCH('Conditional Fomating'!K$1,products!$A$1:$D$1,0))</f>
        <v>M</v>
      </c>
      <c r="L841" t="str">
        <f t="shared" si="79"/>
        <v>Medium</v>
      </c>
      <c r="M841">
        <f>INDEX(products!$A$1:$I$49,MATCH('Conditional Fomating'!$D841,products!$A$1:$A$49,0),MATCH('Conditional Fomating'!M$1,products!$A$1:$D$1,0))</f>
        <v>0.5</v>
      </c>
      <c r="N841">
        <f>_xlfn.XLOOKUP(D841,products!$A$2:$A$49,products!$E$2:$E$49)</f>
        <v>8.25</v>
      </c>
      <c r="O841">
        <f>_xlfn.XLOOKUP(D841,products!$A$2:$A$49,products!$H$2:$H$49)</f>
        <v>7.3425000000000002</v>
      </c>
      <c r="P841">
        <f t="shared" si="80"/>
        <v>41.25</v>
      </c>
      <c r="Q841">
        <f t="shared" si="81"/>
        <v>36.712499999999999</v>
      </c>
      <c r="R841">
        <f t="shared" si="82"/>
        <v>4.5375000000000014</v>
      </c>
      <c r="S841" s="4">
        <f t="shared" si="83"/>
        <v>0.11000000000000003</v>
      </c>
      <c r="T841" t="str">
        <f>_xlfn.XLOOKUP(C841,customers!$A$1:$A$1001,customers!$I$1:$I$1001,,0)</f>
        <v>No</v>
      </c>
    </row>
    <row r="842" spans="1:20"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INDEX(products!$A$1:$I$49,MATCH('Conditional Fomating'!$D842,products!$A$1:$A$49,0),MATCH('Conditional Fomating'!I$1,products!$A$1:$D$1,0))</f>
        <v>Rob</v>
      </c>
      <c r="J842" t="str">
        <f t="shared" si="78"/>
        <v>Robusta</v>
      </c>
      <c r="K842" t="str">
        <f>INDEX(products!$A$1:$I$49,MATCH('Conditional Fomating'!$D842,products!$A$1:$A$49,0),MATCH('Conditional Fomating'!K$1,products!$A$1:$D$1,0))</f>
        <v>L</v>
      </c>
      <c r="L842" t="str">
        <f t="shared" si="79"/>
        <v>Light</v>
      </c>
      <c r="M842">
        <f>INDEX(products!$A$1:$I$49,MATCH('Conditional Fomating'!$D842,products!$A$1:$A$49,0),MATCH('Conditional Fomating'!M$1,products!$A$1:$D$1,0))</f>
        <v>0.5</v>
      </c>
      <c r="N842">
        <f>_xlfn.XLOOKUP(D842,products!$A$2:$A$49,products!$E$2:$E$49)</f>
        <v>7.169999999999999</v>
      </c>
      <c r="O842">
        <f>_xlfn.XLOOKUP(D842,products!$A$2:$A$49,products!$H$2:$H$49)</f>
        <v>6.7397999999999989</v>
      </c>
      <c r="P842">
        <f t="shared" si="80"/>
        <v>28.679999999999996</v>
      </c>
      <c r="Q842">
        <f t="shared" si="81"/>
        <v>26.959199999999996</v>
      </c>
      <c r="R842">
        <f t="shared" si="82"/>
        <v>1.7208000000000006</v>
      </c>
      <c r="S842" s="4">
        <f t="shared" si="83"/>
        <v>6.0000000000000026E-2</v>
      </c>
      <c r="T842" t="str">
        <f>_xlfn.XLOOKUP(C842,customers!$A$1:$A$1001,customers!$I$1:$I$1001,,0)</f>
        <v>Yes</v>
      </c>
    </row>
    <row r="843" spans="1:20"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INDEX(products!$A$1:$I$49,MATCH('Conditional Fomating'!$D843,products!$A$1:$A$49,0),MATCH('Conditional Fomating'!I$1,products!$A$1:$D$1,0))</f>
        <v>Lib</v>
      </c>
      <c r="J843" t="str">
        <f t="shared" si="78"/>
        <v>Liberica</v>
      </c>
      <c r="K843" t="str">
        <f>INDEX(products!$A$1:$I$49,MATCH('Conditional Fomating'!$D843,products!$A$1:$A$49,0),MATCH('Conditional Fomating'!K$1,products!$A$1:$D$1,0))</f>
        <v>M</v>
      </c>
      <c r="L843" t="str">
        <f t="shared" si="79"/>
        <v>Medium</v>
      </c>
      <c r="M843">
        <f>INDEX(products!$A$1:$I$49,MATCH('Conditional Fomating'!$D843,products!$A$1:$A$49,0),MATCH('Conditional Fomating'!M$1,products!$A$1:$D$1,0))</f>
        <v>0.2</v>
      </c>
      <c r="N843">
        <f>_xlfn.XLOOKUP(D843,products!$A$2:$A$49,products!$E$2:$E$49)</f>
        <v>4.3650000000000002</v>
      </c>
      <c r="O843">
        <f>_xlfn.XLOOKUP(D843,products!$A$2:$A$49,products!$H$2:$H$49)</f>
        <v>3.7975500000000002</v>
      </c>
      <c r="P843">
        <f t="shared" si="80"/>
        <v>4.3650000000000002</v>
      </c>
      <c r="Q843">
        <f t="shared" si="81"/>
        <v>3.7975500000000002</v>
      </c>
      <c r="R843">
        <f t="shared" si="82"/>
        <v>0.56745000000000001</v>
      </c>
      <c r="S843" s="4">
        <f t="shared" si="83"/>
        <v>0.13</v>
      </c>
      <c r="T843" t="str">
        <f>_xlfn.XLOOKUP(C843,customers!$A$1:$A$1001,customers!$I$1:$I$1001,,0)</f>
        <v>No</v>
      </c>
    </row>
    <row r="844" spans="1:20"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INDEX(products!$A$1:$I$49,MATCH('Conditional Fomating'!$D844,products!$A$1:$A$49,0),MATCH('Conditional Fomating'!I$1,products!$A$1:$D$1,0))</f>
        <v>Exc</v>
      </c>
      <c r="J844" t="str">
        <f t="shared" si="78"/>
        <v>Excelsa</v>
      </c>
      <c r="K844" t="str">
        <f>INDEX(products!$A$1:$I$49,MATCH('Conditional Fomating'!$D844,products!$A$1:$A$49,0),MATCH('Conditional Fomating'!K$1,products!$A$1:$D$1,0))</f>
        <v>M</v>
      </c>
      <c r="L844" t="str">
        <f t="shared" si="79"/>
        <v>Medium</v>
      </c>
      <c r="M844">
        <f>INDEX(products!$A$1:$I$49,MATCH('Conditional Fomating'!$D844,products!$A$1:$A$49,0),MATCH('Conditional Fomating'!M$1,products!$A$1:$D$1,0))</f>
        <v>0.2</v>
      </c>
      <c r="N844">
        <f>_xlfn.XLOOKUP(D844,products!$A$2:$A$49,products!$E$2:$E$49)</f>
        <v>4.125</v>
      </c>
      <c r="O844">
        <f>_xlfn.XLOOKUP(D844,products!$A$2:$A$49,products!$H$2:$H$49)</f>
        <v>3.6712500000000001</v>
      </c>
      <c r="P844">
        <f t="shared" si="80"/>
        <v>8.25</v>
      </c>
      <c r="Q844">
        <f t="shared" si="81"/>
        <v>7.3425000000000002</v>
      </c>
      <c r="R844">
        <f t="shared" si="82"/>
        <v>0.90749999999999975</v>
      </c>
      <c r="S844" s="4">
        <f t="shared" si="83"/>
        <v>0.10999999999999997</v>
      </c>
      <c r="T844" t="str">
        <f>_xlfn.XLOOKUP(C844,customers!$A$1:$A$1001,customers!$I$1:$I$1001,,0)</f>
        <v>Yes</v>
      </c>
    </row>
    <row r="845" spans="1:20"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INDEX(products!$A$1:$I$49,MATCH('Conditional Fomating'!$D845,products!$A$1:$A$49,0),MATCH('Conditional Fomating'!I$1,products!$A$1:$D$1,0))</f>
        <v>Exc</v>
      </c>
      <c r="J845" t="str">
        <f t="shared" si="78"/>
        <v>Excelsa</v>
      </c>
      <c r="K845" t="str">
        <f>INDEX(products!$A$1:$I$49,MATCH('Conditional Fomating'!$D845,products!$A$1:$A$49,0),MATCH('Conditional Fomating'!K$1,products!$A$1:$D$1,0))</f>
        <v>M</v>
      </c>
      <c r="L845" t="str">
        <f t="shared" si="79"/>
        <v>Medium</v>
      </c>
      <c r="M845">
        <f>INDEX(products!$A$1:$I$49,MATCH('Conditional Fomating'!$D845,products!$A$1:$A$49,0),MATCH('Conditional Fomating'!M$1,products!$A$1:$D$1,0))</f>
        <v>0.2</v>
      </c>
      <c r="N845">
        <f>_xlfn.XLOOKUP(D845,products!$A$2:$A$49,products!$E$2:$E$49)</f>
        <v>4.125</v>
      </c>
      <c r="O845">
        <f>_xlfn.XLOOKUP(D845,products!$A$2:$A$49,products!$H$2:$H$49)</f>
        <v>3.6712500000000001</v>
      </c>
      <c r="P845">
        <f t="shared" si="80"/>
        <v>8.25</v>
      </c>
      <c r="Q845">
        <f t="shared" si="81"/>
        <v>7.3425000000000002</v>
      </c>
      <c r="R845">
        <f t="shared" si="82"/>
        <v>0.90749999999999975</v>
      </c>
      <c r="S845" s="4">
        <f t="shared" si="83"/>
        <v>0.10999999999999997</v>
      </c>
      <c r="T845" t="str">
        <f>_xlfn.XLOOKUP(C845,customers!$A$1:$A$1001,customers!$I$1:$I$1001,,0)</f>
        <v>Yes</v>
      </c>
    </row>
    <row r="846" spans="1:20"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INDEX(products!$A$1:$I$49,MATCH('Conditional Fomating'!$D846,products!$A$1:$A$49,0),MATCH('Conditional Fomating'!I$1,products!$A$1:$D$1,0))</f>
        <v>Ara</v>
      </c>
      <c r="J846" t="str">
        <f t="shared" si="78"/>
        <v>Arabica</v>
      </c>
      <c r="K846" t="str">
        <f>INDEX(products!$A$1:$I$49,MATCH('Conditional Fomating'!$D846,products!$A$1:$A$49,0),MATCH('Conditional Fomating'!K$1,products!$A$1:$D$1,0))</f>
        <v>D</v>
      </c>
      <c r="L846" t="str">
        <f t="shared" si="79"/>
        <v>Dark</v>
      </c>
      <c r="M846">
        <f>INDEX(products!$A$1:$I$49,MATCH('Conditional Fomating'!$D846,products!$A$1:$A$49,0),MATCH('Conditional Fomating'!M$1,products!$A$1:$D$1,0))</f>
        <v>0.5</v>
      </c>
      <c r="N846">
        <f>_xlfn.XLOOKUP(D846,products!$A$2:$A$49,products!$E$2:$E$49)</f>
        <v>5.97</v>
      </c>
      <c r="O846">
        <f>_xlfn.XLOOKUP(D846,products!$A$2:$A$49,products!$H$2:$H$49)</f>
        <v>5.4326999999999996</v>
      </c>
      <c r="P846">
        <f t="shared" si="80"/>
        <v>35.82</v>
      </c>
      <c r="Q846">
        <f t="shared" si="81"/>
        <v>32.596199999999996</v>
      </c>
      <c r="R846">
        <f t="shared" si="82"/>
        <v>3.2238000000000042</v>
      </c>
      <c r="S846" s="4">
        <f t="shared" si="83"/>
        <v>9.0000000000000122E-2</v>
      </c>
      <c r="T846" t="str">
        <f>_xlfn.XLOOKUP(C846,customers!$A$1:$A$1001,customers!$I$1:$I$1001,,0)</f>
        <v>Yes</v>
      </c>
    </row>
    <row r="847" spans="1:20"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INDEX(products!$A$1:$I$49,MATCH('Conditional Fomating'!$D847,products!$A$1:$A$49,0),MATCH('Conditional Fomating'!I$1,products!$A$1:$D$1,0))</f>
        <v>Exc</v>
      </c>
      <c r="J847" t="str">
        <f t="shared" si="78"/>
        <v>Excelsa</v>
      </c>
      <c r="K847" t="str">
        <f>INDEX(products!$A$1:$I$49,MATCH('Conditional Fomating'!$D847,products!$A$1:$A$49,0),MATCH('Conditional Fomating'!K$1,products!$A$1:$D$1,0))</f>
        <v>D</v>
      </c>
      <c r="L847" t="str">
        <f t="shared" si="79"/>
        <v>Dark</v>
      </c>
      <c r="M847">
        <f>INDEX(products!$A$1:$I$49,MATCH('Conditional Fomating'!$D847,products!$A$1:$A$49,0),MATCH('Conditional Fomating'!M$1,products!$A$1:$D$1,0))</f>
        <v>2.5</v>
      </c>
      <c r="N847">
        <f>_xlfn.XLOOKUP(D847,products!$A$2:$A$49,products!$E$2:$E$49)</f>
        <v>27.945</v>
      </c>
      <c r="O847">
        <f>_xlfn.XLOOKUP(D847,products!$A$2:$A$49,products!$H$2:$H$49)</f>
        <v>24.87105</v>
      </c>
      <c r="P847">
        <f t="shared" si="80"/>
        <v>167.67000000000002</v>
      </c>
      <c r="Q847">
        <f t="shared" si="81"/>
        <v>149.22630000000001</v>
      </c>
      <c r="R847">
        <f t="shared" si="82"/>
        <v>18.443700000000007</v>
      </c>
      <c r="S847" s="4">
        <f t="shared" si="83"/>
        <v>0.11000000000000003</v>
      </c>
      <c r="T847" t="str">
        <f>_xlfn.XLOOKUP(C847,customers!$A$1:$A$1001,customers!$I$1:$I$1001,,0)</f>
        <v>No</v>
      </c>
    </row>
    <row r="848" spans="1:20"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v>
      </c>
      <c r="H848" s="2" t="str">
        <f>_xlfn.XLOOKUP(C848,customers!$A$1:$A$1001,customers!$G$1:$G$1001,,0)</f>
        <v>United States</v>
      </c>
      <c r="I848" t="str">
        <f>INDEX(products!$A$1:$I$49,MATCH('Conditional Fomating'!$D848,products!$A$1:$A$49,0),MATCH('Conditional Fomating'!I$1,products!$A$1:$D$1,0))</f>
        <v>Ara</v>
      </c>
      <c r="J848" t="str">
        <f t="shared" si="78"/>
        <v>Arabica</v>
      </c>
      <c r="K848" t="str">
        <f>INDEX(products!$A$1:$I$49,MATCH('Conditional Fomating'!$D848,products!$A$1:$A$49,0),MATCH('Conditional Fomating'!K$1,products!$A$1:$D$1,0))</f>
        <v>M</v>
      </c>
      <c r="L848" t="str">
        <f t="shared" si="79"/>
        <v>Medium</v>
      </c>
      <c r="M848">
        <f>INDEX(products!$A$1:$I$49,MATCH('Conditional Fomating'!$D848,products!$A$1:$A$49,0),MATCH('Conditional Fomating'!M$1,products!$A$1:$D$1,0))</f>
        <v>2.5</v>
      </c>
      <c r="N848">
        <f>_xlfn.XLOOKUP(D848,products!$A$2:$A$49,products!$E$2:$E$49)</f>
        <v>25.874999999999996</v>
      </c>
      <c r="O848">
        <f>_xlfn.XLOOKUP(D848,products!$A$2:$A$49,products!$H$2:$H$49)</f>
        <v>23.546249999999997</v>
      </c>
      <c r="P848">
        <f t="shared" si="80"/>
        <v>51.749999999999993</v>
      </c>
      <c r="Q848">
        <f t="shared" si="81"/>
        <v>47.092499999999994</v>
      </c>
      <c r="R848">
        <f t="shared" si="82"/>
        <v>4.6574999999999989</v>
      </c>
      <c r="S848" s="4">
        <f t="shared" si="83"/>
        <v>0.09</v>
      </c>
      <c r="T848" t="str">
        <f>_xlfn.XLOOKUP(C848,customers!$A$1:$A$1001,customers!$I$1:$I$1001,,0)</f>
        <v>Yes</v>
      </c>
    </row>
    <row r="849" spans="1:20"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INDEX(products!$A$1:$I$49,MATCH('Conditional Fomating'!$D849,products!$A$1:$A$49,0),MATCH('Conditional Fomating'!I$1,products!$A$1:$D$1,0))</f>
        <v>Ara</v>
      </c>
      <c r="J849" t="str">
        <f t="shared" si="78"/>
        <v>Arabica</v>
      </c>
      <c r="K849" t="str">
        <f>INDEX(products!$A$1:$I$49,MATCH('Conditional Fomating'!$D849,products!$A$1:$A$49,0),MATCH('Conditional Fomating'!K$1,products!$A$1:$D$1,0))</f>
        <v>D</v>
      </c>
      <c r="L849" t="str">
        <f t="shared" si="79"/>
        <v>Dark</v>
      </c>
      <c r="M849">
        <f>INDEX(products!$A$1:$I$49,MATCH('Conditional Fomating'!$D849,products!$A$1:$A$49,0),MATCH('Conditional Fomating'!M$1,products!$A$1:$D$1,0))</f>
        <v>0.2</v>
      </c>
      <c r="N849">
        <f>_xlfn.XLOOKUP(D849,products!$A$2:$A$49,products!$E$2:$E$49)</f>
        <v>2.9849999999999999</v>
      </c>
      <c r="O849">
        <f>_xlfn.XLOOKUP(D849,products!$A$2:$A$49,products!$H$2:$H$49)</f>
        <v>2.7163499999999998</v>
      </c>
      <c r="P849">
        <f t="shared" si="80"/>
        <v>8.9550000000000001</v>
      </c>
      <c r="Q849">
        <f t="shared" si="81"/>
        <v>8.149049999999999</v>
      </c>
      <c r="R849">
        <f t="shared" si="82"/>
        <v>0.80595000000000105</v>
      </c>
      <c r="S849" s="4">
        <f t="shared" si="83"/>
        <v>9.0000000000000122E-2</v>
      </c>
      <c r="T849" t="str">
        <f>_xlfn.XLOOKUP(C849,customers!$A$1:$A$1001,customers!$I$1:$I$1001,,0)</f>
        <v>Yes</v>
      </c>
    </row>
    <row r="850" spans="1:20"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v>
      </c>
      <c r="H850" s="2" t="str">
        <f>_xlfn.XLOOKUP(C850,customers!$A$1:$A$1001,customers!$G$1:$G$1001,,0)</f>
        <v>United States</v>
      </c>
      <c r="I850" t="str">
        <f>INDEX(products!$A$1:$I$49,MATCH('Conditional Fomating'!$D850,products!$A$1:$A$49,0),MATCH('Conditional Fomating'!I$1,products!$A$1:$D$1,0))</f>
        <v>Exc</v>
      </c>
      <c r="J850" t="str">
        <f t="shared" si="78"/>
        <v>Excelsa</v>
      </c>
      <c r="K850" t="str">
        <f>INDEX(products!$A$1:$I$49,MATCH('Conditional Fomating'!$D850,products!$A$1:$A$49,0),MATCH('Conditional Fomating'!K$1,products!$A$1:$D$1,0))</f>
        <v>L</v>
      </c>
      <c r="L850" t="str">
        <f t="shared" si="79"/>
        <v>Light</v>
      </c>
      <c r="M850">
        <f>INDEX(products!$A$1:$I$49,MATCH('Conditional Fomating'!$D850,products!$A$1:$A$49,0),MATCH('Conditional Fomating'!M$1,products!$A$1:$D$1,0))</f>
        <v>0.5</v>
      </c>
      <c r="N850">
        <f>_xlfn.XLOOKUP(D850,products!$A$2:$A$49,products!$E$2:$E$49)</f>
        <v>8.91</v>
      </c>
      <c r="O850">
        <f>_xlfn.XLOOKUP(D850,products!$A$2:$A$49,products!$H$2:$H$49)</f>
        <v>7.9298999999999999</v>
      </c>
      <c r="P850">
        <f t="shared" si="80"/>
        <v>53.46</v>
      </c>
      <c r="Q850">
        <f t="shared" si="81"/>
        <v>47.5794</v>
      </c>
      <c r="R850">
        <f t="shared" si="82"/>
        <v>5.8806000000000012</v>
      </c>
      <c r="S850" s="4">
        <f t="shared" si="83"/>
        <v>0.11000000000000001</v>
      </c>
      <c r="T850" t="str">
        <f>_xlfn.XLOOKUP(C850,customers!$A$1:$A$1001,customers!$I$1:$I$1001,,0)</f>
        <v>No</v>
      </c>
    </row>
    <row r="851" spans="1:20"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INDEX(products!$A$1:$I$49,MATCH('Conditional Fomating'!$D851,products!$A$1:$A$49,0),MATCH('Conditional Fomating'!I$1,products!$A$1:$D$1,0))</f>
        <v>Ara</v>
      </c>
      <c r="J851" t="str">
        <f t="shared" si="78"/>
        <v>Arabica</v>
      </c>
      <c r="K851" t="str">
        <f>INDEX(products!$A$1:$I$49,MATCH('Conditional Fomating'!$D851,products!$A$1:$A$49,0),MATCH('Conditional Fomating'!K$1,products!$A$1:$D$1,0))</f>
        <v>L</v>
      </c>
      <c r="L851" t="str">
        <f t="shared" si="79"/>
        <v>Light</v>
      </c>
      <c r="M851">
        <f>INDEX(products!$A$1:$I$49,MATCH('Conditional Fomating'!$D851,products!$A$1:$A$49,0),MATCH('Conditional Fomating'!M$1,products!$A$1:$D$1,0))</f>
        <v>0.2</v>
      </c>
      <c r="N851">
        <f>_xlfn.XLOOKUP(D851,products!$A$2:$A$49,products!$E$2:$E$49)</f>
        <v>3.8849999999999998</v>
      </c>
      <c r="O851">
        <f>_xlfn.XLOOKUP(D851,products!$A$2:$A$49,products!$H$2:$H$49)</f>
        <v>3.5353499999999998</v>
      </c>
      <c r="P851">
        <f t="shared" si="80"/>
        <v>23.31</v>
      </c>
      <c r="Q851">
        <f t="shared" si="81"/>
        <v>21.2121</v>
      </c>
      <c r="R851">
        <f t="shared" si="82"/>
        <v>2.0978999999999992</v>
      </c>
      <c r="S851" s="4">
        <f t="shared" si="83"/>
        <v>8.9999999999999969E-2</v>
      </c>
      <c r="T851" t="str">
        <f>_xlfn.XLOOKUP(C851,customers!$A$1:$A$1001,customers!$I$1:$I$1001,,0)</f>
        <v>Yes</v>
      </c>
    </row>
    <row r="852" spans="1:20"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INDEX(products!$A$1:$I$49,MATCH('Conditional Fomating'!$D852,products!$A$1:$A$49,0),MATCH('Conditional Fomating'!I$1,products!$A$1:$D$1,0))</f>
        <v>Ara</v>
      </c>
      <c r="J852" t="str">
        <f t="shared" si="78"/>
        <v>Arabica</v>
      </c>
      <c r="K852" t="str">
        <f>INDEX(products!$A$1:$I$49,MATCH('Conditional Fomating'!$D852,products!$A$1:$A$49,0),MATCH('Conditional Fomating'!K$1,products!$A$1:$D$1,0))</f>
        <v>M</v>
      </c>
      <c r="L852" t="str">
        <f t="shared" si="79"/>
        <v>Medium</v>
      </c>
      <c r="M852">
        <f>INDEX(products!$A$1:$I$49,MATCH('Conditional Fomating'!$D852,products!$A$1:$A$49,0),MATCH('Conditional Fomating'!M$1,products!$A$1:$D$1,0))</f>
        <v>0.2</v>
      </c>
      <c r="N852">
        <f>_xlfn.XLOOKUP(D852,products!$A$2:$A$49,products!$E$2:$E$49)</f>
        <v>3.375</v>
      </c>
      <c r="O852">
        <f>_xlfn.XLOOKUP(D852,products!$A$2:$A$49,products!$H$2:$H$49)</f>
        <v>3.07125</v>
      </c>
      <c r="P852">
        <f t="shared" si="80"/>
        <v>6.75</v>
      </c>
      <c r="Q852">
        <f t="shared" si="81"/>
        <v>6.1425000000000001</v>
      </c>
      <c r="R852">
        <f t="shared" si="82"/>
        <v>0.60749999999999993</v>
      </c>
      <c r="S852" s="4">
        <f t="shared" si="83"/>
        <v>8.9999999999999983E-2</v>
      </c>
      <c r="T852" t="str">
        <f>_xlfn.XLOOKUP(C852,customers!$A$1:$A$1001,customers!$I$1:$I$1001,,0)</f>
        <v>Yes</v>
      </c>
    </row>
    <row r="853" spans="1:20"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INDEX(products!$A$1:$I$49,MATCH('Conditional Fomating'!$D853,products!$A$1:$A$49,0),MATCH('Conditional Fomating'!I$1,products!$A$1:$D$1,0))</f>
        <v>Lib</v>
      </c>
      <c r="J853" t="str">
        <f t="shared" si="78"/>
        <v>Liberica</v>
      </c>
      <c r="K853" t="str">
        <f>INDEX(products!$A$1:$I$49,MATCH('Conditional Fomating'!$D853,products!$A$1:$A$49,0),MATCH('Conditional Fomating'!K$1,products!$A$1:$D$1,0))</f>
        <v>D</v>
      </c>
      <c r="L853" t="str">
        <f t="shared" si="79"/>
        <v>Dark</v>
      </c>
      <c r="M853">
        <f>INDEX(products!$A$1:$I$49,MATCH('Conditional Fomating'!$D853,products!$A$1:$A$49,0),MATCH('Conditional Fomating'!M$1,products!$A$1:$D$1,0))</f>
        <v>0.5</v>
      </c>
      <c r="N853">
        <f>_xlfn.XLOOKUP(D853,products!$A$2:$A$49,products!$E$2:$E$49)</f>
        <v>7.77</v>
      </c>
      <c r="O853">
        <f>_xlfn.XLOOKUP(D853,products!$A$2:$A$49,products!$H$2:$H$49)</f>
        <v>6.7599</v>
      </c>
      <c r="P853">
        <f t="shared" si="80"/>
        <v>7.77</v>
      </c>
      <c r="Q853">
        <f t="shared" si="81"/>
        <v>6.7599</v>
      </c>
      <c r="R853">
        <f t="shared" si="82"/>
        <v>1.0100999999999996</v>
      </c>
      <c r="S853" s="4">
        <f t="shared" si="83"/>
        <v>0.12999999999999995</v>
      </c>
      <c r="T853" t="str">
        <f>_xlfn.XLOOKUP(C853,customers!$A$1:$A$1001,customers!$I$1:$I$1001,,0)</f>
        <v>Yes</v>
      </c>
    </row>
    <row r="854" spans="1:20"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INDEX(products!$A$1:$I$49,MATCH('Conditional Fomating'!$D854,products!$A$1:$A$49,0),MATCH('Conditional Fomating'!I$1,products!$A$1:$D$1,0))</f>
        <v>Lib</v>
      </c>
      <c r="J854" t="str">
        <f t="shared" si="78"/>
        <v>Liberica</v>
      </c>
      <c r="K854" t="str">
        <f>INDEX(products!$A$1:$I$49,MATCH('Conditional Fomating'!$D854,products!$A$1:$A$49,0),MATCH('Conditional Fomating'!K$1,products!$A$1:$D$1,0))</f>
        <v>D</v>
      </c>
      <c r="L854" t="str">
        <f t="shared" si="79"/>
        <v>Dark</v>
      </c>
      <c r="M854">
        <f>INDEX(products!$A$1:$I$49,MATCH('Conditional Fomating'!$D854,products!$A$1:$A$49,0),MATCH('Conditional Fomating'!M$1,products!$A$1:$D$1,0))</f>
        <v>2.5</v>
      </c>
      <c r="N854">
        <f>_xlfn.XLOOKUP(D854,products!$A$2:$A$49,products!$E$2:$E$49)</f>
        <v>29.784999999999997</v>
      </c>
      <c r="O854">
        <f>_xlfn.XLOOKUP(D854,products!$A$2:$A$49,products!$H$2:$H$49)</f>
        <v>25.912949999999995</v>
      </c>
      <c r="P854">
        <f t="shared" si="80"/>
        <v>119.13999999999999</v>
      </c>
      <c r="Q854">
        <f t="shared" si="81"/>
        <v>103.65179999999998</v>
      </c>
      <c r="R854">
        <f t="shared" si="82"/>
        <v>15.488200000000006</v>
      </c>
      <c r="S854" s="4">
        <f t="shared" si="83"/>
        <v>0.13000000000000006</v>
      </c>
      <c r="T854" t="str">
        <f>_xlfn.XLOOKUP(C854,customers!$A$1:$A$1001,customers!$I$1:$I$1001,,0)</f>
        <v>Yes</v>
      </c>
    </row>
    <row r="855" spans="1:20"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INDEX(products!$A$1:$I$49,MATCH('Conditional Fomating'!$D855,products!$A$1:$A$49,0),MATCH('Conditional Fomating'!I$1,products!$A$1:$D$1,0))</f>
        <v>Ara</v>
      </c>
      <c r="J855" t="str">
        <f t="shared" si="78"/>
        <v>Arabica</v>
      </c>
      <c r="K855" t="str">
        <f>INDEX(products!$A$1:$I$49,MATCH('Conditional Fomating'!$D855,products!$A$1:$A$49,0),MATCH('Conditional Fomating'!K$1,products!$A$1:$D$1,0))</f>
        <v>D</v>
      </c>
      <c r="L855" t="str">
        <f t="shared" si="79"/>
        <v>Dark</v>
      </c>
      <c r="M855">
        <f>INDEX(products!$A$1:$I$49,MATCH('Conditional Fomating'!$D855,products!$A$1:$A$49,0),MATCH('Conditional Fomating'!M$1,products!$A$1:$D$1,0))</f>
        <v>1</v>
      </c>
      <c r="N855">
        <f>_xlfn.XLOOKUP(D855,products!$A$2:$A$49,products!$E$2:$E$49)</f>
        <v>9.9499999999999993</v>
      </c>
      <c r="O855">
        <f>_xlfn.XLOOKUP(D855,products!$A$2:$A$49,products!$H$2:$H$49)</f>
        <v>9.0544999999999991</v>
      </c>
      <c r="P855">
        <f t="shared" si="80"/>
        <v>19.899999999999999</v>
      </c>
      <c r="Q855">
        <f t="shared" si="81"/>
        <v>18.108999999999998</v>
      </c>
      <c r="R855">
        <f t="shared" si="82"/>
        <v>1.7910000000000004</v>
      </c>
      <c r="S855" s="4">
        <f t="shared" si="83"/>
        <v>9.0000000000000024E-2</v>
      </c>
      <c r="T855" t="str">
        <f>_xlfn.XLOOKUP(C855,customers!$A$1:$A$1001,customers!$I$1:$I$1001,,0)</f>
        <v>No</v>
      </c>
    </row>
    <row r="856" spans="1:20"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INDEX(products!$A$1:$I$49,MATCH('Conditional Fomating'!$D856,products!$A$1:$A$49,0),MATCH('Conditional Fomating'!I$1,products!$A$1:$D$1,0))</f>
        <v>Rob</v>
      </c>
      <c r="J856" t="str">
        <f t="shared" si="78"/>
        <v>Robusta</v>
      </c>
      <c r="K856" t="str">
        <f>INDEX(products!$A$1:$I$49,MATCH('Conditional Fomating'!$D856,products!$A$1:$A$49,0),MATCH('Conditional Fomating'!K$1,products!$A$1:$D$1,0))</f>
        <v>L</v>
      </c>
      <c r="L856" t="str">
        <f t="shared" si="79"/>
        <v>Light</v>
      </c>
      <c r="M856">
        <f>INDEX(products!$A$1:$I$49,MATCH('Conditional Fomating'!$D856,products!$A$1:$A$49,0),MATCH('Conditional Fomating'!M$1,products!$A$1:$D$1,0))</f>
        <v>0.5</v>
      </c>
      <c r="N856">
        <f>_xlfn.XLOOKUP(D856,products!$A$2:$A$49,products!$E$2:$E$49)</f>
        <v>7.169999999999999</v>
      </c>
      <c r="O856">
        <f>_xlfn.XLOOKUP(D856,products!$A$2:$A$49,products!$H$2:$H$49)</f>
        <v>6.7397999999999989</v>
      </c>
      <c r="P856">
        <f t="shared" si="80"/>
        <v>35.849999999999994</v>
      </c>
      <c r="Q856">
        <f t="shared" si="81"/>
        <v>33.698999999999998</v>
      </c>
      <c r="R856">
        <f t="shared" si="82"/>
        <v>2.1509999999999962</v>
      </c>
      <c r="S856" s="4">
        <f t="shared" si="83"/>
        <v>5.9999999999999908E-2</v>
      </c>
      <c r="T856" t="str">
        <f>_xlfn.XLOOKUP(C856,customers!$A$1:$A$1001,customers!$I$1:$I$1001,,0)</f>
        <v>Yes</v>
      </c>
    </row>
    <row r="857" spans="1:20"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INDEX(products!$A$1:$I$49,MATCH('Conditional Fomating'!$D857,products!$A$1:$A$49,0),MATCH('Conditional Fomating'!I$1,products!$A$1:$D$1,0))</f>
        <v>Lib</v>
      </c>
      <c r="J857" t="str">
        <f t="shared" si="78"/>
        <v>Liberica</v>
      </c>
      <c r="K857" t="str">
        <f>INDEX(products!$A$1:$I$49,MATCH('Conditional Fomating'!$D857,products!$A$1:$A$49,0),MATCH('Conditional Fomating'!K$1,products!$A$1:$D$1,0))</f>
        <v>D</v>
      </c>
      <c r="L857" t="str">
        <f t="shared" si="79"/>
        <v>Dark</v>
      </c>
      <c r="M857">
        <f>INDEX(products!$A$1:$I$49,MATCH('Conditional Fomating'!$D857,products!$A$1:$A$49,0),MATCH('Conditional Fomating'!M$1,products!$A$1:$D$1,0))</f>
        <v>2.5</v>
      </c>
      <c r="N857">
        <f>_xlfn.XLOOKUP(D857,products!$A$2:$A$49,products!$E$2:$E$49)</f>
        <v>29.784999999999997</v>
      </c>
      <c r="O857">
        <f>_xlfn.XLOOKUP(D857,products!$A$2:$A$49,products!$H$2:$H$49)</f>
        <v>25.912949999999995</v>
      </c>
      <c r="P857">
        <f t="shared" si="80"/>
        <v>89.35499999999999</v>
      </c>
      <c r="Q857">
        <f t="shared" si="81"/>
        <v>77.738849999999985</v>
      </c>
      <c r="R857">
        <f t="shared" si="82"/>
        <v>11.616150000000005</v>
      </c>
      <c r="S857" s="4">
        <f t="shared" si="83"/>
        <v>0.13000000000000006</v>
      </c>
      <c r="T857" t="str">
        <f>_xlfn.XLOOKUP(C857,customers!$A$1:$A$1001,customers!$I$1:$I$1001,,0)</f>
        <v>No</v>
      </c>
    </row>
    <row r="858" spans="1:20"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INDEX(products!$A$1:$I$49,MATCH('Conditional Fomating'!$D858,products!$A$1:$A$49,0),MATCH('Conditional Fomating'!I$1,products!$A$1:$D$1,0))</f>
        <v>Lib</v>
      </c>
      <c r="J858" t="str">
        <f t="shared" si="78"/>
        <v>Liberica</v>
      </c>
      <c r="K858" t="str">
        <f>INDEX(products!$A$1:$I$49,MATCH('Conditional Fomating'!$D858,products!$A$1:$A$49,0),MATCH('Conditional Fomating'!K$1,products!$A$1:$D$1,0))</f>
        <v>M</v>
      </c>
      <c r="L858" t="str">
        <f t="shared" si="79"/>
        <v>Medium</v>
      </c>
      <c r="M858">
        <f>INDEX(products!$A$1:$I$49,MATCH('Conditional Fomating'!$D858,products!$A$1:$A$49,0),MATCH('Conditional Fomating'!M$1,products!$A$1:$D$1,0))</f>
        <v>0.2</v>
      </c>
      <c r="N858">
        <f>_xlfn.XLOOKUP(D858,products!$A$2:$A$49,products!$E$2:$E$49)</f>
        <v>4.3650000000000002</v>
      </c>
      <c r="O858">
        <f>_xlfn.XLOOKUP(D858,products!$A$2:$A$49,products!$H$2:$H$49)</f>
        <v>3.7975500000000002</v>
      </c>
      <c r="P858">
        <f t="shared" si="80"/>
        <v>8.73</v>
      </c>
      <c r="Q858">
        <f t="shared" si="81"/>
        <v>7.5951000000000004</v>
      </c>
      <c r="R858">
        <f t="shared" si="82"/>
        <v>1.1349</v>
      </c>
      <c r="S858" s="4">
        <f t="shared" si="83"/>
        <v>0.13</v>
      </c>
      <c r="T858" t="str">
        <f>_xlfn.XLOOKUP(C858,customers!$A$1:$A$1001,customers!$I$1:$I$1001,,0)</f>
        <v>Yes</v>
      </c>
    </row>
    <row r="859" spans="1:20"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INDEX(products!$A$1:$I$49,MATCH('Conditional Fomating'!$D859,products!$A$1:$A$49,0),MATCH('Conditional Fomating'!I$1,products!$A$1:$D$1,0))</f>
        <v>Rob</v>
      </c>
      <c r="J859" t="str">
        <f t="shared" si="78"/>
        <v>Robusta</v>
      </c>
      <c r="K859" t="str">
        <f>INDEX(products!$A$1:$I$49,MATCH('Conditional Fomating'!$D859,products!$A$1:$A$49,0),MATCH('Conditional Fomating'!K$1,products!$A$1:$D$1,0))</f>
        <v>L</v>
      </c>
      <c r="L859" t="str">
        <f t="shared" si="79"/>
        <v>Light</v>
      </c>
      <c r="M859">
        <f>INDEX(products!$A$1:$I$49,MATCH('Conditional Fomating'!$D859,products!$A$1:$A$49,0),MATCH('Conditional Fomating'!M$1,products!$A$1:$D$1,0))</f>
        <v>2.5</v>
      </c>
      <c r="N859">
        <f>_xlfn.XLOOKUP(D859,products!$A$2:$A$49,products!$E$2:$E$49)</f>
        <v>27.484999999999996</v>
      </c>
      <c r="O859">
        <f>_xlfn.XLOOKUP(D859,products!$A$2:$A$49,products!$H$2:$H$49)</f>
        <v>25.835899999999995</v>
      </c>
      <c r="P859">
        <f t="shared" si="80"/>
        <v>137.42499999999998</v>
      </c>
      <c r="Q859">
        <f t="shared" si="81"/>
        <v>129.17949999999996</v>
      </c>
      <c r="R859">
        <f t="shared" si="82"/>
        <v>8.2455000000000211</v>
      </c>
      <c r="S859" s="4">
        <f t="shared" si="83"/>
        <v>6.0000000000000164E-2</v>
      </c>
      <c r="T859" t="str">
        <f>_xlfn.XLOOKUP(C859,customers!$A$1:$A$1001,customers!$I$1:$I$1001,,0)</f>
        <v>No</v>
      </c>
    </row>
    <row r="860" spans="1:20"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INDEX(products!$A$1:$I$49,MATCH('Conditional Fomating'!$D860,products!$A$1:$A$49,0),MATCH('Conditional Fomating'!I$1,products!$A$1:$D$1,0))</f>
        <v>Lib</v>
      </c>
      <c r="J860" t="str">
        <f t="shared" si="78"/>
        <v>Liberica</v>
      </c>
      <c r="K860" t="str">
        <f>INDEX(products!$A$1:$I$49,MATCH('Conditional Fomating'!$D860,products!$A$1:$A$49,0),MATCH('Conditional Fomating'!K$1,products!$A$1:$D$1,0))</f>
        <v>M</v>
      </c>
      <c r="L860" t="str">
        <f t="shared" si="79"/>
        <v>Medium</v>
      </c>
      <c r="M860">
        <f>INDEX(products!$A$1:$I$49,MATCH('Conditional Fomating'!$D860,products!$A$1:$A$49,0),MATCH('Conditional Fomating'!M$1,products!$A$1:$D$1,0))</f>
        <v>0.5</v>
      </c>
      <c r="N860">
        <f>_xlfn.XLOOKUP(D860,products!$A$2:$A$49,products!$E$2:$E$49)</f>
        <v>8.73</v>
      </c>
      <c r="O860">
        <f>_xlfn.XLOOKUP(D860,products!$A$2:$A$49,products!$H$2:$H$49)</f>
        <v>7.5951000000000004</v>
      </c>
      <c r="P860">
        <f t="shared" si="80"/>
        <v>34.92</v>
      </c>
      <c r="Q860">
        <f t="shared" si="81"/>
        <v>30.380400000000002</v>
      </c>
      <c r="R860">
        <f t="shared" si="82"/>
        <v>4.5396000000000001</v>
      </c>
      <c r="S860" s="4">
        <f t="shared" si="83"/>
        <v>0.13</v>
      </c>
      <c r="T860" t="str">
        <f>_xlfn.XLOOKUP(C860,customers!$A$1:$A$1001,customers!$I$1:$I$1001,,0)</f>
        <v>No</v>
      </c>
    </row>
    <row r="861" spans="1:20"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INDEX(products!$A$1:$I$49,MATCH('Conditional Fomating'!$D861,products!$A$1:$A$49,0),MATCH('Conditional Fomating'!I$1,products!$A$1:$D$1,0))</f>
        <v>Ara</v>
      </c>
      <c r="J861" t="str">
        <f t="shared" si="78"/>
        <v>Arabica</v>
      </c>
      <c r="K861" t="str">
        <f>INDEX(products!$A$1:$I$49,MATCH('Conditional Fomating'!$D861,products!$A$1:$A$49,0),MATCH('Conditional Fomating'!K$1,products!$A$1:$D$1,0))</f>
        <v>L</v>
      </c>
      <c r="L861" t="str">
        <f t="shared" si="79"/>
        <v>Light</v>
      </c>
      <c r="M861">
        <f>INDEX(products!$A$1:$I$49,MATCH('Conditional Fomating'!$D861,products!$A$1:$A$49,0),MATCH('Conditional Fomating'!M$1,products!$A$1:$D$1,0))</f>
        <v>2.5</v>
      </c>
      <c r="N861">
        <f>_xlfn.XLOOKUP(D861,products!$A$2:$A$49,products!$E$2:$E$49)</f>
        <v>29.784999999999997</v>
      </c>
      <c r="O861">
        <f>_xlfn.XLOOKUP(D861,products!$A$2:$A$49,products!$H$2:$H$49)</f>
        <v>27.104349999999997</v>
      </c>
      <c r="P861">
        <f t="shared" si="80"/>
        <v>178.70999999999998</v>
      </c>
      <c r="Q861">
        <f t="shared" si="81"/>
        <v>162.62609999999998</v>
      </c>
      <c r="R861">
        <f t="shared" si="82"/>
        <v>16.0839</v>
      </c>
      <c r="S861" s="4">
        <f t="shared" si="83"/>
        <v>9.0000000000000011E-2</v>
      </c>
      <c r="T861" t="str">
        <f>_xlfn.XLOOKUP(C861,customers!$A$1:$A$1001,customers!$I$1:$I$1001,,0)</f>
        <v>No</v>
      </c>
    </row>
    <row r="862" spans="1:20"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v>
      </c>
      <c r="H862" s="2" t="str">
        <f>_xlfn.XLOOKUP(C862,customers!$A$1:$A$1001,customers!$G$1:$G$1001,,0)</f>
        <v>United States</v>
      </c>
      <c r="I862" t="str">
        <f>INDEX(products!$A$1:$I$49,MATCH('Conditional Fomating'!$D862,products!$A$1:$A$49,0),MATCH('Conditional Fomating'!I$1,products!$A$1:$D$1,0))</f>
        <v>Ara</v>
      </c>
      <c r="J862" t="str">
        <f t="shared" si="78"/>
        <v>Arabica</v>
      </c>
      <c r="K862" t="str">
        <f>INDEX(products!$A$1:$I$49,MATCH('Conditional Fomating'!$D862,products!$A$1:$A$49,0),MATCH('Conditional Fomating'!K$1,products!$A$1:$D$1,0))</f>
        <v>M</v>
      </c>
      <c r="L862" t="str">
        <f t="shared" si="79"/>
        <v>Medium</v>
      </c>
      <c r="M862">
        <f>INDEX(products!$A$1:$I$49,MATCH('Conditional Fomating'!$D862,products!$A$1:$A$49,0),MATCH('Conditional Fomating'!M$1,products!$A$1:$D$1,0))</f>
        <v>2.5</v>
      </c>
      <c r="N862">
        <f>_xlfn.XLOOKUP(D862,products!$A$2:$A$49,products!$E$2:$E$49)</f>
        <v>25.874999999999996</v>
      </c>
      <c r="O862">
        <f>_xlfn.XLOOKUP(D862,products!$A$2:$A$49,products!$H$2:$H$49)</f>
        <v>23.546249999999997</v>
      </c>
      <c r="P862">
        <f t="shared" si="80"/>
        <v>25.874999999999996</v>
      </c>
      <c r="Q862">
        <f t="shared" si="81"/>
        <v>23.546249999999997</v>
      </c>
      <c r="R862">
        <f t="shared" si="82"/>
        <v>2.3287499999999994</v>
      </c>
      <c r="S862" s="4">
        <f t="shared" si="83"/>
        <v>0.09</v>
      </c>
      <c r="T862" t="str">
        <f>_xlfn.XLOOKUP(C862,customers!$A$1:$A$1001,customers!$I$1:$I$1001,,0)</f>
        <v>No</v>
      </c>
    </row>
    <row r="863" spans="1:20"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INDEX(products!$A$1:$I$49,MATCH('Conditional Fomating'!$D863,products!$A$1:$A$49,0),MATCH('Conditional Fomating'!I$1,products!$A$1:$D$1,0))</f>
        <v>Lib</v>
      </c>
      <c r="J863" t="str">
        <f t="shared" si="78"/>
        <v>Liberica</v>
      </c>
      <c r="K863" t="str">
        <f>INDEX(products!$A$1:$I$49,MATCH('Conditional Fomating'!$D863,products!$A$1:$A$49,0),MATCH('Conditional Fomating'!K$1,products!$A$1:$D$1,0))</f>
        <v>D</v>
      </c>
      <c r="L863" t="str">
        <f t="shared" si="79"/>
        <v>Dark</v>
      </c>
      <c r="M863">
        <f>INDEX(products!$A$1:$I$49,MATCH('Conditional Fomating'!$D863,products!$A$1:$A$49,0),MATCH('Conditional Fomating'!M$1,products!$A$1:$D$1,0))</f>
        <v>1</v>
      </c>
      <c r="N863">
        <f>_xlfn.XLOOKUP(D863,products!$A$2:$A$49,products!$E$2:$E$49)</f>
        <v>12.95</v>
      </c>
      <c r="O863">
        <f>_xlfn.XLOOKUP(D863,products!$A$2:$A$49,products!$H$2:$H$49)</f>
        <v>11.266499999999999</v>
      </c>
      <c r="P863">
        <f t="shared" si="80"/>
        <v>77.699999999999989</v>
      </c>
      <c r="Q863">
        <f t="shared" si="81"/>
        <v>67.59899999999999</v>
      </c>
      <c r="R863">
        <f t="shared" si="82"/>
        <v>10.100999999999999</v>
      </c>
      <c r="S863" s="4">
        <f t="shared" si="83"/>
        <v>0.13</v>
      </c>
      <c r="T863" t="str">
        <f>_xlfn.XLOOKUP(C863,customers!$A$1:$A$1001,customers!$I$1:$I$1001,,0)</f>
        <v>Yes</v>
      </c>
    </row>
    <row r="864" spans="1:20"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INDEX(products!$A$1:$I$49,MATCH('Conditional Fomating'!$D864,products!$A$1:$A$49,0),MATCH('Conditional Fomating'!I$1,products!$A$1:$D$1,0))</f>
        <v>Rob</v>
      </c>
      <c r="J864" t="str">
        <f t="shared" si="78"/>
        <v>Robusta</v>
      </c>
      <c r="K864" t="str">
        <f>INDEX(products!$A$1:$I$49,MATCH('Conditional Fomating'!$D864,products!$A$1:$A$49,0),MATCH('Conditional Fomating'!K$1,products!$A$1:$D$1,0))</f>
        <v>M</v>
      </c>
      <c r="L864" t="str">
        <f t="shared" si="79"/>
        <v>Medium</v>
      </c>
      <c r="M864">
        <f>INDEX(products!$A$1:$I$49,MATCH('Conditional Fomating'!$D864,products!$A$1:$A$49,0),MATCH('Conditional Fomating'!M$1,products!$A$1:$D$1,0))</f>
        <v>1</v>
      </c>
      <c r="N864">
        <f>_xlfn.XLOOKUP(D864,products!$A$2:$A$49,products!$E$2:$E$49)</f>
        <v>9.9499999999999993</v>
      </c>
      <c r="O864">
        <f>_xlfn.XLOOKUP(D864,products!$A$2:$A$49,products!$H$2:$H$49)</f>
        <v>9.3529999999999998</v>
      </c>
      <c r="P864">
        <f t="shared" si="80"/>
        <v>9.9499999999999993</v>
      </c>
      <c r="Q864">
        <f t="shared" si="81"/>
        <v>9.3529999999999998</v>
      </c>
      <c r="R864">
        <f t="shared" si="82"/>
        <v>0.59699999999999953</v>
      </c>
      <c r="S864" s="4">
        <f t="shared" si="83"/>
        <v>5.9999999999999956E-2</v>
      </c>
      <c r="T864" t="str">
        <f>_xlfn.XLOOKUP(C864,customers!$A$1:$A$1001,customers!$I$1:$I$1001,,0)</f>
        <v>Yes</v>
      </c>
    </row>
    <row r="865" spans="1:20"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INDEX(products!$A$1:$I$49,MATCH('Conditional Fomating'!$D865,products!$A$1:$A$49,0),MATCH('Conditional Fomating'!I$1,products!$A$1:$D$1,0))</f>
        <v>Lib</v>
      </c>
      <c r="J865" t="str">
        <f t="shared" si="78"/>
        <v>Liberica</v>
      </c>
      <c r="K865" t="str">
        <f>INDEX(products!$A$1:$I$49,MATCH('Conditional Fomating'!$D865,products!$A$1:$A$49,0),MATCH('Conditional Fomating'!K$1,products!$A$1:$D$1,0))</f>
        <v>M</v>
      </c>
      <c r="L865" t="str">
        <f t="shared" si="79"/>
        <v>Medium</v>
      </c>
      <c r="M865">
        <f>INDEX(products!$A$1:$I$49,MATCH('Conditional Fomating'!$D865,products!$A$1:$A$49,0),MATCH('Conditional Fomating'!M$1,products!$A$1:$D$1,0))</f>
        <v>1</v>
      </c>
      <c r="N865">
        <f>_xlfn.XLOOKUP(D865,products!$A$2:$A$49,products!$E$2:$E$49)</f>
        <v>14.55</v>
      </c>
      <c r="O865">
        <f>_xlfn.XLOOKUP(D865,products!$A$2:$A$49,products!$H$2:$H$49)</f>
        <v>12.6585</v>
      </c>
      <c r="P865">
        <f t="shared" si="80"/>
        <v>29.1</v>
      </c>
      <c r="Q865">
        <f t="shared" si="81"/>
        <v>25.317</v>
      </c>
      <c r="R865">
        <f t="shared" si="82"/>
        <v>3.7830000000000013</v>
      </c>
      <c r="S865" s="4">
        <f t="shared" si="83"/>
        <v>0.13000000000000003</v>
      </c>
      <c r="T865" t="str">
        <f>_xlfn.XLOOKUP(C865,customers!$A$1:$A$1001,customers!$I$1:$I$1001,,0)</f>
        <v>Yes</v>
      </c>
    </row>
    <row r="866" spans="1:20"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INDEX(products!$A$1:$I$49,MATCH('Conditional Fomating'!$D866,products!$A$1:$A$49,0),MATCH('Conditional Fomating'!I$1,products!$A$1:$D$1,0))</f>
        <v>Rob</v>
      </c>
      <c r="J866" t="str">
        <f t="shared" si="78"/>
        <v>Robusta</v>
      </c>
      <c r="K866" t="str">
        <f>INDEX(products!$A$1:$I$49,MATCH('Conditional Fomating'!$D866,products!$A$1:$A$49,0),MATCH('Conditional Fomating'!K$1,products!$A$1:$D$1,0))</f>
        <v>L</v>
      </c>
      <c r="L866" t="str">
        <f t="shared" si="79"/>
        <v>Light</v>
      </c>
      <c r="M866">
        <f>INDEX(products!$A$1:$I$49,MATCH('Conditional Fomating'!$D866,products!$A$1:$A$49,0),MATCH('Conditional Fomating'!M$1,products!$A$1:$D$1,0))</f>
        <v>0.2</v>
      </c>
      <c r="N866">
        <f>_xlfn.XLOOKUP(D866,products!$A$2:$A$49,products!$E$2:$E$49)</f>
        <v>3.5849999999999995</v>
      </c>
      <c r="O866">
        <f>_xlfn.XLOOKUP(D866,products!$A$2:$A$49,products!$H$2:$H$49)</f>
        <v>3.3698999999999995</v>
      </c>
      <c r="P866">
        <f t="shared" si="80"/>
        <v>21.509999999999998</v>
      </c>
      <c r="Q866">
        <f t="shared" si="81"/>
        <v>20.219399999999997</v>
      </c>
      <c r="R866">
        <f t="shared" si="82"/>
        <v>1.2906000000000013</v>
      </c>
      <c r="S866" s="4">
        <f t="shared" si="83"/>
        <v>6.0000000000000067E-2</v>
      </c>
      <c r="T866" t="str">
        <f>_xlfn.XLOOKUP(C866,customers!$A$1:$A$1001,customers!$I$1:$I$1001,,0)</f>
        <v>No</v>
      </c>
    </row>
    <row r="867" spans="1:20"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INDEX(products!$A$1:$I$49,MATCH('Conditional Fomating'!$D867,products!$A$1:$A$49,0),MATCH('Conditional Fomating'!I$1,products!$A$1:$D$1,0))</f>
        <v>Ara</v>
      </c>
      <c r="J867" t="str">
        <f t="shared" si="78"/>
        <v>Arabica</v>
      </c>
      <c r="K867" t="str">
        <f>INDEX(products!$A$1:$I$49,MATCH('Conditional Fomating'!$D867,products!$A$1:$A$49,0),MATCH('Conditional Fomating'!K$1,products!$A$1:$D$1,0))</f>
        <v>M</v>
      </c>
      <c r="L867" t="str">
        <f t="shared" si="79"/>
        <v>Medium</v>
      </c>
      <c r="M867">
        <f>INDEX(products!$A$1:$I$49,MATCH('Conditional Fomating'!$D867,products!$A$1:$A$49,0),MATCH('Conditional Fomating'!M$1,products!$A$1:$D$1,0))</f>
        <v>0.5</v>
      </c>
      <c r="N867">
        <f>_xlfn.XLOOKUP(D867,products!$A$2:$A$49,products!$E$2:$E$49)</f>
        <v>6.75</v>
      </c>
      <c r="O867">
        <f>_xlfn.XLOOKUP(D867,products!$A$2:$A$49,products!$H$2:$H$49)</f>
        <v>6.1425000000000001</v>
      </c>
      <c r="P867">
        <f t="shared" si="80"/>
        <v>6.75</v>
      </c>
      <c r="Q867">
        <f t="shared" si="81"/>
        <v>6.1425000000000001</v>
      </c>
      <c r="R867">
        <f t="shared" si="82"/>
        <v>0.60749999999999993</v>
      </c>
      <c r="S867" s="4">
        <f t="shared" si="83"/>
        <v>8.9999999999999983E-2</v>
      </c>
      <c r="T867" t="str">
        <f>_xlfn.XLOOKUP(C867,customers!$A$1:$A$1001,customers!$I$1:$I$1001,,0)</f>
        <v>Yes</v>
      </c>
    </row>
    <row r="868" spans="1:20"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INDEX(products!$A$1:$I$49,MATCH('Conditional Fomating'!$D868,products!$A$1:$A$49,0),MATCH('Conditional Fomating'!I$1,products!$A$1:$D$1,0))</f>
        <v>Ara</v>
      </c>
      <c r="J868" t="str">
        <f t="shared" si="78"/>
        <v>Arabica</v>
      </c>
      <c r="K868" t="str">
        <f>INDEX(products!$A$1:$I$49,MATCH('Conditional Fomating'!$D868,products!$A$1:$A$49,0),MATCH('Conditional Fomating'!K$1,products!$A$1:$D$1,0))</f>
        <v>D</v>
      </c>
      <c r="L868" t="str">
        <f t="shared" si="79"/>
        <v>Dark</v>
      </c>
      <c r="M868">
        <f>INDEX(products!$A$1:$I$49,MATCH('Conditional Fomating'!$D868,products!$A$1:$A$49,0),MATCH('Conditional Fomating'!M$1,products!$A$1:$D$1,0))</f>
        <v>0.5</v>
      </c>
      <c r="N868">
        <f>_xlfn.XLOOKUP(D868,products!$A$2:$A$49,products!$E$2:$E$49)</f>
        <v>5.97</v>
      </c>
      <c r="O868">
        <f>_xlfn.XLOOKUP(D868,products!$A$2:$A$49,products!$H$2:$H$49)</f>
        <v>5.4326999999999996</v>
      </c>
      <c r="P868">
        <f t="shared" si="80"/>
        <v>17.91</v>
      </c>
      <c r="Q868">
        <f t="shared" si="81"/>
        <v>16.298099999999998</v>
      </c>
      <c r="R868">
        <f t="shared" si="82"/>
        <v>1.6119000000000021</v>
      </c>
      <c r="S868" s="4">
        <f t="shared" si="83"/>
        <v>9.0000000000000122E-2</v>
      </c>
      <c r="T868" t="str">
        <f>_xlfn.XLOOKUP(C868,customers!$A$1:$A$1001,customers!$I$1:$I$1001,,0)</f>
        <v>No</v>
      </c>
    </row>
    <row r="869" spans="1:20"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INDEX(products!$A$1:$I$49,MATCH('Conditional Fomating'!$D869,products!$A$1:$A$49,0),MATCH('Conditional Fomating'!I$1,products!$A$1:$D$1,0))</f>
        <v>Ara</v>
      </c>
      <c r="J869" t="str">
        <f t="shared" si="78"/>
        <v>Arabica</v>
      </c>
      <c r="K869" t="str">
        <f>INDEX(products!$A$1:$I$49,MATCH('Conditional Fomating'!$D869,products!$A$1:$A$49,0),MATCH('Conditional Fomating'!K$1,products!$A$1:$D$1,0))</f>
        <v>L</v>
      </c>
      <c r="L869" t="str">
        <f t="shared" si="79"/>
        <v>Light</v>
      </c>
      <c r="M869">
        <f>INDEX(products!$A$1:$I$49,MATCH('Conditional Fomating'!$D869,products!$A$1:$A$49,0),MATCH('Conditional Fomating'!M$1,products!$A$1:$D$1,0))</f>
        <v>2.5</v>
      </c>
      <c r="N869">
        <f>_xlfn.XLOOKUP(D869,products!$A$2:$A$49,products!$E$2:$E$49)</f>
        <v>29.784999999999997</v>
      </c>
      <c r="O869">
        <f>_xlfn.XLOOKUP(D869,products!$A$2:$A$49,products!$H$2:$H$49)</f>
        <v>27.104349999999997</v>
      </c>
      <c r="P869">
        <f t="shared" si="80"/>
        <v>29.784999999999997</v>
      </c>
      <c r="Q869">
        <f t="shared" si="81"/>
        <v>27.104349999999997</v>
      </c>
      <c r="R869">
        <f t="shared" si="82"/>
        <v>2.68065</v>
      </c>
      <c r="S869" s="4">
        <f t="shared" si="83"/>
        <v>9.0000000000000011E-2</v>
      </c>
      <c r="T869" t="str">
        <f>_xlfn.XLOOKUP(C869,customers!$A$1:$A$1001,customers!$I$1:$I$1001,,0)</f>
        <v>Yes</v>
      </c>
    </row>
    <row r="870" spans="1:20"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INDEX(products!$A$1:$I$49,MATCH('Conditional Fomating'!$D870,products!$A$1:$A$49,0),MATCH('Conditional Fomating'!I$1,products!$A$1:$D$1,0))</f>
        <v>Exc</v>
      </c>
      <c r="J870" t="str">
        <f t="shared" si="78"/>
        <v>Excelsa</v>
      </c>
      <c r="K870" t="str">
        <f>INDEX(products!$A$1:$I$49,MATCH('Conditional Fomating'!$D870,products!$A$1:$A$49,0),MATCH('Conditional Fomating'!K$1,products!$A$1:$D$1,0))</f>
        <v>M</v>
      </c>
      <c r="L870" t="str">
        <f t="shared" si="79"/>
        <v>Medium</v>
      </c>
      <c r="M870">
        <f>INDEX(products!$A$1:$I$49,MATCH('Conditional Fomating'!$D870,products!$A$1:$A$49,0),MATCH('Conditional Fomating'!M$1,products!$A$1:$D$1,0))</f>
        <v>0.5</v>
      </c>
      <c r="N870">
        <f>_xlfn.XLOOKUP(D870,products!$A$2:$A$49,products!$E$2:$E$49)</f>
        <v>8.25</v>
      </c>
      <c r="O870">
        <f>_xlfn.XLOOKUP(D870,products!$A$2:$A$49,products!$H$2:$H$49)</f>
        <v>7.3425000000000002</v>
      </c>
      <c r="P870">
        <f t="shared" si="80"/>
        <v>41.25</v>
      </c>
      <c r="Q870">
        <f t="shared" si="81"/>
        <v>36.712499999999999</v>
      </c>
      <c r="R870">
        <f t="shared" si="82"/>
        <v>4.5375000000000014</v>
      </c>
      <c r="S870" s="4">
        <f t="shared" si="83"/>
        <v>0.11000000000000003</v>
      </c>
      <c r="T870" t="str">
        <f>_xlfn.XLOOKUP(C870,customers!$A$1:$A$1001,customers!$I$1:$I$1001,,0)</f>
        <v>Yes</v>
      </c>
    </row>
    <row r="871" spans="1:20"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v>
      </c>
      <c r="H871" s="2" t="str">
        <f>_xlfn.XLOOKUP(C871,customers!$A$1:$A$1001,customers!$G$1:$G$1001,,0)</f>
        <v>United States</v>
      </c>
      <c r="I871" t="str">
        <f>INDEX(products!$A$1:$I$49,MATCH('Conditional Fomating'!$D871,products!$A$1:$A$49,0),MATCH('Conditional Fomating'!I$1,products!$A$1:$D$1,0))</f>
        <v>Rob</v>
      </c>
      <c r="J871" t="str">
        <f t="shared" si="78"/>
        <v>Robusta</v>
      </c>
      <c r="K871" t="str">
        <f>INDEX(products!$A$1:$I$49,MATCH('Conditional Fomating'!$D871,products!$A$1:$A$49,0),MATCH('Conditional Fomating'!K$1,products!$A$1:$D$1,0))</f>
        <v>M</v>
      </c>
      <c r="L871" t="str">
        <f t="shared" si="79"/>
        <v>Medium</v>
      </c>
      <c r="M871">
        <f>INDEX(products!$A$1:$I$49,MATCH('Conditional Fomating'!$D871,products!$A$1:$A$49,0),MATCH('Conditional Fomating'!M$1,products!$A$1:$D$1,0))</f>
        <v>0.5</v>
      </c>
      <c r="N871">
        <f>_xlfn.XLOOKUP(D871,products!$A$2:$A$49,products!$E$2:$E$49)</f>
        <v>5.97</v>
      </c>
      <c r="O871">
        <f>_xlfn.XLOOKUP(D871,products!$A$2:$A$49,products!$H$2:$H$49)</f>
        <v>5.6117999999999997</v>
      </c>
      <c r="P871">
        <f t="shared" si="80"/>
        <v>17.91</v>
      </c>
      <c r="Q871">
        <f t="shared" si="81"/>
        <v>16.8354</v>
      </c>
      <c r="R871">
        <f t="shared" si="82"/>
        <v>1.0746000000000002</v>
      </c>
      <c r="S871" s="4">
        <f t="shared" si="83"/>
        <v>6.0000000000000012E-2</v>
      </c>
      <c r="T871" t="str">
        <f>_xlfn.XLOOKUP(C871,customers!$A$1:$A$1001,customers!$I$1:$I$1001,,0)</f>
        <v>Yes</v>
      </c>
    </row>
    <row r="872" spans="1:20"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INDEX(products!$A$1:$I$49,MATCH('Conditional Fomating'!$D872,products!$A$1:$A$49,0),MATCH('Conditional Fomating'!I$1,products!$A$1:$D$1,0))</f>
        <v>Exc</v>
      </c>
      <c r="J872" t="str">
        <f t="shared" si="78"/>
        <v>Excelsa</v>
      </c>
      <c r="K872" t="str">
        <f>INDEX(products!$A$1:$I$49,MATCH('Conditional Fomating'!$D872,products!$A$1:$A$49,0),MATCH('Conditional Fomating'!K$1,products!$A$1:$D$1,0))</f>
        <v>D</v>
      </c>
      <c r="L872" t="str">
        <f t="shared" si="79"/>
        <v>Dark</v>
      </c>
      <c r="M872">
        <f>INDEX(products!$A$1:$I$49,MATCH('Conditional Fomating'!$D872,products!$A$1:$A$49,0),MATCH('Conditional Fomating'!M$1,products!$A$1:$D$1,0))</f>
        <v>0.5</v>
      </c>
      <c r="N872">
        <f>_xlfn.XLOOKUP(D872,products!$A$2:$A$49,products!$E$2:$E$49)</f>
        <v>7.29</v>
      </c>
      <c r="O872">
        <f>_xlfn.XLOOKUP(D872,products!$A$2:$A$49,products!$H$2:$H$49)</f>
        <v>6.4881000000000002</v>
      </c>
      <c r="P872">
        <f t="shared" si="80"/>
        <v>7.29</v>
      </c>
      <c r="Q872">
        <f t="shared" si="81"/>
        <v>6.4881000000000002</v>
      </c>
      <c r="R872">
        <f t="shared" si="82"/>
        <v>0.80189999999999984</v>
      </c>
      <c r="S872" s="4">
        <f t="shared" si="83"/>
        <v>0.10999999999999997</v>
      </c>
      <c r="T872" t="str">
        <f>_xlfn.XLOOKUP(C872,customers!$A$1:$A$1001,customers!$I$1:$I$1001,,0)</f>
        <v>Yes</v>
      </c>
    </row>
    <row r="873" spans="1:20"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INDEX(products!$A$1:$I$49,MATCH('Conditional Fomating'!$D873,products!$A$1:$A$49,0),MATCH('Conditional Fomating'!I$1,products!$A$1:$D$1,0))</f>
        <v>Exc</v>
      </c>
      <c r="J873" t="str">
        <f t="shared" si="78"/>
        <v>Excelsa</v>
      </c>
      <c r="K873" t="str">
        <f>INDEX(products!$A$1:$I$49,MATCH('Conditional Fomating'!$D873,products!$A$1:$A$49,0),MATCH('Conditional Fomating'!K$1,products!$A$1:$D$1,0))</f>
        <v>L</v>
      </c>
      <c r="L873" t="str">
        <f t="shared" si="79"/>
        <v>Light</v>
      </c>
      <c r="M873">
        <f>INDEX(products!$A$1:$I$49,MATCH('Conditional Fomating'!$D873,products!$A$1:$A$49,0),MATCH('Conditional Fomating'!M$1,products!$A$1:$D$1,0))</f>
        <v>1</v>
      </c>
      <c r="N873">
        <f>_xlfn.XLOOKUP(D873,products!$A$2:$A$49,products!$E$2:$E$49)</f>
        <v>14.85</v>
      </c>
      <c r="O873">
        <f>_xlfn.XLOOKUP(D873,products!$A$2:$A$49,products!$H$2:$H$49)</f>
        <v>13.2165</v>
      </c>
      <c r="P873">
        <f t="shared" si="80"/>
        <v>29.7</v>
      </c>
      <c r="Q873">
        <f t="shared" si="81"/>
        <v>26.433</v>
      </c>
      <c r="R873">
        <f t="shared" si="82"/>
        <v>3.2669999999999995</v>
      </c>
      <c r="S873" s="4">
        <f t="shared" si="83"/>
        <v>0.10999999999999999</v>
      </c>
      <c r="T873" t="str">
        <f>_xlfn.XLOOKUP(C873,customers!$A$1:$A$1001,customers!$I$1:$I$1001,,0)</f>
        <v>Yes</v>
      </c>
    </row>
    <row r="874" spans="1:20"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INDEX(products!$A$1:$I$49,MATCH('Conditional Fomating'!$D874,products!$A$1:$A$49,0),MATCH('Conditional Fomating'!I$1,products!$A$1:$D$1,0))</f>
        <v>Ara</v>
      </c>
      <c r="J874" t="str">
        <f t="shared" si="78"/>
        <v>Arabica</v>
      </c>
      <c r="K874" t="str">
        <f>INDEX(products!$A$1:$I$49,MATCH('Conditional Fomating'!$D874,products!$A$1:$A$49,0),MATCH('Conditional Fomating'!K$1,products!$A$1:$D$1,0))</f>
        <v>M</v>
      </c>
      <c r="L874" t="str">
        <f t="shared" si="79"/>
        <v>Medium</v>
      </c>
      <c r="M874">
        <f>INDEX(products!$A$1:$I$49,MATCH('Conditional Fomating'!$D874,products!$A$1:$A$49,0),MATCH('Conditional Fomating'!M$1,products!$A$1:$D$1,0))</f>
        <v>1</v>
      </c>
      <c r="N874">
        <f>_xlfn.XLOOKUP(D874,products!$A$2:$A$49,products!$E$2:$E$49)</f>
        <v>11.25</v>
      </c>
      <c r="O874">
        <f>_xlfn.XLOOKUP(D874,products!$A$2:$A$49,products!$H$2:$H$49)</f>
        <v>10.237500000000001</v>
      </c>
      <c r="P874">
        <f t="shared" si="80"/>
        <v>22.5</v>
      </c>
      <c r="Q874">
        <f t="shared" si="81"/>
        <v>20.475000000000001</v>
      </c>
      <c r="R874">
        <f t="shared" si="82"/>
        <v>2.0249999999999986</v>
      </c>
      <c r="S874" s="4">
        <f t="shared" si="83"/>
        <v>8.9999999999999941E-2</v>
      </c>
      <c r="T874" t="str">
        <f>_xlfn.XLOOKUP(C874,customers!$A$1:$A$1001,customers!$I$1:$I$1001,,0)</f>
        <v>No</v>
      </c>
    </row>
    <row r="875" spans="1:20"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INDEX(products!$A$1:$I$49,MATCH('Conditional Fomating'!$D875,products!$A$1:$A$49,0),MATCH('Conditional Fomating'!I$1,products!$A$1:$D$1,0))</f>
        <v>Rob</v>
      </c>
      <c r="J875" t="str">
        <f t="shared" si="78"/>
        <v>Robusta</v>
      </c>
      <c r="K875" t="str">
        <f>INDEX(products!$A$1:$I$49,MATCH('Conditional Fomating'!$D875,products!$A$1:$A$49,0),MATCH('Conditional Fomating'!K$1,products!$A$1:$D$1,0))</f>
        <v>M</v>
      </c>
      <c r="L875" t="str">
        <f t="shared" si="79"/>
        <v>Medium</v>
      </c>
      <c r="M875">
        <f>INDEX(products!$A$1:$I$49,MATCH('Conditional Fomating'!$D875,products!$A$1:$A$49,0),MATCH('Conditional Fomating'!M$1,products!$A$1:$D$1,0))</f>
        <v>0.2</v>
      </c>
      <c r="N875">
        <f>_xlfn.XLOOKUP(D875,products!$A$2:$A$49,products!$E$2:$E$49)</f>
        <v>2.9849999999999999</v>
      </c>
      <c r="O875">
        <f>_xlfn.XLOOKUP(D875,products!$A$2:$A$49,products!$H$2:$H$49)</f>
        <v>2.8058999999999998</v>
      </c>
      <c r="P875">
        <f t="shared" si="80"/>
        <v>11.94</v>
      </c>
      <c r="Q875">
        <f t="shared" si="81"/>
        <v>11.223599999999999</v>
      </c>
      <c r="R875">
        <f t="shared" si="82"/>
        <v>0.71640000000000015</v>
      </c>
      <c r="S875" s="4">
        <f t="shared" si="83"/>
        <v>6.0000000000000012E-2</v>
      </c>
      <c r="T875" t="str">
        <f>_xlfn.XLOOKUP(C875,customers!$A$1:$A$1001,customers!$I$1:$I$1001,,0)</f>
        <v>Yes</v>
      </c>
    </row>
    <row r="876" spans="1:20"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INDEX(products!$A$1:$I$49,MATCH('Conditional Fomating'!$D876,products!$A$1:$A$49,0),MATCH('Conditional Fomating'!I$1,products!$A$1:$D$1,0))</f>
        <v>Ara</v>
      </c>
      <c r="J876" t="str">
        <f t="shared" si="78"/>
        <v>Arabica</v>
      </c>
      <c r="K876" t="str">
        <f>INDEX(products!$A$1:$I$49,MATCH('Conditional Fomating'!$D876,products!$A$1:$A$49,0),MATCH('Conditional Fomating'!K$1,products!$A$1:$D$1,0))</f>
        <v>L</v>
      </c>
      <c r="L876" t="str">
        <f t="shared" si="79"/>
        <v>Light</v>
      </c>
      <c r="M876">
        <f>INDEX(products!$A$1:$I$49,MATCH('Conditional Fomating'!$D876,products!$A$1:$A$49,0),MATCH('Conditional Fomating'!M$1,products!$A$1:$D$1,0))</f>
        <v>1</v>
      </c>
      <c r="N876">
        <f>_xlfn.XLOOKUP(D876,products!$A$2:$A$49,products!$E$2:$E$49)</f>
        <v>12.95</v>
      </c>
      <c r="O876">
        <f>_xlfn.XLOOKUP(D876,products!$A$2:$A$49,products!$H$2:$H$49)</f>
        <v>11.7845</v>
      </c>
      <c r="P876">
        <f t="shared" si="80"/>
        <v>25.9</v>
      </c>
      <c r="Q876">
        <f t="shared" si="81"/>
        <v>23.568999999999999</v>
      </c>
      <c r="R876">
        <f t="shared" si="82"/>
        <v>2.3309999999999995</v>
      </c>
      <c r="S876" s="4">
        <f t="shared" si="83"/>
        <v>8.9999999999999983E-2</v>
      </c>
      <c r="T876" t="str">
        <f>_xlfn.XLOOKUP(C876,customers!$A$1:$A$1001,customers!$I$1:$I$1001,,0)</f>
        <v>No</v>
      </c>
    </row>
    <row r="877" spans="1:20"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INDEX(products!$A$1:$I$49,MATCH('Conditional Fomating'!$D877,products!$A$1:$A$49,0),MATCH('Conditional Fomating'!I$1,products!$A$1:$D$1,0))</f>
        <v>Lib</v>
      </c>
      <c r="J877" t="str">
        <f t="shared" si="78"/>
        <v>Liberica</v>
      </c>
      <c r="K877" t="str">
        <f>INDEX(products!$A$1:$I$49,MATCH('Conditional Fomating'!$D877,products!$A$1:$A$49,0),MATCH('Conditional Fomating'!K$1,products!$A$1:$D$1,0))</f>
        <v>M</v>
      </c>
      <c r="L877" t="str">
        <f t="shared" si="79"/>
        <v>Medium</v>
      </c>
      <c r="M877">
        <f>INDEX(products!$A$1:$I$49,MATCH('Conditional Fomating'!$D877,products!$A$1:$A$49,0),MATCH('Conditional Fomating'!M$1,products!$A$1:$D$1,0))</f>
        <v>0.5</v>
      </c>
      <c r="N877">
        <f>_xlfn.XLOOKUP(D877,products!$A$2:$A$49,products!$E$2:$E$49)</f>
        <v>8.73</v>
      </c>
      <c r="O877">
        <f>_xlfn.XLOOKUP(D877,products!$A$2:$A$49,products!$H$2:$H$49)</f>
        <v>7.5951000000000004</v>
      </c>
      <c r="P877">
        <f t="shared" si="80"/>
        <v>43.650000000000006</v>
      </c>
      <c r="Q877">
        <f t="shared" si="81"/>
        <v>37.975500000000004</v>
      </c>
      <c r="R877">
        <f t="shared" si="82"/>
        <v>5.6745000000000019</v>
      </c>
      <c r="S877" s="4">
        <f t="shared" si="83"/>
        <v>0.13000000000000003</v>
      </c>
      <c r="T877" t="str">
        <f>_xlfn.XLOOKUP(C877,customers!$A$1:$A$1001,customers!$I$1:$I$1001,,0)</f>
        <v>No</v>
      </c>
    </row>
    <row r="878" spans="1:20"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INDEX(products!$A$1:$I$49,MATCH('Conditional Fomating'!$D878,products!$A$1:$A$49,0),MATCH('Conditional Fomating'!I$1,products!$A$1:$D$1,0))</f>
        <v>Ara</v>
      </c>
      <c r="J878" t="str">
        <f t="shared" si="78"/>
        <v>Arabica</v>
      </c>
      <c r="K878" t="str">
        <f>INDEX(products!$A$1:$I$49,MATCH('Conditional Fomating'!$D878,products!$A$1:$A$49,0),MATCH('Conditional Fomating'!K$1,products!$A$1:$D$1,0))</f>
        <v>L</v>
      </c>
      <c r="L878" t="str">
        <f t="shared" si="79"/>
        <v>Light</v>
      </c>
      <c r="M878">
        <f>INDEX(products!$A$1:$I$49,MATCH('Conditional Fomating'!$D878,products!$A$1:$A$49,0),MATCH('Conditional Fomating'!M$1,products!$A$1:$D$1,0))</f>
        <v>0.5</v>
      </c>
      <c r="N878">
        <f>_xlfn.XLOOKUP(D878,products!$A$2:$A$49,products!$E$2:$E$49)</f>
        <v>7.77</v>
      </c>
      <c r="O878">
        <f>_xlfn.XLOOKUP(D878,products!$A$2:$A$49,products!$H$2:$H$49)</f>
        <v>7.0706999999999995</v>
      </c>
      <c r="P878">
        <f t="shared" si="80"/>
        <v>46.62</v>
      </c>
      <c r="Q878">
        <f t="shared" si="81"/>
        <v>42.424199999999999</v>
      </c>
      <c r="R878">
        <f t="shared" si="82"/>
        <v>4.1957999999999984</v>
      </c>
      <c r="S878" s="4">
        <f t="shared" si="83"/>
        <v>8.9999999999999969E-2</v>
      </c>
      <c r="T878" t="str">
        <f>_xlfn.XLOOKUP(C878,customers!$A$1:$A$1001,customers!$I$1:$I$1001,,0)</f>
        <v>No</v>
      </c>
    </row>
    <row r="879" spans="1:20"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INDEX(products!$A$1:$I$49,MATCH('Conditional Fomating'!$D879,products!$A$1:$A$49,0),MATCH('Conditional Fomating'!I$1,products!$A$1:$D$1,0))</f>
        <v>Lib</v>
      </c>
      <c r="J879" t="str">
        <f t="shared" si="78"/>
        <v>Liberica</v>
      </c>
      <c r="K879" t="str">
        <f>INDEX(products!$A$1:$I$49,MATCH('Conditional Fomating'!$D879,products!$A$1:$A$49,0),MATCH('Conditional Fomating'!K$1,products!$A$1:$D$1,0))</f>
        <v>L</v>
      </c>
      <c r="L879" t="str">
        <f t="shared" si="79"/>
        <v>Light</v>
      </c>
      <c r="M879">
        <f>INDEX(products!$A$1:$I$49,MATCH('Conditional Fomating'!$D879,products!$A$1:$A$49,0),MATCH('Conditional Fomating'!M$1,products!$A$1:$D$1,0))</f>
        <v>0.5</v>
      </c>
      <c r="N879">
        <f>_xlfn.XLOOKUP(D879,products!$A$2:$A$49,products!$E$2:$E$49)</f>
        <v>9.51</v>
      </c>
      <c r="O879">
        <f>_xlfn.XLOOKUP(D879,products!$A$2:$A$49,products!$H$2:$H$49)</f>
        <v>8.2736999999999998</v>
      </c>
      <c r="P879">
        <f t="shared" si="80"/>
        <v>28.53</v>
      </c>
      <c r="Q879">
        <f t="shared" si="81"/>
        <v>24.821100000000001</v>
      </c>
      <c r="R879">
        <f t="shared" si="82"/>
        <v>3.7088999999999999</v>
      </c>
      <c r="S879" s="4">
        <f t="shared" si="83"/>
        <v>0.12999999999999998</v>
      </c>
      <c r="T879" t="str">
        <f>_xlfn.XLOOKUP(C879,customers!$A$1:$A$1001,customers!$I$1:$I$1001,,0)</f>
        <v>No</v>
      </c>
    </row>
    <row r="880" spans="1:20"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v>
      </c>
      <c r="H880" s="2" t="str">
        <f>_xlfn.XLOOKUP(C880,customers!$A$1:$A$1001,customers!$G$1:$G$1001,,0)</f>
        <v>United States</v>
      </c>
      <c r="I880" t="str">
        <f>INDEX(products!$A$1:$I$49,MATCH('Conditional Fomating'!$D880,products!$A$1:$A$49,0),MATCH('Conditional Fomating'!I$1,products!$A$1:$D$1,0))</f>
        <v>Rob</v>
      </c>
      <c r="J880" t="str">
        <f t="shared" si="78"/>
        <v>Robusta</v>
      </c>
      <c r="K880" t="str">
        <f>INDEX(products!$A$1:$I$49,MATCH('Conditional Fomating'!$D880,products!$A$1:$A$49,0),MATCH('Conditional Fomating'!K$1,products!$A$1:$D$1,0))</f>
        <v>L</v>
      </c>
      <c r="L880" t="str">
        <f t="shared" si="79"/>
        <v>Light</v>
      </c>
      <c r="M880">
        <f>INDEX(products!$A$1:$I$49,MATCH('Conditional Fomating'!$D880,products!$A$1:$A$49,0),MATCH('Conditional Fomating'!M$1,products!$A$1:$D$1,0))</f>
        <v>2.5</v>
      </c>
      <c r="N880">
        <f>_xlfn.XLOOKUP(D880,products!$A$2:$A$49,products!$E$2:$E$49)</f>
        <v>27.484999999999996</v>
      </c>
      <c r="O880">
        <f>_xlfn.XLOOKUP(D880,products!$A$2:$A$49,products!$H$2:$H$49)</f>
        <v>25.835899999999995</v>
      </c>
      <c r="P880">
        <f t="shared" si="80"/>
        <v>27.484999999999996</v>
      </c>
      <c r="Q880">
        <f t="shared" si="81"/>
        <v>25.835899999999995</v>
      </c>
      <c r="R880">
        <f t="shared" si="82"/>
        <v>1.6491000000000007</v>
      </c>
      <c r="S880" s="4">
        <f t="shared" si="83"/>
        <v>6.0000000000000032E-2</v>
      </c>
      <c r="T880" t="str">
        <f>_xlfn.XLOOKUP(C880,customers!$A$1:$A$1001,customers!$I$1:$I$1001,,0)</f>
        <v>Yes</v>
      </c>
    </row>
    <row r="881" spans="1:20"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v>
      </c>
      <c r="H881" s="2" t="str">
        <f>_xlfn.XLOOKUP(C881,customers!$A$1:$A$1001,customers!$G$1:$G$1001,,0)</f>
        <v>United States</v>
      </c>
      <c r="I881" t="str">
        <f>INDEX(products!$A$1:$I$49,MATCH('Conditional Fomating'!$D881,products!$A$1:$A$49,0),MATCH('Conditional Fomating'!I$1,products!$A$1:$D$1,0))</f>
        <v>Exc</v>
      </c>
      <c r="J881" t="str">
        <f t="shared" si="78"/>
        <v>Excelsa</v>
      </c>
      <c r="K881" t="str">
        <f>INDEX(products!$A$1:$I$49,MATCH('Conditional Fomating'!$D881,products!$A$1:$A$49,0),MATCH('Conditional Fomating'!K$1,products!$A$1:$D$1,0))</f>
        <v>D</v>
      </c>
      <c r="L881" t="str">
        <f t="shared" si="79"/>
        <v>Dark</v>
      </c>
      <c r="M881">
        <f>INDEX(products!$A$1:$I$49,MATCH('Conditional Fomating'!$D881,products!$A$1:$A$49,0),MATCH('Conditional Fomating'!M$1,products!$A$1:$D$1,0))</f>
        <v>0.2</v>
      </c>
      <c r="N881">
        <f>_xlfn.XLOOKUP(D881,products!$A$2:$A$49,products!$E$2:$E$49)</f>
        <v>3.645</v>
      </c>
      <c r="O881">
        <f>_xlfn.XLOOKUP(D881,products!$A$2:$A$49,products!$H$2:$H$49)</f>
        <v>3.2440500000000001</v>
      </c>
      <c r="P881">
        <f t="shared" si="80"/>
        <v>10.935</v>
      </c>
      <c r="Q881">
        <f t="shared" si="81"/>
        <v>9.7321500000000007</v>
      </c>
      <c r="R881">
        <f t="shared" si="82"/>
        <v>1.2028499999999998</v>
      </c>
      <c r="S881" s="4">
        <f t="shared" si="83"/>
        <v>0.10999999999999997</v>
      </c>
      <c r="T881" t="str">
        <f>_xlfn.XLOOKUP(C881,customers!$A$1:$A$1001,customers!$I$1:$I$1001,,0)</f>
        <v>No</v>
      </c>
    </row>
    <row r="882" spans="1:20"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INDEX(products!$A$1:$I$49,MATCH('Conditional Fomating'!$D882,products!$A$1:$A$49,0),MATCH('Conditional Fomating'!I$1,products!$A$1:$D$1,0))</f>
        <v>Rob</v>
      </c>
      <c r="J882" t="str">
        <f t="shared" si="78"/>
        <v>Robusta</v>
      </c>
      <c r="K882" t="str">
        <f>INDEX(products!$A$1:$I$49,MATCH('Conditional Fomating'!$D882,products!$A$1:$A$49,0),MATCH('Conditional Fomating'!K$1,products!$A$1:$D$1,0))</f>
        <v>L</v>
      </c>
      <c r="L882" t="str">
        <f t="shared" si="79"/>
        <v>Light</v>
      </c>
      <c r="M882">
        <f>INDEX(products!$A$1:$I$49,MATCH('Conditional Fomating'!$D882,products!$A$1:$A$49,0),MATCH('Conditional Fomating'!M$1,products!$A$1:$D$1,0))</f>
        <v>0.2</v>
      </c>
      <c r="N882">
        <f>_xlfn.XLOOKUP(D882,products!$A$2:$A$49,products!$E$2:$E$49)</f>
        <v>3.5849999999999995</v>
      </c>
      <c r="O882">
        <f>_xlfn.XLOOKUP(D882,products!$A$2:$A$49,products!$H$2:$H$49)</f>
        <v>3.3698999999999995</v>
      </c>
      <c r="P882">
        <f t="shared" si="80"/>
        <v>7.169999999999999</v>
      </c>
      <c r="Q882">
        <f t="shared" si="81"/>
        <v>6.7397999999999989</v>
      </c>
      <c r="R882">
        <f t="shared" si="82"/>
        <v>0.43020000000000014</v>
      </c>
      <c r="S882" s="4">
        <f t="shared" si="83"/>
        <v>6.0000000000000026E-2</v>
      </c>
      <c r="T882" t="str">
        <f>_xlfn.XLOOKUP(C882,customers!$A$1:$A$1001,customers!$I$1:$I$1001,,0)</f>
        <v>No</v>
      </c>
    </row>
    <row r="883" spans="1:20"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v>
      </c>
      <c r="H883" s="2" t="str">
        <f>_xlfn.XLOOKUP(C883,customers!$A$1:$A$1001,customers!$G$1:$G$1001,,0)</f>
        <v>United States</v>
      </c>
      <c r="I883" t="str">
        <f>INDEX(products!$A$1:$I$49,MATCH('Conditional Fomating'!$D883,products!$A$1:$A$49,0),MATCH('Conditional Fomating'!I$1,products!$A$1:$D$1,0))</f>
        <v>Ara</v>
      </c>
      <c r="J883" t="str">
        <f t="shared" si="78"/>
        <v>Arabica</v>
      </c>
      <c r="K883" t="str">
        <f>INDEX(products!$A$1:$I$49,MATCH('Conditional Fomating'!$D883,products!$A$1:$A$49,0),MATCH('Conditional Fomating'!K$1,products!$A$1:$D$1,0))</f>
        <v>L</v>
      </c>
      <c r="L883" t="str">
        <f t="shared" si="79"/>
        <v>Light</v>
      </c>
      <c r="M883">
        <f>INDEX(products!$A$1:$I$49,MATCH('Conditional Fomating'!$D883,products!$A$1:$A$49,0),MATCH('Conditional Fomating'!M$1,products!$A$1:$D$1,0))</f>
        <v>0.2</v>
      </c>
      <c r="N883">
        <f>_xlfn.XLOOKUP(D883,products!$A$2:$A$49,products!$E$2:$E$49)</f>
        <v>3.8849999999999998</v>
      </c>
      <c r="O883">
        <f>_xlfn.XLOOKUP(D883,products!$A$2:$A$49,products!$H$2:$H$49)</f>
        <v>3.5353499999999998</v>
      </c>
      <c r="P883">
        <f t="shared" si="80"/>
        <v>23.31</v>
      </c>
      <c r="Q883">
        <f t="shared" si="81"/>
        <v>21.2121</v>
      </c>
      <c r="R883">
        <f t="shared" si="82"/>
        <v>2.0978999999999992</v>
      </c>
      <c r="S883" s="4">
        <f t="shared" si="83"/>
        <v>8.9999999999999969E-2</v>
      </c>
      <c r="T883" t="str">
        <f>_xlfn.XLOOKUP(C883,customers!$A$1:$A$1001,customers!$I$1:$I$1001,,0)</f>
        <v>Yes</v>
      </c>
    </row>
    <row r="884" spans="1:20"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INDEX(products!$A$1:$I$49,MATCH('Conditional Fomating'!$D884,products!$A$1:$A$49,0),MATCH('Conditional Fomating'!I$1,products!$A$1:$D$1,0))</f>
        <v>Ara</v>
      </c>
      <c r="J884" t="str">
        <f t="shared" si="78"/>
        <v>Arabica</v>
      </c>
      <c r="K884" t="str">
        <f>INDEX(products!$A$1:$I$49,MATCH('Conditional Fomating'!$D884,products!$A$1:$A$49,0),MATCH('Conditional Fomating'!K$1,products!$A$1:$D$1,0))</f>
        <v>D</v>
      </c>
      <c r="L884" t="str">
        <f t="shared" si="79"/>
        <v>Dark</v>
      </c>
      <c r="M884">
        <f>INDEX(products!$A$1:$I$49,MATCH('Conditional Fomating'!$D884,products!$A$1:$A$49,0),MATCH('Conditional Fomating'!M$1,products!$A$1:$D$1,0))</f>
        <v>2.5</v>
      </c>
      <c r="N884">
        <f>_xlfn.XLOOKUP(D884,products!$A$2:$A$49,products!$E$2:$E$49)</f>
        <v>22.884999999999998</v>
      </c>
      <c r="O884">
        <f>_xlfn.XLOOKUP(D884,products!$A$2:$A$49,products!$H$2:$H$49)</f>
        <v>20.82535</v>
      </c>
      <c r="P884">
        <f t="shared" si="80"/>
        <v>114.42499999999998</v>
      </c>
      <c r="Q884">
        <f t="shared" si="81"/>
        <v>104.12675</v>
      </c>
      <c r="R884">
        <f t="shared" si="82"/>
        <v>10.298249999999982</v>
      </c>
      <c r="S884" s="4">
        <f t="shared" si="83"/>
        <v>8.9999999999999858E-2</v>
      </c>
      <c r="T884" t="str">
        <f>_xlfn.XLOOKUP(C884,customers!$A$1:$A$1001,customers!$I$1:$I$1001,,0)</f>
        <v>Yes</v>
      </c>
    </row>
    <row r="885" spans="1:20"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INDEX(products!$A$1:$I$49,MATCH('Conditional Fomating'!$D885,products!$A$1:$A$49,0),MATCH('Conditional Fomating'!I$1,products!$A$1:$D$1,0))</f>
        <v>Ara</v>
      </c>
      <c r="J885" t="str">
        <f t="shared" si="78"/>
        <v>Arabica</v>
      </c>
      <c r="K885" t="str">
        <f>INDEX(products!$A$1:$I$49,MATCH('Conditional Fomating'!$D885,products!$A$1:$A$49,0),MATCH('Conditional Fomating'!K$1,products!$A$1:$D$1,0))</f>
        <v>M</v>
      </c>
      <c r="L885" t="str">
        <f t="shared" si="79"/>
        <v>Medium</v>
      </c>
      <c r="M885">
        <f>INDEX(products!$A$1:$I$49,MATCH('Conditional Fomating'!$D885,products!$A$1:$A$49,0),MATCH('Conditional Fomating'!M$1,products!$A$1:$D$1,0))</f>
        <v>2.5</v>
      </c>
      <c r="N885">
        <f>_xlfn.XLOOKUP(D885,products!$A$2:$A$49,products!$E$2:$E$49)</f>
        <v>25.874999999999996</v>
      </c>
      <c r="O885">
        <f>_xlfn.XLOOKUP(D885,products!$A$2:$A$49,products!$H$2:$H$49)</f>
        <v>23.546249999999997</v>
      </c>
      <c r="P885">
        <f t="shared" si="80"/>
        <v>77.624999999999986</v>
      </c>
      <c r="Q885">
        <f t="shared" si="81"/>
        <v>70.638749999999987</v>
      </c>
      <c r="R885">
        <f t="shared" si="82"/>
        <v>6.9862499999999983</v>
      </c>
      <c r="S885" s="4">
        <f t="shared" si="83"/>
        <v>0.09</v>
      </c>
      <c r="T885" t="str">
        <f>_xlfn.XLOOKUP(C885,customers!$A$1:$A$1001,customers!$I$1:$I$1001,,0)</f>
        <v>Yes</v>
      </c>
    </row>
    <row r="886" spans="1:20"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INDEX(products!$A$1:$I$49,MATCH('Conditional Fomating'!$D886,products!$A$1:$A$49,0),MATCH('Conditional Fomating'!I$1,products!$A$1:$D$1,0))</f>
        <v>Rob</v>
      </c>
      <c r="J886" t="str">
        <f t="shared" si="78"/>
        <v>Robusta</v>
      </c>
      <c r="K886" t="str">
        <f>INDEX(products!$A$1:$I$49,MATCH('Conditional Fomating'!$D886,products!$A$1:$A$49,0),MATCH('Conditional Fomating'!K$1,products!$A$1:$D$1,0))</f>
        <v>D</v>
      </c>
      <c r="L886" t="str">
        <f t="shared" si="79"/>
        <v>Dark</v>
      </c>
      <c r="M886">
        <f>INDEX(products!$A$1:$I$49,MATCH('Conditional Fomating'!$D886,products!$A$1:$A$49,0),MATCH('Conditional Fomating'!M$1,products!$A$1:$D$1,0))</f>
        <v>0.5</v>
      </c>
      <c r="N886">
        <f>_xlfn.XLOOKUP(D886,products!$A$2:$A$49,products!$E$2:$E$49)</f>
        <v>5.3699999999999992</v>
      </c>
      <c r="O886">
        <f>_xlfn.XLOOKUP(D886,products!$A$2:$A$49,products!$H$2:$H$49)</f>
        <v>5.0477999999999996</v>
      </c>
      <c r="P886">
        <f t="shared" si="80"/>
        <v>5.3699999999999992</v>
      </c>
      <c r="Q886">
        <f t="shared" si="81"/>
        <v>5.0477999999999996</v>
      </c>
      <c r="R886">
        <f t="shared" si="82"/>
        <v>0.3221999999999996</v>
      </c>
      <c r="S886" s="4">
        <f t="shared" si="83"/>
        <v>5.9999999999999935E-2</v>
      </c>
      <c r="T886" t="str">
        <f>_xlfn.XLOOKUP(C886,customers!$A$1:$A$1001,customers!$I$1:$I$1001,,0)</f>
        <v>Yes</v>
      </c>
    </row>
    <row r="887" spans="1:20"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INDEX(products!$A$1:$I$49,MATCH('Conditional Fomating'!$D887,products!$A$1:$A$49,0),MATCH('Conditional Fomating'!I$1,products!$A$1:$D$1,0))</f>
        <v>Rob</v>
      </c>
      <c r="J887" t="str">
        <f t="shared" si="78"/>
        <v>Robusta</v>
      </c>
      <c r="K887" t="str">
        <f>INDEX(products!$A$1:$I$49,MATCH('Conditional Fomating'!$D887,products!$A$1:$A$49,0),MATCH('Conditional Fomating'!K$1,products!$A$1:$D$1,0))</f>
        <v>D</v>
      </c>
      <c r="L887" t="str">
        <f t="shared" si="79"/>
        <v>Dark</v>
      </c>
      <c r="M887">
        <f>INDEX(products!$A$1:$I$49,MATCH('Conditional Fomating'!$D887,products!$A$1:$A$49,0),MATCH('Conditional Fomating'!M$1,products!$A$1:$D$1,0))</f>
        <v>2.5</v>
      </c>
      <c r="N887">
        <f>_xlfn.XLOOKUP(D887,products!$A$2:$A$49,products!$E$2:$E$49)</f>
        <v>20.584999999999997</v>
      </c>
      <c r="O887">
        <f>_xlfn.XLOOKUP(D887,products!$A$2:$A$49,products!$H$2:$H$49)</f>
        <v>19.349899999999998</v>
      </c>
      <c r="P887">
        <f t="shared" si="80"/>
        <v>123.50999999999999</v>
      </c>
      <c r="Q887">
        <f t="shared" si="81"/>
        <v>116.09939999999999</v>
      </c>
      <c r="R887">
        <f t="shared" si="82"/>
        <v>7.4106000000000023</v>
      </c>
      <c r="S887" s="4">
        <f t="shared" si="83"/>
        <v>6.0000000000000026E-2</v>
      </c>
      <c r="T887" t="str">
        <f>_xlfn.XLOOKUP(C887,customers!$A$1:$A$1001,customers!$I$1:$I$1001,,0)</f>
        <v>No</v>
      </c>
    </row>
    <row r="888" spans="1:20"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INDEX(products!$A$1:$I$49,MATCH('Conditional Fomating'!$D888,products!$A$1:$A$49,0),MATCH('Conditional Fomating'!I$1,products!$A$1:$D$1,0))</f>
        <v>Lib</v>
      </c>
      <c r="J888" t="str">
        <f t="shared" si="78"/>
        <v>Liberica</v>
      </c>
      <c r="K888" t="str">
        <f>INDEX(products!$A$1:$I$49,MATCH('Conditional Fomating'!$D888,products!$A$1:$A$49,0),MATCH('Conditional Fomating'!K$1,products!$A$1:$D$1,0))</f>
        <v>M</v>
      </c>
      <c r="L888" t="str">
        <f t="shared" si="79"/>
        <v>Medium</v>
      </c>
      <c r="M888">
        <f>INDEX(products!$A$1:$I$49,MATCH('Conditional Fomating'!$D888,products!$A$1:$A$49,0),MATCH('Conditional Fomating'!M$1,products!$A$1:$D$1,0))</f>
        <v>0.5</v>
      </c>
      <c r="N888">
        <f>_xlfn.XLOOKUP(D888,products!$A$2:$A$49,products!$E$2:$E$49)</f>
        <v>8.73</v>
      </c>
      <c r="O888">
        <f>_xlfn.XLOOKUP(D888,products!$A$2:$A$49,products!$H$2:$H$49)</f>
        <v>7.5951000000000004</v>
      </c>
      <c r="P888">
        <f t="shared" si="80"/>
        <v>17.46</v>
      </c>
      <c r="Q888">
        <f t="shared" si="81"/>
        <v>15.190200000000001</v>
      </c>
      <c r="R888">
        <f t="shared" si="82"/>
        <v>2.2698</v>
      </c>
      <c r="S888" s="4">
        <f t="shared" si="83"/>
        <v>0.13</v>
      </c>
      <c r="T888" t="str">
        <f>_xlfn.XLOOKUP(C888,customers!$A$1:$A$1001,customers!$I$1:$I$1001,,0)</f>
        <v>No</v>
      </c>
    </row>
    <row r="889" spans="1:20"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INDEX(products!$A$1:$I$49,MATCH('Conditional Fomating'!$D889,products!$A$1:$A$49,0),MATCH('Conditional Fomating'!I$1,products!$A$1:$D$1,0))</f>
        <v>Exc</v>
      </c>
      <c r="J889" t="str">
        <f t="shared" si="78"/>
        <v>Excelsa</v>
      </c>
      <c r="K889" t="str">
        <f>INDEX(products!$A$1:$I$49,MATCH('Conditional Fomating'!$D889,products!$A$1:$A$49,0),MATCH('Conditional Fomating'!K$1,products!$A$1:$D$1,0))</f>
        <v>L</v>
      </c>
      <c r="L889" t="str">
        <f t="shared" si="79"/>
        <v>Light</v>
      </c>
      <c r="M889">
        <f>INDEX(products!$A$1:$I$49,MATCH('Conditional Fomating'!$D889,products!$A$1:$A$49,0),MATCH('Conditional Fomating'!M$1,products!$A$1:$D$1,0))</f>
        <v>0.2</v>
      </c>
      <c r="N889">
        <f>_xlfn.XLOOKUP(D889,products!$A$2:$A$49,products!$E$2:$E$49)</f>
        <v>4.4550000000000001</v>
      </c>
      <c r="O889">
        <f>_xlfn.XLOOKUP(D889,products!$A$2:$A$49,products!$H$2:$H$49)</f>
        <v>3.96495</v>
      </c>
      <c r="P889">
        <f t="shared" si="80"/>
        <v>13.365</v>
      </c>
      <c r="Q889">
        <f t="shared" si="81"/>
        <v>11.89485</v>
      </c>
      <c r="R889">
        <f t="shared" si="82"/>
        <v>1.4701500000000003</v>
      </c>
      <c r="S889" s="4">
        <f t="shared" si="83"/>
        <v>0.11000000000000001</v>
      </c>
      <c r="T889" t="str">
        <f>_xlfn.XLOOKUP(C889,customers!$A$1:$A$1001,customers!$I$1:$I$1001,,0)</f>
        <v>No</v>
      </c>
    </row>
    <row r="890" spans="1:20"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INDEX(products!$A$1:$I$49,MATCH('Conditional Fomating'!$D890,products!$A$1:$A$49,0),MATCH('Conditional Fomating'!I$1,products!$A$1:$D$1,0))</f>
        <v>Ara</v>
      </c>
      <c r="J890" t="str">
        <f t="shared" si="78"/>
        <v>Arabica</v>
      </c>
      <c r="K890" t="str">
        <f>INDEX(products!$A$1:$I$49,MATCH('Conditional Fomating'!$D890,products!$A$1:$A$49,0),MATCH('Conditional Fomating'!K$1,products!$A$1:$D$1,0))</f>
        <v>L</v>
      </c>
      <c r="L890" t="str">
        <f t="shared" si="79"/>
        <v>Light</v>
      </c>
      <c r="M890">
        <f>INDEX(products!$A$1:$I$49,MATCH('Conditional Fomating'!$D890,products!$A$1:$A$49,0),MATCH('Conditional Fomating'!M$1,products!$A$1:$D$1,0))</f>
        <v>0.2</v>
      </c>
      <c r="N890">
        <f>_xlfn.XLOOKUP(D890,products!$A$2:$A$49,products!$E$2:$E$49)</f>
        <v>3.8849999999999998</v>
      </c>
      <c r="O890">
        <f>_xlfn.XLOOKUP(D890,products!$A$2:$A$49,products!$H$2:$H$49)</f>
        <v>3.5353499999999998</v>
      </c>
      <c r="P890">
        <f t="shared" si="80"/>
        <v>7.77</v>
      </c>
      <c r="Q890">
        <f t="shared" si="81"/>
        <v>7.0706999999999995</v>
      </c>
      <c r="R890">
        <f t="shared" si="82"/>
        <v>0.69930000000000003</v>
      </c>
      <c r="S890" s="4">
        <f t="shared" si="83"/>
        <v>9.0000000000000011E-2</v>
      </c>
      <c r="T890" t="str">
        <f>_xlfn.XLOOKUP(C890,customers!$A$1:$A$1001,customers!$I$1:$I$1001,,0)</f>
        <v>Yes</v>
      </c>
    </row>
    <row r="891" spans="1:20"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INDEX(products!$A$1:$I$49,MATCH('Conditional Fomating'!$D891,products!$A$1:$A$49,0),MATCH('Conditional Fomating'!I$1,products!$A$1:$D$1,0))</f>
        <v>Rob</v>
      </c>
      <c r="J891" t="str">
        <f t="shared" si="78"/>
        <v>Robusta</v>
      </c>
      <c r="K891" t="str">
        <f>INDEX(products!$A$1:$I$49,MATCH('Conditional Fomating'!$D891,products!$A$1:$A$49,0),MATCH('Conditional Fomating'!K$1,products!$A$1:$D$1,0))</f>
        <v>D</v>
      </c>
      <c r="L891" t="str">
        <f t="shared" si="79"/>
        <v>Dark</v>
      </c>
      <c r="M891">
        <f>INDEX(products!$A$1:$I$49,MATCH('Conditional Fomating'!$D891,products!$A$1:$A$49,0),MATCH('Conditional Fomating'!M$1,products!$A$1:$D$1,0))</f>
        <v>0.2</v>
      </c>
      <c r="N891">
        <f>_xlfn.XLOOKUP(D891,products!$A$2:$A$49,products!$E$2:$E$49)</f>
        <v>2.6849999999999996</v>
      </c>
      <c r="O891">
        <f>_xlfn.XLOOKUP(D891,products!$A$2:$A$49,products!$H$2:$H$49)</f>
        <v>2.5238999999999998</v>
      </c>
      <c r="P891">
        <f t="shared" si="80"/>
        <v>2.6849999999999996</v>
      </c>
      <c r="Q891">
        <f t="shared" si="81"/>
        <v>2.5238999999999998</v>
      </c>
      <c r="R891">
        <f t="shared" si="82"/>
        <v>0.1610999999999998</v>
      </c>
      <c r="S891" s="4">
        <f t="shared" si="83"/>
        <v>5.9999999999999935E-2</v>
      </c>
      <c r="T891" t="str">
        <f>_xlfn.XLOOKUP(C891,customers!$A$1:$A$1001,customers!$I$1:$I$1001,,0)</f>
        <v>Yes</v>
      </c>
    </row>
    <row r="892" spans="1:20"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INDEX(products!$A$1:$I$49,MATCH('Conditional Fomating'!$D892,products!$A$1:$A$49,0),MATCH('Conditional Fomating'!I$1,products!$A$1:$D$1,0))</f>
        <v>Rob</v>
      </c>
      <c r="J892" t="str">
        <f t="shared" si="78"/>
        <v>Robusta</v>
      </c>
      <c r="K892" t="str">
        <f>INDEX(products!$A$1:$I$49,MATCH('Conditional Fomating'!$D892,products!$A$1:$A$49,0),MATCH('Conditional Fomating'!K$1,products!$A$1:$D$1,0))</f>
        <v>D</v>
      </c>
      <c r="L892" t="str">
        <f t="shared" si="79"/>
        <v>Dark</v>
      </c>
      <c r="M892">
        <f>INDEX(products!$A$1:$I$49,MATCH('Conditional Fomating'!$D892,products!$A$1:$A$49,0),MATCH('Conditional Fomating'!M$1,products!$A$1:$D$1,0))</f>
        <v>2.5</v>
      </c>
      <c r="N892">
        <f>_xlfn.XLOOKUP(D892,products!$A$2:$A$49,products!$E$2:$E$49)</f>
        <v>20.584999999999997</v>
      </c>
      <c r="O892">
        <f>_xlfn.XLOOKUP(D892,products!$A$2:$A$49,products!$H$2:$H$49)</f>
        <v>19.349899999999998</v>
      </c>
      <c r="P892">
        <f t="shared" si="80"/>
        <v>20.584999999999997</v>
      </c>
      <c r="Q892">
        <f t="shared" si="81"/>
        <v>19.349899999999998</v>
      </c>
      <c r="R892">
        <f t="shared" si="82"/>
        <v>1.2350999999999992</v>
      </c>
      <c r="S892" s="4">
        <f t="shared" si="83"/>
        <v>5.999999999999997E-2</v>
      </c>
      <c r="T892" t="str">
        <f>_xlfn.XLOOKUP(C892,customers!$A$1:$A$1001,customers!$I$1:$I$1001,,0)</f>
        <v>Yes</v>
      </c>
    </row>
    <row r="893" spans="1:20"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INDEX(products!$A$1:$I$49,MATCH('Conditional Fomating'!$D893,products!$A$1:$A$49,0),MATCH('Conditional Fomating'!I$1,products!$A$1:$D$1,0))</f>
        <v>Ara</v>
      </c>
      <c r="J893" t="str">
        <f t="shared" si="78"/>
        <v>Arabica</v>
      </c>
      <c r="K893" t="str">
        <f>INDEX(products!$A$1:$I$49,MATCH('Conditional Fomating'!$D893,products!$A$1:$A$49,0),MATCH('Conditional Fomating'!K$1,products!$A$1:$D$1,0))</f>
        <v>D</v>
      </c>
      <c r="L893" t="str">
        <f t="shared" si="79"/>
        <v>Dark</v>
      </c>
      <c r="M893">
        <f>INDEX(products!$A$1:$I$49,MATCH('Conditional Fomating'!$D893,products!$A$1:$A$49,0),MATCH('Conditional Fomating'!M$1,products!$A$1:$D$1,0))</f>
        <v>2.5</v>
      </c>
      <c r="N893">
        <f>_xlfn.XLOOKUP(D893,products!$A$2:$A$49,products!$E$2:$E$49)</f>
        <v>22.884999999999998</v>
      </c>
      <c r="O893">
        <f>_xlfn.XLOOKUP(D893,products!$A$2:$A$49,products!$H$2:$H$49)</f>
        <v>20.82535</v>
      </c>
      <c r="P893">
        <f t="shared" si="80"/>
        <v>114.42499999999998</v>
      </c>
      <c r="Q893">
        <f t="shared" si="81"/>
        <v>104.12675</v>
      </c>
      <c r="R893">
        <f t="shared" si="82"/>
        <v>10.298249999999982</v>
      </c>
      <c r="S893" s="4">
        <f t="shared" si="83"/>
        <v>8.9999999999999858E-2</v>
      </c>
      <c r="T893" t="str">
        <f>_xlfn.XLOOKUP(C893,customers!$A$1:$A$1001,customers!$I$1:$I$1001,,0)</f>
        <v>Yes</v>
      </c>
    </row>
    <row r="894" spans="1:20"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INDEX(products!$A$1:$I$49,MATCH('Conditional Fomating'!$D894,products!$A$1:$A$49,0),MATCH('Conditional Fomating'!I$1,products!$A$1:$D$1,0))</f>
        <v>Exc</v>
      </c>
      <c r="J894" t="str">
        <f t="shared" si="78"/>
        <v>Excelsa</v>
      </c>
      <c r="K894" t="str">
        <f>INDEX(products!$A$1:$I$49,MATCH('Conditional Fomating'!$D894,products!$A$1:$A$49,0),MATCH('Conditional Fomating'!K$1,products!$A$1:$D$1,0))</f>
        <v>M</v>
      </c>
      <c r="L894" t="str">
        <f t="shared" si="79"/>
        <v>Medium</v>
      </c>
      <c r="M894">
        <f>INDEX(products!$A$1:$I$49,MATCH('Conditional Fomating'!$D894,products!$A$1:$A$49,0),MATCH('Conditional Fomating'!M$1,products!$A$1:$D$1,0))</f>
        <v>0.2</v>
      </c>
      <c r="N894">
        <f>_xlfn.XLOOKUP(D894,products!$A$2:$A$49,products!$E$2:$E$49)</f>
        <v>4.125</v>
      </c>
      <c r="O894">
        <f>_xlfn.XLOOKUP(D894,products!$A$2:$A$49,products!$H$2:$H$49)</f>
        <v>3.6712500000000001</v>
      </c>
      <c r="P894">
        <f t="shared" si="80"/>
        <v>20.625</v>
      </c>
      <c r="Q894">
        <f t="shared" si="81"/>
        <v>18.356249999999999</v>
      </c>
      <c r="R894">
        <f t="shared" si="82"/>
        <v>2.2687500000000007</v>
      </c>
      <c r="S894" s="4">
        <f t="shared" si="83"/>
        <v>0.11000000000000003</v>
      </c>
      <c r="T894" t="str">
        <f>_xlfn.XLOOKUP(C894,customers!$A$1:$A$1001,customers!$I$1:$I$1001,,0)</f>
        <v>No</v>
      </c>
    </row>
    <row r="895" spans="1:20"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INDEX(products!$A$1:$I$49,MATCH('Conditional Fomating'!$D895,products!$A$1:$A$49,0),MATCH('Conditional Fomating'!I$1,products!$A$1:$D$1,0))</f>
        <v>Lib</v>
      </c>
      <c r="J895" t="str">
        <f t="shared" si="78"/>
        <v>Liberica</v>
      </c>
      <c r="K895" t="str">
        <f>INDEX(products!$A$1:$I$49,MATCH('Conditional Fomating'!$D895,products!$A$1:$A$49,0),MATCH('Conditional Fomating'!K$1,products!$A$1:$D$1,0))</f>
        <v>L</v>
      </c>
      <c r="L895" t="str">
        <f t="shared" si="79"/>
        <v>Light</v>
      </c>
      <c r="M895">
        <f>INDEX(products!$A$1:$I$49,MATCH('Conditional Fomating'!$D895,products!$A$1:$A$49,0),MATCH('Conditional Fomating'!M$1,products!$A$1:$D$1,0))</f>
        <v>0.5</v>
      </c>
      <c r="N895">
        <f>_xlfn.XLOOKUP(D895,products!$A$2:$A$49,products!$E$2:$E$49)</f>
        <v>9.51</v>
      </c>
      <c r="O895">
        <f>_xlfn.XLOOKUP(D895,products!$A$2:$A$49,products!$H$2:$H$49)</f>
        <v>8.2736999999999998</v>
      </c>
      <c r="P895">
        <f t="shared" si="80"/>
        <v>57.06</v>
      </c>
      <c r="Q895">
        <f t="shared" si="81"/>
        <v>49.642200000000003</v>
      </c>
      <c r="R895">
        <f t="shared" si="82"/>
        <v>7.4177999999999997</v>
      </c>
      <c r="S895" s="4">
        <f t="shared" si="83"/>
        <v>0.12999999999999998</v>
      </c>
      <c r="T895" t="str">
        <f>_xlfn.XLOOKUP(C895,customers!$A$1:$A$1001,customers!$I$1:$I$1001,,0)</f>
        <v>Yes</v>
      </c>
    </row>
    <row r="896" spans="1:20"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v>
      </c>
      <c r="H896" s="2" t="str">
        <f>_xlfn.XLOOKUP(C896,customers!$A$1:$A$1001,customers!$G$1:$G$1001,,0)</f>
        <v>Ireland</v>
      </c>
      <c r="I896" t="str">
        <f>INDEX(products!$A$1:$I$49,MATCH('Conditional Fomating'!$D896,products!$A$1:$A$49,0),MATCH('Conditional Fomating'!I$1,products!$A$1:$D$1,0))</f>
        <v>Rob</v>
      </c>
      <c r="J896" t="str">
        <f t="shared" si="78"/>
        <v>Robusta</v>
      </c>
      <c r="K896" t="str">
        <f>INDEX(products!$A$1:$I$49,MATCH('Conditional Fomating'!$D896,products!$A$1:$A$49,0),MATCH('Conditional Fomating'!K$1,products!$A$1:$D$1,0))</f>
        <v>D</v>
      </c>
      <c r="L896" t="str">
        <f t="shared" si="79"/>
        <v>Dark</v>
      </c>
      <c r="M896">
        <f>INDEX(products!$A$1:$I$49,MATCH('Conditional Fomating'!$D896,products!$A$1:$A$49,0),MATCH('Conditional Fomating'!M$1,products!$A$1:$D$1,0))</f>
        <v>2.5</v>
      </c>
      <c r="N896">
        <f>_xlfn.XLOOKUP(D896,products!$A$2:$A$49,products!$E$2:$E$49)</f>
        <v>20.584999999999997</v>
      </c>
      <c r="O896">
        <f>_xlfn.XLOOKUP(D896,products!$A$2:$A$49,products!$H$2:$H$49)</f>
        <v>19.349899999999998</v>
      </c>
      <c r="P896">
        <f t="shared" si="80"/>
        <v>82.339999999999989</v>
      </c>
      <c r="Q896">
        <f t="shared" si="81"/>
        <v>77.399599999999992</v>
      </c>
      <c r="R896">
        <f t="shared" si="82"/>
        <v>4.9403999999999968</v>
      </c>
      <c r="S896" s="4">
        <f t="shared" si="83"/>
        <v>5.999999999999997E-2</v>
      </c>
      <c r="T896" t="str">
        <f>_xlfn.XLOOKUP(C896,customers!$A$1:$A$1001,customers!$I$1:$I$1001,,0)</f>
        <v>Yes</v>
      </c>
    </row>
    <row r="897" spans="1:20"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v>
      </c>
      <c r="H897" s="2" t="str">
        <f>_xlfn.XLOOKUP(C897,customers!$A$1:$A$1001,customers!$G$1:$G$1001,,0)</f>
        <v>United States</v>
      </c>
      <c r="I897" t="str">
        <f>INDEX(products!$A$1:$I$49,MATCH('Conditional Fomating'!$D897,products!$A$1:$A$49,0),MATCH('Conditional Fomating'!I$1,products!$A$1:$D$1,0))</f>
        <v>Exc</v>
      </c>
      <c r="J897" t="str">
        <f t="shared" si="78"/>
        <v>Excelsa</v>
      </c>
      <c r="K897" t="str">
        <f>INDEX(products!$A$1:$I$49,MATCH('Conditional Fomating'!$D897,products!$A$1:$A$49,0),MATCH('Conditional Fomating'!K$1,products!$A$1:$D$1,0))</f>
        <v>M</v>
      </c>
      <c r="L897" t="str">
        <f t="shared" si="79"/>
        <v>Medium</v>
      </c>
      <c r="M897">
        <f>INDEX(products!$A$1:$I$49,MATCH('Conditional Fomating'!$D897,products!$A$1:$A$49,0),MATCH('Conditional Fomating'!M$1,products!$A$1:$D$1,0))</f>
        <v>2.5</v>
      </c>
      <c r="N897">
        <f>_xlfn.XLOOKUP(D897,products!$A$2:$A$49,products!$E$2:$E$49)</f>
        <v>31.624999999999996</v>
      </c>
      <c r="O897">
        <f>_xlfn.XLOOKUP(D897,products!$A$2:$A$49,products!$H$2:$H$49)</f>
        <v>28.146249999999995</v>
      </c>
      <c r="P897">
        <f t="shared" si="80"/>
        <v>158.12499999999997</v>
      </c>
      <c r="Q897">
        <f t="shared" si="81"/>
        <v>140.73124999999999</v>
      </c>
      <c r="R897">
        <f t="shared" si="82"/>
        <v>17.393749999999983</v>
      </c>
      <c r="S897" s="4">
        <f t="shared" si="83"/>
        <v>0.10999999999999992</v>
      </c>
      <c r="T897" t="str">
        <f>_xlfn.XLOOKUP(C897,customers!$A$1:$A$1001,customers!$I$1:$I$1001,,0)</f>
        <v>No</v>
      </c>
    </row>
    <row r="898" spans="1:20"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INDEX(products!$A$1:$I$49,MATCH('Conditional Fomating'!$D898,products!$A$1:$A$49,0),MATCH('Conditional Fomating'!I$1,products!$A$1:$D$1,0))</f>
        <v>Rob</v>
      </c>
      <c r="J898" t="str">
        <f t="shared" si="78"/>
        <v>Robusta</v>
      </c>
      <c r="K898" t="str">
        <f>INDEX(products!$A$1:$I$49,MATCH('Conditional Fomating'!$D898,products!$A$1:$A$49,0),MATCH('Conditional Fomating'!K$1,products!$A$1:$D$1,0))</f>
        <v>D</v>
      </c>
      <c r="L898" t="str">
        <f t="shared" si="79"/>
        <v>Dark</v>
      </c>
      <c r="M898">
        <f>INDEX(products!$A$1:$I$49,MATCH('Conditional Fomating'!$D898,products!$A$1:$A$49,0),MATCH('Conditional Fomating'!M$1,products!$A$1:$D$1,0))</f>
        <v>0.5</v>
      </c>
      <c r="N898">
        <f>_xlfn.XLOOKUP(D898,products!$A$2:$A$49,products!$E$2:$E$49)</f>
        <v>5.3699999999999992</v>
      </c>
      <c r="O898">
        <f>_xlfn.XLOOKUP(D898,products!$A$2:$A$49,products!$H$2:$H$49)</f>
        <v>5.0477999999999996</v>
      </c>
      <c r="P898">
        <f t="shared" si="80"/>
        <v>32.22</v>
      </c>
      <c r="Q898">
        <f t="shared" si="81"/>
        <v>30.286799999999999</v>
      </c>
      <c r="R898">
        <f t="shared" si="82"/>
        <v>1.9331999999999994</v>
      </c>
      <c r="S898" s="4">
        <f t="shared" si="83"/>
        <v>5.9999999999999984E-2</v>
      </c>
      <c r="T898" t="str">
        <f>_xlfn.XLOOKUP(C898,customers!$A$1:$A$1001,customers!$I$1:$I$1001,,0)</f>
        <v>Yes</v>
      </c>
    </row>
    <row r="899" spans="1:20"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INDEX(products!$A$1:$I$49,MATCH('Conditional Fomating'!$D899,products!$A$1:$A$49,0),MATCH('Conditional Fomating'!I$1,products!$A$1:$D$1,0))</f>
        <v>Exc</v>
      </c>
      <c r="J899" t="str">
        <f t="shared" ref="J899:J962" si="84">IF(I899="Rob","Robusta",IF(I899="Exc","Excelsa",IF(I899="Ara","Arabica",IF(I899="Lib","Liberica",""))))</f>
        <v>Excelsa</v>
      </c>
      <c r="K899" t="str">
        <f>INDEX(products!$A$1:$I$49,MATCH('Conditional Fomating'!$D899,products!$A$1:$A$49,0),MATCH('Conditional Fomating'!K$1,products!$A$1:$D$1,0))</f>
        <v>D</v>
      </c>
      <c r="L899" t="str">
        <f t="shared" ref="L899:L962" si="85">IF(K899="M","Medium",IF(K899="L","Light",IF(K899="D","Dark","")))</f>
        <v>Dark</v>
      </c>
      <c r="M899">
        <f>INDEX(products!$A$1:$I$49,MATCH('Conditional Fomating'!$D899,products!$A$1:$A$49,0),MATCH('Conditional Fomating'!M$1,products!$A$1:$D$1,0))</f>
        <v>1</v>
      </c>
      <c r="N899">
        <f>_xlfn.XLOOKUP(D899,products!$A$2:$A$49,products!$E$2:$E$49)</f>
        <v>12.15</v>
      </c>
      <c r="O899">
        <f>_xlfn.XLOOKUP(D899,products!$A$2:$A$49,products!$H$2:$H$49)</f>
        <v>10.813500000000001</v>
      </c>
      <c r="P899">
        <f t="shared" ref="P899:P962" si="86">N899*E899</f>
        <v>24.3</v>
      </c>
      <c r="Q899">
        <f t="shared" ref="Q899:Q962" si="87">O899*E899</f>
        <v>21.627000000000002</v>
      </c>
      <c r="R899">
        <f t="shared" ref="R899:R962" si="88">P899-Q899</f>
        <v>2.6729999999999983</v>
      </c>
      <c r="S899" s="4">
        <f t="shared" ref="S899:S962" si="89">R899/P899</f>
        <v>0.10999999999999993</v>
      </c>
      <c r="T899" t="str">
        <f>_xlfn.XLOOKUP(C899,customers!$A$1:$A$1001,customers!$I$1:$I$1001,,0)</f>
        <v>No</v>
      </c>
    </row>
    <row r="900" spans="1:20"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v>
      </c>
      <c r="H900" s="2" t="str">
        <f>_xlfn.XLOOKUP(C900,customers!$A$1:$A$1001,customers!$G$1:$G$1001,,0)</f>
        <v>United States</v>
      </c>
      <c r="I900" t="str">
        <f>INDEX(products!$A$1:$I$49,MATCH('Conditional Fomating'!$D900,products!$A$1:$A$49,0),MATCH('Conditional Fomating'!I$1,products!$A$1:$D$1,0))</f>
        <v>Rob</v>
      </c>
      <c r="J900" t="str">
        <f t="shared" si="84"/>
        <v>Robusta</v>
      </c>
      <c r="K900" t="str">
        <f>INDEX(products!$A$1:$I$49,MATCH('Conditional Fomating'!$D900,products!$A$1:$A$49,0),MATCH('Conditional Fomating'!K$1,products!$A$1:$D$1,0))</f>
        <v>L</v>
      </c>
      <c r="L900" t="str">
        <f t="shared" si="85"/>
        <v>Light</v>
      </c>
      <c r="M900">
        <f>INDEX(products!$A$1:$I$49,MATCH('Conditional Fomating'!$D900,products!$A$1:$A$49,0),MATCH('Conditional Fomating'!M$1,products!$A$1:$D$1,0))</f>
        <v>0.5</v>
      </c>
      <c r="N900">
        <f>_xlfn.XLOOKUP(D900,products!$A$2:$A$49,products!$E$2:$E$49)</f>
        <v>7.169999999999999</v>
      </c>
      <c r="O900">
        <f>_xlfn.XLOOKUP(D900,products!$A$2:$A$49,products!$H$2:$H$49)</f>
        <v>6.7397999999999989</v>
      </c>
      <c r="P900">
        <f t="shared" si="86"/>
        <v>35.849999999999994</v>
      </c>
      <c r="Q900">
        <f t="shared" si="87"/>
        <v>33.698999999999998</v>
      </c>
      <c r="R900">
        <f t="shared" si="88"/>
        <v>2.1509999999999962</v>
      </c>
      <c r="S900" s="4">
        <f t="shared" si="89"/>
        <v>5.9999999999999908E-2</v>
      </c>
      <c r="T900" t="str">
        <f>_xlfn.XLOOKUP(C900,customers!$A$1:$A$1001,customers!$I$1:$I$1001,,0)</f>
        <v>No</v>
      </c>
    </row>
    <row r="901" spans="1:20"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v>
      </c>
      <c r="H901" s="2" t="str">
        <f>_xlfn.XLOOKUP(C901,customers!$A$1:$A$1001,customers!$G$1:$G$1001,,0)</f>
        <v>United States</v>
      </c>
      <c r="I901" t="str">
        <f>INDEX(products!$A$1:$I$49,MATCH('Conditional Fomating'!$D901,products!$A$1:$A$49,0),MATCH('Conditional Fomating'!I$1,products!$A$1:$D$1,0))</f>
        <v>Lib</v>
      </c>
      <c r="J901" t="str">
        <f t="shared" si="84"/>
        <v>Liberica</v>
      </c>
      <c r="K901" t="str">
        <f>INDEX(products!$A$1:$I$49,MATCH('Conditional Fomating'!$D901,products!$A$1:$A$49,0),MATCH('Conditional Fomating'!K$1,products!$A$1:$D$1,0))</f>
        <v>M</v>
      </c>
      <c r="L901" t="str">
        <f t="shared" si="85"/>
        <v>Medium</v>
      </c>
      <c r="M901">
        <f>INDEX(products!$A$1:$I$49,MATCH('Conditional Fomating'!$D901,products!$A$1:$A$49,0),MATCH('Conditional Fomating'!M$1,products!$A$1:$D$1,0))</f>
        <v>1</v>
      </c>
      <c r="N901">
        <f>_xlfn.XLOOKUP(D901,products!$A$2:$A$49,products!$E$2:$E$49)</f>
        <v>14.55</v>
      </c>
      <c r="O901">
        <f>_xlfn.XLOOKUP(D901,products!$A$2:$A$49,products!$H$2:$H$49)</f>
        <v>12.6585</v>
      </c>
      <c r="P901">
        <f t="shared" si="86"/>
        <v>72.75</v>
      </c>
      <c r="Q901">
        <f t="shared" si="87"/>
        <v>63.292500000000004</v>
      </c>
      <c r="R901">
        <f t="shared" si="88"/>
        <v>9.457499999999996</v>
      </c>
      <c r="S901" s="4">
        <f t="shared" si="89"/>
        <v>0.12999999999999995</v>
      </c>
      <c r="T901" t="str">
        <f>_xlfn.XLOOKUP(C901,customers!$A$1:$A$1001,customers!$I$1:$I$1001,,0)</f>
        <v>No</v>
      </c>
    </row>
    <row r="902" spans="1:20"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v>
      </c>
      <c r="H902" s="2" t="str">
        <f>_xlfn.XLOOKUP(C902,customers!$A$1:$A$1001,customers!$G$1:$G$1001,,0)</f>
        <v>Ireland</v>
      </c>
      <c r="I902" t="str">
        <f>INDEX(products!$A$1:$I$49,MATCH('Conditional Fomating'!$D902,products!$A$1:$A$49,0),MATCH('Conditional Fomating'!I$1,products!$A$1:$D$1,0))</f>
        <v>Lib</v>
      </c>
      <c r="J902" t="str">
        <f t="shared" si="84"/>
        <v>Liberica</v>
      </c>
      <c r="K902" t="str">
        <f>INDEX(products!$A$1:$I$49,MATCH('Conditional Fomating'!$D902,products!$A$1:$A$49,0),MATCH('Conditional Fomating'!K$1,products!$A$1:$D$1,0))</f>
        <v>L</v>
      </c>
      <c r="L902" t="str">
        <f t="shared" si="85"/>
        <v>Light</v>
      </c>
      <c r="M902">
        <f>INDEX(products!$A$1:$I$49,MATCH('Conditional Fomating'!$D902,products!$A$1:$A$49,0),MATCH('Conditional Fomating'!M$1,products!$A$1:$D$1,0))</f>
        <v>1</v>
      </c>
      <c r="N902">
        <f>_xlfn.XLOOKUP(D902,products!$A$2:$A$49,products!$E$2:$E$49)</f>
        <v>15.85</v>
      </c>
      <c r="O902">
        <f>_xlfn.XLOOKUP(D902,products!$A$2:$A$49,products!$H$2:$H$49)</f>
        <v>13.7895</v>
      </c>
      <c r="P902">
        <f t="shared" si="86"/>
        <v>47.55</v>
      </c>
      <c r="Q902">
        <f t="shared" si="87"/>
        <v>41.368499999999997</v>
      </c>
      <c r="R902">
        <f t="shared" si="88"/>
        <v>6.1814999999999998</v>
      </c>
      <c r="S902" s="4">
        <f t="shared" si="89"/>
        <v>0.13</v>
      </c>
      <c r="T902" t="str">
        <f>_xlfn.XLOOKUP(C902,customers!$A$1:$A$1001,customers!$I$1:$I$1001,,0)</f>
        <v>No</v>
      </c>
    </row>
    <row r="903" spans="1:20"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INDEX(products!$A$1:$I$49,MATCH('Conditional Fomating'!$D903,products!$A$1:$A$49,0),MATCH('Conditional Fomating'!I$1,products!$A$1:$D$1,0))</f>
        <v>Rob</v>
      </c>
      <c r="J903" t="str">
        <f t="shared" si="84"/>
        <v>Robusta</v>
      </c>
      <c r="K903" t="str">
        <f>INDEX(products!$A$1:$I$49,MATCH('Conditional Fomating'!$D903,products!$A$1:$A$49,0),MATCH('Conditional Fomating'!K$1,products!$A$1:$D$1,0))</f>
        <v>L</v>
      </c>
      <c r="L903" t="str">
        <f t="shared" si="85"/>
        <v>Light</v>
      </c>
      <c r="M903">
        <f>INDEX(products!$A$1:$I$49,MATCH('Conditional Fomating'!$D903,products!$A$1:$A$49,0),MATCH('Conditional Fomating'!M$1,products!$A$1:$D$1,0))</f>
        <v>0.2</v>
      </c>
      <c r="N903">
        <f>_xlfn.XLOOKUP(D903,products!$A$2:$A$49,products!$E$2:$E$49)</f>
        <v>3.5849999999999995</v>
      </c>
      <c r="O903">
        <f>_xlfn.XLOOKUP(D903,products!$A$2:$A$49,products!$H$2:$H$49)</f>
        <v>3.3698999999999995</v>
      </c>
      <c r="P903">
        <f t="shared" si="86"/>
        <v>3.5849999999999995</v>
      </c>
      <c r="Q903">
        <f t="shared" si="87"/>
        <v>3.3698999999999995</v>
      </c>
      <c r="R903">
        <f t="shared" si="88"/>
        <v>0.21510000000000007</v>
      </c>
      <c r="S903" s="4">
        <f t="shared" si="89"/>
        <v>6.0000000000000026E-2</v>
      </c>
      <c r="T903" t="str">
        <f>_xlfn.XLOOKUP(C903,customers!$A$1:$A$1001,customers!$I$1:$I$1001,,0)</f>
        <v>Yes</v>
      </c>
    </row>
    <row r="904" spans="1:20"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INDEX(products!$A$1:$I$49,MATCH('Conditional Fomating'!$D904,products!$A$1:$A$49,0),MATCH('Conditional Fomating'!I$1,products!$A$1:$D$1,0))</f>
        <v>Exc</v>
      </c>
      <c r="J904" t="str">
        <f t="shared" si="84"/>
        <v>Excelsa</v>
      </c>
      <c r="K904" t="str">
        <f>INDEX(products!$A$1:$I$49,MATCH('Conditional Fomating'!$D904,products!$A$1:$A$49,0),MATCH('Conditional Fomating'!K$1,products!$A$1:$D$1,0))</f>
        <v>M</v>
      </c>
      <c r="L904" t="str">
        <f t="shared" si="85"/>
        <v>Medium</v>
      </c>
      <c r="M904">
        <f>INDEX(products!$A$1:$I$49,MATCH('Conditional Fomating'!$D904,products!$A$1:$A$49,0),MATCH('Conditional Fomating'!M$1,products!$A$1:$D$1,0))</f>
        <v>2.5</v>
      </c>
      <c r="N904">
        <f>_xlfn.XLOOKUP(D904,products!$A$2:$A$49,products!$E$2:$E$49)</f>
        <v>31.624999999999996</v>
      </c>
      <c r="O904">
        <f>_xlfn.XLOOKUP(D904,products!$A$2:$A$49,products!$H$2:$H$49)</f>
        <v>28.146249999999995</v>
      </c>
      <c r="P904">
        <f t="shared" si="86"/>
        <v>158.12499999999997</v>
      </c>
      <c r="Q904">
        <f t="shared" si="87"/>
        <v>140.73124999999999</v>
      </c>
      <c r="R904">
        <f t="shared" si="88"/>
        <v>17.393749999999983</v>
      </c>
      <c r="S904" s="4">
        <f t="shared" si="89"/>
        <v>0.10999999999999992</v>
      </c>
      <c r="T904" t="str">
        <f>_xlfn.XLOOKUP(C904,customers!$A$1:$A$1001,customers!$I$1:$I$1001,,0)</f>
        <v>No</v>
      </c>
    </row>
    <row r="905" spans="1:20"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INDEX(products!$A$1:$I$49,MATCH('Conditional Fomating'!$D905,products!$A$1:$A$49,0),MATCH('Conditional Fomating'!I$1,products!$A$1:$D$1,0))</f>
        <v>Lib</v>
      </c>
      <c r="J905" t="str">
        <f t="shared" si="84"/>
        <v>Liberica</v>
      </c>
      <c r="K905" t="str">
        <f>INDEX(products!$A$1:$I$49,MATCH('Conditional Fomating'!$D905,products!$A$1:$A$49,0),MATCH('Conditional Fomating'!K$1,products!$A$1:$D$1,0))</f>
        <v>M</v>
      </c>
      <c r="L905" t="str">
        <f t="shared" si="85"/>
        <v>Medium</v>
      </c>
      <c r="M905">
        <f>INDEX(products!$A$1:$I$49,MATCH('Conditional Fomating'!$D905,products!$A$1:$A$49,0),MATCH('Conditional Fomating'!M$1,products!$A$1:$D$1,0))</f>
        <v>0.5</v>
      </c>
      <c r="N905">
        <f>_xlfn.XLOOKUP(D905,products!$A$2:$A$49,products!$E$2:$E$49)</f>
        <v>8.73</v>
      </c>
      <c r="O905">
        <f>_xlfn.XLOOKUP(D905,products!$A$2:$A$49,products!$H$2:$H$49)</f>
        <v>7.5951000000000004</v>
      </c>
      <c r="P905">
        <f t="shared" si="86"/>
        <v>17.46</v>
      </c>
      <c r="Q905">
        <f t="shared" si="87"/>
        <v>15.190200000000001</v>
      </c>
      <c r="R905">
        <f t="shared" si="88"/>
        <v>2.2698</v>
      </c>
      <c r="S905" s="4">
        <f t="shared" si="89"/>
        <v>0.13</v>
      </c>
      <c r="T905" t="str">
        <f>_xlfn.XLOOKUP(C905,customers!$A$1:$A$1001,customers!$I$1:$I$1001,,0)</f>
        <v>No</v>
      </c>
    </row>
    <row r="906" spans="1:20"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INDEX(products!$A$1:$I$49,MATCH('Conditional Fomating'!$D906,products!$A$1:$A$49,0),MATCH('Conditional Fomating'!I$1,products!$A$1:$D$1,0))</f>
        <v>Ara</v>
      </c>
      <c r="J906" t="str">
        <f t="shared" si="84"/>
        <v>Arabica</v>
      </c>
      <c r="K906" t="str">
        <f>INDEX(products!$A$1:$I$49,MATCH('Conditional Fomating'!$D906,products!$A$1:$A$49,0),MATCH('Conditional Fomating'!K$1,products!$A$1:$D$1,0))</f>
        <v>L</v>
      </c>
      <c r="L906" t="str">
        <f t="shared" si="85"/>
        <v>Light</v>
      </c>
      <c r="M906">
        <f>INDEX(products!$A$1:$I$49,MATCH('Conditional Fomating'!$D906,products!$A$1:$A$49,0),MATCH('Conditional Fomating'!M$1,products!$A$1:$D$1,0))</f>
        <v>2.5</v>
      </c>
      <c r="N906">
        <f>_xlfn.XLOOKUP(D906,products!$A$2:$A$49,products!$E$2:$E$49)</f>
        <v>29.784999999999997</v>
      </c>
      <c r="O906">
        <f>_xlfn.XLOOKUP(D906,products!$A$2:$A$49,products!$H$2:$H$49)</f>
        <v>27.104349999999997</v>
      </c>
      <c r="P906">
        <f t="shared" si="86"/>
        <v>148.92499999999998</v>
      </c>
      <c r="Q906">
        <f t="shared" si="87"/>
        <v>135.52175</v>
      </c>
      <c r="R906">
        <f t="shared" si="88"/>
        <v>13.403249999999986</v>
      </c>
      <c r="S906" s="4">
        <f t="shared" si="89"/>
        <v>8.9999999999999913E-2</v>
      </c>
      <c r="T906" t="str">
        <f>_xlfn.XLOOKUP(C906,customers!$A$1:$A$1001,customers!$I$1:$I$1001,,0)</f>
        <v>No</v>
      </c>
    </row>
    <row r="907" spans="1:20"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v>
      </c>
      <c r="H907" s="2" t="str">
        <f>_xlfn.XLOOKUP(C907,customers!$A$1:$A$1001,customers!$G$1:$G$1001,,0)</f>
        <v>United States</v>
      </c>
      <c r="I907" t="str">
        <f>INDEX(products!$A$1:$I$49,MATCH('Conditional Fomating'!$D907,products!$A$1:$A$49,0),MATCH('Conditional Fomating'!I$1,products!$A$1:$D$1,0))</f>
        <v>Ara</v>
      </c>
      <c r="J907" t="str">
        <f t="shared" si="84"/>
        <v>Arabica</v>
      </c>
      <c r="K907" t="str">
        <f>INDEX(products!$A$1:$I$49,MATCH('Conditional Fomating'!$D907,products!$A$1:$A$49,0),MATCH('Conditional Fomating'!K$1,products!$A$1:$D$1,0))</f>
        <v>M</v>
      </c>
      <c r="L907" t="str">
        <f t="shared" si="85"/>
        <v>Medium</v>
      </c>
      <c r="M907">
        <f>INDEX(products!$A$1:$I$49,MATCH('Conditional Fomating'!$D907,products!$A$1:$A$49,0),MATCH('Conditional Fomating'!M$1,products!$A$1:$D$1,0))</f>
        <v>0.5</v>
      </c>
      <c r="N907">
        <f>_xlfn.XLOOKUP(D907,products!$A$2:$A$49,products!$E$2:$E$49)</f>
        <v>6.75</v>
      </c>
      <c r="O907">
        <f>_xlfn.XLOOKUP(D907,products!$A$2:$A$49,products!$H$2:$H$49)</f>
        <v>6.1425000000000001</v>
      </c>
      <c r="P907">
        <f t="shared" si="86"/>
        <v>40.5</v>
      </c>
      <c r="Q907">
        <f t="shared" si="87"/>
        <v>36.855000000000004</v>
      </c>
      <c r="R907">
        <f t="shared" si="88"/>
        <v>3.644999999999996</v>
      </c>
      <c r="S907" s="4">
        <f t="shared" si="89"/>
        <v>8.99999999999999E-2</v>
      </c>
      <c r="T907" t="str">
        <f>_xlfn.XLOOKUP(C907,customers!$A$1:$A$1001,customers!$I$1:$I$1001,,0)</f>
        <v>Yes</v>
      </c>
    </row>
    <row r="908" spans="1:20"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INDEX(products!$A$1:$I$49,MATCH('Conditional Fomating'!$D908,products!$A$1:$A$49,0),MATCH('Conditional Fomating'!I$1,products!$A$1:$D$1,0))</f>
        <v>Ara</v>
      </c>
      <c r="J908" t="str">
        <f t="shared" si="84"/>
        <v>Arabica</v>
      </c>
      <c r="K908" t="str">
        <f>INDEX(products!$A$1:$I$49,MATCH('Conditional Fomating'!$D908,products!$A$1:$A$49,0),MATCH('Conditional Fomating'!K$1,products!$A$1:$D$1,0))</f>
        <v>M</v>
      </c>
      <c r="L908" t="str">
        <f t="shared" si="85"/>
        <v>Medium</v>
      </c>
      <c r="M908">
        <f>INDEX(products!$A$1:$I$49,MATCH('Conditional Fomating'!$D908,products!$A$1:$A$49,0),MATCH('Conditional Fomating'!M$1,products!$A$1:$D$1,0))</f>
        <v>0.5</v>
      </c>
      <c r="N908">
        <f>_xlfn.XLOOKUP(D908,products!$A$2:$A$49,products!$E$2:$E$49)</f>
        <v>6.75</v>
      </c>
      <c r="O908">
        <f>_xlfn.XLOOKUP(D908,products!$A$2:$A$49,products!$H$2:$H$49)</f>
        <v>6.1425000000000001</v>
      </c>
      <c r="P908">
        <f t="shared" si="86"/>
        <v>27</v>
      </c>
      <c r="Q908">
        <f t="shared" si="87"/>
        <v>24.57</v>
      </c>
      <c r="R908">
        <f t="shared" si="88"/>
        <v>2.4299999999999997</v>
      </c>
      <c r="S908" s="4">
        <f t="shared" si="89"/>
        <v>8.9999999999999983E-2</v>
      </c>
      <c r="T908" t="str">
        <f>_xlfn.XLOOKUP(C908,customers!$A$1:$A$1001,customers!$I$1:$I$1001,,0)</f>
        <v>Yes</v>
      </c>
    </row>
    <row r="909" spans="1:20"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INDEX(products!$A$1:$I$49,MATCH('Conditional Fomating'!$D909,products!$A$1:$A$49,0),MATCH('Conditional Fomating'!I$1,products!$A$1:$D$1,0))</f>
        <v>Lib</v>
      </c>
      <c r="J909" t="str">
        <f t="shared" si="84"/>
        <v>Liberica</v>
      </c>
      <c r="K909" t="str">
        <f>INDEX(products!$A$1:$I$49,MATCH('Conditional Fomating'!$D909,products!$A$1:$A$49,0),MATCH('Conditional Fomating'!K$1,products!$A$1:$D$1,0))</f>
        <v>D</v>
      </c>
      <c r="L909" t="str">
        <f t="shared" si="85"/>
        <v>Dark</v>
      </c>
      <c r="M909">
        <f>INDEX(products!$A$1:$I$49,MATCH('Conditional Fomating'!$D909,products!$A$1:$A$49,0),MATCH('Conditional Fomating'!M$1,products!$A$1:$D$1,0))</f>
        <v>1</v>
      </c>
      <c r="N909">
        <f>_xlfn.XLOOKUP(D909,products!$A$2:$A$49,products!$E$2:$E$49)</f>
        <v>12.95</v>
      </c>
      <c r="O909">
        <f>_xlfn.XLOOKUP(D909,products!$A$2:$A$49,products!$H$2:$H$49)</f>
        <v>11.266499999999999</v>
      </c>
      <c r="P909">
        <f t="shared" si="86"/>
        <v>38.849999999999994</v>
      </c>
      <c r="Q909">
        <f t="shared" si="87"/>
        <v>33.799499999999995</v>
      </c>
      <c r="R909">
        <f t="shared" si="88"/>
        <v>5.0504999999999995</v>
      </c>
      <c r="S909" s="4">
        <f t="shared" si="89"/>
        <v>0.13</v>
      </c>
      <c r="T909" t="str">
        <f>_xlfn.XLOOKUP(C909,customers!$A$1:$A$1001,customers!$I$1:$I$1001,,0)</f>
        <v>No</v>
      </c>
    </row>
    <row r="910" spans="1:20"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INDEX(products!$A$1:$I$49,MATCH('Conditional Fomating'!$D910,products!$A$1:$A$49,0),MATCH('Conditional Fomating'!I$1,products!$A$1:$D$1,0))</f>
        <v>Rob</v>
      </c>
      <c r="J910" t="str">
        <f t="shared" si="84"/>
        <v>Robusta</v>
      </c>
      <c r="K910" t="str">
        <f>INDEX(products!$A$1:$I$49,MATCH('Conditional Fomating'!$D910,products!$A$1:$A$49,0),MATCH('Conditional Fomating'!K$1,products!$A$1:$D$1,0))</f>
        <v>L</v>
      </c>
      <c r="L910" t="str">
        <f t="shared" si="85"/>
        <v>Light</v>
      </c>
      <c r="M910">
        <f>INDEX(products!$A$1:$I$49,MATCH('Conditional Fomating'!$D910,products!$A$1:$A$49,0),MATCH('Conditional Fomating'!M$1,products!$A$1:$D$1,0))</f>
        <v>1</v>
      </c>
      <c r="N910">
        <f>_xlfn.XLOOKUP(D910,products!$A$2:$A$49,products!$E$2:$E$49)</f>
        <v>11.95</v>
      </c>
      <c r="O910">
        <f>_xlfn.XLOOKUP(D910,products!$A$2:$A$49,products!$H$2:$H$49)</f>
        <v>11.232999999999999</v>
      </c>
      <c r="P910">
        <f t="shared" si="86"/>
        <v>59.75</v>
      </c>
      <c r="Q910">
        <f t="shared" si="87"/>
        <v>56.164999999999992</v>
      </c>
      <c r="R910">
        <f t="shared" si="88"/>
        <v>3.585000000000008</v>
      </c>
      <c r="S910" s="4">
        <f t="shared" si="89"/>
        <v>6.0000000000000137E-2</v>
      </c>
      <c r="T910" t="str">
        <f>_xlfn.XLOOKUP(C910,customers!$A$1:$A$1001,customers!$I$1:$I$1001,,0)</f>
        <v>No</v>
      </c>
    </row>
    <row r="911" spans="1:20"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v>
      </c>
      <c r="H911" s="2" t="str">
        <f>_xlfn.XLOOKUP(C911,customers!$A$1:$A$1001,customers!$G$1:$G$1001,,0)</f>
        <v>United States</v>
      </c>
      <c r="I911" t="str">
        <f>INDEX(products!$A$1:$I$49,MATCH('Conditional Fomating'!$D911,products!$A$1:$A$49,0),MATCH('Conditional Fomating'!I$1,products!$A$1:$D$1,0))</f>
        <v>Rob</v>
      </c>
      <c r="J911" t="str">
        <f t="shared" si="84"/>
        <v>Robusta</v>
      </c>
      <c r="K911" t="str">
        <f>INDEX(products!$A$1:$I$49,MATCH('Conditional Fomating'!$D911,products!$A$1:$A$49,0),MATCH('Conditional Fomating'!K$1,products!$A$1:$D$1,0))</f>
        <v>L</v>
      </c>
      <c r="L911" t="str">
        <f t="shared" si="85"/>
        <v>Light</v>
      </c>
      <c r="M911">
        <f>INDEX(products!$A$1:$I$49,MATCH('Conditional Fomating'!$D911,products!$A$1:$A$49,0),MATCH('Conditional Fomating'!M$1,products!$A$1:$D$1,0))</f>
        <v>0.2</v>
      </c>
      <c r="N911">
        <f>_xlfn.XLOOKUP(D911,products!$A$2:$A$49,products!$E$2:$E$49)</f>
        <v>3.5849999999999995</v>
      </c>
      <c r="O911">
        <f>_xlfn.XLOOKUP(D911,products!$A$2:$A$49,products!$H$2:$H$49)</f>
        <v>3.3698999999999995</v>
      </c>
      <c r="P911">
        <f t="shared" si="86"/>
        <v>10.754999999999999</v>
      </c>
      <c r="Q911">
        <f t="shared" si="87"/>
        <v>10.109699999999998</v>
      </c>
      <c r="R911">
        <f t="shared" si="88"/>
        <v>0.64530000000000065</v>
      </c>
      <c r="S911" s="4">
        <f t="shared" si="89"/>
        <v>6.0000000000000067E-2</v>
      </c>
      <c r="T911" t="str">
        <f>_xlfn.XLOOKUP(C911,customers!$A$1:$A$1001,customers!$I$1:$I$1001,,0)</f>
        <v>No</v>
      </c>
    </row>
    <row r="912" spans="1:20"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INDEX(products!$A$1:$I$49,MATCH('Conditional Fomating'!$D912,products!$A$1:$A$49,0),MATCH('Conditional Fomating'!I$1,products!$A$1:$D$1,0))</f>
        <v>Ara</v>
      </c>
      <c r="J912" t="str">
        <f t="shared" si="84"/>
        <v>Arabica</v>
      </c>
      <c r="K912" t="str">
        <f>INDEX(products!$A$1:$I$49,MATCH('Conditional Fomating'!$D912,products!$A$1:$A$49,0),MATCH('Conditional Fomating'!K$1,products!$A$1:$D$1,0))</f>
        <v>D</v>
      </c>
      <c r="L912" t="str">
        <f t="shared" si="85"/>
        <v>Dark</v>
      </c>
      <c r="M912">
        <f>INDEX(products!$A$1:$I$49,MATCH('Conditional Fomating'!$D912,products!$A$1:$A$49,0),MATCH('Conditional Fomating'!M$1,products!$A$1:$D$1,0))</f>
        <v>2.5</v>
      </c>
      <c r="N912">
        <f>_xlfn.XLOOKUP(D912,products!$A$2:$A$49,products!$E$2:$E$49)</f>
        <v>22.884999999999998</v>
      </c>
      <c r="O912">
        <f>_xlfn.XLOOKUP(D912,products!$A$2:$A$49,products!$H$2:$H$49)</f>
        <v>20.82535</v>
      </c>
      <c r="P912">
        <f t="shared" si="86"/>
        <v>91.539999999999992</v>
      </c>
      <c r="Q912">
        <f t="shared" si="87"/>
        <v>83.301400000000001</v>
      </c>
      <c r="R912">
        <f t="shared" si="88"/>
        <v>8.238599999999991</v>
      </c>
      <c r="S912" s="4">
        <f t="shared" si="89"/>
        <v>8.9999999999999913E-2</v>
      </c>
      <c r="T912" t="str">
        <f>_xlfn.XLOOKUP(C912,customers!$A$1:$A$1001,customers!$I$1:$I$1001,,0)</f>
        <v>No</v>
      </c>
    </row>
    <row r="913" spans="1:20"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INDEX(products!$A$1:$I$49,MATCH('Conditional Fomating'!$D913,products!$A$1:$A$49,0),MATCH('Conditional Fomating'!I$1,products!$A$1:$D$1,0))</f>
        <v>Ara</v>
      </c>
      <c r="J913" t="str">
        <f t="shared" si="84"/>
        <v>Arabica</v>
      </c>
      <c r="K913" t="str">
        <f>INDEX(products!$A$1:$I$49,MATCH('Conditional Fomating'!$D913,products!$A$1:$A$49,0),MATCH('Conditional Fomating'!K$1,products!$A$1:$D$1,0))</f>
        <v>M</v>
      </c>
      <c r="L913" t="str">
        <f t="shared" si="85"/>
        <v>Medium</v>
      </c>
      <c r="M913">
        <f>INDEX(products!$A$1:$I$49,MATCH('Conditional Fomating'!$D913,products!$A$1:$A$49,0),MATCH('Conditional Fomating'!M$1,products!$A$1:$D$1,0))</f>
        <v>1</v>
      </c>
      <c r="N913">
        <f>_xlfn.XLOOKUP(D913,products!$A$2:$A$49,products!$E$2:$E$49)</f>
        <v>11.25</v>
      </c>
      <c r="O913">
        <f>_xlfn.XLOOKUP(D913,products!$A$2:$A$49,products!$H$2:$H$49)</f>
        <v>10.237500000000001</v>
      </c>
      <c r="P913">
        <f t="shared" si="86"/>
        <v>45</v>
      </c>
      <c r="Q913">
        <f t="shared" si="87"/>
        <v>40.950000000000003</v>
      </c>
      <c r="R913">
        <f t="shared" si="88"/>
        <v>4.0499999999999972</v>
      </c>
      <c r="S913" s="4">
        <f t="shared" si="89"/>
        <v>8.9999999999999941E-2</v>
      </c>
      <c r="T913" t="str">
        <f>_xlfn.XLOOKUP(C913,customers!$A$1:$A$1001,customers!$I$1:$I$1001,,0)</f>
        <v>Yes</v>
      </c>
    </row>
    <row r="914" spans="1:20"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v>
      </c>
      <c r="H914" s="2" t="str">
        <f>_xlfn.XLOOKUP(C914,customers!$A$1:$A$1001,customers!$G$1:$G$1001,,0)</f>
        <v>United States</v>
      </c>
      <c r="I914" t="str">
        <f>INDEX(products!$A$1:$I$49,MATCH('Conditional Fomating'!$D914,products!$A$1:$A$49,0),MATCH('Conditional Fomating'!I$1,products!$A$1:$D$1,0))</f>
        <v>Rob</v>
      </c>
      <c r="J914" t="str">
        <f t="shared" si="84"/>
        <v>Robusta</v>
      </c>
      <c r="K914" t="str">
        <f>INDEX(products!$A$1:$I$49,MATCH('Conditional Fomating'!$D914,products!$A$1:$A$49,0),MATCH('Conditional Fomating'!K$1,products!$A$1:$D$1,0))</f>
        <v>M</v>
      </c>
      <c r="L914" t="str">
        <f t="shared" si="85"/>
        <v>Medium</v>
      </c>
      <c r="M914">
        <f>INDEX(products!$A$1:$I$49,MATCH('Conditional Fomating'!$D914,products!$A$1:$A$49,0),MATCH('Conditional Fomating'!M$1,products!$A$1:$D$1,0))</f>
        <v>2.5</v>
      </c>
      <c r="N914">
        <f>_xlfn.XLOOKUP(D914,products!$A$2:$A$49,products!$E$2:$E$49)</f>
        <v>22.884999999999998</v>
      </c>
      <c r="O914">
        <f>_xlfn.XLOOKUP(D914,products!$A$2:$A$49,products!$H$2:$H$49)</f>
        <v>21.511899999999997</v>
      </c>
      <c r="P914">
        <f t="shared" si="86"/>
        <v>137.31</v>
      </c>
      <c r="Q914">
        <f t="shared" si="87"/>
        <v>129.07139999999998</v>
      </c>
      <c r="R914">
        <f t="shared" si="88"/>
        <v>8.2386000000000195</v>
      </c>
      <c r="S914" s="4">
        <f t="shared" si="89"/>
        <v>6.0000000000000143E-2</v>
      </c>
      <c r="T914" t="str">
        <f>_xlfn.XLOOKUP(C914,customers!$A$1:$A$1001,customers!$I$1:$I$1001,,0)</f>
        <v>Yes</v>
      </c>
    </row>
    <row r="915" spans="1:20"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INDEX(products!$A$1:$I$49,MATCH('Conditional Fomating'!$D915,products!$A$1:$A$49,0),MATCH('Conditional Fomating'!I$1,products!$A$1:$D$1,0))</f>
        <v>Ara</v>
      </c>
      <c r="J915" t="str">
        <f t="shared" si="84"/>
        <v>Arabica</v>
      </c>
      <c r="K915" t="str">
        <f>INDEX(products!$A$1:$I$49,MATCH('Conditional Fomating'!$D915,products!$A$1:$A$49,0),MATCH('Conditional Fomating'!K$1,products!$A$1:$D$1,0))</f>
        <v>M</v>
      </c>
      <c r="L915" t="str">
        <f t="shared" si="85"/>
        <v>Medium</v>
      </c>
      <c r="M915">
        <f>INDEX(products!$A$1:$I$49,MATCH('Conditional Fomating'!$D915,products!$A$1:$A$49,0),MATCH('Conditional Fomating'!M$1,products!$A$1:$D$1,0))</f>
        <v>0.5</v>
      </c>
      <c r="N915">
        <f>_xlfn.XLOOKUP(D915,products!$A$2:$A$49,products!$E$2:$E$49)</f>
        <v>6.75</v>
      </c>
      <c r="O915">
        <f>_xlfn.XLOOKUP(D915,products!$A$2:$A$49,products!$H$2:$H$49)</f>
        <v>6.1425000000000001</v>
      </c>
      <c r="P915">
        <f t="shared" si="86"/>
        <v>6.75</v>
      </c>
      <c r="Q915">
        <f t="shared" si="87"/>
        <v>6.1425000000000001</v>
      </c>
      <c r="R915">
        <f t="shared" si="88"/>
        <v>0.60749999999999993</v>
      </c>
      <c r="S915" s="4">
        <f t="shared" si="89"/>
        <v>8.9999999999999983E-2</v>
      </c>
      <c r="T915" t="str">
        <f>_xlfn.XLOOKUP(C915,customers!$A$1:$A$1001,customers!$I$1:$I$1001,,0)</f>
        <v>No</v>
      </c>
    </row>
    <row r="916" spans="1:20"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INDEX(products!$A$1:$I$49,MATCH('Conditional Fomating'!$D916,products!$A$1:$A$49,0),MATCH('Conditional Fomating'!I$1,products!$A$1:$D$1,0))</f>
        <v>Ara</v>
      </c>
      <c r="J916" t="str">
        <f t="shared" si="84"/>
        <v>Arabica</v>
      </c>
      <c r="K916" t="str">
        <f>INDEX(products!$A$1:$I$49,MATCH('Conditional Fomating'!$D916,products!$A$1:$A$49,0),MATCH('Conditional Fomating'!K$1,products!$A$1:$D$1,0))</f>
        <v>M</v>
      </c>
      <c r="L916" t="str">
        <f t="shared" si="85"/>
        <v>Medium</v>
      </c>
      <c r="M916">
        <f>INDEX(products!$A$1:$I$49,MATCH('Conditional Fomating'!$D916,products!$A$1:$A$49,0),MATCH('Conditional Fomating'!M$1,products!$A$1:$D$1,0))</f>
        <v>1</v>
      </c>
      <c r="N916">
        <f>_xlfn.XLOOKUP(D916,products!$A$2:$A$49,products!$E$2:$E$49)</f>
        <v>11.25</v>
      </c>
      <c r="O916">
        <f>_xlfn.XLOOKUP(D916,products!$A$2:$A$49,products!$H$2:$H$49)</f>
        <v>10.237500000000001</v>
      </c>
      <c r="P916">
        <f t="shared" si="86"/>
        <v>45</v>
      </c>
      <c r="Q916">
        <f t="shared" si="87"/>
        <v>40.950000000000003</v>
      </c>
      <c r="R916">
        <f t="shared" si="88"/>
        <v>4.0499999999999972</v>
      </c>
      <c r="S916" s="4">
        <f t="shared" si="89"/>
        <v>8.9999999999999941E-2</v>
      </c>
      <c r="T916" t="str">
        <f>_xlfn.XLOOKUP(C916,customers!$A$1:$A$1001,customers!$I$1:$I$1001,,0)</f>
        <v>No</v>
      </c>
    </row>
    <row r="917" spans="1:20"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INDEX(products!$A$1:$I$49,MATCH('Conditional Fomating'!$D917,products!$A$1:$A$49,0),MATCH('Conditional Fomating'!I$1,products!$A$1:$D$1,0))</f>
        <v>Exc</v>
      </c>
      <c r="J917" t="str">
        <f t="shared" si="84"/>
        <v>Excelsa</v>
      </c>
      <c r="K917" t="str">
        <f>INDEX(products!$A$1:$I$49,MATCH('Conditional Fomating'!$D917,products!$A$1:$A$49,0),MATCH('Conditional Fomating'!K$1,products!$A$1:$D$1,0))</f>
        <v>D</v>
      </c>
      <c r="L917" t="str">
        <f t="shared" si="85"/>
        <v>Dark</v>
      </c>
      <c r="M917">
        <f>INDEX(products!$A$1:$I$49,MATCH('Conditional Fomating'!$D917,products!$A$1:$A$49,0),MATCH('Conditional Fomating'!M$1,products!$A$1:$D$1,0))</f>
        <v>2.5</v>
      </c>
      <c r="N917">
        <f>_xlfn.XLOOKUP(D917,products!$A$2:$A$49,products!$E$2:$E$49)</f>
        <v>27.945</v>
      </c>
      <c r="O917">
        <f>_xlfn.XLOOKUP(D917,products!$A$2:$A$49,products!$H$2:$H$49)</f>
        <v>24.87105</v>
      </c>
      <c r="P917">
        <f t="shared" si="86"/>
        <v>83.835000000000008</v>
      </c>
      <c r="Q917">
        <f t="shared" si="87"/>
        <v>74.613150000000005</v>
      </c>
      <c r="R917">
        <f t="shared" si="88"/>
        <v>9.2218500000000034</v>
      </c>
      <c r="S917" s="4">
        <f t="shared" si="89"/>
        <v>0.11000000000000003</v>
      </c>
      <c r="T917" t="str">
        <f>_xlfn.XLOOKUP(C917,customers!$A$1:$A$1001,customers!$I$1:$I$1001,,0)</f>
        <v>Yes</v>
      </c>
    </row>
    <row r="918" spans="1:20"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v>
      </c>
      <c r="H918" s="2" t="str">
        <f>_xlfn.XLOOKUP(C918,customers!$A$1:$A$1001,customers!$G$1:$G$1001,,0)</f>
        <v>Ireland</v>
      </c>
      <c r="I918" t="str">
        <f>INDEX(products!$A$1:$I$49,MATCH('Conditional Fomating'!$D918,products!$A$1:$A$49,0),MATCH('Conditional Fomating'!I$1,products!$A$1:$D$1,0))</f>
        <v>Exc</v>
      </c>
      <c r="J918" t="str">
        <f t="shared" si="84"/>
        <v>Excelsa</v>
      </c>
      <c r="K918" t="str">
        <f>INDEX(products!$A$1:$I$49,MATCH('Conditional Fomating'!$D918,products!$A$1:$A$49,0),MATCH('Conditional Fomating'!K$1,products!$A$1:$D$1,0))</f>
        <v>D</v>
      </c>
      <c r="L918" t="str">
        <f t="shared" si="85"/>
        <v>Dark</v>
      </c>
      <c r="M918">
        <f>INDEX(products!$A$1:$I$49,MATCH('Conditional Fomating'!$D918,products!$A$1:$A$49,0),MATCH('Conditional Fomating'!M$1,products!$A$1:$D$1,0))</f>
        <v>0.2</v>
      </c>
      <c r="N918">
        <f>_xlfn.XLOOKUP(D918,products!$A$2:$A$49,products!$E$2:$E$49)</f>
        <v>3.645</v>
      </c>
      <c r="O918">
        <f>_xlfn.XLOOKUP(D918,products!$A$2:$A$49,products!$H$2:$H$49)</f>
        <v>3.2440500000000001</v>
      </c>
      <c r="P918">
        <f t="shared" si="86"/>
        <v>3.645</v>
      </c>
      <c r="Q918">
        <f t="shared" si="87"/>
        <v>3.2440500000000001</v>
      </c>
      <c r="R918">
        <f t="shared" si="88"/>
        <v>0.40094999999999992</v>
      </c>
      <c r="S918" s="4">
        <f t="shared" si="89"/>
        <v>0.10999999999999997</v>
      </c>
      <c r="T918" t="str">
        <f>_xlfn.XLOOKUP(C918,customers!$A$1:$A$1001,customers!$I$1:$I$1001,,0)</f>
        <v>Yes</v>
      </c>
    </row>
    <row r="919" spans="1:20"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INDEX(products!$A$1:$I$49,MATCH('Conditional Fomating'!$D919,products!$A$1:$A$49,0),MATCH('Conditional Fomating'!I$1,products!$A$1:$D$1,0))</f>
        <v>Ara</v>
      </c>
      <c r="J919" t="str">
        <f t="shared" si="84"/>
        <v>Arabica</v>
      </c>
      <c r="K919" t="str">
        <f>INDEX(products!$A$1:$I$49,MATCH('Conditional Fomating'!$D919,products!$A$1:$A$49,0),MATCH('Conditional Fomating'!K$1,products!$A$1:$D$1,0))</f>
        <v>M</v>
      </c>
      <c r="L919" t="str">
        <f t="shared" si="85"/>
        <v>Medium</v>
      </c>
      <c r="M919">
        <f>INDEX(products!$A$1:$I$49,MATCH('Conditional Fomating'!$D919,products!$A$1:$A$49,0),MATCH('Conditional Fomating'!M$1,products!$A$1:$D$1,0))</f>
        <v>0.5</v>
      </c>
      <c r="N919">
        <f>_xlfn.XLOOKUP(D919,products!$A$2:$A$49,products!$E$2:$E$49)</f>
        <v>6.75</v>
      </c>
      <c r="O919">
        <f>_xlfn.XLOOKUP(D919,products!$A$2:$A$49,products!$H$2:$H$49)</f>
        <v>6.1425000000000001</v>
      </c>
      <c r="P919">
        <f t="shared" si="86"/>
        <v>6.75</v>
      </c>
      <c r="Q919">
        <f t="shared" si="87"/>
        <v>6.1425000000000001</v>
      </c>
      <c r="R919">
        <f t="shared" si="88"/>
        <v>0.60749999999999993</v>
      </c>
      <c r="S919" s="4">
        <f t="shared" si="89"/>
        <v>8.9999999999999983E-2</v>
      </c>
      <c r="T919" t="str">
        <f>_xlfn.XLOOKUP(C919,customers!$A$1:$A$1001,customers!$I$1:$I$1001,,0)</f>
        <v>No</v>
      </c>
    </row>
    <row r="920" spans="1:20"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INDEX(products!$A$1:$I$49,MATCH('Conditional Fomating'!$D920,products!$A$1:$A$49,0),MATCH('Conditional Fomating'!I$1,products!$A$1:$D$1,0))</f>
        <v>Exc</v>
      </c>
      <c r="J920" t="str">
        <f t="shared" si="84"/>
        <v>Excelsa</v>
      </c>
      <c r="K920" t="str">
        <f>INDEX(products!$A$1:$I$49,MATCH('Conditional Fomating'!$D920,products!$A$1:$A$49,0),MATCH('Conditional Fomating'!K$1,products!$A$1:$D$1,0))</f>
        <v>D</v>
      </c>
      <c r="L920" t="str">
        <f t="shared" si="85"/>
        <v>Dark</v>
      </c>
      <c r="M920">
        <f>INDEX(products!$A$1:$I$49,MATCH('Conditional Fomating'!$D920,products!$A$1:$A$49,0),MATCH('Conditional Fomating'!M$1,products!$A$1:$D$1,0))</f>
        <v>0.5</v>
      </c>
      <c r="N920">
        <f>_xlfn.XLOOKUP(D920,products!$A$2:$A$49,products!$E$2:$E$49)</f>
        <v>7.29</v>
      </c>
      <c r="O920">
        <f>_xlfn.XLOOKUP(D920,products!$A$2:$A$49,products!$H$2:$H$49)</f>
        <v>6.4881000000000002</v>
      </c>
      <c r="P920">
        <f t="shared" si="86"/>
        <v>21.87</v>
      </c>
      <c r="Q920">
        <f t="shared" si="87"/>
        <v>19.464300000000001</v>
      </c>
      <c r="R920">
        <f t="shared" si="88"/>
        <v>2.4056999999999995</v>
      </c>
      <c r="S920" s="4">
        <f t="shared" si="89"/>
        <v>0.10999999999999997</v>
      </c>
      <c r="T920" t="str">
        <f>_xlfn.XLOOKUP(C920,customers!$A$1:$A$1001,customers!$I$1:$I$1001,,0)</f>
        <v>No</v>
      </c>
    </row>
    <row r="921" spans="1:20"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INDEX(products!$A$1:$I$49,MATCH('Conditional Fomating'!$D921,products!$A$1:$A$49,0),MATCH('Conditional Fomating'!I$1,products!$A$1:$D$1,0))</f>
        <v>Rob</v>
      </c>
      <c r="J921" t="str">
        <f t="shared" si="84"/>
        <v>Robusta</v>
      </c>
      <c r="K921" t="str">
        <f>INDEX(products!$A$1:$I$49,MATCH('Conditional Fomating'!$D921,products!$A$1:$A$49,0),MATCH('Conditional Fomating'!K$1,products!$A$1:$D$1,0))</f>
        <v>D</v>
      </c>
      <c r="L921" t="str">
        <f t="shared" si="85"/>
        <v>Dark</v>
      </c>
      <c r="M921">
        <f>INDEX(products!$A$1:$I$49,MATCH('Conditional Fomating'!$D921,products!$A$1:$A$49,0),MATCH('Conditional Fomating'!M$1,products!$A$1:$D$1,0))</f>
        <v>0.2</v>
      </c>
      <c r="N921">
        <f>_xlfn.XLOOKUP(D921,products!$A$2:$A$49,products!$E$2:$E$49)</f>
        <v>2.6849999999999996</v>
      </c>
      <c r="O921">
        <f>_xlfn.XLOOKUP(D921,products!$A$2:$A$49,products!$H$2:$H$49)</f>
        <v>2.5238999999999998</v>
      </c>
      <c r="P921">
        <f t="shared" si="86"/>
        <v>13.424999999999997</v>
      </c>
      <c r="Q921">
        <f t="shared" si="87"/>
        <v>12.619499999999999</v>
      </c>
      <c r="R921">
        <f t="shared" si="88"/>
        <v>0.80549999999999855</v>
      </c>
      <c r="S921" s="4">
        <f t="shared" si="89"/>
        <v>5.9999999999999908E-2</v>
      </c>
      <c r="T921" t="str">
        <f>_xlfn.XLOOKUP(C921,customers!$A$1:$A$1001,customers!$I$1:$I$1001,,0)</f>
        <v>Yes</v>
      </c>
    </row>
    <row r="922" spans="1:20"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INDEX(products!$A$1:$I$49,MATCH('Conditional Fomating'!$D922,products!$A$1:$A$49,0),MATCH('Conditional Fomating'!I$1,products!$A$1:$D$1,0))</f>
        <v>Rob</v>
      </c>
      <c r="J922" t="str">
        <f t="shared" si="84"/>
        <v>Robusta</v>
      </c>
      <c r="K922" t="str">
        <f>INDEX(products!$A$1:$I$49,MATCH('Conditional Fomating'!$D922,products!$A$1:$A$49,0),MATCH('Conditional Fomating'!K$1,products!$A$1:$D$1,0))</f>
        <v>D</v>
      </c>
      <c r="L922" t="str">
        <f t="shared" si="85"/>
        <v>Dark</v>
      </c>
      <c r="M922">
        <f>INDEX(products!$A$1:$I$49,MATCH('Conditional Fomating'!$D922,products!$A$1:$A$49,0),MATCH('Conditional Fomating'!M$1,products!$A$1:$D$1,0))</f>
        <v>2.5</v>
      </c>
      <c r="N922">
        <f>_xlfn.XLOOKUP(D922,products!$A$2:$A$49,products!$E$2:$E$49)</f>
        <v>20.584999999999997</v>
      </c>
      <c r="O922">
        <f>_xlfn.XLOOKUP(D922,products!$A$2:$A$49,products!$H$2:$H$49)</f>
        <v>19.349899999999998</v>
      </c>
      <c r="P922">
        <f t="shared" si="86"/>
        <v>123.50999999999999</v>
      </c>
      <c r="Q922">
        <f t="shared" si="87"/>
        <v>116.09939999999999</v>
      </c>
      <c r="R922">
        <f t="shared" si="88"/>
        <v>7.4106000000000023</v>
      </c>
      <c r="S922" s="4">
        <f t="shared" si="89"/>
        <v>6.0000000000000026E-2</v>
      </c>
      <c r="T922" t="str">
        <f>_xlfn.XLOOKUP(C922,customers!$A$1:$A$1001,customers!$I$1:$I$1001,,0)</f>
        <v>No</v>
      </c>
    </row>
    <row r="923" spans="1:20"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INDEX(products!$A$1:$I$49,MATCH('Conditional Fomating'!$D923,products!$A$1:$A$49,0),MATCH('Conditional Fomating'!I$1,products!$A$1:$D$1,0))</f>
        <v>Lib</v>
      </c>
      <c r="J923" t="str">
        <f t="shared" si="84"/>
        <v>Liberica</v>
      </c>
      <c r="K923" t="str">
        <f>INDEX(products!$A$1:$I$49,MATCH('Conditional Fomating'!$D923,products!$A$1:$A$49,0),MATCH('Conditional Fomating'!K$1,products!$A$1:$D$1,0))</f>
        <v>D</v>
      </c>
      <c r="L923" t="str">
        <f t="shared" si="85"/>
        <v>Dark</v>
      </c>
      <c r="M923">
        <f>INDEX(products!$A$1:$I$49,MATCH('Conditional Fomating'!$D923,products!$A$1:$A$49,0),MATCH('Conditional Fomating'!M$1,products!$A$1:$D$1,0))</f>
        <v>0.2</v>
      </c>
      <c r="N923">
        <f>_xlfn.XLOOKUP(D923,products!$A$2:$A$49,products!$E$2:$E$49)</f>
        <v>3.8849999999999998</v>
      </c>
      <c r="O923">
        <f>_xlfn.XLOOKUP(D923,products!$A$2:$A$49,products!$H$2:$H$49)</f>
        <v>3.37995</v>
      </c>
      <c r="P923">
        <f t="shared" si="86"/>
        <v>7.77</v>
      </c>
      <c r="Q923">
        <f t="shared" si="87"/>
        <v>6.7599</v>
      </c>
      <c r="R923">
        <f t="shared" si="88"/>
        <v>1.0100999999999996</v>
      </c>
      <c r="S923" s="4">
        <f t="shared" si="89"/>
        <v>0.12999999999999995</v>
      </c>
      <c r="T923" t="str">
        <f>_xlfn.XLOOKUP(C923,customers!$A$1:$A$1001,customers!$I$1:$I$1001,,0)</f>
        <v>No</v>
      </c>
    </row>
    <row r="924" spans="1:20"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v>
      </c>
      <c r="H924" s="2" t="str">
        <f>_xlfn.XLOOKUP(C924,customers!$A$1:$A$1001,customers!$G$1:$G$1001,,0)</f>
        <v>United States</v>
      </c>
      <c r="I924" t="str">
        <f>INDEX(products!$A$1:$I$49,MATCH('Conditional Fomating'!$D924,products!$A$1:$A$49,0),MATCH('Conditional Fomating'!I$1,products!$A$1:$D$1,0))</f>
        <v>Ara</v>
      </c>
      <c r="J924" t="str">
        <f t="shared" si="84"/>
        <v>Arabica</v>
      </c>
      <c r="K924" t="str">
        <f>INDEX(products!$A$1:$I$49,MATCH('Conditional Fomating'!$D924,products!$A$1:$A$49,0),MATCH('Conditional Fomating'!K$1,products!$A$1:$D$1,0))</f>
        <v>M</v>
      </c>
      <c r="L924" t="str">
        <f t="shared" si="85"/>
        <v>Medium</v>
      </c>
      <c r="M924">
        <f>INDEX(products!$A$1:$I$49,MATCH('Conditional Fomating'!$D924,products!$A$1:$A$49,0),MATCH('Conditional Fomating'!M$1,products!$A$1:$D$1,0))</f>
        <v>1</v>
      </c>
      <c r="N924">
        <f>_xlfn.XLOOKUP(D924,products!$A$2:$A$49,products!$E$2:$E$49)</f>
        <v>11.25</v>
      </c>
      <c r="O924">
        <f>_xlfn.XLOOKUP(D924,products!$A$2:$A$49,products!$H$2:$H$49)</f>
        <v>10.237500000000001</v>
      </c>
      <c r="P924">
        <f t="shared" si="86"/>
        <v>67.5</v>
      </c>
      <c r="Q924">
        <f t="shared" si="87"/>
        <v>61.425000000000004</v>
      </c>
      <c r="R924">
        <f t="shared" si="88"/>
        <v>6.0749999999999957</v>
      </c>
      <c r="S924" s="4">
        <f t="shared" si="89"/>
        <v>8.9999999999999941E-2</v>
      </c>
      <c r="T924" t="str">
        <f>_xlfn.XLOOKUP(C924,customers!$A$1:$A$1001,customers!$I$1:$I$1001,,0)</f>
        <v>Yes</v>
      </c>
    </row>
    <row r="925" spans="1:20"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INDEX(products!$A$1:$I$49,MATCH('Conditional Fomating'!$D925,products!$A$1:$A$49,0),MATCH('Conditional Fomating'!I$1,products!$A$1:$D$1,0))</f>
        <v>Exc</v>
      </c>
      <c r="J925" t="str">
        <f t="shared" si="84"/>
        <v>Excelsa</v>
      </c>
      <c r="K925" t="str">
        <f>INDEX(products!$A$1:$I$49,MATCH('Conditional Fomating'!$D925,products!$A$1:$A$49,0),MATCH('Conditional Fomating'!K$1,products!$A$1:$D$1,0))</f>
        <v>D</v>
      </c>
      <c r="L925" t="str">
        <f t="shared" si="85"/>
        <v>Dark</v>
      </c>
      <c r="M925">
        <f>INDEX(products!$A$1:$I$49,MATCH('Conditional Fomating'!$D925,products!$A$1:$A$49,0),MATCH('Conditional Fomating'!M$1,products!$A$1:$D$1,0))</f>
        <v>2.5</v>
      </c>
      <c r="N925">
        <f>_xlfn.XLOOKUP(D925,products!$A$2:$A$49,products!$E$2:$E$49)</f>
        <v>27.945</v>
      </c>
      <c r="O925">
        <f>_xlfn.XLOOKUP(D925,products!$A$2:$A$49,products!$H$2:$H$49)</f>
        <v>24.87105</v>
      </c>
      <c r="P925">
        <f t="shared" si="86"/>
        <v>27.945</v>
      </c>
      <c r="Q925">
        <f t="shared" si="87"/>
        <v>24.87105</v>
      </c>
      <c r="R925">
        <f t="shared" si="88"/>
        <v>3.07395</v>
      </c>
      <c r="S925" s="4">
        <f t="shared" si="89"/>
        <v>0.11</v>
      </c>
      <c r="T925" t="str">
        <f>_xlfn.XLOOKUP(C925,customers!$A$1:$A$1001,customers!$I$1:$I$1001,,0)</f>
        <v>No</v>
      </c>
    </row>
    <row r="926" spans="1:20"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INDEX(products!$A$1:$I$49,MATCH('Conditional Fomating'!$D926,products!$A$1:$A$49,0),MATCH('Conditional Fomating'!I$1,products!$A$1:$D$1,0))</f>
        <v>Ara</v>
      </c>
      <c r="J926" t="str">
        <f t="shared" si="84"/>
        <v>Arabica</v>
      </c>
      <c r="K926" t="str">
        <f>INDEX(products!$A$1:$I$49,MATCH('Conditional Fomating'!$D926,products!$A$1:$A$49,0),MATCH('Conditional Fomating'!K$1,products!$A$1:$D$1,0))</f>
        <v>L</v>
      </c>
      <c r="L926" t="str">
        <f t="shared" si="85"/>
        <v>Light</v>
      </c>
      <c r="M926">
        <f>INDEX(products!$A$1:$I$49,MATCH('Conditional Fomating'!$D926,products!$A$1:$A$49,0),MATCH('Conditional Fomating'!M$1,products!$A$1:$D$1,0))</f>
        <v>2.5</v>
      </c>
      <c r="N926">
        <f>_xlfn.XLOOKUP(D926,products!$A$2:$A$49,products!$E$2:$E$49)</f>
        <v>29.784999999999997</v>
      </c>
      <c r="O926">
        <f>_xlfn.XLOOKUP(D926,products!$A$2:$A$49,products!$H$2:$H$49)</f>
        <v>27.104349999999997</v>
      </c>
      <c r="P926">
        <f t="shared" si="86"/>
        <v>89.35499999999999</v>
      </c>
      <c r="Q926">
        <f t="shared" si="87"/>
        <v>81.31304999999999</v>
      </c>
      <c r="R926">
        <f t="shared" si="88"/>
        <v>8.0419499999999999</v>
      </c>
      <c r="S926" s="4">
        <f t="shared" si="89"/>
        <v>9.0000000000000011E-2</v>
      </c>
      <c r="T926" t="str">
        <f>_xlfn.XLOOKUP(C926,customers!$A$1:$A$1001,customers!$I$1:$I$1001,,0)</f>
        <v>No</v>
      </c>
    </row>
    <row r="927" spans="1:20"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v>
      </c>
      <c r="H927" s="2" t="str">
        <f>_xlfn.XLOOKUP(C927,customers!$A$1:$A$1001,customers!$G$1:$G$1001,,0)</f>
        <v>United States</v>
      </c>
      <c r="I927" t="str">
        <f>INDEX(products!$A$1:$I$49,MATCH('Conditional Fomating'!$D927,products!$A$1:$A$49,0),MATCH('Conditional Fomating'!I$1,products!$A$1:$D$1,0))</f>
        <v>Ara</v>
      </c>
      <c r="J927" t="str">
        <f t="shared" si="84"/>
        <v>Arabica</v>
      </c>
      <c r="K927" t="str">
        <f>INDEX(products!$A$1:$I$49,MATCH('Conditional Fomating'!$D927,products!$A$1:$A$49,0),MATCH('Conditional Fomating'!K$1,products!$A$1:$D$1,0))</f>
        <v>M</v>
      </c>
      <c r="L927" t="str">
        <f t="shared" si="85"/>
        <v>Medium</v>
      </c>
      <c r="M927">
        <f>INDEX(products!$A$1:$I$49,MATCH('Conditional Fomating'!$D927,products!$A$1:$A$49,0),MATCH('Conditional Fomating'!M$1,products!$A$1:$D$1,0))</f>
        <v>0.5</v>
      </c>
      <c r="N927">
        <f>_xlfn.XLOOKUP(D927,products!$A$2:$A$49,products!$E$2:$E$49)</f>
        <v>6.75</v>
      </c>
      <c r="O927">
        <f>_xlfn.XLOOKUP(D927,products!$A$2:$A$49,products!$H$2:$H$49)</f>
        <v>6.1425000000000001</v>
      </c>
      <c r="P927">
        <f t="shared" si="86"/>
        <v>20.25</v>
      </c>
      <c r="Q927">
        <f t="shared" si="87"/>
        <v>18.427500000000002</v>
      </c>
      <c r="R927">
        <f t="shared" si="88"/>
        <v>1.822499999999998</v>
      </c>
      <c r="S927" s="4">
        <f t="shared" si="89"/>
        <v>8.99999999999999E-2</v>
      </c>
      <c r="T927" t="str">
        <f>_xlfn.XLOOKUP(C927,customers!$A$1:$A$1001,customers!$I$1:$I$1001,,0)</f>
        <v>No</v>
      </c>
    </row>
    <row r="928" spans="1:20"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INDEX(products!$A$1:$I$49,MATCH('Conditional Fomating'!$D928,products!$A$1:$A$49,0),MATCH('Conditional Fomating'!I$1,products!$A$1:$D$1,0))</f>
        <v>Ara</v>
      </c>
      <c r="J928" t="str">
        <f t="shared" si="84"/>
        <v>Arabica</v>
      </c>
      <c r="K928" t="str">
        <f>INDEX(products!$A$1:$I$49,MATCH('Conditional Fomating'!$D928,products!$A$1:$A$49,0),MATCH('Conditional Fomating'!K$1,products!$A$1:$D$1,0))</f>
        <v>M</v>
      </c>
      <c r="L928" t="str">
        <f t="shared" si="85"/>
        <v>Medium</v>
      </c>
      <c r="M928">
        <f>INDEX(products!$A$1:$I$49,MATCH('Conditional Fomating'!$D928,products!$A$1:$A$49,0),MATCH('Conditional Fomating'!M$1,products!$A$1:$D$1,0))</f>
        <v>0.5</v>
      </c>
      <c r="N928">
        <f>_xlfn.XLOOKUP(D928,products!$A$2:$A$49,products!$E$2:$E$49)</f>
        <v>6.75</v>
      </c>
      <c r="O928">
        <f>_xlfn.XLOOKUP(D928,products!$A$2:$A$49,products!$H$2:$H$49)</f>
        <v>6.1425000000000001</v>
      </c>
      <c r="P928">
        <f t="shared" si="86"/>
        <v>33.75</v>
      </c>
      <c r="Q928">
        <f t="shared" si="87"/>
        <v>30.712499999999999</v>
      </c>
      <c r="R928">
        <f t="shared" si="88"/>
        <v>3.0375000000000014</v>
      </c>
      <c r="S928" s="4">
        <f t="shared" si="89"/>
        <v>9.0000000000000038E-2</v>
      </c>
      <c r="T928" t="str">
        <f>_xlfn.XLOOKUP(C928,customers!$A$1:$A$1001,customers!$I$1:$I$1001,,0)</f>
        <v>Yes</v>
      </c>
    </row>
    <row r="929" spans="1:20"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INDEX(products!$A$1:$I$49,MATCH('Conditional Fomating'!$D929,products!$A$1:$A$49,0),MATCH('Conditional Fomating'!I$1,products!$A$1:$D$1,0))</f>
        <v>Exc</v>
      </c>
      <c r="J929" t="str">
        <f t="shared" si="84"/>
        <v>Excelsa</v>
      </c>
      <c r="K929" t="str">
        <f>INDEX(products!$A$1:$I$49,MATCH('Conditional Fomating'!$D929,products!$A$1:$A$49,0),MATCH('Conditional Fomating'!K$1,products!$A$1:$D$1,0))</f>
        <v>D</v>
      </c>
      <c r="L929" t="str">
        <f t="shared" si="85"/>
        <v>Dark</v>
      </c>
      <c r="M929">
        <f>INDEX(products!$A$1:$I$49,MATCH('Conditional Fomating'!$D929,products!$A$1:$A$49,0),MATCH('Conditional Fomating'!M$1,products!$A$1:$D$1,0))</f>
        <v>2.5</v>
      </c>
      <c r="N929">
        <f>_xlfn.XLOOKUP(D929,products!$A$2:$A$49,products!$E$2:$E$49)</f>
        <v>27.945</v>
      </c>
      <c r="O929">
        <f>_xlfn.XLOOKUP(D929,products!$A$2:$A$49,products!$H$2:$H$49)</f>
        <v>24.87105</v>
      </c>
      <c r="P929">
        <f t="shared" si="86"/>
        <v>111.78</v>
      </c>
      <c r="Q929">
        <f t="shared" si="87"/>
        <v>99.484200000000001</v>
      </c>
      <c r="R929">
        <f t="shared" si="88"/>
        <v>12.2958</v>
      </c>
      <c r="S929" s="4">
        <f t="shared" si="89"/>
        <v>0.11</v>
      </c>
      <c r="T929" t="str">
        <f>_xlfn.XLOOKUP(C929,customers!$A$1:$A$1001,customers!$I$1:$I$1001,,0)</f>
        <v>No</v>
      </c>
    </row>
    <row r="930" spans="1:20"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INDEX(products!$A$1:$I$49,MATCH('Conditional Fomating'!$D930,products!$A$1:$A$49,0),MATCH('Conditional Fomating'!I$1,products!$A$1:$D$1,0))</f>
        <v>Exc</v>
      </c>
      <c r="J930" t="str">
        <f t="shared" si="84"/>
        <v>Excelsa</v>
      </c>
      <c r="K930" t="str">
        <f>INDEX(products!$A$1:$I$49,MATCH('Conditional Fomating'!$D930,products!$A$1:$A$49,0),MATCH('Conditional Fomating'!K$1,products!$A$1:$D$1,0))</f>
        <v>M</v>
      </c>
      <c r="L930" t="str">
        <f t="shared" si="85"/>
        <v>Medium</v>
      </c>
      <c r="M930">
        <f>INDEX(products!$A$1:$I$49,MATCH('Conditional Fomating'!$D930,products!$A$1:$A$49,0),MATCH('Conditional Fomating'!M$1,products!$A$1:$D$1,0))</f>
        <v>2.5</v>
      </c>
      <c r="N930">
        <f>_xlfn.XLOOKUP(D930,products!$A$2:$A$49,products!$E$2:$E$49)</f>
        <v>31.624999999999996</v>
      </c>
      <c r="O930">
        <f>_xlfn.XLOOKUP(D930,products!$A$2:$A$49,products!$H$2:$H$49)</f>
        <v>28.146249999999995</v>
      </c>
      <c r="P930">
        <f t="shared" si="86"/>
        <v>63.249999999999993</v>
      </c>
      <c r="Q930">
        <f t="shared" si="87"/>
        <v>56.29249999999999</v>
      </c>
      <c r="R930">
        <f t="shared" si="88"/>
        <v>6.9575000000000031</v>
      </c>
      <c r="S930" s="4">
        <f t="shared" si="89"/>
        <v>0.11000000000000006</v>
      </c>
      <c r="T930" t="str">
        <f>_xlfn.XLOOKUP(C930,customers!$A$1:$A$1001,customers!$I$1:$I$1001,,0)</f>
        <v>Yes</v>
      </c>
    </row>
    <row r="931" spans="1:20"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INDEX(products!$A$1:$I$49,MATCH('Conditional Fomating'!$D931,products!$A$1:$A$49,0),MATCH('Conditional Fomating'!I$1,products!$A$1:$D$1,0))</f>
        <v>Exc</v>
      </c>
      <c r="J931" t="str">
        <f t="shared" si="84"/>
        <v>Excelsa</v>
      </c>
      <c r="K931" t="str">
        <f>INDEX(products!$A$1:$I$49,MATCH('Conditional Fomating'!$D931,products!$A$1:$A$49,0),MATCH('Conditional Fomating'!K$1,products!$A$1:$D$1,0))</f>
        <v>L</v>
      </c>
      <c r="L931" t="str">
        <f t="shared" si="85"/>
        <v>Light</v>
      </c>
      <c r="M931">
        <f>INDEX(products!$A$1:$I$49,MATCH('Conditional Fomating'!$D931,products!$A$1:$A$49,0),MATCH('Conditional Fomating'!M$1,products!$A$1:$D$1,0))</f>
        <v>0.2</v>
      </c>
      <c r="N931">
        <f>_xlfn.XLOOKUP(D931,products!$A$2:$A$49,products!$E$2:$E$49)</f>
        <v>4.4550000000000001</v>
      </c>
      <c r="O931">
        <f>_xlfn.XLOOKUP(D931,products!$A$2:$A$49,products!$H$2:$H$49)</f>
        <v>3.96495</v>
      </c>
      <c r="P931">
        <f t="shared" si="86"/>
        <v>8.91</v>
      </c>
      <c r="Q931">
        <f t="shared" si="87"/>
        <v>7.9298999999999999</v>
      </c>
      <c r="R931">
        <f t="shared" si="88"/>
        <v>0.98010000000000019</v>
      </c>
      <c r="S931" s="4">
        <f t="shared" si="89"/>
        <v>0.11000000000000001</v>
      </c>
      <c r="T931" t="str">
        <f>_xlfn.XLOOKUP(C931,customers!$A$1:$A$1001,customers!$I$1:$I$1001,,0)</f>
        <v>Yes</v>
      </c>
    </row>
    <row r="932" spans="1:20"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INDEX(products!$A$1:$I$49,MATCH('Conditional Fomating'!$D932,products!$A$1:$A$49,0),MATCH('Conditional Fomating'!I$1,products!$A$1:$D$1,0))</f>
        <v>Exc</v>
      </c>
      <c r="J932" t="str">
        <f t="shared" si="84"/>
        <v>Excelsa</v>
      </c>
      <c r="K932" t="str">
        <f>INDEX(products!$A$1:$I$49,MATCH('Conditional Fomating'!$D932,products!$A$1:$A$49,0),MATCH('Conditional Fomating'!K$1,products!$A$1:$D$1,0))</f>
        <v>D</v>
      </c>
      <c r="L932" t="str">
        <f t="shared" si="85"/>
        <v>Dark</v>
      </c>
      <c r="M932">
        <f>INDEX(products!$A$1:$I$49,MATCH('Conditional Fomating'!$D932,products!$A$1:$A$49,0),MATCH('Conditional Fomating'!M$1,products!$A$1:$D$1,0))</f>
        <v>1</v>
      </c>
      <c r="N932">
        <f>_xlfn.XLOOKUP(D932,products!$A$2:$A$49,products!$E$2:$E$49)</f>
        <v>12.15</v>
      </c>
      <c r="O932">
        <f>_xlfn.XLOOKUP(D932,products!$A$2:$A$49,products!$H$2:$H$49)</f>
        <v>10.813500000000001</v>
      </c>
      <c r="P932">
        <f t="shared" si="86"/>
        <v>12.15</v>
      </c>
      <c r="Q932">
        <f t="shared" si="87"/>
        <v>10.813500000000001</v>
      </c>
      <c r="R932">
        <f t="shared" si="88"/>
        <v>1.3364999999999991</v>
      </c>
      <c r="S932" s="4">
        <f t="shared" si="89"/>
        <v>0.10999999999999993</v>
      </c>
      <c r="T932" t="str">
        <f>_xlfn.XLOOKUP(C932,customers!$A$1:$A$1001,customers!$I$1:$I$1001,,0)</f>
        <v>Yes</v>
      </c>
    </row>
    <row r="933" spans="1:20"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v>
      </c>
      <c r="H933" s="2" t="str">
        <f>_xlfn.XLOOKUP(C933,customers!$A$1:$A$1001,customers!$G$1:$G$1001,,0)</f>
        <v>United States</v>
      </c>
      <c r="I933" t="str">
        <f>INDEX(products!$A$1:$I$49,MATCH('Conditional Fomating'!$D933,products!$A$1:$A$49,0),MATCH('Conditional Fomating'!I$1,products!$A$1:$D$1,0))</f>
        <v>Ara</v>
      </c>
      <c r="J933" t="str">
        <f t="shared" si="84"/>
        <v>Arabica</v>
      </c>
      <c r="K933" t="str">
        <f>INDEX(products!$A$1:$I$49,MATCH('Conditional Fomating'!$D933,products!$A$1:$A$49,0),MATCH('Conditional Fomating'!K$1,products!$A$1:$D$1,0))</f>
        <v>D</v>
      </c>
      <c r="L933" t="str">
        <f t="shared" si="85"/>
        <v>Dark</v>
      </c>
      <c r="M933">
        <f>INDEX(products!$A$1:$I$49,MATCH('Conditional Fomating'!$D933,products!$A$1:$A$49,0),MATCH('Conditional Fomating'!M$1,products!$A$1:$D$1,0))</f>
        <v>0.5</v>
      </c>
      <c r="N933">
        <f>_xlfn.XLOOKUP(D933,products!$A$2:$A$49,products!$E$2:$E$49)</f>
        <v>5.97</v>
      </c>
      <c r="O933">
        <f>_xlfn.XLOOKUP(D933,products!$A$2:$A$49,products!$H$2:$H$49)</f>
        <v>5.4326999999999996</v>
      </c>
      <c r="P933">
        <f t="shared" si="86"/>
        <v>23.88</v>
      </c>
      <c r="Q933">
        <f t="shared" si="87"/>
        <v>21.730799999999999</v>
      </c>
      <c r="R933">
        <f t="shared" si="88"/>
        <v>2.1492000000000004</v>
      </c>
      <c r="S933" s="4">
        <f t="shared" si="89"/>
        <v>9.0000000000000024E-2</v>
      </c>
      <c r="T933" t="str">
        <f>_xlfn.XLOOKUP(C933,customers!$A$1:$A$1001,customers!$I$1:$I$1001,,0)</f>
        <v>Yes</v>
      </c>
    </row>
    <row r="934" spans="1:20"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INDEX(products!$A$1:$I$49,MATCH('Conditional Fomating'!$D934,products!$A$1:$A$49,0),MATCH('Conditional Fomating'!I$1,products!$A$1:$D$1,0))</f>
        <v>Exc</v>
      </c>
      <c r="J934" t="str">
        <f t="shared" si="84"/>
        <v>Excelsa</v>
      </c>
      <c r="K934" t="str">
        <f>INDEX(products!$A$1:$I$49,MATCH('Conditional Fomating'!$D934,products!$A$1:$A$49,0),MATCH('Conditional Fomating'!K$1,products!$A$1:$D$1,0))</f>
        <v>M</v>
      </c>
      <c r="L934" t="str">
        <f t="shared" si="85"/>
        <v>Medium</v>
      </c>
      <c r="M934">
        <f>INDEX(products!$A$1:$I$49,MATCH('Conditional Fomating'!$D934,products!$A$1:$A$49,0),MATCH('Conditional Fomating'!M$1,products!$A$1:$D$1,0))</f>
        <v>1</v>
      </c>
      <c r="N934">
        <f>_xlfn.XLOOKUP(D934,products!$A$2:$A$49,products!$E$2:$E$49)</f>
        <v>13.75</v>
      </c>
      <c r="O934">
        <f>_xlfn.XLOOKUP(D934,products!$A$2:$A$49,products!$H$2:$H$49)</f>
        <v>12.237500000000001</v>
      </c>
      <c r="P934">
        <f t="shared" si="86"/>
        <v>55</v>
      </c>
      <c r="Q934">
        <f t="shared" si="87"/>
        <v>48.95</v>
      </c>
      <c r="R934">
        <f t="shared" si="88"/>
        <v>6.0499999999999972</v>
      </c>
      <c r="S934" s="4">
        <f t="shared" si="89"/>
        <v>0.10999999999999995</v>
      </c>
      <c r="T934" t="str">
        <f>_xlfn.XLOOKUP(C934,customers!$A$1:$A$1001,customers!$I$1:$I$1001,,0)</f>
        <v>No</v>
      </c>
    </row>
    <row r="935" spans="1:20"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v>
      </c>
      <c r="H935" s="2" t="str">
        <f>_xlfn.XLOOKUP(C935,customers!$A$1:$A$1001,customers!$G$1:$G$1001,,0)</f>
        <v>United States</v>
      </c>
      <c r="I935" t="str">
        <f>INDEX(products!$A$1:$I$49,MATCH('Conditional Fomating'!$D935,products!$A$1:$A$49,0),MATCH('Conditional Fomating'!I$1,products!$A$1:$D$1,0))</f>
        <v>Rob</v>
      </c>
      <c r="J935" t="str">
        <f t="shared" si="84"/>
        <v>Robusta</v>
      </c>
      <c r="K935" t="str">
        <f>INDEX(products!$A$1:$I$49,MATCH('Conditional Fomating'!$D935,products!$A$1:$A$49,0),MATCH('Conditional Fomating'!K$1,products!$A$1:$D$1,0))</f>
        <v>D</v>
      </c>
      <c r="L935" t="str">
        <f t="shared" si="85"/>
        <v>Dark</v>
      </c>
      <c r="M935">
        <f>INDEX(products!$A$1:$I$49,MATCH('Conditional Fomating'!$D935,products!$A$1:$A$49,0),MATCH('Conditional Fomating'!M$1,products!$A$1:$D$1,0))</f>
        <v>1</v>
      </c>
      <c r="N935">
        <f>_xlfn.XLOOKUP(D935,products!$A$2:$A$49,products!$E$2:$E$49)</f>
        <v>8.9499999999999993</v>
      </c>
      <c r="O935">
        <f>_xlfn.XLOOKUP(D935,products!$A$2:$A$49,products!$H$2:$H$49)</f>
        <v>8.4130000000000003</v>
      </c>
      <c r="P935">
        <f t="shared" si="86"/>
        <v>26.849999999999998</v>
      </c>
      <c r="Q935">
        <f t="shared" si="87"/>
        <v>25.239000000000001</v>
      </c>
      <c r="R935">
        <f t="shared" si="88"/>
        <v>1.6109999999999971</v>
      </c>
      <c r="S935" s="4">
        <f t="shared" si="89"/>
        <v>5.9999999999999894E-2</v>
      </c>
      <c r="T935" t="str">
        <f>_xlfn.XLOOKUP(C935,customers!$A$1:$A$1001,customers!$I$1:$I$1001,,0)</f>
        <v>Yes</v>
      </c>
    </row>
    <row r="936" spans="1:20"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INDEX(products!$A$1:$I$49,MATCH('Conditional Fomating'!$D936,products!$A$1:$A$49,0),MATCH('Conditional Fomating'!I$1,products!$A$1:$D$1,0))</f>
        <v>Rob</v>
      </c>
      <c r="J936" t="str">
        <f t="shared" si="84"/>
        <v>Robusta</v>
      </c>
      <c r="K936" t="str">
        <f>INDEX(products!$A$1:$I$49,MATCH('Conditional Fomating'!$D936,products!$A$1:$A$49,0),MATCH('Conditional Fomating'!K$1,products!$A$1:$D$1,0))</f>
        <v>M</v>
      </c>
      <c r="L936" t="str">
        <f t="shared" si="85"/>
        <v>Medium</v>
      </c>
      <c r="M936">
        <f>INDEX(products!$A$1:$I$49,MATCH('Conditional Fomating'!$D936,products!$A$1:$A$49,0),MATCH('Conditional Fomating'!M$1,products!$A$1:$D$1,0))</f>
        <v>2.5</v>
      </c>
      <c r="N936">
        <f>_xlfn.XLOOKUP(D936,products!$A$2:$A$49,products!$E$2:$E$49)</f>
        <v>22.884999999999998</v>
      </c>
      <c r="O936">
        <f>_xlfn.XLOOKUP(D936,products!$A$2:$A$49,products!$H$2:$H$49)</f>
        <v>21.511899999999997</v>
      </c>
      <c r="P936">
        <f t="shared" si="86"/>
        <v>114.42499999999998</v>
      </c>
      <c r="Q936">
        <f t="shared" si="87"/>
        <v>107.55949999999999</v>
      </c>
      <c r="R936">
        <f t="shared" si="88"/>
        <v>6.8654999999999973</v>
      </c>
      <c r="S936" s="4">
        <f t="shared" si="89"/>
        <v>5.9999999999999984E-2</v>
      </c>
      <c r="T936" t="str">
        <f>_xlfn.XLOOKUP(C936,customers!$A$1:$A$1001,customers!$I$1:$I$1001,,0)</f>
        <v>No</v>
      </c>
    </row>
    <row r="937" spans="1:20"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INDEX(products!$A$1:$I$49,MATCH('Conditional Fomating'!$D937,products!$A$1:$A$49,0),MATCH('Conditional Fomating'!I$1,products!$A$1:$D$1,0))</f>
        <v>Ara</v>
      </c>
      <c r="J937" t="str">
        <f t="shared" si="84"/>
        <v>Arabica</v>
      </c>
      <c r="K937" t="str">
        <f>INDEX(products!$A$1:$I$49,MATCH('Conditional Fomating'!$D937,products!$A$1:$A$49,0),MATCH('Conditional Fomating'!K$1,products!$A$1:$D$1,0))</f>
        <v>M</v>
      </c>
      <c r="L937" t="str">
        <f t="shared" si="85"/>
        <v>Medium</v>
      </c>
      <c r="M937">
        <f>INDEX(products!$A$1:$I$49,MATCH('Conditional Fomating'!$D937,products!$A$1:$A$49,0),MATCH('Conditional Fomating'!M$1,products!$A$1:$D$1,0))</f>
        <v>2.5</v>
      </c>
      <c r="N937">
        <f>_xlfn.XLOOKUP(D937,products!$A$2:$A$49,products!$E$2:$E$49)</f>
        <v>25.874999999999996</v>
      </c>
      <c r="O937">
        <f>_xlfn.XLOOKUP(D937,products!$A$2:$A$49,products!$H$2:$H$49)</f>
        <v>23.546249999999997</v>
      </c>
      <c r="P937">
        <f t="shared" si="86"/>
        <v>155.24999999999997</v>
      </c>
      <c r="Q937">
        <f t="shared" si="87"/>
        <v>141.27749999999997</v>
      </c>
      <c r="R937">
        <f t="shared" si="88"/>
        <v>13.972499999999997</v>
      </c>
      <c r="S937" s="4">
        <f t="shared" si="89"/>
        <v>0.09</v>
      </c>
      <c r="T937" t="str">
        <f>_xlfn.XLOOKUP(C937,customers!$A$1:$A$1001,customers!$I$1:$I$1001,,0)</f>
        <v>Yes</v>
      </c>
    </row>
    <row r="938" spans="1:20"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INDEX(products!$A$1:$I$49,MATCH('Conditional Fomating'!$D938,products!$A$1:$A$49,0),MATCH('Conditional Fomating'!I$1,products!$A$1:$D$1,0))</f>
        <v>Lib</v>
      </c>
      <c r="J938" t="str">
        <f t="shared" si="84"/>
        <v>Liberica</v>
      </c>
      <c r="K938" t="str">
        <f>INDEX(products!$A$1:$I$49,MATCH('Conditional Fomating'!$D938,products!$A$1:$A$49,0),MATCH('Conditional Fomating'!K$1,products!$A$1:$D$1,0))</f>
        <v>D</v>
      </c>
      <c r="L938" t="str">
        <f t="shared" si="85"/>
        <v>Dark</v>
      </c>
      <c r="M938">
        <f>INDEX(products!$A$1:$I$49,MATCH('Conditional Fomating'!$D938,products!$A$1:$A$49,0),MATCH('Conditional Fomating'!M$1,products!$A$1:$D$1,0))</f>
        <v>0.5</v>
      </c>
      <c r="N938">
        <f>_xlfn.XLOOKUP(D938,products!$A$2:$A$49,products!$E$2:$E$49)</f>
        <v>7.77</v>
      </c>
      <c r="O938">
        <f>_xlfn.XLOOKUP(D938,products!$A$2:$A$49,products!$H$2:$H$49)</f>
        <v>6.7599</v>
      </c>
      <c r="P938">
        <f t="shared" si="86"/>
        <v>23.31</v>
      </c>
      <c r="Q938">
        <f t="shared" si="87"/>
        <v>20.279699999999998</v>
      </c>
      <c r="R938">
        <f t="shared" si="88"/>
        <v>3.0303000000000004</v>
      </c>
      <c r="S938" s="4">
        <f t="shared" si="89"/>
        <v>0.13000000000000003</v>
      </c>
      <c r="T938" t="str">
        <f>_xlfn.XLOOKUP(C938,customers!$A$1:$A$1001,customers!$I$1:$I$1001,,0)</f>
        <v>Yes</v>
      </c>
    </row>
    <row r="939" spans="1:20"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INDEX(products!$A$1:$I$49,MATCH('Conditional Fomating'!$D939,products!$A$1:$A$49,0),MATCH('Conditional Fomating'!I$1,products!$A$1:$D$1,0))</f>
        <v>Rob</v>
      </c>
      <c r="J939" t="str">
        <f t="shared" si="84"/>
        <v>Robusta</v>
      </c>
      <c r="K939" t="str">
        <f>INDEX(products!$A$1:$I$49,MATCH('Conditional Fomating'!$D939,products!$A$1:$A$49,0),MATCH('Conditional Fomating'!K$1,products!$A$1:$D$1,0))</f>
        <v>M</v>
      </c>
      <c r="L939" t="str">
        <f t="shared" si="85"/>
        <v>Medium</v>
      </c>
      <c r="M939">
        <f>INDEX(products!$A$1:$I$49,MATCH('Conditional Fomating'!$D939,products!$A$1:$A$49,0),MATCH('Conditional Fomating'!M$1,products!$A$1:$D$1,0))</f>
        <v>2.5</v>
      </c>
      <c r="N939">
        <f>_xlfn.XLOOKUP(D939,products!$A$2:$A$49,products!$E$2:$E$49)</f>
        <v>22.884999999999998</v>
      </c>
      <c r="O939">
        <f>_xlfn.XLOOKUP(D939,products!$A$2:$A$49,products!$H$2:$H$49)</f>
        <v>21.511899999999997</v>
      </c>
      <c r="P939">
        <f t="shared" si="86"/>
        <v>91.539999999999992</v>
      </c>
      <c r="Q939">
        <f t="shared" si="87"/>
        <v>86.047599999999989</v>
      </c>
      <c r="R939">
        <f t="shared" si="88"/>
        <v>5.4924000000000035</v>
      </c>
      <c r="S939" s="4">
        <f t="shared" si="89"/>
        <v>6.0000000000000046E-2</v>
      </c>
      <c r="T939" t="str">
        <f>_xlfn.XLOOKUP(C939,customers!$A$1:$A$1001,customers!$I$1:$I$1001,,0)</f>
        <v>Yes</v>
      </c>
    </row>
    <row r="940" spans="1:20"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INDEX(products!$A$1:$I$49,MATCH('Conditional Fomating'!$D940,products!$A$1:$A$49,0),MATCH('Conditional Fomating'!I$1,products!$A$1:$D$1,0))</f>
        <v>Exc</v>
      </c>
      <c r="J940" t="str">
        <f t="shared" si="84"/>
        <v>Excelsa</v>
      </c>
      <c r="K940" t="str">
        <f>INDEX(products!$A$1:$I$49,MATCH('Conditional Fomating'!$D940,products!$A$1:$A$49,0),MATCH('Conditional Fomating'!K$1,products!$A$1:$D$1,0))</f>
        <v>L</v>
      </c>
      <c r="L940" t="str">
        <f t="shared" si="85"/>
        <v>Light</v>
      </c>
      <c r="M940">
        <f>INDEX(products!$A$1:$I$49,MATCH('Conditional Fomating'!$D940,products!$A$1:$A$49,0),MATCH('Conditional Fomating'!M$1,products!$A$1:$D$1,0))</f>
        <v>1</v>
      </c>
      <c r="N940">
        <f>_xlfn.XLOOKUP(D940,products!$A$2:$A$49,products!$E$2:$E$49)</f>
        <v>14.85</v>
      </c>
      <c r="O940">
        <f>_xlfn.XLOOKUP(D940,products!$A$2:$A$49,products!$H$2:$H$49)</f>
        <v>13.2165</v>
      </c>
      <c r="P940">
        <f t="shared" si="86"/>
        <v>74.25</v>
      </c>
      <c r="Q940">
        <f t="shared" si="87"/>
        <v>66.082499999999996</v>
      </c>
      <c r="R940">
        <f t="shared" si="88"/>
        <v>8.167500000000004</v>
      </c>
      <c r="S940" s="4">
        <f t="shared" si="89"/>
        <v>0.11000000000000006</v>
      </c>
      <c r="T940" t="str">
        <f>_xlfn.XLOOKUP(C940,customers!$A$1:$A$1001,customers!$I$1:$I$1001,,0)</f>
        <v>Yes</v>
      </c>
    </row>
    <row r="941" spans="1:20"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INDEX(products!$A$1:$I$49,MATCH('Conditional Fomating'!$D941,products!$A$1:$A$49,0),MATCH('Conditional Fomating'!I$1,products!$A$1:$D$1,0))</f>
        <v>Lib</v>
      </c>
      <c r="J941" t="str">
        <f t="shared" si="84"/>
        <v>Liberica</v>
      </c>
      <c r="K941" t="str">
        <f>INDEX(products!$A$1:$I$49,MATCH('Conditional Fomating'!$D941,products!$A$1:$A$49,0),MATCH('Conditional Fomating'!K$1,products!$A$1:$D$1,0))</f>
        <v>L</v>
      </c>
      <c r="L941" t="str">
        <f t="shared" si="85"/>
        <v>Light</v>
      </c>
      <c r="M941">
        <f>INDEX(products!$A$1:$I$49,MATCH('Conditional Fomating'!$D941,products!$A$1:$A$49,0),MATCH('Conditional Fomating'!M$1,products!$A$1:$D$1,0))</f>
        <v>0.2</v>
      </c>
      <c r="N941">
        <f>_xlfn.XLOOKUP(D941,products!$A$2:$A$49,products!$E$2:$E$49)</f>
        <v>4.7549999999999999</v>
      </c>
      <c r="O941">
        <f>_xlfn.XLOOKUP(D941,products!$A$2:$A$49,products!$H$2:$H$49)</f>
        <v>4.1368499999999999</v>
      </c>
      <c r="P941">
        <f t="shared" si="86"/>
        <v>28.53</v>
      </c>
      <c r="Q941">
        <f t="shared" si="87"/>
        <v>24.821100000000001</v>
      </c>
      <c r="R941">
        <f t="shared" si="88"/>
        <v>3.7088999999999999</v>
      </c>
      <c r="S941" s="4">
        <f t="shared" si="89"/>
        <v>0.12999999999999998</v>
      </c>
      <c r="T941" t="str">
        <f>_xlfn.XLOOKUP(C941,customers!$A$1:$A$1001,customers!$I$1:$I$1001,,0)</f>
        <v>No</v>
      </c>
    </row>
    <row r="942" spans="1:20"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INDEX(products!$A$1:$I$49,MATCH('Conditional Fomating'!$D942,products!$A$1:$A$49,0),MATCH('Conditional Fomating'!I$1,products!$A$1:$D$1,0))</f>
        <v>Rob</v>
      </c>
      <c r="J942" t="str">
        <f t="shared" si="84"/>
        <v>Robusta</v>
      </c>
      <c r="K942" t="str">
        <f>INDEX(products!$A$1:$I$49,MATCH('Conditional Fomating'!$D942,products!$A$1:$A$49,0),MATCH('Conditional Fomating'!K$1,products!$A$1:$D$1,0))</f>
        <v>L</v>
      </c>
      <c r="L942" t="str">
        <f t="shared" si="85"/>
        <v>Light</v>
      </c>
      <c r="M942">
        <f>INDEX(products!$A$1:$I$49,MATCH('Conditional Fomating'!$D942,products!$A$1:$A$49,0),MATCH('Conditional Fomating'!M$1,products!$A$1:$D$1,0))</f>
        <v>0.5</v>
      </c>
      <c r="N942">
        <f>_xlfn.XLOOKUP(D942,products!$A$2:$A$49,products!$E$2:$E$49)</f>
        <v>7.169999999999999</v>
      </c>
      <c r="O942">
        <f>_xlfn.XLOOKUP(D942,products!$A$2:$A$49,products!$H$2:$H$49)</f>
        <v>6.7397999999999989</v>
      </c>
      <c r="P942">
        <f t="shared" si="86"/>
        <v>14.339999999999998</v>
      </c>
      <c r="Q942">
        <f t="shared" si="87"/>
        <v>13.479599999999998</v>
      </c>
      <c r="R942">
        <f t="shared" si="88"/>
        <v>0.86040000000000028</v>
      </c>
      <c r="S942" s="4">
        <f t="shared" si="89"/>
        <v>6.0000000000000026E-2</v>
      </c>
      <c r="T942" t="str">
        <f>_xlfn.XLOOKUP(C942,customers!$A$1:$A$1001,customers!$I$1:$I$1001,,0)</f>
        <v>Yes</v>
      </c>
    </row>
    <row r="943" spans="1:20"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INDEX(products!$A$1:$I$49,MATCH('Conditional Fomating'!$D943,products!$A$1:$A$49,0),MATCH('Conditional Fomating'!I$1,products!$A$1:$D$1,0))</f>
        <v>Ara</v>
      </c>
      <c r="J943" t="str">
        <f t="shared" si="84"/>
        <v>Arabica</v>
      </c>
      <c r="K943" t="str">
        <f>INDEX(products!$A$1:$I$49,MATCH('Conditional Fomating'!$D943,products!$A$1:$A$49,0),MATCH('Conditional Fomating'!K$1,products!$A$1:$D$1,0))</f>
        <v>L</v>
      </c>
      <c r="L943" t="str">
        <f t="shared" si="85"/>
        <v>Light</v>
      </c>
      <c r="M943">
        <f>INDEX(products!$A$1:$I$49,MATCH('Conditional Fomating'!$D943,products!$A$1:$A$49,0),MATCH('Conditional Fomating'!M$1,products!$A$1:$D$1,0))</f>
        <v>0.5</v>
      </c>
      <c r="N943">
        <f>_xlfn.XLOOKUP(D943,products!$A$2:$A$49,products!$E$2:$E$49)</f>
        <v>7.77</v>
      </c>
      <c r="O943">
        <f>_xlfn.XLOOKUP(D943,products!$A$2:$A$49,products!$H$2:$H$49)</f>
        <v>7.0706999999999995</v>
      </c>
      <c r="P943">
        <f t="shared" si="86"/>
        <v>15.54</v>
      </c>
      <c r="Q943">
        <f t="shared" si="87"/>
        <v>14.141399999999999</v>
      </c>
      <c r="R943">
        <f t="shared" si="88"/>
        <v>1.3986000000000001</v>
      </c>
      <c r="S943" s="4">
        <f t="shared" si="89"/>
        <v>9.0000000000000011E-2</v>
      </c>
      <c r="T943" t="str">
        <f>_xlfn.XLOOKUP(C943,customers!$A$1:$A$1001,customers!$I$1:$I$1001,,0)</f>
        <v>Yes</v>
      </c>
    </row>
    <row r="944" spans="1:20"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INDEX(products!$A$1:$I$49,MATCH('Conditional Fomating'!$D944,products!$A$1:$A$49,0),MATCH('Conditional Fomating'!I$1,products!$A$1:$D$1,0))</f>
        <v>Rob</v>
      </c>
      <c r="J944" t="str">
        <f t="shared" si="84"/>
        <v>Robusta</v>
      </c>
      <c r="K944" t="str">
        <f>INDEX(products!$A$1:$I$49,MATCH('Conditional Fomating'!$D944,products!$A$1:$A$49,0),MATCH('Conditional Fomating'!K$1,products!$A$1:$D$1,0))</f>
        <v>L</v>
      </c>
      <c r="L944" t="str">
        <f t="shared" si="85"/>
        <v>Light</v>
      </c>
      <c r="M944">
        <f>INDEX(products!$A$1:$I$49,MATCH('Conditional Fomating'!$D944,products!$A$1:$A$49,0),MATCH('Conditional Fomating'!M$1,products!$A$1:$D$1,0))</f>
        <v>1</v>
      </c>
      <c r="N944">
        <f>_xlfn.XLOOKUP(D944,products!$A$2:$A$49,products!$E$2:$E$49)</f>
        <v>11.95</v>
      </c>
      <c r="O944">
        <f>_xlfn.XLOOKUP(D944,products!$A$2:$A$49,products!$H$2:$H$49)</f>
        <v>11.232999999999999</v>
      </c>
      <c r="P944">
        <f t="shared" si="86"/>
        <v>35.849999999999994</v>
      </c>
      <c r="Q944">
        <f t="shared" si="87"/>
        <v>33.698999999999998</v>
      </c>
      <c r="R944">
        <f t="shared" si="88"/>
        <v>2.1509999999999962</v>
      </c>
      <c r="S944" s="4">
        <f t="shared" si="89"/>
        <v>5.9999999999999908E-2</v>
      </c>
      <c r="T944" t="str">
        <f>_xlfn.XLOOKUP(C944,customers!$A$1:$A$1001,customers!$I$1:$I$1001,,0)</f>
        <v>No</v>
      </c>
    </row>
    <row r="945" spans="1:20"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INDEX(products!$A$1:$I$49,MATCH('Conditional Fomating'!$D945,products!$A$1:$A$49,0),MATCH('Conditional Fomating'!I$1,products!$A$1:$D$1,0))</f>
        <v>Ara</v>
      </c>
      <c r="J945" t="str">
        <f t="shared" si="84"/>
        <v>Arabica</v>
      </c>
      <c r="K945" t="str">
        <f>INDEX(products!$A$1:$I$49,MATCH('Conditional Fomating'!$D945,products!$A$1:$A$49,0),MATCH('Conditional Fomating'!K$1,products!$A$1:$D$1,0))</f>
        <v>L</v>
      </c>
      <c r="L945" t="str">
        <f t="shared" si="85"/>
        <v>Light</v>
      </c>
      <c r="M945">
        <f>INDEX(products!$A$1:$I$49,MATCH('Conditional Fomating'!$D945,products!$A$1:$A$49,0),MATCH('Conditional Fomating'!M$1,products!$A$1:$D$1,0))</f>
        <v>0.5</v>
      </c>
      <c r="N945">
        <f>_xlfn.XLOOKUP(D945,products!$A$2:$A$49,products!$E$2:$E$49)</f>
        <v>7.77</v>
      </c>
      <c r="O945">
        <f>_xlfn.XLOOKUP(D945,products!$A$2:$A$49,products!$H$2:$H$49)</f>
        <v>7.0706999999999995</v>
      </c>
      <c r="P945">
        <f t="shared" si="86"/>
        <v>46.62</v>
      </c>
      <c r="Q945">
        <f t="shared" si="87"/>
        <v>42.424199999999999</v>
      </c>
      <c r="R945">
        <f t="shared" si="88"/>
        <v>4.1957999999999984</v>
      </c>
      <c r="S945" s="4">
        <f t="shared" si="89"/>
        <v>8.9999999999999969E-2</v>
      </c>
      <c r="T945" t="str">
        <f>_xlfn.XLOOKUP(C945,customers!$A$1:$A$1001,customers!$I$1:$I$1001,,0)</f>
        <v>No</v>
      </c>
    </row>
    <row r="946" spans="1:20"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INDEX(products!$A$1:$I$49,MATCH('Conditional Fomating'!$D946,products!$A$1:$A$49,0),MATCH('Conditional Fomating'!I$1,products!$A$1:$D$1,0))</f>
        <v>Rob</v>
      </c>
      <c r="J946" t="str">
        <f t="shared" si="84"/>
        <v>Robusta</v>
      </c>
      <c r="K946" t="str">
        <f>INDEX(products!$A$1:$I$49,MATCH('Conditional Fomating'!$D946,products!$A$1:$A$49,0),MATCH('Conditional Fomating'!K$1,products!$A$1:$D$1,0))</f>
        <v>L</v>
      </c>
      <c r="L946" t="str">
        <f t="shared" si="85"/>
        <v>Light</v>
      </c>
      <c r="M946">
        <f>INDEX(products!$A$1:$I$49,MATCH('Conditional Fomating'!$D946,products!$A$1:$A$49,0),MATCH('Conditional Fomating'!M$1,products!$A$1:$D$1,0))</f>
        <v>0.5</v>
      </c>
      <c r="N946">
        <f>_xlfn.XLOOKUP(D946,products!$A$2:$A$49,products!$E$2:$E$49)</f>
        <v>7.169999999999999</v>
      </c>
      <c r="O946">
        <f>_xlfn.XLOOKUP(D946,products!$A$2:$A$49,products!$H$2:$H$49)</f>
        <v>6.7397999999999989</v>
      </c>
      <c r="P946">
        <f t="shared" si="86"/>
        <v>35.849999999999994</v>
      </c>
      <c r="Q946">
        <f t="shared" si="87"/>
        <v>33.698999999999998</v>
      </c>
      <c r="R946">
        <f t="shared" si="88"/>
        <v>2.1509999999999962</v>
      </c>
      <c r="S946" s="4">
        <f t="shared" si="89"/>
        <v>5.9999999999999908E-2</v>
      </c>
      <c r="T946" t="str">
        <f>_xlfn.XLOOKUP(C946,customers!$A$1:$A$1001,customers!$I$1:$I$1001,,0)</f>
        <v>No</v>
      </c>
    </row>
    <row r="947" spans="1:20"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v>
      </c>
      <c r="H947" s="2" t="str">
        <f>_xlfn.XLOOKUP(C947,customers!$A$1:$A$1001,customers!$G$1:$G$1001,,0)</f>
        <v>United States</v>
      </c>
      <c r="I947" t="str">
        <f>INDEX(products!$A$1:$I$49,MATCH('Conditional Fomating'!$D947,products!$A$1:$A$49,0),MATCH('Conditional Fomating'!I$1,products!$A$1:$D$1,0))</f>
        <v>Lib</v>
      </c>
      <c r="J947" t="str">
        <f t="shared" si="84"/>
        <v>Liberica</v>
      </c>
      <c r="K947" t="str">
        <f>INDEX(products!$A$1:$I$49,MATCH('Conditional Fomating'!$D947,products!$A$1:$A$49,0),MATCH('Conditional Fomating'!K$1,products!$A$1:$D$1,0))</f>
        <v>D</v>
      </c>
      <c r="L947" t="str">
        <f t="shared" si="85"/>
        <v>Dark</v>
      </c>
      <c r="M947">
        <f>INDEX(products!$A$1:$I$49,MATCH('Conditional Fomating'!$D947,products!$A$1:$A$49,0),MATCH('Conditional Fomating'!M$1,products!$A$1:$D$1,0))</f>
        <v>2.5</v>
      </c>
      <c r="N947">
        <f>_xlfn.XLOOKUP(D947,products!$A$2:$A$49,products!$E$2:$E$49)</f>
        <v>29.784999999999997</v>
      </c>
      <c r="O947">
        <f>_xlfn.XLOOKUP(D947,products!$A$2:$A$49,products!$H$2:$H$49)</f>
        <v>25.912949999999995</v>
      </c>
      <c r="P947">
        <f t="shared" si="86"/>
        <v>119.13999999999999</v>
      </c>
      <c r="Q947">
        <f t="shared" si="87"/>
        <v>103.65179999999998</v>
      </c>
      <c r="R947">
        <f t="shared" si="88"/>
        <v>15.488200000000006</v>
      </c>
      <c r="S947" s="4">
        <f t="shared" si="89"/>
        <v>0.13000000000000006</v>
      </c>
      <c r="T947" t="str">
        <f>_xlfn.XLOOKUP(C947,customers!$A$1:$A$1001,customers!$I$1:$I$1001,,0)</f>
        <v>No</v>
      </c>
    </row>
    <row r="948" spans="1:20"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v>
      </c>
      <c r="H948" s="2" t="str">
        <f>_xlfn.XLOOKUP(C948,customers!$A$1:$A$1001,customers!$G$1:$G$1001,,0)</f>
        <v>United States</v>
      </c>
      <c r="I948" t="str">
        <f>INDEX(products!$A$1:$I$49,MATCH('Conditional Fomating'!$D948,products!$A$1:$A$49,0),MATCH('Conditional Fomating'!I$1,products!$A$1:$D$1,0))</f>
        <v>Lib</v>
      </c>
      <c r="J948" t="str">
        <f t="shared" si="84"/>
        <v>Liberica</v>
      </c>
      <c r="K948" t="str">
        <f>INDEX(products!$A$1:$I$49,MATCH('Conditional Fomating'!$D948,products!$A$1:$A$49,0),MATCH('Conditional Fomating'!K$1,products!$A$1:$D$1,0))</f>
        <v>D</v>
      </c>
      <c r="L948" t="str">
        <f t="shared" si="85"/>
        <v>Dark</v>
      </c>
      <c r="M948">
        <f>INDEX(products!$A$1:$I$49,MATCH('Conditional Fomating'!$D948,products!$A$1:$A$49,0),MATCH('Conditional Fomating'!M$1,products!$A$1:$D$1,0))</f>
        <v>0.5</v>
      </c>
      <c r="N948">
        <f>_xlfn.XLOOKUP(D948,products!$A$2:$A$49,products!$E$2:$E$49)</f>
        <v>7.77</v>
      </c>
      <c r="O948">
        <f>_xlfn.XLOOKUP(D948,products!$A$2:$A$49,products!$H$2:$H$49)</f>
        <v>6.7599</v>
      </c>
      <c r="P948">
        <f t="shared" si="86"/>
        <v>23.31</v>
      </c>
      <c r="Q948">
        <f t="shared" si="87"/>
        <v>20.279699999999998</v>
      </c>
      <c r="R948">
        <f t="shared" si="88"/>
        <v>3.0303000000000004</v>
      </c>
      <c r="S948" s="4">
        <f t="shared" si="89"/>
        <v>0.13000000000000003</v>
      </c>
      <c r="T948" t="str">
        <f>_xlfn.XLOOKUP(C948,customers!$A$1:$A$1001,customers!$I$1:$I$1001,,0)</f>
        <v>No</v>
      </c>
    </row>
    <row r="949" spans="1:20"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INDEX(products!$A$1:$I$49,MATCH('Conditional Fomating'!$D949,products!$A$1:$A$49,0),MATCH('Conditional Fomating'!I$1,products!$A$1:$D$1,0))</f>
        <v>Ara</v>
      </c>
      <c r="J949" t="str">
        <f t="shared" si="84"/>
        <v>Arabica</v>
      </c>
      <c r="K949" t="str">
        <f>INDEX(products!$A$1:$I$49,MATCH('Conditional Fomating'!$D949,products!$A$1:$A$49,0),MATCH('Conditional Fomating'!K$1,products!$A$1:$D$1,0))</f>
        <v>M</v>
      </c>
      <c r="L949" t="str">
        <f t="shared" si="85"/>
        <v>Medium</v>
      </c>
      <c r="M949">
        <f>INDEX(products!$A$1:$I$49,MATCH('Conditional Fomating'!$D949,products!$A$1:$A$49,0),MATCH('Conditional Fomating'!M$1,products!$A$1:$D$1,0))</f>
        <v>1</v>
      </c>
      <c r="N949">
        <f>_xlfn.XLOOKUP(D949,products!$A$2:$A$49,products!$E$2:$E$49)</f>
        <v>11.25</v>
      </c>
      <c r="O949">
        <f>_xlfn.XLOOKUP(D949,products!$A$2:$A$49,products!$H$2:$H$49)</f>
        <v>10.237500000000001</v>
      </c>
      <c r="P949">
        <f t="shared" si="86"/>
        <v>11.25</v>
      </c>
      <c r="Q949">
        <f t="shared" si="87"/>
        <v>10.237500000000001</v>
      </c>
      <c r="R949">
        <f t="shared" si="88"/>
        <v>1.0124999999999993</v>
      </c>
      <c r="S949" s="4">
        <f t="shared" si="89"/>
        <v>8.9999999999999941E-2</v>
      </c>
      <c r="T949" t="str">
        <f>_xlfn.XLOOKUP(C949,customers!$A$1:$A$1001,customers!$I$1:$I$1001,,0)</f>
        <v>No</v>
      </c>
    </row>
    <row r="950" spans="1:20"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INDEX(products!$A$1:$I$49,MATCH('Conditional Fomating'!$D950,products!$A$1:$A$49,0),MATCH('Conditional Fomating'!I$1,products!$A$1:$D$1,0))</f>
        <v>Exc</v>
      </c>
      <c r="J950" t="str">
        <f t="shared" si="84"/>
        <v>Excelsa</v>
      </c>
      <c r="K950" t="str">
        <f>INDEX(products!$A$1:$I$49,MATCH('Conditional Fomating'!$D950,products!$A$1:$A$49,0),MATCH('Conditional Fomating'!K$1,products!$A$1:$D$1,0))</f>
        <v>D</v>
      </c>
      <c r="L950" t="str">
        <f t="shared" si="85"/>
        <v>Dark</v>
      </c>
      <c r="M950">
        <f>INDEX(products!$A$1:$I$49,MATCH('Conditional Fomating'!$D950,products!$A$1:$A$49,0),MATCH('Conditional Fomating'!M$1,products!$A$1:$D$1,0))</f>
        <v>2.5</v>
      </c>
      <c r="N950">
        <f>_xlfn.XLOOKUP(D950,products!$A$2:$A$49,products!$E$2:$E$49)</f>
        <v>27.945</v>
      </c>
      <c r="O950">
        <f>_xlfn.XLOOKUP(D950,products!$A$2:$A$49,products!$H$2:$H$49)</f>
        <v>24.87105</v>
      </c>
      <c r="P950">
        <f t="shared" si="86"/>
        <v>83.835000000000008</v>
      </c>
      <c r="Q950">
        <f t="shared" si="87"/>
        <v>74.613150000000005</v>
      </c>
      <c r="R950">
        <f t="shared" si="88"/>
        <v>9.2218500000000034</v>
      </c>
      <c r="S950" s="4">
        <f t="shared" si="89"/>
        <v>0.11000000000000003</v>
      </c>
      <c r="T950" t="str">
        <f>_xlfn.XLOOKUP(C950,customers!$A$1:$A$1001,customers!$I$1:$I$1001,,0)</f>
        <v>Yes</v>
      </c>
    </row>
    <row r="951" spans="1:20"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INDEX(products!$A$1:$I$49,MATCH('Conditional Fomating'!$D951,products!$A$1:$A$49,0),MATCH('Conditional Fomating'!I$1,products!$A$1:$D$1,0))</f>
        <v>Rob</v>
      </c>
      <c r="J951" t="str">
        <f t="shared" si="84"/>
        <v>Robusta</v>
      </c>
      <c r="K951" t="str">
        <f>INDEX(products!$A$1:$I$49,MATCH('Conditional Fomating'!$D951,products!$A$1:$A$49,0),MATCH('Conditional Fomating'!K$1,products!$A$1:$D$1,0))</f>
        <v>L</v>
      </c>
      <c r="L951" t="str">
        <f t="shared" si="85"/>
        <v>Light</v>
      </c>
      <c r="M951">
        <f>INDEX(products!$A$1:$I$49,MATCH('Conditional Fomating'!$D951,products!$A$1:$A$49,0),MATCH('Conditional Fomating'!M$1,products!$A$1:$D$1,0))</f>
        <v>2.5</v>
      </c>
      <c r="N951">
        <f>_xlfn.XLOOKUP(D951,products!$A$2:$A$49,products!$E$2:$E$49)</f>
        <v>27.484999999999996</v>
      </c>
      <c r="O951">
        <f>_xlfn.XLOOKUP(D951,products!$A$2:$A$49,products!$H$2:$H$49)</f>
        <v>25.835899999999995</v>
      </c>
      <c r="P951">
        <f t="shared" si="86"/>
        <v>109.93999999999998</v>
      </c>
      <c r="Q951">
        <f t="shared" si="87"/>
        <v>103.34359999999998</v>
      </c>
      <c r="R951">
        <f t="shared" si="88"/>
        <v>6.5964000000000027</v>
      </c>
      <c r="S951" s="4">
        <f t="shared" si="89"/>
        <v>6.0000000000000032E-2</v>
      </c>
      <c r="T951" t="str">
        <f>_xlfn.XLOOKUP(C951,customers!$A$1:$A$1001,customers!$I$1:$I$1001,,0)</f>
        <v>No</v>
      </c>
    </row>
    <row r="952" spans="1:20"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v>
      </c>
      <c r="H952" s="2" t="str">
        <f>_xlfn.XLOOKUP(C952,customers!$A$1:$A$1001,customers!$G$1:$G$1001,,0)</f>
        <v>United States</v>
      </c>
      <c r="I952" t="str">
        <f>INDEX(products!$A$1:$I$49,MATCH('Conditional Fomating'!$D952,products!$A$1:$A$49,0),MATCH('Conditional Fomating'!I$1,products!$A$1:$D$1,0))</f>
        <v>Rob</v>
      </c>
      <c r="J952" t="str">
        <f t="shared" si="84"/>
        <v>Robusta</v>
      </c>
      <c r="K952" t="str">
        <f>INDEX(products!$A$1:$I$49,MATCH('Conditional Fomating'!$D952,products!$A$1:$A$49,0),MATCH('Conditional Fomating'!K$1,products!$A$1:$D$1,0))</f>
        <v>L</v>
      </c>
      <c r="L952" t="str">
        <f t="shared" si="85"/>
        <v>Light</v>
      </c>
      <c r="M952">
        <f>INDEX(products!$A$1:$I$49,MATCH('Conditional Fomating'!$D952,products!$A$1:$A$49,0),MATCH('Conditional Fomating'!M$1,products!$A$1:$D$1,0))</f>
        <v>0.2</v>
      </c>
      <c r="N952">
        <f>_xlfn.XLOOKUP(D952,products!$A$2:$A$49,products!$E$2:$E$49)</f>
        <v>3.5849999999999995</v>
      </c>
      <c r="O952">
        <f>_xlfn.XLOOKUP(D952,products!$A$2:$A$49,products!$H$2:$H$49)</f>
        <v>3.3698999999999995</v>
      </c>
      <c r="P952">
        <f t="shared" si="86"/>
        <v>14.339999999999998</v>
      </c>
      <c r="Q952">
        <f t="shared" si="87"/>
        <v>13.479599999999998</v>
      </c>
      <c r="R952">
        <f t="shared" si="88"/>
        <v>0.86040000000000028</v>
      </c>
      <c r="S952" s="4">
        <f t="shared" si="89"/>
        <v>6.0000000000000026E-2</v>
      </c>
      <c r="T952" t="str">
        <f>_xlfn.XLOOKUP(C952,customers!$A$1:$A$1001,customers!$I$1:$I$1001,,0)</f>
        <v>Yes</v>
      </c>
    </row>
    <row r="953" spans="1:20"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INDEX(products!$A$1:$I$49,MATCH('Conditional Fomating'!$D953,products!$A$1:$A$49,0),MATCH('Conditional Fomating'!I$1,products!$A$1:$D$1,0))</f>
        <v>Rob</v>
      </c>
      <c r="J953" t="str">
        <f t="shared" si="84"/>
        <v>Robusta</v>
      </c>
      <c r="K953" t="str">
        <f>INDEX(products!$A$1:$I$49,MATCH('Conditional Fomating'!$D953,products!$A$1:$A$49,0),MATCH('Conditional Fomating'!K$1,products!$A$1:$D$1,0))</f>
        <v>L</v>
      </c>
      <c r="L953" t="str">
        <f t="shared" si="85"/>
        <v>Light</v>
      </c>
      <c r="M953">
        <f>INDEX(products!$A$1:$I$49,MATCH('Conditional Fomating'!$D953,products!$A$1:$A$49,0),MATCH('Conditional Fomating'!M$1,products!$A$1:$D$1,0))</f>
        <v>0.2</v>
      </c>
      <c r="N953">
        <f>_xlfn.XLOOKUP(D953,products!$A$2:$A$49,products!$E$2:$E$49)</f>
        <v>3.5849999999999995</v>
      </c>
      <c r="O953">
        <f>_xlfn.XLOOKUP(D953,products!$A$2:$A$49,products!$H$2:$H$49)</f>
        <v>3.3698999999999995</v>
      </c>
      <c r="P953">
        <f t="shared" si="86"/>
        <v>21.509999999999998</v>
      </c>
      <c r="Q953">
        <f t="shared" si="87"/>
        <v>20.219399999999997</v>
      </c>
      <c r="R953">
        <f t="shared" si="88"/>
        <v>1.2906000000000013</v>
      </c>
      <c r="S953" s="4">
        <f t="shared" si="89"/>
        <v>6.0000000000000067E-2</v>
      </c>
      <c r="T953" t="str">
        <f>_xlfn.XLOOKUP(C953,customers!$A$1:$A$1001,customers!$I$1:$I$1001,,0)</f>
        <v>No</v>
      </c>
    </row>
    <row r="954" spans="1:20"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INDEX(products!$A$1:$I$49,MATCH('Conditional Fomating'!$D954,products!$A$1:$A$49,0),MATCH('Conditional Fomating'!I$1,products!$A$1:$D$1,0))</f>
        <v>Ara</v>
      </c>
      <c r="J954" t="str">
        <f t="shared" si="84"/>
        <v>Arabica</v>
      </c>
      <c r="K954" t="str">
        <f>INDEX(products!$A$1:$I$49,MATCH('Conditional Fomating'!$D954,products!$A$1:$A$49,0),MATCH('Conditional Fomating'!K$1,products!$A$1:$D$1,0))</f>
        <v>M</v>
      </c>
      <c r="L954" t="str">
        <f t="shared" si="85"/>
        <v>Medium</v>
      </c>
      <c r="M954">
        <f>INDEX(products!$A$1:$I$49,MATCH('Conditional Fomating'!$D954,products!$A$1:$A$49,0),MATCH('Conditional Fomating'!M$1,products!$A$1:$D$1,0))</f>
        <v>1</v>
      </c>
      <c r="N954">
        <f>_xlfn.XLOOKUP(D954,products!$A$2:$A$49,products!$E$2:$E$49)</f>
        <v>11.25</v>
      </c>
      <c r="O954">
        <f>_xlfn.XLOOKUP(D954,products!$A$2:$A$49,products!$H$2:$H$49)</f>
        <v>10.237500000000001</v>
      </c>
      <c r="P954">
        <f t="shared" si="86"/>
        <v>22.5</v>
      </c>
      <c r="Q954">
        <f t="shared" si="87"/>
        <v>20.475000000000001</v>
      </c>
      <c r="R954">
        <f t="shared" si="88"/>
        <v>2.0249999999999986</v>
      </c>
      <c r="S954" s="4">
        <f t="shared" si="89"/>
        <v>8.9999999999999941E-2</v>
      </c>
      <c r="T954" t="str">
        <f>_xlfn.XLOOKUP(C954,customers!$A$1:$A$1001,customers!$I$1:$I$1001,,0)</f>
        <v>Yes</v>
      </c>
    </row>
    <row r="955" spans="1:20"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v>
      </c>
      <c r="H955" s="2" t="str">
        <f>_xlfn.XLOOKUP(C955,customers!$A$1:$A$1001,customers!$G$1:$G$1001,,0)</f>
        <v>United States</v>
      </c>
      <c r="I955" t="str">
        <f>INDEX(products!$A$1:$I$49,MATCH('Conditional Fomating'!$D955,products!$A$1:$A$49,0),MATCH('Conditional Fomating'!I$1,products!$A$1:$D$1,0))</f>
        <v>Ara</v>
      </c>
      <c r="J955" t="str">
        <f t="shared" si="84"/>
        <v>Arabica</v>
      </c>
      <c r="K955" t="str">
        <f>INDEX(products!$A$1:$I$49,MATCH('Conditional Fomating'!$D955,products!$A$1:$A$49,0),MATCH('Conditional Fomating'!K$1,products!$A$1:$D$1,0))</f>
        <v>L</v>
      </c>
      <c r="L955" t="str">
        <f t="shared" si="85"/>
        <v>Light</v>
      </c>
      <c r="M955">
        <f>INDEX(products!$A$1:$I$49,MATCH('Conditional Fomating'!$D955,products!$A$1:$A$49,0),MATCH('Conditional Fomating'!M$1,products!$A$1:$D$1,0))</f>
        <v>0.2</v>
      </c>
      <c r="N955">
        <f>_xlfn.XLOOKUP(D955,products!$A$2:$A$49,products!$E$2:$E$49)</f>
        <v>3.8849999999999998</v>
      </c>
      <c r="O955">
        <f>_xlfn.XLOOKUP(D955,products!$A$2:$A$49,products!$H$2:$H$49)</f>
        <v>3.5353499999999998</v>
      </c>
      <c r="P955">
        <f t="shared" si="86"/>
        <v>3.8849999999999998</v>
      </c>
      <c r="Q955">
        <f t="shared" si="87"/>
        <v>3.5353499999999998</v>
      </c>
      <c r="R955">
        <f t="shared" si="88"/>
        <v>0.34965000000000002</v>
      </c>
      <c r="S955" s="4">
        <f t="shared" si="89"/>
        <v>9.0000000000000011E-2</v>
      </c>
      <c r="T955" t="str">
        <f>_xlfn.XLOOKUP(C955,customers!$A$1:$A$1001,customers!$I$1:$I$1001,,0)</f>
        <v>Yes</v>
      </c>
    </row>
    <row r="956" spans="1:20"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v>
      </c>
      <c r="H956" s="2" t="str">
        <f>_xlfn.XLOOKUP(C956,customers!$A$1:$A$1001,customers!$G$1:$G$1001,,0)</f>
        <v>United States</v>
      </c>
      <c r="I956" t="str">
        <f>INDEX(products!$A$1:$I$49,MATCH('Conditional Fomating'!$D956,products!$A$1:$A$49,0),MATCH('Conditional Fomating'!I$1,products!$A$1:$D$1,0))</f>
        <v>Exc</v>
      </c>
      <c r="J956" t="str">
        <f t="shared" si="84"/>
        <v>Excelsa</v>
      </c>
      <c r="K956" t="str">
        <f>INDEX(products!$A$1:$I$49,MATCH('Conditional Fomating'!$D956,products!$A$1:$A$49,0),MATCH('Conditional Fomating'!K$1,products!$A$1:$D$1,0))</f>
        <v>D</v>
      </c>
      <c r="L956" t="str">
        <f t="shared" si="85"/>
        <v>Dark</v>
      </c>
      <c r="M956">
        <f>INDEX(products!$A$1:$I$49,MATCH('Conditional Fomating'!$D956,products!$A$1:$A$49,0),MATCH('Conditional Fomating'!M$1,products!$A$1:$D$1,0))</f>
        <v>2.5</v>
      </c>
      <c r="N956">
        <f>_xlfn.XLOOKUP(D956,products!$A$2:$A$49,products!$E$2:$E$49)</f>
        <v>27.945</v>
      </c>
      <c r="O956">
        <f>_xlfn.XLOOKUP(D956,products!$A$2:$A$49,products!$H$2:$H$49)</f>
        <v>24.87105</v>
      </c>
      <c r="P956">
        <f t="shared" si="86"/>
        <v>27.945</v>
      </c>
      <c r="Q956">
        <f t="shared" si="87"/>
        <v>24.87105</v>
      </c>
      <c r="R956">
        <f t="shared" si="88"/>
        <v>3.07395</v>
      </c>
      <c r="S956" s="4">
        <f t="shared" si="89"/>
        <v>0.11</v>
      </c>
      <c r="T956" t="str">
        <f>_xlfn.XLOOKUP(C956,customers!$A$1:$A$1001,customers!$I$1:$I$1001,,0)</f>
        <v>Yes</v>
      </c>
    </row>
    <row r="957" spans="1:20"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v>
      </c>
      <c r="H957" s="2" t="str">
        <f>_xlfn.XLOOKUP(C957,customers!$A$1:$A$1001,customers!$G$1:$G$1001,,0)</f>
        <v>United States</v>
      </c>
      <c r="I957" t="str">
        <f>INDEX(products!$A$1:$I$49,MATCH('Conditional Fomating'!$D957,products!$A$1:$A$49,0),MATCH('Conditional Fomating'!I$1,products!$A$1:$D$1,0))</f>
        <v>Exc</v>
      </c>
      <c r="J957" t="str">
        <f t="shared" si="84"/>
        <v>Excelsa</v>
      </c>
      <c r="K957" t="str">
        <f>INDEX(products!$A$1:$I$49,MATCH('Conditional Fomating'!$D957,products!$A$1:$A$49,0),MATCH('Conditional Fomating'!K$1,products!$A$1:$D$1,0))</f>
        <v>L</v>
      </c>
      <c r="L957" t="str">
        <f t="shared" si="85"/>
        <v>Light</v>
      </c>
      <c r="M957">
        <f>INDEX(products!$A$1:$I$49,MATCH('Conditional Fomating'!$D957,products!$A$1:$A$49,0),MATCH('Conditional Fomating'!M$1,products!$A$1:$D$1,0))</f>
        <v>2.5</v>
      </c>
      <c r="N957">
        <f>_xlfn.XLOOKUP(D957,products!$A$2:$A$49,products!$E$2:$E$49)</f>
        <v>34.154999999999994</v>
      </c>
      <c r="O957">
        <f>_xlfn.XLOOKUP(D957,products!$A$2:$A$49,products!$H$2:$H$49)</f>
        <v>30.397949999999994</v>
      </c>
      <c r="P957">
        <f t="shared" si="86"/>
        <v>170.77499999999998</v>
      </c>
      <c r="Q957">
        <f t="shared" si="87"/>
        <v>151.98974999999996</v>
      </c>
      <c r="R957">
        <f t="shared" si="88"/>
        <v>18.785250000000019</v>
      </c>
      <c r="S957" s="4">
        <f t="shared" si="89"/>
        <v>0.11000000000000013</v>
      </c>
      <c r="T957" t="str">
        <f>_xlfn.XLOOKUP(C957,customers!$A$1:$A$1001,customers!$I$1:$I$1001,,0)</f>
        <v>Yes</v>
      </c>
    </row>
    <row r="958" spans="1:20"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v>
      </c>
      <c r="H958" s="2" t="str">
        <f>_xlfn.XLOOKUP(C958,customers!$A$1:$A$1001,customers!$G$1:$G$1001,,0)</f>
        <v>United States</v>
      </c>
      <c r="I958" t="str">
        <f>INDEX(products!$A$1:$I$49,MATCH('Conditional Fomating'!$D958,products!$A$1:$A$49,0),MATCH('Conditional Fomating'!I$1,products!$A$1:$D$1,0))</f>
        <v>Rob</v>
      </c>
      <c r="J958" t="str">
        <f t="shared" si="84"/>
        <v>Robusta</v>
      </c>
      <c r="K958" t="str">
        <f>INDEX(products!$A$1:$I$49,MATCH('Conditional Fomating'!$D958,products!$A$1:$A$49,0),MATCH('Conditional Fomating'!K$1,products!$A$1:$D$1,0))</f>
        <v>L</v>
      </c>
      <c r="L958" t="str">
        <f t="shared" si="85"/>
        <v>Light</v>
      </c>
      <c r="M958">
        <f>INDEX(products!$A$1:$I$49,MATCH('Conditional Fomating'!$D958,products!$A$1:$A$49,0),MATCH('Conditional Fomating'!M$1,products!$A$1:$D$1,0))</f>
        <v>2.5</v>
      </c>
      <c r="N958">
        <f>_xlfn.XLOOKUP(D958,products!$A$2:$A$49,products!$E$2:$E$49)</f>
        <v>27.484999999999996</v>
      </c>
      <c r="O958">
        <f>_xlfn.XLOOKUP(D958,products!$A$2:$A$49,products!$H$2:$H$49)</f>
        <v>25.835899999999995</v>
      </c>
      <c r="P958">
        <f t="shared" si="86"/>
        <v>54.969999999999992</v>
      </c>
      <c r="Q958">
        <f t="shared" si="87"/>
        <v>51.67179999999999</v>
      </c>
      <c r="R958">
        <f t="shared" si="88"/>
        <v>3.2982000000000014</v>
      </c>
      <c r="S958" s="4">
        <f t="shared" si="89"/>
        <v>6.0000000000000032E-2</v>
      </c>
      <c r="T958" t="str">
        <f>_xlfn.XLOOKUP(C958,customers!$A$1:$A$1001,customers!$I$1:$I$1001,,0)</f>
        <v>Yes</v>
      </c>
    </row>
    <row r="959" spans="1:20"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v>
      </c>
      <c r="H959" s="2" t="str">
        <f>_xlfn.XLOOKUP(C959,customers!$A$1:$A$1001,customers!$G$1:$G$1001,,0)</f>
        <v>United States</v>
      </c>
      <c r="I959" t="str">
        <f>INDEX(products!$A$1:$I$49,MATCH('Conditional Fomating'!$D959,products!$A$1:$A$49,0),MATCH('Conditional Fomating'!I$1,products!$A$1:$D$1,0))</f>
        <v>Exc</v>
      </c>
      <c r="J959" t="str">
        <f t="shared" si="84"/>
        <v>Excelsa</v>
      </c>
      <c r="K959" t="str">
        <f>INDEX(products!$A$1:$I$49,MATCH('Conditional Fomating'!$D959,products!$A$1:$A$49,0),MATCH('Conditional Fomating'!K$1,products!$A$1:$D$1,0))</f>
        <v>L</v>
      </c>
      <c r="L959" t="str">
        <f t="shared" si="85"/>
        <v>Light</v>
      </c>
      <c r="M959">
        <f>INDEX(products!$A$1:$I$49,MATCH('Conditional Fomating'!$D959,products!$A$1:$A$49,0),MATCH('Conditional Fomating'!M$1,products!$A$1:$D$1,0))</f>
        <v>1</v>
      </c>
      <c r="N959">
        <f>_xlfn.XLOOKUP(D959,products!$A$2:$A$49,products!$E$2:$E$49)</f>
        <v>14.85</v>
      </c>
      <c r="O959">
        <f>_xlfn.XLOOKUP(D959,products!$A$2:$A$49,products!$H$2:$H$49)</f>
        <v>13.2165</v>
      </c>
      <c r="P959">
        <f t="shared" si="86"/>
        <v>14.85</v>
      </c>
      <c r="Q959">
        <f t="shared" si="87"/>
        <v>13.2165</v>
      </c>
      <c r="R959">
        <f t="shared" si="88"/>
        <v>1.6334999999999997</v>
      </c>
      <c r="S959" s="4">
        <f t="shared" si="89"/>
        <v>0.10999999999999999</v>
      </c>
      <c r="T959" t="str">
        <f>_xlfn.XLOOKUP(C959,customers!$A$1:$A$1001,customers!$I$1:$I$1001,,0)</f>
        <v>Yes</v>
      </c>
    </row>
    <row r="960" spans="1:20"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v>
      </c>
      <c r="H960" s="2" t="str">
        <f>_xlfn.XLOOKUP(C960,customers!$A$1:$A$1001,customers!$G$1:$G$1001,,0)</f>
        <v>United States</v>
      </c>
      <c r="I960" t="str">
        <f>INDEX(products!$A$1:$I$49,MATCH('Conditional Fomating'!$D960,products!$A$1:$A$49,0),MATCH('Conditional Fomating'!I$1,products!$A$1:$D$1,0))</f>
        <v>Ara</v>
      </c>
      <c r="J960" t="str">
        <f t="shared" si="84"/>
        <v>Arabica</v>
      </c>
      <c r="K960" t="str">
        <f>INDEX(products!$A$1:$I$49,MATCH('Conditional Fomating'!$D960,products!$A$1:$A$49,0),MATCH('Conditional Fomating'!K$1,products!$A$1:$D$1,0))</f>
        <v>L</v>
      </c>
      <c r="L960" t="str">
        <f t="shared" si="85"/>
        <v>Light</v>
      </c>
      <c r="M960">
        <f>INDEX(products!$A$1:$I$49,MATCH('Conditional Fomating'!$D960,products!$A$1:$A$49,0),MATCH('Conditional Fomating'!M$1,products!$A$1:$D$1,0))</f>
        <v>0.2</v>
      </c>
      <c r="N960">
        <f>_xlfn.XLOOKUP(D960,products!$A$2:$A$49,products!$E$2:$E$49)</f>
        <v>3.8849999999999998</v>
      </c>
      <c r="O960">
        <f>_xlfn.XLOOKUP(D960,products!$A$2:$A$49,products!$H$2:$H$49)</f>
        <v>3.5353499999999998</v>
      </c>
      <c r="P960">
        <f t="shared" si="86"/>
        <v>7.77</v>
      </c>
      <c r="Q960">
        <f t="shared" si="87"/>
        <v>7.0706999999999995</v>
      </c>
      <c r="R960">
        <f t="shared" si="88"/>
        <v>0.69930000000000003</v>
      </c>
      <c r="S960" s="4">
        <f t="shared" si="89"/>
        <v>9.0000000000000011E-2</v>
      </c>
      <c r="T960" t="str">
        <f>_xlfn.XLOOKUP(C960,customers!$A$1:$A$1001,customers!$I$1:$I$1001,,0)</f>
        <v>Yes</v>
      </c>
    </row>
    <row r="961" spans="1:20"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INDEX(products!$A$1:$I$49,MATCH('Conditional Fomating'!$D961,products!$A$1:$A$49,0),MATCH('Conditional Fomating'!I$1,products!$A$1:$D$1,0))</f>
        <v>Lib</v>
      </c>
      <c r="J961" t="str">
        <f t="shared" si="84"/>
        <v>Liberica</v>
      </c>
      <c r="K961" t="str">
        <f>INDEX(products!$A$1:$I$49,MATCH('Conditional Fomating'!$D961,products!$A$1:$A$49,0),MATCH('Conditional Fomating'!K$1,products!$A$1:$D$1,0))</f>
        <v>L</v>
      </c>
      <c r="L961" t="str">
        <f t="shared" si="85"/>
        <v>Light</v>
      </c>
      <c r="M961">
        <f>INDEX(products!$A$1:$I$49,MATCH('Conditional Fomating'!$D961,products!$A$1:$A$49,0),MATCH('Conditional Fomating'!M$1,products!$A$1:$D$1,0))</f>
        <v>0.2</v>
      </c>
      <c r="N961">
        <f>_xlfn.XLOOKUP(D961,products!$A$2:$A$49,products!$E$2:$E$49)</f>
        <v>4.7549999999999999</v>
      </c>
      <c r="O961">
        <f>_xlfn.XLOOKUP(D961,products!$A$2:$A$49,products!$H$2:$H$49)</f>
        <v>4.1368499999999999</v>
      </c>
      <c r="P961">
        <f t="shared" si="86"/>
        <v>23.774999999999999</v>
      </c>
      <c r="Q961">
        <f t="shared" si="87"/>
        <v>20.684249999999999</v>
      </c>
      <c r="R961">
        <f t="shared" si="88"/>
        <v>3.0907499999999999</v>
      </c>
      <c r="S961" s="4">
        <f t="shared" si="89"/>
        <v>0.13</v>
      </c>
      <c r="T961" t="str">
        <f>_xlfn.XLOOKUP(C961,customers!$A$1:$A$1001,customers!$I$1:$I$1001,,0)</f>
        <v>Yes</v>
      </c>
    </row>
    <row r="962" spans="1:20"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INDEX(products!$A$1:$I$49,MATCH('Conditional Fomating'!$D962,products!$A$1:$A$49,0),MATCH('Conditional Fomating'!I$1,products!$A$1:$D$1,0))</f>
        <v>Lib</v>
      </c>
      <c r="J962" t="str">
        <f t="shared" si="84"/>
        <v>Liberica</v>
      </c>
      <c r="K962" t="str">
        <f>INDEX(products!$A$1:$I$49,MATCH('Conditional Fomating'!$D962,products!$A$1:$A$49,0),MATCH('Conditional Fomating'!K$1,products!$A$1:$D$1,0))</f>
        <v>L</v>
      </c>
      <c r="L962" t="str">
        <f t="shared" si="85"/>
        <v>Light</v>
      </c>
      <c r="M962">
        <f>INDEX(products!$A$1:$I$49,MATCH('Conditional Fomating'!$D962,products!$A$1:$A$49,0),MATCH('Conditional Fomating'!M$1,products!$A$1:$D$1,0))</f>
        <v>1</v>
      </c>
      <c r="N962">
        <f>_xlfn.XLOOKUP(D962,products!$A$2:$A$49,products!$E$2:$E$49)</f>
        <v>15.85</v>
      </c>
      <c r="O962">
        <f>_xlfn.XLOOKUP(D962,products!$A$2:$A$49,products!$H$2:$H$49)</f>
        <v>13.7895</v>
      </c>
      <c r="P962">
        <f t="shared" si="86"/>
        <v>79.25</v>
      </c>
      <c r="Q962">
        <f t="shared" si="87"/>
        <v>68.947500000000005</v>
      </c>
      <c r="R962">
        <f t="shared" si="88"/>
        <v>10.302499999999995</v>
      </c>
      <c r="S962" s="4">
        <f t="shared" si="89"/>
        <v>0.12999999999999995</v>
      </c>
      <c r="T962" t="str">
        <f>_xlfn.XLOOKUP(C962,customers!$A$1:$A$1001,customers!$I$1:$I$1001,,0)</f>
        <v>Yes</v>
      </c>
    </row>
    <row r="963" spans="1:20"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v>
      </c>
      <c r="H963" s="2" t="str">
        <f>_xlfn.XLOOKUP(C963,customers!$A$1:$A$1001,customers!$G$1:$G$1001,,0)</f>
        <v>United States</v>
      </c>
      <c r="I963" t="str">
        <f>INDEX(products!$A$1:$I$49,MATCH('Conditional Fomating'!$D963,products!$A$1:$A$49,0),MATCH('Conditional Fomating'!I$1,products!$A$1:$D$1,0))</f>
        <v>Ara</v>
      </c>
      <c r="J963" t="str">
        <f t="shared" ref="J963:J1001" si="90">IF(I963="Rob","Robusta",IF(I963="Exc","Excelsa",IF(I963="Ara","Arabica",IF(I963="Lib","Liberica",""))))</f>
        <v>Arabica</v>
      </c>
      <c r="K963" t="str">
        <f>INDEX(products!$A$1:$I$49,MATCH('Conditional Fomating'!$D963,products!$A$1:$A$49,0),MATCH('Conditional Fomating'!K$1,products!$A$1:$D$1,0))</f>
        <v>D</v>
      </c>
      <c r="L963" t="str">
        <f t="shared" ref="L963:L1001" si="91">IF(K963="M","Medium",IF(K963="L","Light",IF(K963="D","Dark","")))</f>
        <v>Dark</v>
      </c>
      <c r="M963">
        <f>INDEX(products!$A$1:$I$49,MATCH('Conditional Fomating'!$D963,products!$A$1:$A$49,0),MATCH('Conditional Fomating'!M$1,products!$A$1:$D$1,0))</f>
        <v>2.5</v>
      </c>
      <c r="N963">
        <f>_xlfn.XLOOKUP(D963,products!$A$2:$A$49,products!$E$2:$E$49)</f>
        <v>22.884999999999998</v>
      </c>
      <c r="O963">
        <f>_xlfn.XLOOKUP(D963,products!$A$2:$A$49,products!$H$2:$H$49)</f>
        <v>20.82535</v>
      </c>
      <c r="P963">
        <f t="shared" ref="P963:P1001" si="92">N963*E963</f>
        <v>45.769999999999996</v>
      </c>
      <c r="Q963">
        <f t="shared" ref="Q963:Q1001" si="93">O963*E963</f>
        <v>41.650700000000001</v>
      </c>
      <c r="R963">
        <f t="shared" ref="R963:R1001" si="94">P963-Q963</f>
        <v>4.1192999999999955</v>
      </c>
      <c r="S963" s="4">
        <f t="shared" ref="S963:S1001" si="95">R963/P963</f>
        <v>8.9999999999999913E-2</v>
      </c>
      <c r="T963" t="str">
        <f>_xlfn.XLOOKUP(C963,customers!$A$1:$A$1001,customers!$I$1:$I$1001,,0)</f>
        <v>Yes</v>
      </c>
    </row>
    <row r="964" spans="1:20"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INDEX(products!$A$1:$I$49,MATCH('Conditional Fomating'!$D964,products!$A$1:$A$49,0),MATCH('Conditional Fomating'!I$1,products!$A$1:$D$1,0))</f>
        <v>Rob</v>
      </c>
      <c r="J964" t="str">
        <f t="shared" si="90"/>
        <v>Robusta</v>
      </c>
      <c r="K964" t="str">
        <f>INDEX(products!$A$1:$I$49,MATCH('Conditional Fomating'!$D964,products!$A$1:$A$49,0),MATCH('Conditional Fomating'!K$1,products!$A$1:$D$1,0))</f>
        <v>D</v>
      </c>
      <c r="L964" t="str">
        <f t="shared" si="91"/>
        <v>Dark</v>
      </c>
      <c r="M964">
        <f>INDEX(products!$A$1:$I$49,MATCH('Conditional Fomating'!$D964,products!$A$1:$A$49,0),MATCH('Conditional Fomating'!M$1,products!$A$1:$D$1,0))</f>
        <v>1</v>
      </c>
      <c r="N964">
        <f>_xlfn.XLOOKUP(D964,products!$A$2:$A$49,products!$E$2:$E$49)</f>
        <v>8.9499999999999993</v>
      </c>
      <c r="O964">
        <f>_xlfn.XLOOKUP(D964,products!$A$2:$A$49,products!$H$2:$H$49)</f>
        <v>8.4130000000000003</v>
      </c>
      <c r="P964">
        <f t="shared" si="92"/>
        <v>8.9499999999999993</v>
      </c>
      <c r="Q964">
        <f t="shared" si="93"/>
        <v>8.4130000000000003</v>
      </c>
      <c r="R964">
        <f t="shared" si="94"/>
        <v>0.53699999999999903</v>
      </c>
      <c r="S964" s="4">
        <f t="shared" si="95"/>
        <v>5.9999999999999894E-2</v>
      </c>
      <c r="T964" t="str">
        <f>_xlfn.XLOOKUP(C964,customers!$A$1:$A$1001,customers!$I$1:$I$1001,,0)</f>
        <v>Yes</v>
      </c>
    </row>
    <row r="965" spans="1:20"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INDEX(products!$A$1:$I$49,MATCH('Conditional Fomating'!$D965,products!$A$1:$A$49,0),MATCH('Conditional Fomating'!I$1,products!$A$1:$D$1,0))</f>
        <v>Rob</v>
      </c>
      <c r="J965" t="str">
        <f t="shared" si="90"/>
        <v>Robusta</v>
      </c>
      <c r="K965" t="str">
        <f>INDEX(products!$A$1:$I$49,MATCH('Conditional Fomating'!$D965,products!$A$1:$A$49,0),MATCH('Conditional Fomating'!K$1,products!$A$1:$D$1,0))</f>
        <v>M</v>
      </c>
      <c r="L965" t="str">
        <f t="shared" si="91"/>
        <v>Medium</v>
      </c>
      <c r="M965">
        <f>INDEX(products!$A$1:$I$49,MATCH('Conditional Fomating'!$D965,products!$A$1:$A$49,0),MATCH('Conditional Fomating'!M$1,products!$A$1:$D$1,0))</f>
        <v>0.5</v>
      </c>
      <c r="N965">
        <f>_xlfn.XLOOKUP(D965,products!$A$2:$A$49,products!$E$2:$E$49)</f>
        <v>5.97</v>
      </c>
      <c r="O965">
        <f>_xlfn.XLOOKUP(D965,products!$A$2:$A$49,products!$H$2:$H$49)</f>
        <v>5.6117999999999997</v>
      </c>
      <c r="P965">
        <f t="shared" si="92"/>
        <v>23.88</v>
      </c>
      <c r="Q965">
        <f t="shared" si="93"/>
        <v>22.447199999999999</v>
      </c>
      <c r="R965">
        <f t="shared" si="94"/>
        <v>1.4328000000000003</v>
      </c>
      <c r="S965" s="4">
        <f t="shared" si="95"/>
        <v>6.0000000000000012E-2</v>
      </c>
      <c r="T965" t="str">
        <f>_xlfn.XLOOKUP(C965,customers!$A$1:$A$1001,customers!$I$1:$I$1001,,0)</f>
        <v>Yes</v>
      </c>
    </row>
    <row r="966" spans="1:20"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INDEX(products!$A$1:$I$49,MATCH('Conditional Fomating'!$D966,products!$A$1:$A$49,0),MATCH('Conditional Fomating'!I$1,products!$A$1:$D$1,0))</f>
        <v>Exc</v>
      </c>
      <c r="J966" t="str">
        <f t="shared" si="90"/>
        <v>Excelsa</v>
      </c>
      <c r="K966" t="str">
        <f>INDEX(products!$A$1:$I$49,MATCH('Conditional Fomating'!$D966,products!$A$1:$A$49,0),MATCH('Conditional Fomating'!K$1,products!$A$1:$D$1,0))</f>
        <v>L</v>
      </c>
      <c r="L966" t="str">
        <f t="shared" si="91"/>
        <v>Light</v>
      </c>
      <c r="M966">
        <f>INDEX(products!$A$1:$I$49,MATCH('Conditional Fomating'!$D966,products!$A$1:$A$49,0),MATCH('Conditional Fomating'!M$1,products!$A$1:$D$1,0))</f>
        <v>0.2</v>
      </c>
      <c r="N966">
        <f>_xlfn.XLOOKUP(D966,products!$A$2:$A$49,products!$E$2:$E$49)</f>
        <v>4.4550000000000001</v>
      </c>
      <c r="O966">
        <f>_xlfn.XLOOKUP(D966,products!$A$2:$A$49,products!$H$2:$H$49)</f>
        <v>3.96495</v>
      </c>
      <c r="P966">
        <f t="shared" si="92"/>
        <v>22.274999999999999</v>
      </c>
      <c r="Q966">
        <f t="shared" si="93"/>
        <v>19.824750000000002</v>
      </c>
      <c r="R966">
        <f t="shared" si="94"/>
        <v>2.4502499999999969</v>
      </c>
      <c r="S966" s="4">
        <f t="shared" si="95"/>
        <v>0.10999999999999988</v>
      </c>
      <c r="T966" t="str">
        <f>_xlfn.XLOOKUP(C966,customers!$A$1:$A$1001,customers!$I$1:$I$1001,,0)</f>
        <v>No</v>
      </c>
    </row>
    <row r="967" spans="1:20"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INDEX(products!$A$1:$I$49,MATCH('Conditional Fomating'!$D967,products!$A$1:$A$49,0),MATCH('Conditional Fomating'!I$1,products!$A$1:$D$1,0))</f>
        <v>Rob</v>
      </c>
      <c r="J967" t="str">
        <f t="shared" si="90"/>
        <v>Robusta</v>
      </c>
      <c r="K967" t="str">
        <f>INDEX(products!$A$1:$I$49,MATCH('Conditional Fomating'!$D967,products!$A$1:$A$49,0),MATCH('Conditional Fomating'!K$1,products!$A$1:$D$1,0))</f>
        <v>M</v>
      </c>
      <c r="L967" t="str">
        <f t="shared" si="91"/>
        <v>Medium</v>
      </c>
      <c r="M967">
        <f>INDEX(products!$A$1:$I$49,MATCH('Conditional Fomating'!$D967,products!$A$1:$A$49,0),MATCH('Conditional Fomating'!M$1,products!$A$1:$D$1,0))</f>
        <v>1</v>
      </c>
      <c r="N967">
        <f>_xlfn.XLOOKUP(D967,products!$A$2:$A$49,products!$E$2:$E$49)</f>
        <v>9.9499999999999993</v>
      </c>
      <c r="O967">
        <f>_xlfn.XLOOKUP(D967,products!$A$2:$A$49,products!$H$2:$H$49)</f>
        <v>9.3529999999999998</v>
      </c>
      <c r="P967">
        <f t="shared" si="92"/>
        <v>29.849999999999998</v>
      </c>
      <c r="Q967">
        <f t="shared" si="93"/>
        <v>28.058999999999997</v>
      </c>
      <c r="R967">
        <f t="shared" si="94"/>
        <v>1.7910000000000004</v>
      </c>
      <c r="S967" s="4">
        <f t="shared" si="95"/>
        <v>6.0000000000000019E-2</v>
      </c>
      <c r="T967" t="str">
        <f>_xlfn.XLOOKUP(C967,customers!$A$1:$A$1001,customers!$I$1:$I$1001,,0)</f>
        <v>Yes</v>
      </c>
    </row>
    <row r="968" spans="1:20"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INDEX(products!$A$1:$I$49,MATCH('Conditional Fomating'!$D968,products!$A$1:$A$49,0),MATCH('Conditional Fomating'!I$1,products!$A$1:$D$1,0))</f>
        <v>Exc</v>
      </c>
      <c r="J968" t="str">
        <f t="shared" si="90"/>
        <v>Excelsa</v>
      </c>
      <c r="K968" t="str">
        <f>INDEX(products!$A$1:$I$49,MATCH('Conditional Fomating'!$D968,products!$A$1:$A$49,0),MATCH('Conditional Fomating'!K$1,products!$A$1:$D$1,0))</f>
        <v>L</v>
      </c>
      <c r="L968" t="str">
        <f t="shared" si="91"/>
        <v>Light</v>
      </c>
      <c r="M968">
        <f>INDEX(products!$A$1:$I$49,MATCH('Conditional Fomating'!$D968,products!$A$1:$A$49,0),MATCH('Conditional Fomating'!M$1,products!$A$1:$D$1,0))</f>
        <v>0.5</v>
      </c>
      <c r="N968">
        <f>_xlfn.XLOOKUP(D968,products!$A$2:$A$49,products!$E$2:$E$49)</f>
        <v>8.91</v>
      </c>
      <c r="O968">
        <f>_xlfn.XLOOKUP(D968,products!$A$2:$A$49,products!$H$2:$H$49)</f>
        <v>7.9298999999999999</v>
      </c>
      <c r="P968">
        <f t="shared" si="92"/>
        <v>53.46</v>
      </c>
      <c r="Q968">
        <f t="shared" si="93"/>
        <v>47.5794</v>
      </c>
      <c r="R968">
        <f t="shared" si="94"/>
        <v>5.8806000000000012</v>
      </c>
      <c r="S968" s="4">
        <f t="shared" si="95"/>
        <v>0.11000000000000001</v>
      </c>
      <c r="T968" t="str">
        <f>_xlfn.XLOOKUP(C968,customers!$A$1:$A$1001,customers!$I$1:$I$1001,,0)</f>
        <v>Yes</v>
      </c>
    </row>
    <row r="969" spans="1:20"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INDEX(products!$A$1:$I$49,MATCH('Conditional Fomating'!$D969,products!$A$1:$A$49,0),MATCH('Conditional Fomating'!I$1,products!$A$1:$D$1,0))</f>
        <v>Rob</v>
      </c>
      <c r="J969" t="str">
        <f t="shared" si="90"/>
        <v>Robusta</v>
      </c>
      <c r="K969" t="str">
        <f>INDEX(products!$A$1:$I$49,MATCH('Conditional Fomating'!$D969,products!$A$1:$A$49,0),MATCH('Conditional Fomating'!K$1,products!$A$1:$D$1,0))</f>
        <v>D</v>
      </c>
      <c r="L969" t="str">
        <f t="shared" si="91"/>
        <v>Dark</v>
      </c>
      <c r="M969">
        <f>INDEX(products!$A$1:$I$49,MATCH('Conditional Fomating'!$D969,products!$A$1:$A$49,0),MATCH('Conditional Fomating'!M$1,products!$A$1:$D$1,0))</f>
        <v>0.2</v>
      </c>
      <c r="N969">
        <f>_xlfn.XLOOKUP(D969,products!$A$2:$A$49,products!$E$2:$E$49)</f>
        <v>2.6849999999999996</v>
      </c>
      <c r="O969">
        <f>_xlfn.XLOOKUP(D969,products!$A$2:$A$49,products!$H$2:$H$49)</f>
        <v>2.5238999999999998</v>
      </c>
      <c r="P969">
        <f t="shared" si="92"/>
        <v>2.6849999999999996</v>
      </c>
      <c r="Q969">
        <f t="shared" si="93"/>
        <v>2.5238999999999998</v>
      </c>
      <c r="R969">
        <f t="shared" si="94"/>
        <v>0.1610999999999998</v>
      </c>
      <c r="S969" s="4">
        <f t="shared" si="95"/>
        <v>5.9999999999999935E-2</v>
      </c>
      <c r="T969" t="str">
        <f>_xlfn.XLOOKUP(C969,customers!$A$1:$A$1001,customers!$I$1:$I$1001,,0)</f>
        <v>Yes</v>
      </c>
    </row>
    <row r="970" spans="1:20"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INDEX(products!$A$1:$I$49,MATCH('Conditional Fomating'!$D970,products!$A$1:$A$49,0),MATCH('Conditional Fomating'!I$1,products!$A$1:$D$1,0))</f>
        <v>Rob</v>
      </c>
      <c r="J970" t="str">
        <f t="shared" si="90"/>
        <v>Robusta</v>
      </c>
      <c r="K970" t="str">
        <f>INDEX(products!$A$1:$I$49,MATCH('Conditional Fomating'!$D970,products!$A$1:$A$49,0),MATCH('Conditional Fomating'!K$1,products!$A$1:$D$1,0))</f>
        <v>M</v>
      </c>
      <c r="L970" t="str">
        <f t="shared" si="91"/>
        <v>Medium</v>
      </c>
      <c r="M970">
        <f>INDEX(products!$A$1:$I$49,MATCH('Conditional Fomating'!$D970,products!$A$1:$A$49,0),MATCH('Conditional Fomating'!M$1,products!$A$1:$D$1,0))</f>
        <v>0.2</v>
      </c>
      <c r="N970">
        <f>_xlfn.XLOOKUP(D970,products!$A$2:$A$49,products!$E$2:$E$49)</f>
        <v>2.9849999999999999</v>
      </c>
      <c r="O970">
        <f>_xlfn.XLOOKUP(D970,products!$A$2:$A$49,products!$H$2:$H$49)</f>
        <v>2.8058999999999998</v>
      </c>
      <c r="P970">
        <f t="shared" si="92"/>
        <v>5.97</v>
      </c>
      <c r="Q970">
        <f t="shared" si="93"/>
        <v>5.6117999999999997</v>
      </c>
      <c r="R970">
        <f t="shared" si="94"/>
        <v>0.35820000000000007</v>
      </c>
      <c r="S970" s="4">
        <f t="shared" si="95"/>
        <v>6.0000000000000012E-2</v>
      </c>
      <c r="T970" t="str">
        <f>_xlfn.XLOOKUP(C970,customers!$A$1:$A$1001,customers!$I$1:$I$1001,,0)</f>
        <v>No</v>
      </c>
    </row>
    <row r="971" spans="1:20"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INDEX(products!$A$1:$I$49,MATCH('Conditional Fomating'!$D971,products!$A$1:$A$49,0),MATCH('Conditional Fomating'!I$1,products!$A$1:$D$1,0))</f>
        <v>Lib</v>
      </c>
      <c r="J971" t="str">
        <f t="shared" si="90"/>
        <v>Liberica</v>
      </c>
      <c r="K971" t="str">
        <f>INDEX(products!$A$1:$I$49,MATCH('Conditional Fomating'!$D971,products!$A$1:$A$49,0),MATCH('Conditional Fomating'!K$1,products!$A$1:$D$1,0))</f>
        <v>D</v>
      </c>
      <c r="L971" t="str">
        <f t="shared" si="91"/>
        <v>Dark</v>
      </c>
      <c r="M971">
        <f>INDEX(products!$A$1:$I$49,MATCH('Conditional Fomating'!$D971,products!$A$1:$A$49,0),MATCH('Conditional Fomating'!M$1,products!$A$1:$D$1,0))</f>
        <v>1</v>
      </c>
      <c r="N971">
        <f>_xlfn.XLOOKUP(D971,products!$A$2:$A$49,products!$E$2:$E$49)</f>
        <v>12.95</v>
      </c>
      <c r="O971">
        <f>_xlfn.XLOOKUP(D971,products!$A$2:$A$49,products!$H$2:$H$49)</f>
        <v>11.266499999999999</v>
      </c>
      <c r="P971">
        <f t="shared" si="92"/>
        <v>12.95</v>
      </c>
      <c r="Q971">
        <f t="shared" si="93"/>
        <v>11.266499999999999</v>
      </c>
      <c r="R971">
        <f t="shared" si="94"/>
        <v>1.6835000000000004</v>
      </c>
      <c r="S971" s="4">
        <f t="shared" si="95"/>
        <v>0.13000000000000003</v>
      </c>
      <c r="T971" t="str">
        <f>_xlfn.XLOOKUP(C971,customers!$A$1:$A$1001,customers!$I$1:$I$1001,,0)</f>
        <v>Yes</v>
      </c>
    </row>
    <row r="972" spans="1:20"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v>
      </c>
      <c r="H972" s="2" t="str">
        <f>_xlfn.XLOOKUP(C972,customers!$A$1:$A$1001,customers!$G$1:$G$1001,,0)</f>
        <v>United States</v>
      </c>
      <c r="I972" t="str">
        <f>INDEX(products!$A$1:$I$49,MATCH('Conditional Fomating'!$D972,products!$A$1:$A$49,0),MATCH('Conditional Fomating'!I$1,products!$A$1:$D$1,0))</f>
        <v>Exc</v>
      </c>
      <c r="J972" t="str">
        <f t="shared" si="90"/>
        <v>Excelsa</v>
      </c>
      <c r="K972" t="str">
        <f>INDEX(products!$A$1:$I$49,MATCH('Conditional Fomating'!$D972,products!$A$1:$A$49,0),MATCH('Conditional Fomating'!K$1,products!$A$1:$D$1,0))</f>
        <v>M</v>
      </c>
      <c r="L972" t="str">
        <f t="shared" si="91"/>
        <v>Medium</v>
      </c>
      <c r="M972">
        <f>INDEX(products!$A$1:$I$49,MATCH('Conditional Fomating'!$D972,products!$A$1:$A$49,0),MATCH('Conditional Fomating'!M$1,products!$A$1:$D$1,0))</f>
        <v>0.5</v>
      </c>
      <c r="N972">
        <f>_xlfn.XLOOKUP(D972,products!$A$2:$A$49,products!$E$2:$E$49)</f>
        <v>8.25</v>
      </c>
      <c r="O972">
        <f>_xlfn.XLOOKUP(D972,products!$A$2:$A$49,products!$H$2:$H$49)</f>
        <v>7.3425000000000002</v>
      </c>
      <c r="P972">
        <f t="shared" si="92"/>
        <v>8.25</v>
      </c>
      <c r="Q972">
        <f t="shared" si="93"/>
        <v>7.3425000000000002</v>
      </c>
      <c r="R972">
        <f t="shared" si="94"/>
        <v>0.90749999999999975</v>
      </c>
      <c r="S972" s="4">
        <f t="shared" si="95"/>
        <v>0.10999999999999997</v>
      </c>
      <c r="T972" t="str">
        <f>_xlfn.XLOOKUP(C972,customers!$A$1:$A$1001,customers!$I$1:$I$1001,,0)</f>
        <v>No</v>
      </c>
    </row>
    <row r="973" spans="1:20"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INDEX(products!$A$1:$I$49,MATCH('Conditional Fomating'!$D973,products!$A$1:$A$49,0),MATCH('Conditional Fomating'!I$1,products!$A$1:$D$1,0))</f>
        <v>Ara</v>
      </c>
      <c r="J973" t="str">
        <f t="shared" si="90"/>
        <v>Arabica</v>
      </c>
      <c r="K973" t="str">
        <f>INDEX(products!$A$1:$I$49,MATCH('Conditional Fomating'!$D973,products!$A$1:$A$49,0),MATCH('Conditional Fomating'!K$1,products!$A$1:$D$1,0))</f>
        <v>L</v>
      </c>
      <c r="L973" t="str">
        <f t="shared" si="91"/>
        <v>Light</v>
      </c>
      <c r="M973">
        <f>INDEX(products!$A$1:$I$49,MATCH('Conditional Fomating'!$D973,products!$A$1:$A$49,0),MATCH('Conditional Fomating'!M$1,products!$A$1:$D$1,0))</f>
        <v>2.5</v>
      </c>
      <c r="N973">
        <f>_xlfn.XLOOKUP(D973,products!$A$2:$A$49,products!$E$2:$E$49)</f>
        <v>29.784999999999997</v>
      </c>
      <c r="O973">
        <f>_xlfn.XLOOKUP(D973,products!$A$2:$A$49,products!$H$2:$H$49)</f>
        <v>27.104349999999997</v>
      </c>
      <c r="P973">
        <f t="shared" si="92"/>
        <v>148.92499999999998</v>
      </c>
      <c r="Q973">
        <f t="shared" si="93"/>
        <v>135.52175</v>
      </c>
      <c r="R973">
        <f t="shared" si="94"/>
        <v>13.403249999999986</v>
      </c>
      <c r="S973" s="4">
        <f t="shared" si="95"/>
        <v>8.9999999999999913E-2</v>
      </c>
      <c r="T973" t="str">
        <f>_xlfn.XLOOKUP(C973,customers!$A$1:$A$1001,customers!$I$1:$I$1001,,0)</f>
        <v>No</v>
      </c>
    </row>
    <row r="974" spans="1:20"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v>
      </c>
      <c r="H974" s="2" t="str">
        <f>_xlfn.XLOOKUP(C974,customers!$A$1:$A$1001,customers!$G$1:$G$1001,,0)</f>
        <v>Ireland</v>
      </c>
      <c r="I974" t="str">
        <f>INDEX(products!$A$1:$I$49,MATCH('Conditional Fomating'!$D974,products!$A$1:$A$49,0),MATCH('Conditional Fomating'!I$1,products!$A$1:$D$1,0))</f>
        <v>Ara</v>
      </c>
      <c r="J974" t="str">
        <f t="shared" si="90"/>
        <v>Arabica</v>
      </c>
      <c r="K974" t="str">
        <f>INDEX(products!$A$1:$I$49,MATCH('Conditional Fomating'!$D974,products!$A$1:$A$49,0),MATCH('Conditional Fomating'!K$1,products!$A$1:$D$1,0))</f>
        <v>L</v>
      </c>
      <c r="L974" t="str">
        <f t="shared" si="91"/>
        <v>Light</v>
      </c>
      <c r="M974">
        <f>INDEX(products!$A$1:$I$49,MATCH('Conditional Fomating'!$D974,products!$A$1:$A$49,0),MATCH('Conditional Fomating'!M$1,products!$A$1:$D$1,0))</f>
        <v>2.5</v>
      </c>
      <c r="N974">
        <f>_xlfn.XLOOKUP(D974,products!$A$2:$A$49,products!$E$2:$E$49)</f>
        <v>29.784999999999997</v>
      </c>
      <c r="O974">
        <f>_xlfn.XLOOKUP(D974,products!$A$2:$A$49,products!$H$2:$H$49)</f>
        <v>27.104349999999997</v>
      </c>
      <c r="P974">
        <f t="shared" si="92"/>
        <v>89.35499999999999</v>
      </c>
      <c r="Q974">
        <f t="shared" si="93"/>
        <v>81.31304999999999</v>
      </c>
      <c r="R974">
        <f t="shared" si="94"/>
        <v>8.0419499999999999</v>
      </c>
      <c r="S974" s="4">
        <f t="shared" si="95"/>
        <v>9.0000000000000011E-2</v>
      </c>
      <c r="T974" t="str">
        <f>_xlfn.XLOOKUP(C974,customers!$A$1:$A$1001,customers!$I$1:$I$1001,,0)</f>
        <v>Yes</v>
      </c>
    </row>
    <row r="975" spans="1:20"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INDEX(products!$A$1:$I$49,MATCH('Conditional Fomating'!$D975,products!$A$1:$A$49,0),MATCH('Conditional Fomating'!I$1,products!$A$1:$D$1,0))</f>
        <v>Lib</v>
      </c>
      <c r="J975" t="str">
        <f t="shared" si="90"/>
        <v>Liberica</v>
      </c>
      <c r="K975" t="str">
        <f>INDEX(products!$A$1:$I$49,MATCH('Conditional Fomating'!$D975,products!$A$1:$A$49,0),MATCH('Conditional Fomating'!K$1,products!$A$1:$D$1,0))</f>
        <v>M</v>
      </c>
      <c r="L975" t="str">
        <f t="shared" si="91"/>
        <v>Medium</v>
      </c>
      <c r="M975">
        <f>INDEX(products!$A$1:$I$49,MATCH('Conditional Fomating'!$D975,products!$A$1:$A$49,0),MATCH('Conditional Fomating'!M$1,products!$A$1:$D$1,0))</f>
        <v>1</v>
      </c>
      <c r="N975">
        <f>_xlfn.XLOOKUP(D975,products!$A$2:$A$49,products!$E$2:$E$49)</f>
        <v>14.55</v>
      </c>
      <c r="O975">
        <f>_xlfn.XLOOKUP(D975,products!$A$2:$A$49,products!$H$2:$H$49)</f>
        <v>12.6585</v>
      </c>
      <c r="P975">
        <f t="shared" si="92"/>
        <v>87.300000000000011</v>
      </c>
      <c r="Q975">
        <f t="shared" si="93"/>
        <v>75.950999999999993</v>
      </c>
      <c r="R975">
        <f t="shared" si="94"/>
        <v>11.349000000000018</v>
      </c>
      <c r="S975" s="4">
        <f t="shared" si="95"/>
        <v>0.1300000000000002</v>
      </c>
      <c r="T975" t="str">
        <f>_xlfn.XLOOKUP(C975,customers!$A$1:$A$1001,customers!$I$1:$I$1001,,0)</f>
        <v>No</v>
      </c>
    </row>
    <row r="976" spans="1:20"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INDEX(products!$A$1:$I$49,MATCH('Conditional Fomating'!$D976,products!$A$1:$A$49,0),MATCH('Conditional Fomating'!I$1,products!$A$1:$D$1,0))</f>
        <v>Rob</v>
      </c>
      <c r="J976" t="str">
        <f t="shared" si="90"/>
        <v>Robusta</v>
      </c>
      <c r="K976" t="str">
        <f>INDEX(products!$A$1:$I$49,MATCH('Conditional Fomating'!$D976,products!$A$1:$A$49,0),MATCH('Conditional Fomating'!K$1,products!$A$1:$D$1,0))</f>
        <v>D</v>
      </c>
      <c r="L976" t="str">
        <f t="shared" si="91"/>
        <v>Dark</v>
      </c>
      <c r="M976">
        <f>INDEX(products!$A$1:$I$49,MATCH('Conditional Fomating'!$D976,products!$A$1:$A$49,0),MATCH('Conditional Fomating'!M$1,products!$A$1:$D$1,0))</f>
        <v>0.5</v>
      </c>
      <c r="N976">
        <f>_xlfn.XLOOKUP(D976,products!$A$2:$A$49,products!$E$2:$E$49)</f>
        <v>5.3699999999999992</v>
      </c>
      <c r="O976">
        <f>_xlfn.XLOOKUP(D976,products!$A$2:$A$49,products!$H$2:$H$49)</f>
        <v>5.0477999999999996</v>
      </c>
      <c r="P976">
        <f t="shared" si="92"/>
        <v>5.3699999999999992</v>
      </c>
      <c r="Q976">
        <f t="shared" si="93"/>
        <v>5.0477999999999996</v>
      </c>
      <c r="R976">
        <f t="shared" si="94"/>
        <v>0.3221999999999996</v>
      </c>
      <c r="S976" s="4">
        <f t="shared" si="95"/>
        <v>5.9999999999999935E-2</v>
      </c>
      <c r="T976" t="str">
        <f>_xlfn.XLOOKUP(C976,customers!$A$1:$A$1001,customers!$I$1:$I$1001,,0)</f>
        <v>Yes</v>
      </c>
    </row>
    <row r="977" spans="1:20"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INDEX(products!$A$1:$I$49,MATCH('Conditional Fomating'!$D977,products!$A$1:$A$49,0),MATCH('Conditional Fomating'!I$1,products!$A$1:$D$1,0))</f>
        <v>Ara</v>
      </c>
      <c r="J977" t="str">
        <f t="shared" si="90"/>
        <v>Arabica</v>
      </c>
      <c r="K977" t="str">
        <f>INDEX(products!$A$1:$I$49,MATCH('Conditional Fomating'!$D977,products!$A$1:$A$49,0),MATCH('Conditional Fomating'!K$1,products!$A$1:$D$1,0))</f>
        <v>D</v>
      </c>
      <c r="L977" t="str">
        <f t="shared" si="91"/>
        <v>Dark</v>
      </c>
      <c r="M977">
        <f>INDEX(products!$A$1:$I$49,MATCH('Conditional Fomating'!$D977,products!$A$1:$A$49,0),MATCH('Conditional Fomating'!M$1,products!$A$1:$D$1,0))</f>
        <v>0.2</v>
      </c>
      <c r="N977">
        <f>_xlfn.XLOOKUP(D977,products!$A$2:$A$49,products!$E$2:$E$49)</f>
        <v>2.9849999999999999</v>
      </c>
      <c r="O977">
        <f>_xlfn.XLOOKUP(D977,products!$A$2:$A$49,products!$H$2:$H$49)</f>
        <v>2.7163499999999998</v>
      </c>
      <c r="P977">
        <f t="shared" si="92"/>
        <v>8.9550000000000001</v>
      </c>
      <c r="Q977">
        <f t="shared" si="93"/>
        <v>8.149049999999999</v>
      </c>
      <c r="R977">
        <f t="shared" si="94"/>
        <v>0.80595000000000105</v>
      </c>
      <c r="S977" s="4">
        <f t="shared" si="95"/>
        <v>9.0000000000000122E-2</v>
      </c>
      <c r="T977" t="str">
        <f>_xlfn.XLOOKUP(C977,customers!$A$1:$A$1001,customers!$I$1:$I$1001,,0)</f>
        <v>Yes</v>
      </c>
    </row>
    <row r="978" spans="1:20"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INDEX(products!$A$1:$I$49,MATCH('Conditional Fomating'!$D978,products!$A$1:$A$49,0),MATCH('Conditional Fomating'!I$1,products!$A$1:$D$1,0))</f>
        <v>Rob</v>
      </c>
      <c r="J978" t="str">
        <f t="shared" si="90"/>
        <v>Robusta</v>
      </c>
      <c r="K978" t="str">
        <f>INDEX(products!$A$1:$I$49,MATCH('Conditional Fomating'!$D978,products!$A$1:$A$49,0),MATCH('Conditional Fomating'!K$1,products!$A$1:$D$1,0))</f>
        <v>L</v>
      </c>
      <c r="L978" t="str">
        <f t="shared" si="91"/>
        <v>Light</v>
      </c>
      <c r="M978">
        <f>INDEX(products!$A$1:$I$49,MATCH('Conditional Fomating'!$D978,products!$A$1:$A$49,0),MATCH('Conditional Fomating'!M$1,products!$A$1:$D$1,0))</f>
        <v>2.5</v>
      </c>
      <c r="N978">
        <f>_xlfn.XLOOKUP(D978,products!$A$2:$A$49,products!$E$2:$E$49)</f>
        <v>27.484999999999996</v>
      </c>
      <c r="O978">
        <f>_xlfn.XLOOKUP(D978,products!$A$2:$A$49,products!$H$2:$H$49)</f>
        <v>25.835899999999995</v>
      </c>
      <c r="P978">
        <f t="shared" si="92"/>
        <v>137.42499999999998</v>
      </c>
      <c r="Q978">
        <f t="shared" si="93"/>
        <v>129.17949999999996</v>
      </c>
      <c r="R978">
        <f t="shared" si="94"/>
        <v>8.2455000000000211</v>
      </c>
      <c r="S978" s="4">
        <f t="shared" si="95"/>
        <v>6.0000000000000164E-2</v>
      </c>
      <c r="T978" t="str">
        <f>_xlfn.XLOOKUP(C978,customers!$A$1:$A$1001,customers!$I$1:$I$1001,,0)</f>
        <v>Yes</v>
      </c>
    </row>
    <row r="979" spans="1:20"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INDEX(products!$A$1:$I$49,MATCH('Conditional Fomating'!$D979,products!$A$1:$A$49,0),MATCH('Conditional Fomating'!I$1,products!$A$1:$D$1,0))</f>
        <v>Rob</v>
      </c>
      <c r="J979" t="str">
        <f t="shared" si="90"/>
        <v>Robusta</v>
      </c>
      <c r="K979" t="str">
        <f>INDEX(products!$A$1:$I$49,MATCH('Conditional Fomating'!$D979,products!$A$1:$A$49,0),MATCH('Conditional Fomating'!K$1,products!$A$1:$D$1,0))</f>
        <v>L</v>
      </c>
      <c r="L979" t="str">
        <f t="shared" si="91"/>
        <v>Light</v>
      </c>
      <c r="M979">
        <f>INDEX(products!$A$1:$I$49,MATCH('Conditional Fomating'!$D979,products!$A$1:$A$49,0),MATCH('Conditional Fomating'!M$1,products!$A$1:$D$1,0))</f>
        <v>1</v>
      </c>
      <c r="N979">
        <f>_xlfn.XLOOKUP(D979,products!$A$2:$A$49,products!$E$2:$E$49)</f>
        <v>11.95</v>
      </c>
      <c r="O979">
        <f>_xlfn.XLOOKUP(D979,products!$A$2:$A$49,products!$H$2:$H$49)</f>
        <v>11.232999999999999</v>
      </c>
      <c r="P979">
        <f t="shared" si="92"/>
        <v>59.75</v>
      </c>
      <c r="Q979">
        <f t="shared" si="93"/>
        <v>56.164999999999992</v>
      </c>
      <c r="R979">
        <f t="shared" si="94"/>
        <v>3.585000000000008</v>
      </c>
      <c r="S979" s="4">
        <f t="shared" si="95"/>
        <v>6.0000000000000137E-2</v>
      </c>
      <c r="T979" t="str">
        <f>_xlfn.XLOOKUP(C979,customers!$A$1:$A$1001,customers!$I$1:$I$1001,,0)</f>
        <v>No</v>
      </c>
    </row>
    <row r="980" spans="1:20"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INDEX(products!$A$1:$I$49,MATCH('Conditional Fomating'!$D980,products!$A$1:$A$49,0),MATCH('Conditional Fomating'!I$1,products!$A$1:$D$1,0))</f>
        <v>Ara</v>
      </c>
      <c r="J980" t="str">
        <f t="shared" si="90"/>
        <v>Arabica</v>
      </c>
      <c r="K980" t="str">
        <f>INDEX(products!$A$1:$I$49,MATCH('Conditional Fomating'!$D980,products!$A$1:$A$49,0),MATCH('Conditional Fomating'!K$1,products!$A$1:$D$1,0))</f>
        <v>L</v>
      </c>
      <c r="L980" t="str">
        <f t="shared" si="91"/>
        <v>Light</v>
      </c>
      <c r="M980">
        <f>INDEX(products!$A$1:$I$49,MATCH('Conditional Fomating'!$D980,products!$A$1:$A$49,0),MATCH('Conditional Fomating'!M$1,products!$A$1:$D$1,0))</f>
        <v>0.5</v>
      </c>
      <c r="N980">
        <f>_xlfn.XLOOKUP(D980,products!$A$2:$A$49,products!$E$2:$E$49)</f>
        <v>7.77</v>
      </c>
      <c r="O980">
        <f>_xlfn.XLOOKUP(D980,products!$A$2:$A$49,products!$H$2:$H$49)</f>
        <v>7.0706999999999995</v>
      </c>
      <c r="P980">
        <f t="shared" si="92"/>
        <v>23.31</v>
      </c>
      <c r="Q980">
        <f t="shared" si="93"/>
        <v>21.2121</v>
      </c>
      <c r="R980">
        <f t="shared" si="94"/>
        <v>2.0978999999999992</v>
      </c>
      <c r="S980" s="4">
        <f t="shared" si="95"/>
        <v>8.9999999999999969E-2</v>
      </c>
      <c r="T980" t="str">
        <f>_xlfn.XLOOKUP(C980,customers!$A$1:$A$1001,customers!$I$1:$I$1001,,0)</f>
        <v>No</v>
      </c>
    </row>
    <row r="981" spans="1:20"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v>
      </c>
      <c r="H981" s="2" t="str">
        <f>_xlfn.XLOOKUP(C981,customers!$A$1:$A$1001,customers!$G$1:$G$1001,,0)</f>
        <v>United States</v>
      </c>
      <c r="I981" t="str">
        <f>INDEX(products!$A$1:$I$49,MATCH('Conditional Fomating'!$D981,products!$A$1:$A$49,0),MATCH('Conditional Fomating'!I$1,products!$A$1:$D$1,0))</f>
        <v>Rob</v>
      </c>
      <c r="J981" t="str">
        <f t="shared" si="90"/>
        <v>Robusta</v>
      </c>
      <c r="K981" t="str">
        <f>INDEX(products!$A$1:$I$49,MATCH('Conditional Fomating'!$D981,products!$A$1:$A$49,0),MATCH('Conditional Fomating'!K$1,products!$A$1:$D$1,0))</f>
        <v>D</v>
      </c>
      <c r="L981" t="str">
        <f t="shared" si="91"/>
        <v>Dark</v>
      </c>
      <c r="M981">
        <f>INDEX(products!$A$1:$I$49,MATCH('Conditional Fomating'!$D981,products!$A$1:$A$49,0),MATCH('Conditional Fomating'!M$1,products!$A$1:$D$1,0))</f>
        <v>0.5</v>
      </c>
      <c r="N981">
        <f>_xlfn.XLOOKUP(D981,products!$A$2:$A$49,products!$E$2:$E$49)</f>
        <v>5.3699999999999992</v>
      </c>
      <c r="O981">
        <f>_xlfn.XLOOKUP(D981,products!$A$2:$A$49,products!$H$2:$H$49)</f>
        <v>5.0477999999999996</v>
      </c>
      <c r="P981">
        <f t="shared" si="92"/>
        <v>10.739999999999998</v>
      </c>
      <c r="Q981">
        <f t="shared" si="93"/>
        <v>10.095599999999999</v>
      </c>
      <c r="R981">
        <f t="shared" si="94"/>
        <v>0.6443999999999992</v>
      </c>
      <c r="S981" s="4">
        <f t="shared" si="95"/>
        <v>5.9999999999999935E-2</v>
      </c>
      <c r="T981" t="str">
        <f>_xlfn.XLOOKUP(C981,customers!$A$1:$A$1001,customers!$I$1:$I$1001,,0)</f>
        <v>No</v>
      </c>
    </row>
    <row r="982" spans="1:20"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v>
      </c>
      <c r="H982" s="2" t="str">
        <f>_xlfn.XLOOKUP(C982,customers!$A$1:$A$1001,customers!$G$1:$G$1001,,0)</f>
        <v>United States</v>
      </c>
      <c r="I982" t="str">
        <f>INDEX(products!$A$1:$I$49,MATCH('Conditional Fomating'!$D982,products!$A$1:$A$49,0),MATCH('Conditional Fomating'!I$1,products!$A$1:$D$1,0))</f>
        <v>Exc</v>
      </c>
      <c r="J982" t="str">
        <f t="shared" si="90"/>
        <v>Excelsa</v>
      </c>
      <c r="K982" t="str">
        <f>INDEX(products!$A$1:$I$49,MATCH('Conditional Fomating'!$D982,products!$A$1:$A$49,0),MATCH('Conditional Fomating'!K$1,products!$A$1:$D$1,0))</f>
        <v>D</v>
      </c>
      <c r="L982" t="str">
        <f t="shared" si="91"/>
        <v>Dark</v>
      </c>
      <c r="M982">
        <f>INDEX(products!$A$1:$I$49,MATCH('Conditional Fomating'!$D982,products!$A$1:$A$49,0),MATCH('Conditional Fomating'!M$1,products!$A$1:$D$1,0))</f>
        <v>2.5</v>
      </c>
      <c r="N982">
        <f>_xlfn.XLOOKUP(D982,products!$A$2:$A$49,products!$E$2:$E$49)</f>
        <v>27.945</v>
      </c>
      <c r="O982">
        <f>_xlfn.XLOOKUP(D982,products!$A$2:$A$49,products!$H$2:$H$49)</f>
        <v>24.87105</v>
      </c>
      <c r="P982">
        <f t="shared" si="92"/>
        <v>167.67000000000002</v>
      </c>
      <c r="Q982">
        <f t="shared" si="93"/>
        <v>149.22630000000001</v>
      </c>
      <c r="R982">
        <f t="shared" si="94"/>
        <v>18.443700000000007</v>
      </c>
      <c r="S982" s="4">
        <f t="shared" si="95"/>
        <v>0.11000000000000003</v>
      </c>
      <c r="T982" t="str">
        <f>_xlfn.XLOOKUP(C982,customers!$A$1:$A$1001,customers!$I$1:$I$1001,,0)</f>
        <v>Yes</v>
      </c>
    </row>
    <row r="983" spans="1:20"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INDEX(products!$A$1:$I$49,MATCH('Conditional Fomating'!$D983,products!$A$1:$A$49,0),MATCH('Conditional Fomating'!I$1,products!$A$1:$D$1,0))</f>
        <v>Exc</v>
      </c>
      <c r="J983" t="str">
        <f t="shared" si="90"/>
        <v>Excelsa</v>
      </c>
      <c r="K983" t="str">
        <f>INDEX(products!$A$1:$I$49,MATCH('Conditional Fomating'!$D983,products!$A$1:$A$49,0),MATCH('Conditional Fomating'!K$1,products!$A$1:$D$1,0))</f>
        <v>D</v>
      </c>
      <c r="L983" t="str">
        <f t="shared" si="91"/>
        <v>Dark</v>
      </c>
      <c r="M983">
        <f>INDEX(products!$A$1:$I$49,MATCH('Conditional Fomating'!$D983,products!$A$1:$A$49,0),MATCH('Conditional Fomating'!M$1,products!$A$1:$D$1,0))</f>
        <v>0.2</v>
      </c>
      <c r="N983">
        <f>_xlfn.XLOOKUP(D983,products!$A$2:$A$49,products!$E$2:$E$49)</f>
        <v>3.645</v>
      </c>
      <c r="O983">
        <f>_xlfn.XLOOKUP(D983,products!$A$2:$A$49,products!$H$2:$H$49)</f>
        <v>3.2440500000000001</v>
      </c>
      <c r="P983">
        <f t="shared" si="92"/>
        <v>21.87</v>
      </c>
      <c r="Q983">
        <f t="shared" si="93"/>
        <v>19.464300000000001</v>
      </c>
      <c r="R983">
        <f t="shared" si="94"/>
        <v>2.4056999999999995</v>
      </c>
      <c r="S983" s="4">
        <f t="shared" si="95"/>
        <v>0.10999999999999997</v>
      </c>
      <c r="T983" t="str">
        <f>_xlfn.XLOOKUP(C983,customers!$A$1:$A$1001,customers!$I$1:$I$1001,,0)</f>
        <v>Yes</v>
      </c>
    </row>
    <row r="984" spans="1:20"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INDEX(products!$A$1:$I$49,MATCH('Conditional Fomating'!$D984,products!$A$1:$A$49,0),MATCH('Conditional Fomating'!I$1,products!$A$1:$D$1,0))</f>
        <v>Rob</v>
      </c>
      <c r="J984" t="str">
        <f t="shared" si="90"/>
        <v>Robusta</v>
      </c>
      <c r="K984" t="str">
        <f>INDEX(products!$A$1:$I$49,MATCH('Conditional Fomating'!$D984,products!$A$1:$A$49,0),MATCH('Conditional Fomating'!K$1,products!$A$1:$D$1,0))</f>
        <v>L</v>
      </c>
      <c r="L984" t="str">
        <f t="shared" si="91"/>
        <v>Light</v>
      </c>
      <c r="M984">
        <f>INDEX(products!$A$1:$I$49,MATCH('Conditional Fomating'!$D984,products!$A$1:$A$49,0),MATCH('Conditional Fomating'!M$1,products!$A$1:$D$1,0))</f>
        <v>1</v>
      </c>
      <c r="N984">
        <f>_xlfn.XLOOKUP(D984,products!$A$2:$A$49,products!$E$2:$E$49)</f>
        <v>11.95</v>
      </c>
      <c r="O984">
        <f>_xlfn.XLOOKUP(D984,products!$A$2:$A$49,products!$H$2:$H$49)</f>
        <v>11.232999999999999</v>
      </c>
      <c r="P984">
        <f t="shared" si="92"/>
        <v>23.9</v>
      </c>
      <c r="Q984">
        <f t="shared" si="93"/>
        <v>22.465999999999998</v>
      </c>
      <c r="R984">
        <f t="shared" si="94"/>
        <v>1.4340000000000011</v>
      </c>
      <c r="S984" s="4">
        <f t="shared" si="95"/>
        <v>6.0000000000000046E-2</v>
      </c>
      <c r="T984" t="str">
        <f>_xlfn.XLOOKUP(C984,customers!$A$1:$A$1001,customers!$I$1:$I$1001,,0)</f>
        <v>Yes</v>
      </c>
    </row>
    <row r="985" spans="1:20"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INDEX(products!$A$1:$I$49,MATCH('Conditional Fomating'!$D985,products!$A$1:$A$49,0),MATCH('Conditional Fomating'!I$1,products!$A$1:$D$1,0))</f>
        <v>Ara</v>
      </c>
      <c r="J985" t="str">
        <f t="shared" si="90"/>
        <v>Arabica</v>
      </c>
      <c r="K985" t="str">
        <f>INDEX(products!$A$1:$I$49,MATCH('Conditional Fomating'!$D985,products!$A$1:$A$49,0),MATCH('Conditional Fomating'!K$1,products!$A$1:$D$1,0))</f>
        <v>M</v>
      </c>
      <c r="L985" t="str">
        <f t="shared" si="91"/>
        <v>Medium</v>
      </c>
      <c r="M985">
        <f>INDEX(products!$A$1:$I$49,MATCH('Conditional Fomating'!$D985,products!$A$1:$A$49,0),MATCH('Conditional Fomating'!M$1,products!$A$1:$D$1,0))</f>
        <v>0.2</v>
      </c>
      <c r="N985">
        <f>_xlfn.XLOOKUP(D985,products!$A$2:$A$49,products!$E$2:$E$49)</f>
        <v>3.375</v>
      </c>
      <c r="O985">
        <f>_xlfn.XLOOKUP(D985,products!$A$2:$A$49,products!$H$2:$H$49)</f>
        <v>3.07125</v>
      </c>
      <c r="P985">
        <f t="shared" si="92"/>
        <v>6.75</v>
      </c>
      <c r="Q985">
        <f t="shared" si="93"/>
        <v>6.1425000000000001</v>
      </c>
      <c r="R985">
        <f t="shared" si="94"/>
        <v>0.60749999999999993</v>
      </c>
      <c r="S985" s="4">
        <f t="shared" si="95"/>
        <v>8.9999999999999983E-2</v>
      </c>
      <c r="T985" t="str">
        <f>_xlfn.XLOOKUP(C985,customers!$A$1:$A$1001,customers!$I$1:$I$1001,,0)</f>
        <v>Yes</v>
      </c>
    </row>
    <row r="986" spans="1:20"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INDEX(products!$A$1:$I$49,MATCH('Conditional Fomating'!$D986,products!$A$1:$A$49,0),MATCH('Conditional Fomating'!I$1,products!$A$1:$D$1,0))</f>
        <v>Exc</v>
      </c>
      <c r="J986" t="str">
        <f t="shared" si="90"/>
        <v>Excelsa</v>
      </c>
      <c r="K986" t="str">
        <f>INDEX(products!$A$1:$I$49,MATCH('Conditional Fomating'!$D986,products!$A$1:$A$49,0),MATCH('Conditional Fomating'!K$1,products!$A$1:$D$1,0))</f>
        <v>M</v>
      </c>
      <c r="L986" t="str">
        <f t="shared" si="91"/>
        <v>Medium</v>
      </c>
      <c r="M986">
        <f>INDEX(products!$A$1:$I$49,MATCH('Conditional Fomating'!$D986,products!$A$1:$A$49,0),MATCH('Conditional Fomating'!M$1,products!$A$1:$D$1,0))</f>
        <v>2.5</v>
      </c>
      <c r="N986">
        <f>_xlfn.XLOOKUP(D986,products!$A$2:$A$49,products!$E$2:$E$49)</f>
        <v>31.624999999999996</v>
      </c>
      <c r="O986">
        <f>_xlfn.XLOOKUP(D986,products!$A$2:$A$49,products!$H$2:$H$49)</f>
        <v>28.146249999999995</v>
      </c>
      <c r="P986">
        <f t="shared" si="92"/>
        <v>31.624999999999996</v>
      </c>
      <c r="Q986">
        <f t="shared" si="93"/>
        <v>28.146249999999995</v>
      </c>
      <c r="R986">
        <f t="shared" si="94"/>
        <v>3.4787500000000016</v>
      </c>
      <c r="S986" s="4">
        <f t="shared" si="95"/>
        <v>0.11000000000000006</v>
      </c>
      <c r="T986" t="str">
        <f>_xlfn.XLOOKUP(C986,customers!$A$1:$A$1001,customers!$I$1:$I$1001,,0)</f>
        <v>Yes</v>
      </c>
    </row>
    <row r="987" spans="1:20"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INDEX(products!$A$1:$I$49,MATCH('Conditional Fomating'!$D987,products!$A$1:$A$49,0),MATCH('Conditional Fomating'!I$1,products!$A$1:$D$1,0))</f>
        <v>Rob</v>
      </c>
      <c r="J987" t="str">
        <f t="shared" si="90"/>
        <v>Robusta</v>
      </c>
      <c r="K987" t="str">
        <f>INDEX(products!$A$1:$I$49,MATCH('Conditional Fomating'!$D987,products!$A$1:$A$49,0),MATCH('Conditional Fomating'!K$1,products!$A$1:$D$1,0))</f>
        <v>L</v>
      </c>
      <c r="L987" t="str">
        <f t="shared" si="91"/>
        <v>Light</v>
      </c>
      <c r="M987">
        <f>INDEX(products!$A$1:$I$49,MATCH('Conditional Fomating'!$D987,products!$A$1:$A$49,0),MATCH('Conditional Fomating'!M$1,products!$A$1:$D$1,0))</f>
        <v>1</v>
      </c>
      <c r="N987">
        <f>_xlfn.XLOOKUP(D987,products!$A$2:$A$49,products!$E$2:$E$49)</f>
        <v>11.95</v>
      </c>
      <c r="O987">
        <f>_xlfn.XLOOKUP(D987,products!$A$2:$A$49,products!$H$2:$H$49)</f>
        <v>11.232999999999999</v>
      </c>
      <c r="P987">
        <f t="shared" si="92"/>
        <v>47.8</v>
      </c>
      <c r="Q987">
        <f t="shared" si="93"/>
        <v>44.931999999999995</v>
      </c>
      <c r="R987">
        <f t="shared" si="94"/>
        <v>2.8680000000000021</v>
      </c>
      <c r="S987" s="4">
        <f t="shared" si="95"/>
        <v>6.0000000000000046E-2</v>
      </c>
      <c r="T987" t="str">
        <f>_xlfn.XLOOKUP(C987,customers!$A$1:$A$1001,customers!$I$1:$I$1001,,0)</f>
        <v>No</v>
      </c>
    </row>
    <row r="988" spans="1:20"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INDEX(products!$A$1:$I$49,MATCH('Conditional Fomating'!$D988,products!$A$1:$A$49,0),MATCH('Conditional Fomating'!I$1,products!$A$1:$D$1,0))</f>
        <v>Lib</v>
      </c>
      <c r="J988" t="str">
        <f t="shared" si="90"/>
        <v>Liberica</v>
      </c>
      <c r="K988" t="str">
        <f>INDEX(products!$A$1:$I$49,MATCH('Conditional Fomating'!$D988,products!$A$1:$A$49,0),MATCH('Conditional Fomating'!K$1,products!$A$1:$D$1,0))</f>
        <v>M</v>
      </c>
      <c r="L988" t="str">
        <f t="shared" si="91"/>
        <v>Medium</v>
      </c>
      <c r="M988">
        <f>INDEX(products!$A$1:$I$49,MATCH('Conditional Fomating'!$D988,products!$A$1:$A$49,0),MATCH('Conditional Fomating'!M$1,products!$A$1:$D$1,0))</f>
        <v>2.5</v>
      </c>
      <c r="N988">
        <f>_xlfn.XLOOKUP(D988,products!$A$2:$A$49,products!$E$2:$E$49)</f>
        <v>33.464999999999996</v>
      </c>
      <c r="O988">
        <f>_xlfn.XLOOKUP(D988,products!$A$2:$A$49,products!$H$2:$H$49)</f>
        <v>29.114549999999998</v>
      </c>
      <c r="P988">
        <f t="shared" si="92"/>
        <v>33.464999999999996</v>
      </c>
      <c r="Q988">
        <f t="shared" si="93"/>
        <v>29.114549999999998</v>
      </c>
      <c r="R988">
        <f t="shared" si="94"/>
        <v>4.3504499999999986</v>
      </c>
      <c r="S988" s="4">
        <f t="shared" si="95"/>
        <v>0.12999999999999998</v>
      </c>
      <c r="T988" t="str">
        <f>_xlfn.XLOOKUP(C988,customers!$A$1:$A$1001,customers!$I$1:$I$1001,,0)</f>
        <v>No</v>
      </c>
    </row>
    <row r="989" spans="1:20"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INDEX(products!$A$1:$I$49,MATCH('Conditional Fomating'!$D989,products!$A$1:$A$49,0),MATCH('Conditional Fomating'!I$1,products!$A$1:$D$1,0))</f>
        <v>Ara</v>
      </c>
      <c r="J989" t="str">
        <f t="shared" si="90"/>
        <v>Arabica</v>
      </c>
      <c r="K989" t="str">
        <f>INDEX(products!$A$1:$I$49,MATCH('Conditional Fomating'!$D989,products!$A$1:$A$49,0),MATCH('Conditional Fomating'!K$1,products!$A$1:$D$1,0))</f>
        <v>D</v>
      </c>
      <c r="L989" t="str">
        <f t="shared" si="91"/>
        <v>Dark</v>
      </c>
      <c r="M989">
        <f>INDEX(products!$A$1:$I$49,MATCH('Conditional Fomating'!$D989,products!$A$1:$A$49,0),MATCH('Conditional Fomating'!M$1,products!$A$1:$D$1,0))</f>
        <v>0.5</v>
      </c>
      <c r="N989">
        <f>_xlfn.XLOOKUP(D989,products!$A$2:$A$49,products!$E$2:$E$49)</f>
        <v>5.97</v>
      </c>
      <c r="O989">
        <f>_xlfn.XLOOKUP(D989,products!$A$2:$A$49,products!$H$2:$H$49)</f>
        <v>5.4326999999999996</v>
      </c>
      <c r="P989">
        <f t="shared" si="92"/>
        <v>29.849999999999998</v>
      </c>
      <c r="Q989">
        <f t="shared" si="93"/>
        <v>27.163499999999999</v>
      </c>
      <c r="R989">
        <f t="shared" si="94"/>
        <v>2.6864999999999988</v>
      </c>
      <c r="S989" s="4">
        <f t="shared" si="95"/>
        <v>8.9999999999999969E-2</v>
      </c>
      <c r="T989" t="str">
        <f>_xlfn.XLOOKUP(C989,customers!$A$1:$A$1001,customers!$I$1:$I$1001,,0)</f>
        <v>Yes</v>
      </c>
    </row>
    <row r="990" spans="1:20"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v>
      </c>
      <c r="H990" s="2" t="str">
        <f>_xlfn.XLOOKUP(C990,customers!$A$1:$A$1001,customers!$G$1:$G$1001,,0)</f>
        <v>United Kingdom</v>
      </c>
      <c r="I990" t="str">
        <f>INDEX(products!$A$1:$I$49,MATCH('Conditional Fomating'!$D990,products!$A$1:$A$49,0),MATCH('Conditional Fomating'!I$1,products!$A$1:$D$1,0))</f>
        <v>Rob</v>
      </c>
      <c r="J990" t="str">
        <f t="shared" si="90"/>
        <v>Robusta</v>
      </c>
      <c r="K990" t="str">
        <f>INDEX(products!$A$1:$I$49,MATCH('Conditional Fomating'!$D990,products!$A$1:$A$49,0),MATCH('Conditional Fomating'!K$1,products!$A$1:$D$1,0))</f>
        <v>M</v>
      </c>
      <c r="L990" t="str">
        <f t="shared" si="91"/>
        <v>Medium</v>
      </c>
      <c r="M990">
        <f>INDEX(products!$A$1:$I$49,MATCH('Conditional Fomating'!$D990,products!$A$1:$A$49,0),MATCH('Conditional Fomating'!M$1,products!$A$1:$D$1,0))</f>
        <v>1</v>
      </c>
      <c r="N990">
        <f>_xlfn.XLOOKUP(D990,products!$A$2:$A$49,products!$E$2:$E$49)</f>
        <v>9.9499999999999993</v>
      </c>
      <c r="O990">
        <f>_xlfn.XLOOKUP(D990,products!$A$2:$A$49,products!$H$2:$H$49)</f>
        <v>9.3529999999999998</v>
      </c>
      <c r="P990">
        <f t="shared" si="92"/>
        <v>29.849999999999998</v>
      </c>
      <c r="Q990">
        <f t="shared" si="93"/>
        <v>28.058999999999997</v>
      </c>
      <c r="R990">
        <f t="shared" si="94"/>
        <v>1.7910000000000004</v>
      </c>
      <c r="S990" s="4">
        <f t="shared" si="95"/>
        <v>6.0000000000000019E-2</v>
      </c>
      <c r="T990" t="str">
        <f>_xlfn.XLOOKUP(C990,customers!$A$1:$A$1001,customers!$I$1:$I$1001,,0)</f>
        <v>Yes</v>
      </c>
    </row>
    <row r="991" spans="1:20"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v>
      </c>
      <c r="H991" s="2" t="str">
        <f>_xlfn.XLOOKUP(C991,customers!$A$1:$A$1001,customers!$G$1:$G$1001,,0)</f>
        <v>United States</v>
      </c>
      <c r="I991" t="str">
        <f>INDEX(products!$A$1:$I$49,MATCH('Conditional Fomating'!$D991,products!$A$1:$A$49,0),MATCH('Conditional Fomating'!I$1,products!$A$1:$D$1,0))</f>
        <v>Ara</v>
      </c>
      <c r="J991" t="str">
        <f t="shared" si="90"/>
        <v>Arabica</v>
      </c>
      <c r="K991" t="str">
        <f>INDEX(products!$A$1:$I$49,MATCH('Conditional Fomating'!$D991,products!$A$1:$A$49,0),MATCH('Conditional Fomating'!K$1,products!$A$1:$D$1,0))</f>
        <v>M</v>
      </c>
      <c r="L991" t="str">
        <f t="shared" si="91"/>
        <v>Medium</v>
      </c>
      <c r="M991">
        <f>INDEX(products!$A$1:$I$49,MATCH('Conditional Fomating'!$D991,products!$A$1:$A$49,0),MATCH('Conditional Fomating'!M$1,products!$A$1:$D$1,0))</f>
        <v>2.5</v>
      </c>
      <c r="N991">
        <f>_xlfn.XLOOKUP(D991,products!$A$2:$A$49,products!$E$2:$E$49)</f>
        <v>25.874999999999996</v>
      </c>
      <c r="O991">
        <f>_xlfn.XLOOKUP(D991,products!$A$2:$A$49,products!$H$2:$H$49)</f>
        <v>23.546249999999997</v>
      </c>
      <c r="P991">
        <f t="shared" si="92"/>
        <v>155.24999999999997</v>
      </c>
      <c r="Q991">
        <f t="shared" si="93"/>
        <v>141.27749999999997</v>
      </c>
      <c r="R991">
        <f t="shared" si="94"/>
        <v>13.972499999999997</v>
      </c>
      <c r="S991" s="4">
        <f t="shared" si="95"/>
        <v>0.09</v>
      </c>
      <c r="T991" t="str">
        <f>_xlfn.XLOOKUP(C991,customers!$A$1:$A$1001,customers!$I$1:$I$1001,,0)</f>
        <v>Yes</v>
      </c>
    </row>
    <row r="992" spans="1:20"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v>
      </c>
      <c r="H992" s="2" t="str">
        <f>_xlfn.XLOOKUP(C992,customers!$A$1:$A$1001,customers!$G$1:$G$1001,,0)</f>
        <v>United States</v>
      </c>
      <c r="I992" t="str">
        <f>INDEX(products!$A$1:$I$49,MATCH('Conditional Fomating'!$D992,products!$A$1:$A$49,0),MATCH('Conditional Fomating'!I$1,products!$A$1:$D$1,0))</f>
        <v>Exc</v>
      </c>
      <c r="J992" t="str">
        <f t="shared" si="90"/>
        <v>Excelsa</v>
      </c>
      <c r="K992" t="str">
        <f>INDEX(products!$A$1:$I$49,MATCH('Conditional Fomating'!$D992,products!$A$1:$A$49,0),MATCH('Conditional Fomating'!K$1,products!$A$1:$D$1,0))</f>
        <v>D</v>
      </c>
      <c r="L992" t="str">
        <f t="shared" si="91"/>
        <v>Dark</v>
      </c>
      <c r="M992">
        <f>INDEX(products!$A$1:$I$49,MATCH('Conditional Fomating'!$D992,products!$A$1:$A$49,0),MATCH('Conditional Fomating'!M$1,products!$A$1:$D$1,0))</f>
        <v>0.2</v>
      </c>
      <c r="N992">
        <f>_xlfn.XLOOKUP(D992,products!$A$2:$A$49,products!$E$2:$E$49)</f>
        <v>3.645</v>
      </c>
      <c r="O992">
        <f>_xlfn.XLOOKUP(D992,products!$A$2:$A$49,products!$H$2:$H$49)</f>
        <v>3.2440500000000001</v>
      </c>
      <c r="P992">
        <f t="shared" si="92"/>
        <v>18.225000000000001</v>
      </c>
      <c r="Q992">
        <f t="shared" si="93"/>
        <v>16.22025</v>
      </c>
      <c r="R992">
        <f t="shared" si="94"/>
        <v>2.0047500000000014</v>
      </c>
      <c r="S992" s="4">
        <f t="shared" si="95"/>
        <v>0.11000000000000007</v>
      </c>
      <c r="T992" t="str">
        <f>_xlfn.XLOOKUP(C992,customers!$A$1:$A$1001,customers!$I$1:$I$1001,,0)</f>
        <v>No</v>
      </c>
    </row>
    <row r="993" spans="1:20"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v>
      </c>
      <c r="H993" s="2" t="str">
        <f>_xlfn.XLOOKUP(C993,customers!$A$1:$A$1001,customers!$G$1:$G$1001,,0)</f>
        <v>United States</v>
      </c>
      <c r="I993" t="str">
        <f>INDEX(products!$A$1:$I$49,MATCH('Conditional Fomating'!$D993,products!$A$1:$A$49,0),MATCH('Conditional Fomating'!I$1,products!$A$1:$D$1,0))</f>
        <v>Lib</v>
      </c>
      <c r="J993" t="str">
        <f t="shared" si="90"/>
        <v>Liberica</v>
      </c>
      <c r="K993" t="str">
        <f>INDEX(products!$A$1:$I$49,MATCH('Conditional Fomating'!$D993,products!$A$1:$A$49,0),MATCH('Conditional Fomating'!K$1,products!$A$1:$D$1,0))</f>
        <v>D</v>
      </c>
      <c r="L993" t="str">
        <f t="shared" si="91"/>
        <v>Dark</v>
      </c>
      <c r="M993">
        <f>INDEX(products!$A$1:$I$49,MATCH('Conditional Fomating'!$D993,products!$A$1:$A$49,0),MATCH('Conditional Fomating'!M$1,products!$A$1:$D$1,0))</f>
        <v>0.5</v>
      </c>
      <c r="N993">
        <f>_xlfn.XLOOKUP(D993,products!$A$2:$A$49,products!$E$2:$E$49)</f>
        <v>7.77</v>
      </c>
      <c r="O993">
        <f>_xlfn.XLOOKUP(D993,products!$A$2:$A$49,products!$H$2:$H$49)</f>
        <v>6.7599</v>
      </c>
      <c r="P993">
        <f t="shared" si="92"/>
        <v>15.54</v>
      </c>
      <c r="Q993">
        <f t="shared" si="93"/>
        <v>13.5198</v>
      </c>
      <c r="R993">
        <f t="shared" si="94"/>
        <v>2.0201999999999991</v>
      </c>
      <c r="S993" s="4">
        <f t="shared" si="95"/>
        <v>0.12999999999999995</v>
      </c>
      <c r="T993" t="str">
        <f>_xlfn.XLOOKUP(C993,customers!$A$1:$A$1001,customers!$I$1:$I$1001,,0)</f>
        <v>No</v>
      </c>
    </row>
    <row r="994" spans="1:20"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v>
      </c>
      <c r="H994" s="2" t="str">
        <f>_xlfn.XLOOKUP(C994,customers!$A$1:$A$1001,customers!$G$1:$G$1001,,0)</f>
        <v>Ireland</v>
      </c>
      <c r="I994" t="str">
        <f>INDEX(products!$A$1:$I$49,MATCH('Conditional Fomating'!$D994,products!$A$1:$A$49,0),MATCH('Conditional Fomating'!I$1,products!$A$1:$D$1,0))</f>
        <v>Lib</v>
      </c>
      <c r="J994" t="str">
        <f t="shared" si="90"/>
        <v>Liberica</v>
      </c>
      <c r="K994" t="str">
        <f>INDEX(products!$A$1:$I$49,MATCH('Conditional Fomating'!$D994,products!$A$1:$A$49,0),MATCH('Conditional Fomating'!K$1,products!$A$1:$D$1,0))</f>
        <v>L</v>
      </c>
      <c r="L994" t="str">
        <f t="shared" si="91"/>
        <v>Light</v>
      </c>
      <c r="M994">
        <f>INDEX(products!$A$1:$I$49,MATCH('Conditional Fomating'!$D994,products!$A$1:$A$49,0),MATCH('Conditional Fomating'!M$1,products!$A$1:$D$1,0))</f>
        <v>2.5</v>
      </c>
      <c r="N994">
        <f>_xlfn.XLOOKUP(D994,products!$A$2:$A$49,products!$E$2:$E$49)</f>
        <v>36.454999999999998</v>
      </c>
      <c r="O994">
        <f>_xlfn.XLOOKUP(D994,products!$A$2:$A$49,products!$H$2:$H$49)</f>
        <v>31.71585</v>
      </c>
      <c r="P994">
        <f t="shared" si="92"/>
        <v>109.36499999999999</v>
      </c>
      <c r="Q994">
        <f t="shared" si="93"/>
        <v>95.147549999999995</v>
      </c>
      <c r="R994">
        <f t="shared" si="94"/>
        <v>14.217449999999999</v>
      </c>
      <c r="S994" s="4">
        <f t="shared" si="95"/>
        <v>0.13</v>
      </c>
      <c r="T994" t="str">
        <f>_xlfn.XLOOKUP(C994,customers!$A$1:$A$1001,customers!$I$1:$I$1001,,0)</f>
        <v>No</v>
      </c>
    </row>
    <row r="995" spans="1:20"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v>
      </c>
      <c r="H995" s="2" t="str">
        <f>_xlfn.XLOOKUP(C995,customers!$A$1:$A$1001,customers!$G$1:$G$1001,,0)</f>
        <v>United States</v>
      </c>
      <c r="I995" t="str">
        <f>INDEX(products!$A$1:$I$49,MATCH('Conditional Fomating'!$D995,products!$A$1:$A$49,0),MATCH('Conditional Fomating'!I$1,products!$A$1:$D$1,0))</f>
        <v>Ara</v>
      </c>
      <c r="J995" t="str">
        <f t="shared" si="90"/>
        <v>Arabica</v>
      </c>
      <c r="K995" t="str">
        <f>INDEX(products!$A$1:$I$49,MATCH('Conditional Fomating'!$D995,products!$A$1:$A$49,0),MATCH('Conditional Fomating'!K$1,products!$A$1:$D$1,0))</f>
        <v>L</v>
      </c>
      <c r="L995" t="str">
        <f t="shared" si="91"/>
        <v>Light</v>
      </c>
      <c r="M995">
        <f>INDEX(products!$A$1:$I$49,MATCH('Conditional Fomating'!$D995,products!$A$1:$A$49,0),MATCH('Conditional Fomating'!M$1,products!$A$1:$D$1,0))</f>
        <v>1</v>
      </c>
      <c r="N995">
        <f>_xlfn.XLOOKUP(D995,products!$A$2:$A$49,products!$E$2:$E$49)</f>
        <v>12.95</v>
      </c>
      <c r="O995">
        <f>_xlfn.XLOOKUP(D995,products!$A$2:$A$49,products!$H$2:$H$49)</f>
        <v>11.7845</v>
      </c>
      <c r="P995">
        <f t="shared" si="92"/>
        <v>77.699999999999989</v>
      </c>
      <c r="Q995">
        <f t="shared" si="93"/>
        <v>70.706999999999994</v>
      </c>
      <c r="R995">
        <f t="shared" si="94"/>
        <v>6.992999999999995</v>
      </c>
      <c r="S995" s="4">
        <f t="shared" si="95"/>
        <v>8.9999999999999955E-2</v>
      </c>
      <c r="T995" t="str">
        <f>_xlfn.XLOOKUP(C995,customers!$A$1:$A$1001,customers!$I$1:$I$1001,,0)</f>
        <v>No</v>
      </c>
    </row>
    <row r="996" spans="1:20"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v>
      </c>
      <c r="H996" s="2" t="str">
        <f>_xlfn.XLOOKUP(C996,customers!$A$1:$A$1001,customers!$G$1:$G$1001,,0)</f>
        <v>Ireland</v>
      </c>
      <c r="I996" t="str">
        <f>INDEX(products!$A$1:$I$49,MATCH('Conditional Fomating'!$D996,products!$A$1:$A$49,0),MATCH('Conditional Fomating'!I$1,products!$A$1:$D$1,0))</f>
        <v>Ara</v>
      </c>
      <c r="J996" t="str">
        <f t="shared" si="90"/>
        <v>Arabica</v>
      </c>
      <c r="K996" t="str">
        <f>INDEX(products!$A$1:$I$49,MATCH('Conditional Fomating'!$D996,products!$A$1:$A$49,0),MATCH('Conditional Fomating'!K$1,products!$A$1:$D$1,0))</f>
        <v>D</v>
      </c>
      <c r="L996" t="str">
        <f t="shared" si="91"/>
        <v>Dark</v>
      </c>
      <c r="M996">
        <f>INDEX(products!$A$1:$I$49,MATCH('Conditional Fomating'!$D996,products!$A$1:$A$49,0),MATCH('Conditional Fomating'!M$1,products!$A$1:$D$1,0))</f>
        <v>0.2</v>
      </c>
      <c r="N996">
        <f>_xlfn.XLOOKUP(D996,products!$A$2:$A$49,products!$E$2:$E$49)</f>
        <v>2.9849999999999999</v>
      </c>
      <c r="O996">
        <f>_xlfn.XLOOKUP(D996,products!$A$2:$A$49,products!$H$2:$H$49)</f>
        <v>2.7163499999999998</v>
      </c>
      <c r="P996">
        <f t="shared" si="92"/>
        <v>8.9550000000000001</v>
      </c>
      <c r="Q996">
        <f t="shared" si="93"/>
        <v>8.149049999999999</v>
      </c>
      <c r="R996">
        <f t="shared" si="94"/>
        <v>0.80595000000000105</v>
      </c>
      <c r="S996" s="4">
        <f t="shared" si="95"/>
        <v>9.0000000000000122E-2</v>
      </c>
      <c r="T996" t="str">
        <f>_xlfn.XLOOKUP(C996,customers!$A$1:$A$1001,customers!$I$1:$I$1001,,0)</f>
        <v>No</v>
      </c>
    </row>
    <row r="997" spans="1:20"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INDEX(products!$A$1:$I$49,MATCH('Conditional Fomating'!$D997,products!$A$1:$A$49,0),MATCH('Conditional Fomating'!I$1,products!$A$1:$D$1,0))</f>
        <v>Rob</v>
      </c>
      <c r="J997" t="str">
        <f t="shared" si="90"/>
        <v>Robusta</v>
      </c>
      <c r="K997" t="str">
        <f>INDEX(products!$A$1:$I$49,MATCH('Conditional Fomating'!$D997,products!$A$1:$A$49,0),MATCH('Conditional Fomating'!K$1,products!$A$1:$D$1,0))</f>
        <v>L</v>
      </c>
      <c r="L997" t="str">
        <f t="shared" si="91"/>
        <v>Light</v>
      </c>
      <c r="M997">
        <f>INDEX(products!$A$1:$I$49,MATCH('Conditional Fomating'!$D997,products!$A$1:$A$49,0),MATCH('Conditional Fomating'!M$1,products!$A$1:$D$1,0))</f>
        <v>2.5</v>
      </c>
      <c r="N997">
        <f>_xlfn.XLOOKUP(D997,products!$A$2:$A$49,products!$E$2:$E$49)</f>
        <v>27.484999999999996</v>
      </c>
      <c r="O997">
        <f>_xlfn.XLOOKUP(D997,products!$A$2:$A$49,products!$H$2:$H$49)</f>
        <v>25.835899999999995</v>
      </c>
      <c r="P997">
        <f t="shared" si="92"/>
        <v>27.484999999999996</v>
      </c>
      <c r="Q997">
        <f t="shared" si="93"/>
        <v>25.835899999999995</v>
      </c>
      <c r="R997">
        <f t="shared" si="94"/>
        <v>1.6491000000000007</v>
      </c>
      <c r="S997" s="4">
        <f t="shared" si="95"/>
        <v>6.0000000000000032E-2</v>
      </c>
      <c r="T997" t="str">
        <f>_xlfn.XLOOKUP(C997,customers!$A$1:$A$1001,customers!$I$1:$I$1001,,0)</f>
        <v>No</v>
      </c>
    </row>
    <row r="998" spans="1:20"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v>
      </c>
      <c r="H998" s="2" t="str">
        <f>_xlfn.XLOOKUP(C998,customers!$A$1:$A$1001,customers!$G$1:$G$1001,,0)</f>
        <v>United States</v>
      </c>
      <c r="I998" t="str">
        <f>INDEX(products!$A$1:$I$49,MATCH('Conditional Fomating'!$D998,products!$A$1:$A$49,0),MATCH('Conditional Fomating'!I$1,products!$A$1:$D$1,0))</f>
        <v>Rob</v>
      </c>
      <c r="J998" t="str">
        <f t="shared" si="90"/>
        <v>Robusta</v>
      </c>
      <c r="K998" t="str">
        <f>INDEX(products!$A$1:$I$49,MATCH('Conditional Fomating'!$D998,products!$A$1:$A$49,0),MATCH('Conditional Fomating'!K$1,products!$A$1:$D$1,0))</f>
        <v>M</v>
      </c>
      <c r="L998" t="str">
        <f t="shared" si="91"/>
        <v>Medium</v>
      </c>
      <c r="M998">
        <f>INDEX(products!$A$1:$I$49,MATCH('Conditional Fomating'!$D998,products!$A$1:$A$49,0),MATCH('Conditional Fomating'!M$1,products!$A$1:$D$1,0))</f>
        <v>0.5</v>
      </c>
      <c r="N998">
        <f>_xlfn.XLOOKUP(D998,products!$A$2:$A$49,products!$E$2:$E$49)</f>
        <v>5.97</v>
      </c>
      <c r="O998">
        <f>_xlfn.XLOOKUP(D998,products!$A$2:$A$49,products!$H$2:$H$49)</f>
        <v>5.6117999999999997</v>
      </c>
      <c r="P998">
        <f t="shared" si="92"/>
        <v>29.849999999999998</v>
      </c>
      <c r="Q998">
        <f t="shared" si="93"/>
        <v>28.058999999999997</v>
      </c>
      <c r="R998">
        <f t="shared" si="94"/>
        <v>1.7910000000000004</v>
      </c>
      <c r="S998" s="4">
        <f t="shared" si="95"/>
        <v>6.0000000000000019E-2</v>
      </c>
      <c r="T998" t="str">
        <f>_xlfn.XLOOKUP(C998,customers!$A$1:$A$1001,customers!$I$1:$I$1001,,0)</f>
        <v>No</v>
      </c>
    </row>
    <row r="999" spans="1:20"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v>
      </c>
      <c r="H999" s="2" t="str">
        <f>_xlfn.XLOOKUP(C999,customers!$A$1:$A$1001,customers!$G$1:$G$1001,,0)</f>
        <v>United States</v>
      </c>
      <c r="I999" t="str">
        <f>INDEX(products!$A$1:$I$49,MATCH('Conditional Fomating'!$D999,products!$A$1:$A$49,0),MATCH('Conditional Fomating'!I$1,products!$A$1:$D$1,0))</f>
        <v>Ara</v>
      </c>
      <c r="J999" t="str">
        <f t="shared" si="90"/>
        <v>Arabica</v>
      </c>
      <c r="K999" t="str">
        <f>INDEX(products!$A$1:$I$49,MATCH('Conditional Fomating'!$D999,products!$A$1:$A$49,0),MATCH('Conditional Fomating'!K$1,products!$A$1:$D$1,0))</f>
        <v>M</v>
      </c>
      <c r="L999" t="str">
        <f t="shared" si="91"/>
        <v>Medium</v>
      </c>
      <c r="M999">
        <f>INDEX(products!$A$1:$I$49,MATCH('Conditional Fomating'!$D999,products!$A$1:$A$49,0),MATCH('Conditional Fomating'!M$1,products!$A$1:$D$1,0))</f>
        <v>0.5</v>
      </c>
      <c r="N999">
        <f>_xlfn.XLOOKUP(D999,products!$A$2:$A$49,products!$E$2:$E$49)</f>
        <v>6.75</v>
      </c>
      <c r="O999">
        <f>_xlfn.XLOOKUP(D999,products!$A$2:$A$49,products!$H$2:$H$49)</f>
        <v>6.1425000000000001</v>
      </c>
      <c r="P999">
        <f t="shared" si="92"/>
        <v>27</v>
      </c>
      <c r="Q999">
        <f t="shared" si="93"/>
        <v>24.57</v>
      </c>
      <c r="R999">
        <f t="shared" si="94"/>
        <v>2.4299999999999997</v>
      </c>
      <c r="S999" s="4">
        <f t="shared" si="95"/>
        <v>8.9999999999999983E-2</v>
      </c>
      <c r="T999" t="str">
        <f>_xlfn.XLOOKUP(C999,customers!$A$1:$A$1001,customers!$I$1:$I$1001,,0)</f>
        <v>No</v>
      </c>
    </row>
    <row r="1000" spans="1:20"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INDEX(products!$A$1:$I$49,MATCH('Conditional Fomating'!$D1000,products!$A$1:$A$49,0),MATCH('Conditional Fomating'!I$1,products!$A$1:$D$1,0))</f>
        <v>Ara</v>
      </c>
      <c r="J1000" t="str">
        <f t="shared" si="90"/>
        <v>Arabica</v>
      </c>
      <c r="K1000" t="str">
        <f>INDEX(products!$A$1:$I$49,MATCH('Conditional Fomating'!$D1000,products!$A$1:$A$49,0),MATCH('Conditional Fomating'!K$1,products!$A$1:$D$1,0))</f>
        <v>D</v>
      </c>
      <c r="L1000" t="str">
        <f t="shared" si="91"/>
        <v>Dark</v>
      </c>
      <c r="M1000">
        <f>INDEX(products!$A$1:$I$49,MATCH('Conditional Fomating'!$D1000,products!$A$1:$A$49,0),MATCH('Conditional Fomating'!M$1,products!$A$1:$D$1,0))</f>
        <v>1</v>
      </c>
      <c r="N1000">
        <f>_xlfn.XLOOKUP(D1000,products!$A$2:$A$49,products!$E$2:$E$49)</f>
        <v>9.9499999999999993</v>
      </c>
      <c r="O1000">
        <f>_xlfn.XLOOKUP(D1000,products!$A$2:$A$49,products!$H$2:$H$49)</f>
        <v>9.0544999999999991</v>
      </c>
      <c r="P1000">
        <f t="shared" si="92"/>
        <v>9.9499999999999993</v>
      </c>
      <c r="Q1000">
        <f t="shared" si="93"/>
        <v>9.0544999999999991</v>
      </c>
      <c r="R1000">
        <f t="shared" si="94"/>
        <v>0.89550000000000018</v>
      </c>
      <c r="S1000" s="4">
        <f t="shared" si="95"/>
        <v>9.0000000000000024E-2</v>
      </c>
      <c r="T1000" t="str">
        <f>_xlfn.XLOOKUP(C1000,customers!$A$1:$A$1001,customers!$I$1:$I$1001,,0)</f>
        <v>No</v>
      </c>
    </row>
    <row r="1001" spans="1:20"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v>
      </c>
      <c r="H1001" s="2" t="str">
        <f>_xlfn.XLOOKUP(C1001,customers!$A$1:$A$1001,customers!$G$1:$G$1001,,0)</f>
        <v>United Kingdom</v>
      </c>
      <c r="I1001" t="str">
        <f>INDEX(products!$A$1:$I$49,MATCH('Conditional Fomating'!$D1001,products!$A$1:$A$49,0),MATCH('Conditional Fomating'!I$1,products!$A$1:$D$1,0))</f>
        <v>Exc</v>
      </c>
      <c r="J1001" t="str">
        <f t="shared" si="90"/>
        <v>Excelsa</v>
      </c>
      <c r="K1001" t="str">
        <f>INDEX(products!$A$1:$I$49,MATCH('Conditional Fomating'!$D1001,products!$A$1:$A$49,0),MATCH('Conditional Fomating'!K$1,products!$A$1:$D$1,0))</f>
        <v>M</v>
      </c>
      <c r="L1001" t="str">
        <f t="shared" si="91"/>
        <v>Medium</v>
      </c>
      <c r="M1001">
        <f>INDEX(products!$A$1:$I$49,MATCH('Conditional Fomating'!$D1001,products!$A$1:$A$49,0),MATCH('Conditional Fomating'!M$1,products!$A$1:$D$1,0))</f>
        <v>0.2</v>
      </c>
      <c r="N1001">
        <f>_xlfn.XLOOKUP(D1001,products!$A$2:$A$49,products!$E$2:$E$49)</f>
        <v>4.125</v>
      </c>
      <c r="O1001">
        <f>_xlfn.XLOOKUP(D1001,products!$A$2:$A$49,products!$H$2:$H$49)</f>
        <v>3.6712500000000001</v>
      </c>
      <c r="P1001">
        <f t="shared" si="92"/>
        <v>12.375</v>
      </c>
      <c r="Q1001">
        <f t="shared" si="93"/>
        <v>11.01375</v>
      </c>
      <c r="R1001">
        <f t="shared" si="94"/>
        <v>1.3612500000000001</v>
      </c>
      <c r="S1001" s="4">
        <f t="shared" si="95"/>
        <v>0.11</v>
      </c>
      <c r="T1001" t="str">
        <f>_xlfn.XLOOKUP(C1001,customers!$A$1:$A$1001,customers!$I$1:$I$1001,,0)</f>
        <v>Yes</v>
      </c>
    </row>
  </sheetData>
  <conditionalFormatting sqref="A2:T1001">
    <cfRule type="expression" dxfId="0" priority="4">
      <formula>AND($K2="L",$R2&gt;=15)</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F24D-1BAE-4584-A994-7ACD76DFA5F8}">
  <sheetPr>
    <tabColor rgb="FFFFFF00"/>
  </sheetPr>
  <dimension ref="A1:I1001"/>
  <sheetViews>
    <sheetView topLeftCell="A4" workbookViewId="0">
      <selection activeCell="F3" sqref="F3"/>
    </sheetView>
  </sheetViews>
  <sheetFormatPr defaultRowHeight="15" x14ac:dyDescent="0.25"/>
  <cols>
    <col min="1" max="1" width="19.28515625" customWidth="1"/>
    <col min="2" max="2" width="20.28515625" customWidth="1"/>
    <col min="3" max="3" width="19" customWidth="1"/>
    <col min="5" max="5" width="19.85546875" customWidth="1"/>
    <col min="6" max="6" width="44" customWidth="1"/>
    <col min="7" max="7" width="18.28515625" customWidth="1"/>
    <col min="9" max="9" width="18.7109375" customWidth="1"/>
  </cols>
  <sheetData>
    <row r="1" spans="1:9" x14ac:dyDescent="0.25">
      <c r="A1" s="27" t="s">
        <v>4</v>
      </c>
      <c r="B1" s="27" t="s">
        <v>2</v>
      </c>
      <c r="C1" s="27" t="s">
        <v>317</v>
      </c>
    </row>
    <row r="2" spans="1:9" x14ac:dyDescent="0.25">
      <c r="A2" s="19" t="s">
        <v>492</v>
      </c>
      <c r="B2" s="19" t="s">
        <v>493</v>
      </c>
      <c r="C2" s="19" t="s">
        <v>494</v>
      </c>
      <c r="E2" s="26" t="s">
        <v>6242</v>
      </c>
      <c r="F2" s="26" t="s">
        <v>2</v>
      </c>
      <c r="G2" s="26" t="s">
        <v>6243</v>
      </c>
    </row>
    <row r="3" spans="1:9" x14ac:dyDescent="0.25">
      <c r="A3" s="19" t="s">
        <v>497</v>
      </c>
      <c r="B3" s="19" t="s">
        <v>498</v>
      </c>
      <c r="C3" s="19" t="s">
        <v>499</v>
      </c>
      <c r="E3" s="25" t="s">
        <v>5765</v>
      </c>
      <c r="F3" s="24" t="str">
        <f>IF(VLOOKUP(E3,A2:C1001,MATCH(F2,A1:C1,0),FALSE)=0,"Not Available",VLOOKUP(E3,A2:C1001,MATCH(F2,A1:C1,0),FALSE))</f>
        <v>Not Available</v>
      </c>
      <c r="G3" s="23" t="str">
        <f>IF(VLOOKUP(E3,A2:C1001,MATCH(G2,A1:C1,0),FALSE)=0,"Not Available",VLOOKUP(E3,A2:C1001,MATCH(G2,A1:C1,0),FALSE))</f>
        <v>+1 (405) 369-5173</v>
      </c>
      <c r="I3" s="22" t="s">
        <v>6242</v>
      </c>
    </row>
    <row r="4" spans="1:9" x14ac:dyDescent="0.25">
      <c r="A4" s="19" t="s">
        <v>503</v>
      </c>
      <c r="B4" s="19" t="s">
        <v>504</v>
      </c>
      <c r="C4" s="19" t="s">
        <v>505</v>
      </c>
      <c r="F4" s="21"/>
      <c r="I4" s="20" t="s">
        <v>786</v>
      </c>
    </row>
    <row r="5" spans="1:9" x14ac:dyDescent="0.25">
      <c r="A5" s="19" t="s">
        <v>508</v>
      </c>
      <c r="B5" s="19" t="s">
        <v>509</v>
      </c>
      <c r="C5" s="19" t="s">
        <v>510</v>
      </c>
      <c r="I5" s="20" t="s">
        <v>1450</v>
      </c>
    </row>
    <row r="6" spans="1:9" x14ac:dyDescent="0.25">
      <c r="A6" s="19" t="s">
        <v>514</v>
      </c>
      <c r="B6" s="19"/>
      <c r="C6" s="19" t="s">
        <v>515</v>
      </c>
      <c r="I6" s="20" t="s">
        <v>1598</v>
      </c>
    </row>
    <row r="7" spans="1:9" x14ac:dyDescent="0.25">
      <c r="A7" s="19" t="s">
        <v>521</v>
      </c>
      <c r="B7" s="19"/>
      <c r="C7" s="19" t="s">
        <v>522</v>
      </c>
      <c r="I7" s="20" t="s">
        <v>3841</v>
      </c>
    </row>
    <row r="8" spans="1:9" x14ac:dyDescent="0.25">
      <c r="A8" s="19" t="s">
        <v>526</v>
      </c>
      <c r="B8" s="19" t="s">
        <v>527</v>
      </c>
      <c r="C8" s="19" t="s">
        <v>528</v>
      </c>
      <c r="I8" s="20" t="s">
        <v>5765</v>
      </c>
    </row>
    <row r="9" spans="1:9" x14ac:dyDescent="0.25">
      <c r="A9" s="19" t="s">
        <v>532</v>
      </c>
      <c r="B9" s="19"/>
      <c r="C9" s="19" t="s">
        <v>533</v>
      </c>
    </row>
    <row r="10" spans="1:9" ht="45" x14ac:dyDescent="0.25">
      <c r="A10" s="19" t="s">
        <v>537</v>
      </c>
      <c r="B10" s="19" t="s">
        <v>538</v>
      </c>
      <c r="C10" s="19" t="s">
        <v>539</v>
      </c>
      <c r="E10" s="28" t="s">
        <v>6241</v>
      </c>
    </row>
    <row r="11" spans="1:9" x14ac:dyDescent="0.25">
      <c r="A11" s="19" t="s">
        <v>543</v>
      </c>
      <c r="B11" s="19" t="s">
        <v>544</v>
      </c>
      <c r="C11" s="19" t="s">
        <v>545</v>
      </c>
    </row>
    <row r="12" spans="1:9" x14ac:dyDescent="0.25">
      <c r="A12" s="19" t="s">
        <v>549</v>
      </c>
      <c r="B12" s="19" t="s">
        <v>550</v>
      </c>
      <c r="C12" s="19" t="s">
        <v>551</v>
      </c>
    </row>
    <row r="13" spans="1:9" x14ac:dyDescent="0.25">
      <c r="A13" s="19" t="s">
        <v>555</v>
      </c>
      <c r="B13" s="19" t="s">
        <v>556</v>
      </c>
      <c r="C13" s="19" t="s">
        <v>557</v>
      </c>
    </row>
    <row r="14" spans="1:9" x14ac:dyDescent="0.25">
      <c r="A14" s="19" t="s">
        <v>561</v>
      </c>
      <c r="B14" s="19" t="s">
        <v>562</v>
      </c>
      <c r="C14" s="19" t="s">
        <v>563</v>
      </c>
    </row>
    <row r="15" spans="1:9" x14ac:dyDescent="0.25">
      <c r="A15" s="19" t="s">
        <v>567</v>
      </c>
      <c r="B15" s="19" t="s">
        <v>568</v>
      </c>
      <c r="C15" s="19"/>
    </row>
    <row r="16" spans="1:9" x14ac:dyDescent="0.25">
      <c r="A16" s="19" t="s">
        <v>572</v>
      </c>
      <c r="B16" s="19" t="s">
        <v>573</v>
      </c>
      <c r="C16" s="19" t="s">
        <v>574</v>
      </c>
    </row>
    <row r="17" spans="1:3" x14ac:dyDescent="0.25">
      <c r="A17" s="19" t="s">
        <v>578</v>
      </c>
      <c r="B17" s="19" t="s">
        <v>579</v>
      </c>
      <c r="C17" s="19"/>
    </row>
    <row r="18" spans="1:3" x14ac:dyDescent="0.25">
      <c r="A18" s="19" t="s">
        <v>583</v>
      </c>
      <c r="B18" s="19" t="s">
        <v>584</v>
      </c>
      <c r="C18" s="19" t="s">
        <v>585</v>
      </c>
    </row>
    <row r="19" spans="1:3" x14ac:dyDescent="0.25">
      <c r="A19" s="19" t="s">
        <v>589</v>
      </c>
      <c r="B19" s="19" t="s">
        <v>590</v>
      </c>
      <c r="C19" s="19" t="s">
        <v>591</v>
      </c>
    </row>
    <row r="20" spans="1:3" x14ac:dyDescent="0.25">
      <c r="A20" s="19" t="s">
        <v>595</v>
      </c>
      <c r="B20" s="19" t="s">
        <v>596</v>
      </c>
      <c r="C20" s="19"/>
    </row>
    <row r="21" spans="1:3" x14ac:dyDescent="0.25">
      <c r="A21" s="19" t="s">
        <v>600</v>
      </c>
      <c r="B21" s="19" t="s">
        <v>601</v>
      </c>
      <c r="C21" s="19" t="s">
        <v>602</v>
      </c>
    </row>
    <row r="22" spans="1:3" x14ac:dyDescent="0.25">
      <c r="A22" s="19" t="s">
        <v>605</v>
      </c>
      <c r="B22" s="19"/>
      <c r="C22" s="19" t="s">
        <v>606</v>
      </c>
    </row>
    <row r="23" spans="1:3" x14ac:dyDescent="0.25">
      <c r="A23" s="19" t="s">
        <v>610</v>
      </c>
      <c r="B23" s="19" t="s">
        <v>611</v>
      </c>
      <c r="C23" s="19" t="s">
        <v>612</v>
      </c>
    </row>
    <row r="24" spans="1:3" x14ac:dyDescent="0.25">
      <c r="A24" s="19" t="s">
        <v>616</v>
      </c>
      <c r="B24" s="19" t="s">
        <v>617</v>
      </c>
      <c r="C24" s="19" t="s">
        <v>618</v>
      </c>
    </row>
    <row r="25" spans="1:3" x14ac:dyDescent="0.25">
      <c r="A25" s="19" t="s">
        <v>622</v>
      </c>
      <c r="B25" s="19" t="s">
        <v>623</v>
      </c>
      <c r="C25" s="19" t="s">
        <v>624</v>
      </c>
    </row>
    <row r="26" spans="1:3" x14ac:dyDescent="0.25">
      <c r="A26" s="19" t="s">
        <v>628</v>
      </c>
      <c r="B26" s="19" t="s">
        <v>629</v>
      </c>
      <c r="C26" s="19" t="s">
        <v>630</v>
      </c>
    </row>
    <row r="27" spans="1:3" x14ac:dyDescent="0.25">
      <c r="A27" s="19" t="s">
        <v>634</v>
      </c>
      <c r="B27" s="19"/>
      <c r="C27" s="19" t="s">
        <v>635</v>
      </c>
    </row>
    <row r="28" spans="1:3" x14ac:dyDescent="0.25">
      <c r="A28" s="19" t="s">
        <v>639</v>
      </c>
      <c r="B28" s="19" t="s">
        <v>640</v>
      </c>
      <c r="C28" s="19" t="s">
        <v>641</v>
      </c>
    </row>
    <row r="29" spans="1:3" x14ac:dyDescent="0.25">
      <c r="A29" s="19" t="s">
        <v>645</v>
      </c>
      <c r="B29" s="19" t="s">
        <v>646</v>
      </c>
      <c r="C29" s="19" t="s">
        <v>647</v>
      </c>
    </row>
    <row r="30" spans="1:3" x14ac:dyDescent="0.25">
      <c r="A30" s="19" t="s">
        <v>651</v>
      </c>
      <c r="B30" s="19" t="s">
        <v>652</v>
      </c>
      <c r="C30" s="19" t="s">
        <v>653</v>
      </c>
    </row>
    <row r="31" spans="1:3" x14ac:dyDescent="0.25">
      <c r="A31" s="19" t="s">
        <v>657</v>
      </c>
      <c r="B31" s="19" t="s">
        <v>658</v>
      </c>
      <c r="C31" s="19" t="s">
        <v>659</v>
      </c>
    </row>
    <row r="32" spans="1:3" x14ac:dyDescent="0.25">
      <c r="A32" s="19" t="s">
        <v>663</v>
      </c>
      <c r="B32" s="19"/>
      <c r="C32" s="19" t="s">
        <v>664</v>
      </c>
    </row>
    <row r="33" spans="1:3" x14ac:dyDescent="0.25">
      <c r="A33" s="19" t="s">
        <v>667</v>
      </c>
      <c r="B33" s="19" t="s">
        <v>668</v>
      </c>
      <c r="C33" s="19" t="s">
        <v>669</v>
      </c>
    </row>
    <row r="34" spans="1:3" x14ac:dyDescent="0.25">
      <c r="A34" s="19" t="s">
        <v>672</v>
      </c>
      <c r="B34" s="19" t="s">
        <v>673</v>
      </c>
      <c r="C34" s="19" t="s">
        <v>674</v>
      </c>
    </row>
    <row r="35" spans="1:3" x14ac:dyDescent="0.25">
      <c r="A35" s="19" t="s">
        <v>678</v>
      </c>
      <c r="B35" s="19" t="s">
        <v>679</v>
      </c>
      <c r="C35" s="19"/>
    </row>
    <row r="36" spans="1:3" x14ac:dyDescent="0.25">
      <c r="A36" s="19" t="s">
        <v>683</v>
      </c>
      <c r="B36" s="19" t="s">
        <v>684</v>
      </c>
      <c r="C36" s="19" t="s">
        <v>685</v>
      </c>
    </row>
    <row r="37" spans="1:3" x14ac:dyDescent="0.25">
      <c r="A37" s="19" t="s">
        <v>689</v>
      </c>
      <c r="B37" s="19" t="s">
        <v>690</v>
      </c>
      <c r="C37" s="19" t="s">
        <v>691</v>
      </c>
    </row>
    <row r="38" spans="1:3" x14ac:dyDescent="0.25">
      <c r="A38" s="19" t="s">
        <v>695</v>
      </c>
      <c r="B38" s="19" t="s">
        <v>696</v>
      </c>
      <c r="C38" s="19" t="s">
        <v>697</v>
      </c>
    </row>
    <row r="39" spans="1:3" x14ac:dyDescent="0.25">
      <c r="A39" s="19" t="s">
        <v>701</v>
      </c>
      <c r="B39" s="19" t="s">
        <v>702</v>
      </c>
      <c r="C39" s="19" t="s">
        <v>703</v>
      </c>
    </row>
    <row r="40" spans="1:3" x14ac:dyDescent="0.25">
      <c r="A40" s="19" t="s">
        <v>707</v>
      </c>
      <c r="B40" s="19" t="s">
        <v>708</v>
      </c>
      <c r="C40" s="19" t="s">
        <v>709</v>
      </c>
    </row>
    <row r="41" spans="1:3" x14ac:dyDescent="0.25">
      <c r="A41" s="19" t="s">
        <v>713</v>
      </c>
      <c r="B41" s="19"/>
      <c r="C41" s="19"/>
    </row>
    <row r="42" spans="1:3" x14ac:dyDescent="0.25">
      <c r="A42" s="19" t="s">
        <v>717</v>
      </c>
      <c r="B42" s="19"/>
      <c r="C42" s="19" t="s">
        <v>718</v>
      </c>
    </row>
    <row r="43" spans="1:3" x14ac:dyDescent="0.25">
      <c r="A43" s="19" t="s">
        <v>722</v>
      </c>
      <c r="B43" s="19" t="s">
        <v>723</v>
      </c>
      <c r="C43" s="19" t="s">
        <v>724</v>
      </c>
    </row>
    <row r="44" spans="1:3" x14ac:dyDescent="0.25">
      <c r="A44" s="19" t="s">
        <v>728</v>
      </c>
      <c r="B44" s="19" t="s">
        <v>729</v>
      </c>
      <c r="C44" s="19" t="s">
        <v>730</v>
      </c>
    </row>
    <row r="45" spans="1:3" x14ac:dyDescent="0.25">
      <c r="A45" s="19" t="s">
        <v>735</v>
      </c>
      <c r="B45" s="19"/>
      <c r="C45" s="19" t="s">
        <v>736</v>
      </c>
    </row>
    <row r="46" spans="1:3" x14ac:dyDescent="0.25">
      <c r="A46" s="19" t="s">
        <v>740</v>
      </c>
      <c r="B46" s="19" t="s">
        <v>741</v>
      </c>
      <c r="C46" s="19" t="s">
        <v>742</v>
      </c>
    </row>
    <row r="47" spans="1:3" x14ac:dyDescent="0.25">
      <c r="A47" s="19" t="s">
        <v>746</v>
      </c>
      <c r="B47" s="19" t="s">
        <v>747</v>
      </c>
      <c r="C47" s="19" t="s">
        <v>748</v>
      </c>
    </row>
    <row r="48" spans="1:3" x14ac:dyDescent="0.25">
      <c r="A48" s="19" t="s">
        <v>752</v>
      </c>
      <c r="B48" s="19"/>
      <c r="C48" s="19" t="s">
        <v>753</v>
      </c>
    </row>
    <row r="49" spans="1:3" x14ac:dyDescent="0.25">
      <c r="A49" s="19" t="s">
        <v>757</v>
      </c>
      <c r="B49" s="19" t="s">
        <v>758</v>
      </c>
      <c r="C49" s="19" t="s">
        <v>759</v>
      </c>
    </row>
    <row r="50" spans="1:3" x14ac:dyDescent="0.25">
      <c r="A50" s="19" t="s">
        <v>763</v>
      </c>
      <c r="B50" s="19" t="s">
        <v>764</v>
      </c>
      <c r="C50" s="19"/>
    </row>
    <row r="51" spans="1:3" x14ac:dyDescent="0.25">
      <c r="A51" s="19" t="s">
        <v>768</v>
      </c>
      <c r="B51" s="19" t="s">
        <v>769</v>
      </c>
      <c r="C51" s="19" t="s">
        <v>770</v>
      </c>
    </row>
    <row r="52" spans="1:3" x14ac:dyDescent="0.25">
      <c r="A52" s="19" t="s">
        <v>774</v>
      </c>
      <c r="B52" s="19" t="s">
        <v>775</v>
      </c>
      <c r="C52" s="19" t="s">
        <v>776</v>
      </c>
    </row>
    <row r="53" spans="1:3" x14ac:dyDescent="0.25">
      <c r="A53" s="19" t="s">
        <v>780</v>
      </c>
      <c r="B53" s="19" t="s">
        <v>781</v>
      </c>
      <c r="C53" s="19" t="s">
        <v>782</v>
      </c>
    </row>
    <row r="54" spans="1:3" x14ac:dyDescent="0.25">
      <c r="A54" s="19" t="s">
        <v>786</v>
      </c>
      <c r="B54" s="19" t="s">
        <v>787</v>
      </c>
      <c r="C54" s="19"/>
    </row>
    <row r="55" spans="1:3" x14ac:dyDescent="0.25">
      <c r="A55" s="19" t="s">
        <v>790</v>
      </c>
      <c r="B55" s="19" t="s">
        <v>791</v>
      </c>
      <c r="C55" s="19" t="s">
        <v>792</v>
      </c>
    </row>
    <row r="56" spans="1:3" x14ac:dyDescent="0.25">
      <c r="A56" s="19" t="s">
        <v>796</v>
      </c>
      <c r="B56" s="19" t="s">
        <v>797</v>
      </c>
      <c r="C56" s="19" t="s">
        <v>798</v>
      </c>
    </row>
    <row r="57" spans="1:3" x14ac:dyDescent="0.25">
      <c r="A57" s="19" t="s">
        <v>802</v>
      </c>
      <c r="B57" s="19"/>
      <c r="C57" s="19" t="s">
        <v>803</v>
      </c>
    </row>
    <row r="58" spans="1:3" x14ac:dyDescent="0.25">
      <c r="A58" s="19" t="s">
        <v>807</v>
      </c>
      <c r="B58" s="19" t="s">
        <v>808</v>
      </c>
      <c r="C58" s="19" t="s">
        <v>809</v>
      </c>
    </row>
    <row r="59" spans="1:3" x14ac:dyDescent="0.25">
      <c r="A59" s="19" t="s">
        <v>813</v>
      </c>
      <c r="B59" s="19" t="s">
        <v>814</v>
      </c>
      <c r="C59" s="19" t="s">
        <v>815</v>
      </c>
    </row>
    <row r="60" spans="1:3" x14ac:dyDescent="0.25">
      <c r="A60" s="19" t="s">
        <v>819</v>
      </c>
      <c r="B60" s="19"/>
      <c r="C60" s="19" t="s">
        <v>820</v>
      </c>
    </row>
    <row r="61" spans="1:3" x14ac:dyDescent="0.25">
      <c r="A61" s="19" t="s">
        <v>824</v>
      </c>
      <c r="B61" s="19" t="s">
        <v>825</v>
      </c>
      <c r="C61" s="19"/>
    </row>
    <row r="62" spans="1:3" x14ac:dyDescent="0.25">
      <c r="A62" s="19" t="s">
        <v>829</v>
      </c>
      <c r="B62" s="19" t="s">
        <v>830</v>
      </c>
      <c r="C62" s="19" t="s">
        <v>831</v>
      </c>
    </row>
    <row r="63" spans="1:3" x14ac:dyDescent="0.25">
      <c r="A63" s="19" t="s">
        <v>835</v>
      </c>
      <c r="B63" s="19"/>
      <c r="C63" s="19" t="s">
        <v>836</v>
      </c>
    </row>
    <row r="64" spans="1:3" x14ac:dyDescent="0.25">
      <c r="A64" s="19" t="s">
        <v>840</v>
      </c>
      <c r="B64" s="19"/>
      <c r="C64" s="19" t="s">
        <v>841</v>
      </c>
    </row>
    <row r="65" spans="1:3" x14ac:dyDescent="0.25">
      <c r="A65" s="19" t="s">
        <v>845</v>
      </c>
      <c r="B65" s="19" t="s">
        <v>846</v>
      </c>
      <c r="C65" s="19" t="s">
        <v>847</v>
      </c>
    </row>
    <row r="66" spans="1:3" x14ac:dyDescent="0.25">
      <c r="A66" s="19" t="s">
        <v>851</v>
      </c>
      <c r="B66" s="19"/>
      <c r="C66" s="19" t="s">
        <v>852</v>
      </c>
    </row>
    <row r="67" spans="1:3" x14ac:dyDescent="0.25">
      <c r="A67" s="19" t="s">
        <v>856</v>
      </c>
      <c r="B67" s="19" t="s">
        <v>857</v>
      </c>
      <c r="C67" s="19" t="s">
        <v>858</v>
      </c>
    </row>
    <row r="68" spans="1:3" x14ac:dyDescent="0.25">
      <c r="A68" s="19" t="s">
        <v>862</v>
      </c>
      <c r="B68" s="19" t="s">
        <v>863</v>
      </c>
      <c r="C68" s="19" t="s">
        <v>864</v>
      </c>
    </row>
    <row r="69" spans="1:3" x14ac:dyDescent="0.25">
      <c r="A69" s="19" t="s">
        <v>868</v>
      </c>
      <c r="B69" s="19" t="s">
        <v>869</v>
      </c>
      <c r="C69" s="19" t="s">
        <v>870</v>
      </c>
    </row>
    <row r="70" spans="1:3" x14ac:dyDescent="0.25">
      <c r="A70" s="19" t="s">
        <v>874</v>
      </c>
      <c r="B70" s="19" t="s">
        <v>875</v>
      </c>
      <c r="C70" s="19" t="s">
        <v>876</v>
      </c>
    </row>
    <row r="71" spans="1:3" x14ac:dyDescent="0.25">
      <c r="A71" s="19" t="s">
        <v>880</v>
      </c>
      <c r="B71" s="19" t="s">
        <v>881</v>
      </c>
      <c r="C71" s="19" t="s">
        <v>882</v>
      </c>
    </row>
    <row r="72" spans="1:3" x14ac:dyDescent="0.25">
      <c r="A72" s="19" t="s">
        <v>887</v>
      </c>
      <c r="B72" s="19" t="s">
        <v>888</v>
      </c>
      <c r="C72" s="19" t="s">
        <v>889</v>
      </c>
    </row>
    <row r="73" spans="1:3" x14ac:dyDescent="0.25">
      <c r="A73" s="19" t="s">
        <v>893</v>
      </c>
      <c r="B73" s="19" t="s">
        <v>894</v>
      </c>
      <c r="C73" s="19" t="s">
        <v>895</v>
      </c>
    </row>
    <row r="74" spans="1:3" x14ac:dyDescent="0.25">
      <c r="A74" s="19" t="s">
        <v>899</v>
      </c>
      <c r="B74" s="19"/>
      <c r="C74" s="19" t="s">
        <v>900</v>
      </c>
    </row>
    <row r="75" spans="1:3" x14ac:dyDescent="0.25">
      <c r="A75" s="19" t="s">
        <v>904</v>
      </c>
      <c r="B75" s="19"/>
      <c r="C75" s="19" t="s">
        <v>905</v>
      </c>
    </row>
    <row r="76" spans="1:3" x14ac:dyDescent="0.25">
      <c r="A76" s="19" t="s">
        <v>909</v>
      </c>
      <c r="B76" s="19" t="s">
        <v>910</v>
      </c>
      <c r="C76" s="19" t="s">
        <v>911</v>
      </c>
    </row>
    <row r="77" spans="1:3" x14ac:dyDescent="0.25">
      <c r="A77" s="19" t="s">
        <v>915</v>
      </c>
      <c r="B77" s="19" t="s">
        <v>916</v>
      </c>
      <c r="C77" s="19" t="s">
        <v>917</v>
      </c>
    </row>
    <row r="78" spans="1:3" x14ac:dyDescent="0.25">
      <c r="A78" s="19" t="s">
        <v>921</v>
      </c>
      <c r="B78" s="19"/>
      <c r="C78" s="19" t="s">
        <v>922</v>
      </c>
    </row>
    <row r="79" spans="1:3" x14ac:dyDescent="0.25">
      <c r="A79" s="19" t="s">
        <v>926</v>
      </c>
      <c r="B79" s="19" t="s">
        <v>927</v>
      </c>
      <c r="C79" s="19" t="s">
        <v>928</v>
      </c>
    </row>
    <row r="80" spans="1:3" x14ac:dyDescent="0.25">
      <c r="A80" s="19" t="s">
        <v>932</v>
      </c>
      <c r="B80" s="19" t="s">
        <v>933</v>
      </c>
      <c r="C80" s="19" t="s">
        <v>934</v>
      </c>
    </row>
    <row r="81" spans="1:3" x14ac:dyDescent="0.25">
      <c r="A81" s="19" t="s">
        <v>938</v>
      </c>
      <c r="B81" s="19" t="s">
        <v>939</v>
      </c>
      <c r="C81" s="19" t="s">
        <v>940</v>
      </c>
    </row>
    <row r="82" spans="1:3" x14ac:dyDescent="0.25">
      <c r="A82" s="19" t="s">
        <v>944</v>
      </c>
      <c r="B82" s="19" t="s">
        <v>945</v>
      </c>
      <c r="C82" s="19" t="s">
        <v>946</v>
      </c>
    </row>
    <row r="83" spans="1:3" x14ac:dyDescent="0.25">
      <c r="A83" s="19" t="s">
        <v>950</v>
      </c>
      <c r="B83" s="19" t="s">
        <v>951</v>
      </c>
      <c r="C83" s="19" t="s">
        <v>952</v>
      </c>
    </row>
    <row r="84" spans="1:3" x14ac:dyDescent="0.25">
      <c r="A84" s="19" t="s">
        <v>956</v>
      </c>
      <c r="B84" s="19" t="s">
        <v>957</v>
      </c>
      <c r="C84" s="19" t="s">
        <v>958</v>
      </c>
    </row>
    <row r="85" spans="1:3" x14ac:dyDescent="0.25">
      <c r="A85" s="19" t="s">
        <v>962</v>
      </c>
      <c r="B85" s="19"/>
      <c r="C85" s="19" t="s">
        <v>963</v>
      </c>
    </row>
    <row r="86" spans="1:3" x14ac:dyDescent="0.25">
      <c r="A86" s="19" t="s">
        <v>967</v>
      </c>
      <c r="B86" s="19" t="s">
        <v>968</v>
      </c>
      <c r="C86" s="19" t="s">
        <v>969</v>
      </c>
    </row>
    <row r="87" spans="1:3" x14ac:dyDescent="0.25">
      <c r="A87" s="19" t="s">
        <v>973</v>
      </c>
      <c r="B87" s="19" t="s">
        <v>974</v>
      </c>
      <c r="C87" s="19"/>
    </row>
    <row r="88" spans="1:3" x14ac:dyDescent="0.25">
      <c r="A88" s="19" t="s">
        <v>977</v>
      </c>
      <c r="B88" s="19" t="s">
        <v>978</v>
      </c>
      <c r="C88" s="19"/>
    </row>
    <row r="89" spans="1:3" x14ac:dyDescent="0.25">
      <c r="A89" s="19" t="s">
        <v>982</v>
      </c>
      <c r="B89" s="19" t="s">
        <v>983</v>
      </c>
      <c r="C89" s="19"/>
    </row>
    <row r="90" spans="1:3" x14ac:dyDescent="0.25">
      <c r="A90" s="19" t="s">
        <v>987</v>
      </c>
      <c r="B90" s="19" t="s">
        <v>988</v>
      </c>
      <c r="C90" s="19"/>
    </row>
    <row r="91" spans="1:3" x14ac:dyDescent="0.25">
      <c r="A91" s="19" t="s">
        <v>992</v>
      </c>
      <c r="B91" s="19" t="s">
        <v>993</v>
      </c>
      <c r="C91" s="19" t="s">
        <v>994</v>
      </c>
    </row>
    <row r="92" spans="1:3" x14ac:dyDescent="0.25">
      <c r="A92" s="19" t="s">
        <v>998</v>
      </c>
      <c r="B92" s="19"/>
      <c r="C92" s="19" t="s">
        <v>999</v>
      </c>
    </row>
    <row r="93" spans="1:3" x14ac:dyDescent="0.25">
      <c r="A93" s="19" t="s">
        <v>1003</v>
      </c>
      <c r="B93" s="19" t="s">
        <v>1004</v>
      </c>
      <c r="C93" s="19" t="s">
        <v>1005</v>
      </c>
    </row>
    <row r="94" spans="1:3" x14ac:dyDescent="0.25">
      <c r="A94" s="19" t="s">
        <v>1009</v>
      </c>
      <c r="B94" s="19"/>
      <c r="C94" s="19" t="s">
        <v>1010</v>
      </c>
    </row>
    <row r="95" spans="1:3" x14ac:dyDescent="0.25">
      <c r="A95" s="19" t="s">
        <v>1014</v>
      </c>
      <c r="B95" s="19" t="s">
        <v>1015</v>
      </c>
      <c r="C95" s="19" t="s">
        <v>1016</v>
      </c>
    </row>
    <row r="96" spans="1:3" x14ac:dyDescent="0.25">
      <c r="A96" s="19" t="s">
        <v>1020</v>
      </c>
      <c r="B96" s="19"/>
      <c r="C96" s="19"/>
    </row>
    <row r="97" spans="1:3" x14ac:dyDescent="0.25">
      <c r="A97" s="19" t="s">
        <v>1024</v>
      </c>
      <c r="B97" s="19" t="s">
        <v>1025</v>
      </c>
      <c r="C97" s="19"/>
    </row>
    <row r="98" spans="1:3" x14ac:dyDescent="0.25">
      <c r="A98" s="19" t="s">
        <v>1029</v>
      </c>
      <c r="B98" s="19" t="s">
        <v>1030</v>
      </c>
      <c r="C98" s="19"/>
    </row>
    <row r="99" spans="1:3" x14ac:dyDescent="0.25">
      <c r="A99" s="19" t="s">
        <v>1034</v>
      </c>
      <c r="B99" s="19" t="s">
        <v>1035</v>
      </c>
      <c r="C99" s="19" t="s">
        <v>1036</v>
      </c>
    </row>
    <row r="100" spans="1:3" x14ac:dyDescent="0.25">
      <c r="A100" s="19" t="s">
        <v>1040</v>
      </c>
      <c r="B100" s="19"/>
      <c r="C100" s="19" t="s">
        <v>1041</v>
      </c>
    </row>
    <row r="101" spans="1:3" x14ac:dyDescent="0.25">
      <c r="A101" s="19" t="s">
        <v>1045</v>
      </c>
      <c r="B101" s="19"/>
      <c r="C101" s="19" t="s">
        <v>1046</v>
      </c>
    </row>
    <row r="102" spans="1:3" x14ac:dyDescent="0.25">
      <c r="A102" s="19" t="s">
        <v>1050</v>
      </c>
      <c r="B102" s="19"/>
      <c r="C102" s="19" t="s">
        <v>1051</v>
      </c>
    </row>
    <row r="103" spans="1:3" x14ac:dyDescent="0.25">
      <c r="A103" s="19" t="s">
        <v>1055</v>
      </c>
      <c r="B103" s="19" t="s">
        <v>1056</v>
      </c>
      <c r="C103" s="19" t="s">
        <v>1057</v>
      </c>
    </row>
    <row r="104" spans="1:3" x14ac:dyDescent="0.25">
      <c r="A104" s="19" t="s">
        <v>1061</v>
      </c>
      <c r="B104" s="19" t="s">
        <v>1062</v>
      </c>
      <c r="C104" s="19" t="s">
        <v>1063</v>
      </c>
    </row>
    <row r="105" spans="1:3" x14ac:dyDescent="0.25">
      <c r="A105" s="19" t="s">
        <v>1067</v>
      </c>
      <c r="B105" s="19" t="s">
        <v>1068</v>
      </c>
      <c r="C105" s="19" t="s">
        <v>1069</v>
      </c>
    </row>
    <row r="106" spans="1:3" x14ac:dyDescent="0.25">
      <c r="A106" s="19" t="s">
        <v>1073</v>
      </c>
      <c r="B106" s="19" t="s">
        <v>1074</v>
      </c>
      <c r="C106" s="19" t="s">
        <v>1075</v>
      </c>
    </row>
    <row r="107" spans="1:3" x14ac:dyDescent="0.25">
      <c r="A107" s="19" t="s">
        <v>1079</v>
      </c>
      <c r="B107" s="19" t="s">
        <v>1080</v>
      </c>
      <c r="C107" s="19" t="s">
        <v>1081</v>
      </c>
    </row>
    <row r="108" spans="1:3" x14ac:dyDescent="0.25">
      <c r="A108" s="19" t="s">
        <v>1085</v>
      </c>
      <c r="B108" s="19" t="s">
        <v>1086</v>
      </c>
      <c r="C108" s="19" t="s">
        <v>1087</v>
      </c>
    </row>
    <row r="109" spans="1:3" x14ac:dyDescent="0.25">
      <c r="A109" s="19" t="s">
        <v>1091</v>
      </c>
      <c r="B109" s="19" t="s">
        <v>1092</v>
      </c>
      <c r="C109" s="19" t="s">
        <v>1093</v>
      </c>
    </row>
    <row r="110" spans="1:3" x14ac:dyDescent="0.25">
      <c r="A110" s="19" t="s">
        <v>1097</v>
      </c>
      <c r="B110" s="19"/>
      <c r="C110" s="19" t="s">
        <v>1098</v>
      </c>
    </row>
    <row r="111" spans="1:3" x14ac:dyDescent="0.25">
      <c r="A111" s="19" t="s">
        <v>1102</v>
      </c>
      <c r="B111" s="19" t="s">
        <v>1103</v>
      </c>
      <c r="C111" s="19" t="s">
        <v>1104</v>
      </c>
    </row>
    <row r="112" spans="1:3" x14ac:dyDescent="0.25">
      <c r="A112" s="19" t="s">
        <v>1108</v>
      </c>
      <c r="B112" s="19" t="s">
        <v>1109</v>
      </c>
      <c r="C112" s="19" t="s">
        <v>1110</v>
      </c>
    </row>
    <row r="113" spans="1:3" x14ac:dyDescent="0.25">
      <c r="A113" s="19" t="s">
        <v>1114</v>
      </c>
      <c r="B113" s="19" t="s">
        <v>1115</v>
      </c>
      <c r="C113" s="19"/>
    </row>
    <row r="114" spans="1:3" x14ac:dyDescent="0.25">
      <c r="A114" s="19" t="s">
        <v>1119</v>
      </c>
      <c r="B114" s="19" t="s">
        <v>1120</v>
      </c>
      <c r="C114" s="19" t="s">
        <v>1121</v>
      </c>
    </row>
    <row r="115" spans="1:3" x14ac:dyDescent="0.25">
      <c r="A115" s="19" t="s">
        <v>1125</v>
      </c>
      <c r="B115" s="19" t="s">
        <v>1126</v>
      </c>
      <c r="C115" s="19" t="s">
        <v>1127</v>
      </c>
    </row>
    <row r="116" spans="1:3" x14ac:dyDescent="0.25">
      <c r="A116" s="19" t="s">
        <v>1131</v>
      </c>
      <c r="B116" s="19"/>
      <c r="C116" s="19" t="s">
        <v>1132</v>
      </c>
    </row>
    <row r="117" spans="1:3" x14ac:dyDescent="0.25">
      <c r="A117" s="19" t="s">
        <v>1136</v>
      </c>
      <c r="B117" s="19" t="s">
        <v>1137</v>
      </c>
      <c r="C117" s="19" t="s">
        <v>1138</v>
      </c>
    </row>
    <row r="118" spans="1:3" x14ac:dyDescent="0.25">
      <c r="A118" s="19" t="s">
        <v>1142</v>
      </c>
      <c r="B118" s="19" t="s">
        <v>1143</v>
      </c>
      <c r="C118" s="19" t="s">
        <v>1144</v>
      </c>
    </row>
    <row r="119" spans="1:3" x14ac:dyDescent="0.25">
      <c r="A119" s="19" t="s">
        <v>1148</v>
      </c>
      <c r="B119" s="19" t="s">
        <v>1149</v>
      </c>
      <c r="C119" s="19" t="s">
        <v>1150</v>
      </c>
    </row>
    <row r="120" spans="1:3" x14ac:dyDescent="0.25">
      <c r="A120" s="19" t="s">
        <v>1154</v>
      </c>
      <c r="B120" s="19" t="s">
        <v>1155</v>
      </c>
      <c r="C120" s="19" t="s">
        <v>1156</v>
      </c>
    </row>
    <row r="121" spans="1:3" x14ac:dyDescent="0.25">
      <c r="A121" s="19" t="s">
        <v>1160</v>
      </c>
      <c r="B121" s="19" t="s">
        <v>1161</v>
      </c>
      <c r="C121" s="19" t="s">
        <v>1162</v>
      </c>
    </row>
    <row r="122" spans="1:3" x14ac:dyDescent="0.25">
      <c r="A122" s="19" t="s">
        <v>1165</v>
      </c>
      <c r="B122" s="19" t="s">
        <v>1166</v>
      </c>
      <c r="C122" s="19" t="s">
        <v>1167</v>
      </c>
    </row>
    <row r="123" spans="1:3" x14ac:dyDescent="0.25">
      <c r="A123" s="19" t="s">
        <v>1170</v>
      </c>
      <c r="B123" s="19" t="s">
        <v>1171</v>
      </c>
      <c r="C123" s="19" t="s">
        <v>1172</v>
      </c>
    </row>
    <row r="124" spans="1:3" x14ac:dyDescent="0.25">
      <c r="A124" s="19" t="s">
        <v>1176</v>
      </c>
      <c r="B124" s="19" t="s">
        <v>1177</v>
      </c>
      <c r="C124" s="19" t="s">
        <v>1178</v>
      </c>
    </row>
    <row r="125" spans="1:3" x14ac:dyDescent="0.25">
      <c r="A125" s="19" t="s">
        <v>1182</v>
      </c>
      <c r="B125" s="19" t="s">
        <v>1183</v>
      </c>
      <c r="C125" s="19" t="s">
        <v>1184</v>
      </c>
    </row>
    <row r="126" spans="1:3" x14ac:dyDescent="0.25">
      <c r="A126" s="19" t="s">
        <v>1188</v>
      </c>
      <c r="B126" s="19" t="s">
        <v>1189</v>
      </c>
      <c r="C126" s="19" t="s">
        <v>1190</v>
      </c>
    </row>
    <row r="127" spans="1:3" x14ac:dyDescent="0.25">
      <c r="A127" s="19" t="s">
        <v>1194</v>
      </c>
      <c r="B127" s="19" t="s">
        <v>1195</v>
      </c>
      <c r="C127" s="19" t="s">
        <v>1196</v>
      </c>
    </row>
    <row r="128" spans="1:3" x14ac:dyDescent="0.25">
      <c r="A128" s="19" t="s">
        <v>1200</v>
      </c>
      <c r="B128" s="19" t="s">
        <v>1201</v>
      </c>
      <c r="C128" s="19" t="s">
        <v>1202</v>
      </c>
    </row>
    <row r="129" spans="1:3" x14ac:dyDescent="0.25">
      <c r="A129" s="19" t="s">
        <v>1206</v>
      </c>
      <c r="B129" s="19" t="s">
        <v>1207</v>
      </c>
      <c r="C129" s="19" t="s">
        <v>1208</v>
      </c>
    </row>
    <row r="130" spans="1:3" x14ac:dyDescent="0.25">
      <c r="A130" s="19" t="s">
        <v>1212</v>
      </c>
      <c r="B130" s="19" t="s">
        <v>1213</v>
      </c>
      <c r="C130" s="19" t="s">
        <v>1214</v>
      </c>
    </row>
    <row r="131" spans="1:3" x14ac:dyDescent="0.25">
      <c r="A131" s="19" t="s">
        <v>1218</v>
      </c>
      <c r="B131" s="19" t="s">
        <v>1219</v>
      </c>
      <c r="C131" s="19" t="s">
        <v>1220</v>
      </c>
    </row>
    <row r="132" spans="1:3" x14ac:dyDescent="0.25">
      <c r="A132" s="19" t="s">
        <v>1224</v>
      </c>
      <c r="B132" s="19"/>
      <c r="C132" s="19" t="s">
        <v>1225</v>
      </c>
    </row>
    <row r="133" spans="1:3" x14ac:dyDescent="0.25">
      <c r="A133" s="19" t="s">
        <v>1229</v>
      </c>
      <c r="B133" s="19" t="s">
        <v>1230</v>
      </c>
      <c r="C133" s="19" t="s">
        <v>1231</v>
      </c>
    </row>
    <row r="134" spans="1:3" x14ac:dyDescent="0.25">
      <c r="A134" s="19" t="s">
        <v>1235</v>
      </c>
      <c r="B134" s="19" t="s">
        <v>1236</v>
      </c>
      <c r="C134" s="19" t="s">
        <v>1237</v>
      </c>
    </row>
    <row r="135" spans="1:3" x14ac:dyDescent="0.25">
      <c r="A135" s="19" t="s">
        <v>1241</v>
      </c>
      <c r="B135" s="19" t="s">
        <v>1242</v>
      </c>
      <c r="C135" s="19" t="s">
        <v>1243</v>
      </c>
    </row>
    <row r="136" spans="1:3" x14ac:dyDescent="0.25">
      <c r="A136" s="19" t="s">
        <v>1247</v>
      </c>
      <c r="B136" s="19"/>
      <c r="C136" s="19"/>
    </row>
    <row r="137" spans="1:3" x14ac:dyDescent="0.25">
      <c r="A137" s="19" t="s">
        <v>1251</v>
      </c>
      <c r="B137" s="19" t="s">
        <v>1252</v>
      </c>
      <c r="C137" s="19" t="s">
        <v>1253</v>
      </c>
    </row>
    <row r="138" spans="1:3" x14ac:dyDescent="0.25">
      <c r="A138" s="19" t="s">
        <v>1257</v>
      </c>
      <c r="B138" s="19" t="s">
        <v>1258</v>
      </c>
      <c r="C138" s="19" t="s">
        <v>1259</v>
      </c>
    </row>
    <row r="139" spans="1:3" x14ac:dyDescent="0.25">
      <c r="A139" s="19" t="s">
        <v>1263</v>
      </c>
      <c r="B139" s="19"/>
      <c r="C139" s="19" t="s">
        <v>1264</v>
      </c>
    </row>
    <row r="140" spans="1:3" x14ac:dyDescent="0.25">
      <c r="A140" s="19" t="s">
        <v>1268</v>
      </c>
      <c r="B140" s="19"/>
      <c r="C140" s="19" t="s">
        <v>1269</v>
      </c>
    </row>
    <row r="141" spans="1:3" x14ac:dyDescent="0.25">
      <c r="A141" s="19" t="s">
        <v>1273</v>
      </c>
      <c r="B141" s="19"/>
      <c r="C141" s="19" t="s">
        <v>1274</v>
      </c>
    </row>
    <row r="142" spans="1:3" x14ac:dyDescent="0.25">
      <c r="A142" s="19" t="s">
        <v>1278</v>
      </c>
      <c r="B142" s="19" t="s">
        <v>1279</v>
      </c>
      <c r="C142" s="19" t="s">
        <v>1280</v>
      </c>
    </row>
    <row r="143" spans="1:3" x14ac:dyDescent="0.25">
      <c r="A143" s="19" t="s">
        <v>1285</v>
      </c>
      <c r="B143" s="19" t="s">
        <v>1286</v>
      </c>
      <c r="C143" s="19" t="s">
        <v>1287</v>
      </c>
    </row>
    <row r="144" spans="1:3" x14ac:dyDescent="0.25">
      <c r="A144" s="19" t="s">
        <v>1291</v>
      </c>
      <c r="B144" s="19"/>
      <c r="C144" s="19"/>
    </row>
    <row r="145" spans="1:3" x14ac:dyDescent="0.25">
      <c r="A145" s="19" t="s">
        <v>1295</v>
      </c>
      <c r="B145" s="19" t="s">
        <v>1296</v>
      </c>
      <c r="C145" s="19" t="s">
        <v>1297</v>
      </c>
    </row>
    <row r="146" spans="1:3" x14ac:dyDescent="0.25">
      <c r="A146" s="19" t="s">
        <v>1301</v>
      </c>
      <c r="B146" s="19" t="s">
        <v>1302</v>
      </c>
      <c r="C146" s="19" t="s">
        <v>1303</v>
      </c>
    </row>
    <row r="147" spans="1:3" x14ac:dyDescent="0.25">
      <c r="A147" s="19" t="s">
        <v>1307</v>
      </c>
      <c r="B147" s="19" t="s">
        <v>1308</v>
      </c>
      <c r="C147" s="19" t="s">
        <v>1309</v>
      </c>
    </row>
    <row r="148" spans="1:3" x14ac:dyDescent="0.25">
      <c r="A148" s="19" t="s">
        <v>1313</v>
      </c>
      <c r="B148" s="19" t="s">
        <v>1314</v>
      </c>
      <c r="C148" s="19" t="s">
        <v>1315</v>
      </c>
    </row>
    <row r="149" spans="1:3" x14ac:dyDescent="0.25">
      <c r="A149" s="19" t="s">
        <v>1318</v>
      </c>
      <c r="B149" s="19" t="s">
        <v>1319</v>
      </c>
      <c r="C149" s="19" t="s">
        <v>1320</v>
      </c>
    </row>
    <row r="150" spans="1:3" x14ac:dyDescent="0.25">
      <c r="A150" s="19" t="s">
        <v>1324</v>
      </c>
      <c r="B150" s="19" t="s">
        <v>1325</v>
      </c>
      <c r="C150" s="19" t="s">
        <v>1326</v>
      </c>
    </row>
    <row r="151" spans="1:3" x14ac:dyDescent="0.25">
      <c r="A151" s="19" t="s">
        <v>1330</v>
      </c>
      <c r="B151" s="19"/>
      <c r="C151" s="19" t="s">
        <v>1331</v>
      </c>
    </row>
    <row r="152" spans="1:3" x14ac:dyDescent="0.25">
      <c r="A152" s="19" t="s">
        <v>1335</v>
      </c>
      <c r="B152" s="19" t="s">
        <v>1336</v>
      </c>
      <c r="C152" s="19" t="s">
        <v>1337</v>
      </c>
    </row>
    <row r="153" spans="1:3" x14ac:dyDescent="0.25">
      <c r="A153" s="19" t="s">
        <v>1341</v>
      </c>
      <c r="B153" s="19"/>
      <c r="C153" s="19" t="s">
        <v>1342</v>
      </c>
    </row>
    <row r="154" spans="1:3" x14ac:dyDescent="0.25">
      <c r="A154" s="19" t="s">
        <v>1346</v>
      </c>
      <c r="B154" s="19" t="s">
        <v>1347</v>
      </c>
      <c r="C154" s="19" t="s">
        <v>1348</v>
      </c>
    </row>
    <row r="155" spans="1:3" x14ac:dyDescent="0.25">
      <c r="A155" s="19" t="s">
        <v>1352</v>
      </c>
      <c r="B155" s="19"/>
      <c r="C155" s="19" t="s">
        <v>1353</v>
      </c>
    </row>
    <row r="156" spans="1:3" x14ac:dyDescent="0.25">
      <c r="A156" s="19" t="s">
        <v>1357</v>
      </c>
      <c r="B156" s="19" t="s">
        <v>1358</v>
      </c>
      <c r="C156" s="19" t="s">
        <v>1359</v>
      </c>
    </row>
    <row r="157" spans="1:3" x14ac:dyDescent="0.25">
      <c r="A157" s="19" t="s">
        <v>1363</v>
      </c>
      <c r="B157" s="19" t="s">
        <v>1364</v>
      </c>
      <c r="C157" s="19" t="s">
        <v>1365</v>
      </c>
    </row>
    <row r="158" spans="1:3" x14ac:dyDescent="0.25">
      <c r="A158" s="19" t="s">
        <v>1369</v>
      </c>
      <c r="B158" s="19" t="s">
        <v>1370</v>
      </c>
      <c r="C158" s="19" t="s">
        <v>1371</v>
      </c>
    </row>
    <row r="159" spans="1:3" x14ac:dyDescent="0.25">
      <c r="A159" s="19" t="s">
        <v>1375</v>
      </c>
      <c r="B159" s="19" t="s">
        <v>1376</v>
      </c>
      <c r="C159" s="19" t="s">
        <v>1377</v>
      </c>
    </row>
    <row r="160" spans="1:3" x14ac:dyDescent="0.25">
      <c r="A160" s="19" t="s">
        <v>1381</v>
      </c>
      <c r="B160" s="19"/>
      <c r="C160" s="19" t="s">
        <v>1382</v>
      </c>
    </row>
    <row r="161" spans="1:3" x14ac:dyDescent="0.25">
      <c r="A161" s="19" t="s">
        <v>1386</v>
      </c>
      <c r="B161" s="19"/>
      <c r="C161" s="19" t="s">
        <v>1387</v>
      </c>
    </row>
    <row r="162" spans="1:3" x14ac:dyDescent="0.25">
      <c r="A162" s="19" t="s">
        <v>1391</v>
      </c>
      <c r="B162" s="19" t="s">
        <v>1392</v>
      </c>
      <c r="C162" s="19" t="s">
        <v>1393</v>
      </c>
    </row>
    <row r="163" spans="1:3" x14ac:dyDescent="0.25">
      <c r="A163" s="19" t="s">
        <v>1397</v>
      </c>
      <c r="B163" s="19" t="s">
        <v>1398</v>
      </c>
      <c r="C163" s="19" t="s">
        <v>1399</v>
      </c>
    </row>
    <row r="164" spans="1:3" x14ac:dyDescent="0.25">
      <c r="A164" s="19" t="s">
        <v>1403</v>
      </c>
      <c r="B164" s="19" t="s">
        <v>1404</v>
      </c>
      <c r="C164" s="19" t="s">
        <v>1405</v>
      </c>
    </row>
    <row r="165" spans="1:3" x14ac:dyDescent="0.25">
      <c r="A165" s="19" t="s">
        <v>1409</v>
      </c>
      <c r="B165" s="19" t="s">
        <v>1410</v>
      </c>
      <c r="C165" s="19" t="s">
        <v>1411</v>
      </c>
    </row>
    <row r="166" spans="1:3" x14ac:dyDescent="0.25">
      <c r="A166" s="19" t="s">
        <v>1415</v>
      </c>
      <c r="B166" s="19" t="s">
        <v>1416</v>
      </c>
      <c r="C166" s="19" t="s">
        <v>1417</v>
      </c>
    </row>
    <row r="167" spans="1:3" x14ac:dyDescent="0.25">
      <c r="A167" s="19" t="s">
        <v>1422</v>
      </c>
      <c r="B167" s="19"/>
      <c r="C167" s="19" t="s">
        <v>1423</v>
      </c>
    </row>
    <row r="168" spans="1:3" x14ac:dyDescent="0.25">
      <c r="A168" s="19" t="s">
        <v>1427</v>
      </c>
      <c r="B168" s="19"/>
      <c r="C168" s="19" t="s">
        <v>1428</v>
      </c>
    </row>
    <row r="169" spans="1:3" x14ac:dyDescent="0.25">
      <c r="A169" s="19" t="s">
        <v>1432</v>
      </c>
      <c r="B169" s="19" t="s">
        <v>1433</v>
      </c>
      <c r="C169" s="19" t="s">
        <v>1434</v>
      </c>
    </row>
    <row r="170" spans="1:3" x14ac:dyDescent="0.25">
      <c r="A170" s="19" t="s">
        <v>1438</v>
      </c>
      <c r="B170" s="19"/>
      <c r="C170" s="19" t="s">
        <v>1439</v>
      </c>
    </row>
    <row r="171" spans="1:3" x14ac:dyDescent="0.25">
      <c r="A171" s="19" t="s">
        <v>1443</v>
      </c>
      <c r="B171" s="19" t="s">
        <v>1444</v>
      </c>
      <c r="C171" s="19" t="s">
        <v>1445</v>
      </c>
    </row>
    <row r="172" spans="1:3" x14ac:dyDescent="0.25">
      <c r="A172" s="19" t="s">
        <v>1450</v>
      </c>
      <c r="B172" s="19" t="s">
        <v>1451</v>
      </c>
      <c r="C172" s="19"/>
    </row>
    <row r="173" spans="1:3" x14ac:dyDescent="0.25">
      <c r="A173" s="19" t="s">
        <v>1455</v>
      </c>
      <c r="B173" s="19" t="s">
        <v>1456</v>
      </c>
      <c r="C173" s="19" t="s">
        <v>1457</v>
      </c>
    </row>
    <row r="174" spans="1:3" x14ac:dyDescent="0.25">
      <c r="A174" s="19" t="s">
        <v>1461</v>
      </c>
      <c r="B174" s="19" t="s">
        <v>1462</v>
      </c>
      <c r="C174" s="19"/>
    </row>
    <row r="175" spans="1:3" x14ac:dyDescent="0.25">
      <c r="A175" s="19" t="s">
        <v>1466</v>
      </c>
      <c r="B175" s="19" t="s">
        <v>1467</v>
      </c>
      <c r="C175" s="19" t="s">
        <v>1468</v>
      </c>
    </row>
    <row r="176" spans="1:3" x14ac:dyDescent="0.25">
      <c r="A176" s="19" t="s">
        <v>1472</v>
      </c>
      <c r="B176" s="19"/>
      <c r="C176" s="19" t="s">
        <v>1473</v>
      </c>
    </row>
    <row r="177" spans="1:3" x14ac:dyDescent="0.25">
      <c r="A177" s="19" t="s">
        <v>1477</v>
      </c>
      <c r="B177" s="19" t="s">
        <v>1478</v>
      </c>
      <c r="C177" s="19" t="s">
        <v>1479</v>
      </c>
    </row>
    <row r="178" spans="1:3" x14ac:dyDescent="0.25">
      <c r="A178" s="19" t="s">
        <v>1483</v>
      </c>
      <c r="B178" s="19" t="s">
        <v>1484</v>
      </c>
      <c r="C178" s="19" t="s">
        <v>1485</v>
      </c>
    </row>
    <row r="179" spans="1:3" x14ac:dyDescent="0.25">
      <c r="A179" s="19" t="s">
        <v>1489</v>
      </c>
      <c r="B179" s="19" t="s">
        <v>1490</v>
      </c>
      <c r="C179" s="19"/>
    </row>
    <row r="180" spans="1:3" x14ac:dyDescent="0.25">
      <c r="A180" s="19" t="s">
        <v>1494</v>
      </c>
      <c r="B180" s="19" t="s">
        <v>1495</v>
      </c>
      <c r="C180" s="19" t="s">
        <v>1496</v>
      </c>
    </row>
    <row r="181" spans="1:3" x14ac:dyDescent="0.25">
      <c r="A181" s="19" t="s">
        <v>1500</v>
      </c>
      <c r="B181" s="19"/>
      <c r="C181" s="19" t="s">
        <v>1501</v>
      </c>
    </row>
    <row r="182" spans="1:3" x14ac:dyDescent="0.25">
      <c r="A182" s="19" t="s">
        <v>1505</v>
      </c>
      <c r="B182" s="19" t="s">
        <v>1506</v>
      </c>
      <c r="C182" s="19" t="s">
        <v>1507</v>
      </c>
    </row>
    <row r="183" spans="1:3" x14ac:dyDescent="0.25">
      <c r="A183" s="19" t="s">
        <v>1510</v>
      </c>
      <c r="B183" s="19" t="s">
        <v>1511</v>
      </c>
      <c r="C183" s="19" t="s">
        <v>1512</v>
      </c>
    </row>
    <row r="184" spans="1:3" x14ac:dyDescent="0.25">
      <c r="A184" s="19" t="s">
        <v>1516</v>
      </c>
      <c r="B184" s="19" t="s">
        <v>1517</v>
      </c>
      <c r="C184" s="19" t="s">
        <v>1518</v>
      </c>
    </row>
    <row r="185" spans="1:3" x14ac:dyDescent="0.25">
      <c r="A185" s="19" t="s">
        <v>1522</v>
      </c>
      <c r="B185" s="19" t="s">
        <v>1523</v>
      </c>
      <c r="C185" s="19" t="s">
        <v>1524</v>
      </c>
    </row>
    <row r="186" spans="1:3" x14ac:dyDescent="0.25">
      <c r="A186" s="19" t="s">
        <v>1528</v>
      </c>
      <c r="B186" s="19" t="s">
        <v>1529</v>
      </c>
      <c r="C186" s="19" t="s">
        <v>1530</v>
      </c>
    </row>
    <row r="187" spans="1:3" x14ac:dyDescent="0.25">
      <c r="A187" s="19" t="s">
        <v>1534</v>
      </c>
      <c r="B187" s="19" t="s">
        <v>1535</v>
      </c>
      <c r="C187" s="19" t="s">
        <v>1536</v>
      </c>
    </row>
    <row r="188" spans="1:3" x14ac:dyDescent="0.25">
      <c r="A188" s="19" t="s">
        <v>1540</v>
      </c>
      <c r="B188" s="19" t="s">
        <v>1541</v>
      </c>
      <c r="C188" s="19" t="s">
        <v>1542</v>
      </c>
    </row>
    <row r="189" spans="1:3" x14ac:dyDescent="0.25">
      <c r="A189" s="19" t="s">
        <v>1546</v>
      </c>
      <c r="B189" s="19" t="s">
        <v>1547</v>
      </c>
      <c r="C189" s="19"/>
    </row>
    <row r="190" spans="1:3" x14ac:dyDescent="0.25">
      <c r="A190" s="19" t="s">
        <v>1551</v>
      </c>
      <c r="B190" s="19" t="s">
        <v>1552</v>
      </c>
      <c r="C190" s="19" t="s">
        <v>1553</v>
      </c>
    </row>
    <row r="191" spans="1:3" x14ac:dyDescent="0.25">
      <c r="A191" s="19" t="s">
        <v>1557</v>
      </c>
      <c r="B191" s="19" t="s">
        <v>1558</v>
      </c>
      <c r="C191" s="19" t="s">
        <v>1559</v>
      </c>
    </row>
    <row r="192" spans="1:3" x14ac:dyDescent="0.25">
      <c r="A192" s="19" t="s">
        <v>1563</v>
      </c>
      <c r="B192" s="19" t="s">
        <v>1564</v>
      </c>
      <c r="C192" s="19" t="s">
        <v>1565</v>
      </c>
    </row>
    <row r="193" spans="1:3" x14ac:dyDescent="0.25">
      <c r="A193" s="19" t="s">
        <v>1569</v>
      </c>
      <c r="B193" s="19" t="s">
        <v>1570</v>
      </c>
      <c r="C193" s="19" t="s">
        <v>1571</v>
      </c>
    </row>
    <row r="194" spans="1:3" x14ac:dyDescent="0.25">
      <c r="A194" s="19" t="s">
        <v>1575</v>
      </c>
      <c r="B194" s="19" t="s">
        <v>1576</v>
      </c>
      <c r="C194" s="19" t="s">
        <v>1577</v>
      </c>
    </row>
    <row r="195" spans="1:3" x14ac:dyDescent="0.25">
      <c r="A195" s="19" t="s">
        <v>1581</v>
      </c>
      <c r="B195" s="19"/>
      <c r="C195" s="19" t="s">
        <v>1582</v>
      </c>
    </row>
    <row r="196" spans="1:3" x14ac:dyDescent="0.25">
      <c r="A196" s="19" t="s">
        <v>1586</v>
      </c>
      <c r="B196" s="19" t="s">
        <v>1587</v>
      </c>
      <c r="C196" s="19" t="s">
        <v>1588</v>
      </c>
    </row>
    <row r="197" spans="1:3" x14ac:dyDescent="0.25">
      <c r="A197" s="19" t="s">
        <v>1592</v>
      </c>
      <c r="B197" s="19" t="s">
        <v>1593</v>
      </c>
      <c r="C197" s="19" t="s">
        <v>1594</v>
      </c>
    </row>
    <row r="198" spans="1:3" x14ac:dyDescent="0.25">
      <c r="A198" s="19" t="s">
        <v>1598</v>
      </c>
      <c r="B198" s="19" t="s">
        <v>1599</v>
      </c>
      <c r="C198" s="19"/>
    </row>
    <row r="199" spans="1:3" x14ac:dyDescent="0.25">
      <c r="A199" s="19" t="s">
        <v>1602</v>
      </c>
      <c r="B199" s="19" t="s">
        <v>1603</v>
      </c>
      <c r="C199" s="19" t="s">
        <v>1604</v>
      </c>
    </row>
    <row r="200" spans="1:3" x14ac:dyDescent="0.25">
      <c r="A200" s="19" t="s">
        <v>1607</v>
      </c>
      <c r="B200" s="19" t="s">
        <v>1608</v>
      </c>
      <c r="C200" s="19" t="s">
        <v>1609</v>
      </c>
    </row>
    <row r="201" spans="1:3" x14ac:dyDescent="0.25">
      <c r="A201" s="19" t="s">
        <v>1612</v>
      </c>
      <c r="B201" s="19" t="s">
        <v>1613</v>
      </c>
      <c r="C201" s="19" t="s">
        <v>1614</v>
      </c>
    </row>
    <row r="202" spans="1:3" x14ac:dyDescent="0.25">
      <c r="A202" s="19" t="s">
        <v>1617</v>
      </c>
      <c r="B202" s="19" t="s">
        <v>1618</v>
      </c>
      <c r="C202" s="19" t="s">
        <v>1619</v>
      </c>
    </row>
    <row r="203" spans="1:3" x14ac:dyDescent="0.25">
      <c r="A203" s="19" t="s">
        <v>1623</v>
      </c>
      <c r="B203" s="19"/>
      <c r="C203" s="19" t="s">
        <v>1624</v>
      </c>
    </row>
    <row r="204" spans="1:3" x14ac:dyDescent="0.25">
      <c r="A204" s="19" t="s">
        <v>1628</v>
      </c>
      <c r="B204" s="19" t="s">
        <v>1629</v>
      </c>
      <c r="C204" s="19" t="s">
        <v>1630</v>
      </c>
    </row>
    <row r="205" spans="1:3" x14ac:dyDescent="0.25">
      <c r="A205" s="19" t="s">
        <v>1634</v>
      </c>
      <c r="B205" s="19" t="s">
        <v>1635</v>
      </c>
      <c r="C205" s="19" t="s">
        <v>1636</v>
      </c>
    </row>
    <row r="206" spans="1:3" x14ac:dyDescent="0.25">
      <c r="A206" s="19" t="s">
        <v>1640</v>
      </c>
      <c r="B206" s="19"/>
      <c r="C206" s="19" t="s">
        <v>1641</v>
      </c>
    </row>
    <row r="207" spans="1:3" x14ac:dyDescent="0.25">
      <c r="A207" s="19" t="s">
        <v>1645</v>
      </c>
      <c r="B207" s="19"/>
      <c r="C207" s="19" t="s">
        <v>1646</v>
      </c>
    </row>
    <row r="208" spans="1:3" x14ac:dyDescent="0.25">
      <c r="A208" s="19" t="s">
        <v>1650</v>
      </c>
      <c r="B208" s="19" t="s">
        <v>1651</v>
      </c>
      <c r="C208" s="19"/>
    </row>
    <row r="209" spans="1:3" x14ac:dyDescent="0.25">
      <c r="A209" s="19" t="s">
        <v>1655</v>
      </c>
      <c r="B209" s="19" t="s">
        <v>1656</v>
      </c>
      <c r="C209" s="19" t="s">
        <v>1657</v>
      </c>
    </row>
    <row r="210" spans="1:3" x14ac:dyDescent="0.25">
      <c r="A210" s="19" t="s">
        <v>1661</v>
      </c>
      <c r="B210" s="19" t="s">
        <v>1662</v>
      </c>
      <c r="C210" s="19" t="s">
        <v>1663</v>
      </c>
    </row>
    <row r="211" spans="1:3" x14ac:dyDescent="0.25">
      <c r="A211" s="19" t="s">
        <v>1667</v>
      </c>
      <c r="B211" s="19" t="s">
        <v>1668</v>
      </c>
      <c r="C211" s="19" t="s">
        <v>1669</v>
      </c>
    </row>
    <row r="212" spans="1:3" x14ac:dyDescent="0.25">
      <c r="A212" s="19" t="s">
        <v>1673</v>
      </c>
      <c r="B212" s="19" t="s">
        <v>1674</v>
      </c>
      <c r="C212" s="19" t="s">
        <v>1675</v>
      </c>
    </row>
    <row r="213" spans="1:3" x14ac:dyDescent="0.25">
      <c r="A213" s="19" t="s">
        <v>1679</v>
      </c>
      <c r="B213" s="19" t="s">
        <v>1680</v>
      </c>
      <c r="C213" s="19"/>
    </row>
    <row r="214" spans="1:3" x14ac:dyDescent="0.25">
      <c r="A214" s="19" t="s">
        <v>1684</v>
      </c>
      <c r="B214" s="19" t="s">
        <v>1685</v>
      </c>
      <c r="C214" s="19" t="s">
        <v>1686</v>
      </c>
    </row>
    <row r="215" spans="1:3" x14ac:dyDescent="0.25">
      <c r="A215" s="19" t="s">
        <v>1690</v>
      </c>
      <c r="B215" s="19" t="s">
        <v>1691</v>
      </c>
      <c r="C215" s="19" t="s">
        <v>1692</v>
      </c>
    </row>
    <row r="216" spans="1:3" x14ac:dyDescent="0.25">
      <c r="A216" s="19" t="s">
        <v>1696</v>
      </c>
      <c r="B216" s="19" t="s">
        <v>1697</v>
      </c>
      <c r="C216" s="19" t="s">
        <v>1698</v>
      </c>
    </row>
    <row r="217" spans="1:3" x14ac:dyDescent="0.25">
      <c r="A217" s="19" t="s">
        <v>1703</v>
      </c>
      <c r="B217" s="19" t="s">
        <v>1704</v>
      </c>
      <c r="C217" s="19" t="s">
        <v>1705</v>
      </c>
    </row>
    <row r="218" spans="1:3" x14ac:dyDescent="0.25">
      <c r="A218" s="19" t="s">
        <v>1709</v>
      </c>
      <c r="B218" s="19" t="s">
        <v>1710</v>
      </c>
      <c r="C218" s="19" t="s">
        <v>1711</v>
      </c>
    </row>
    <row r="219" spans="1:3" x14ac:dyDescent="0.25">
      <c r="A219" s="19" t="s">
        <v>1715</v>
      </c>
      <c r="B219" s="19" t="s">
        <v>1716</v>
      </c>
      <c r="C219" s="19" t="s">
        <v>1717</v>
      </c>
    </row>
    <row r="220" spans="1:3" x14ac:dyDescent="0.25">
      <c r="A220" s="19" t="s">
        <v>1721</v>
      </c>
      <c r="B220" s="19" t="s">
        <v>1722</v>
      </c>
      <c r="C220" s="19" t="s">
        <v>1723</v>
      </c>
    </row>
    <row r="221" spans="1:3" x14ac:dyDescent="0.25">
      <c r="A221" s="19" t="s">
        <v>1727</v>
      </c>
      <c r="B221" s="19" t="s">
        <v>1728</v>
      </c>
      <c r="C221" s="19" t="s">
        <v>1729</v>
      </c>
    </row>
    <row r="222" spans="1:3" x14ac:dyDescent="0.25">
      <c r="A222" s="19" t="s">
        <v>1732</v>
      </c>
      <c r="B222" s="19" t="s">
        <v>1733</v>
      </c>
      <c r="C222" s="19" t="s">
        <v>1734</v>
      </c>
    </row>
    <row r="223" spans="1:3" x14ac:dyDescent="0.25">
      <c r="A223" s="19" t="s">
        <v>1738</v>
      </c>
      <c r="B223" s="19" t="s">
        <v>1739</v>
      </c>
      <c r="C223" s="19" t="s">
        <v>1740</v>
      </c>
    </row>
    <row r="224" spans="1:3" x14ac:dyDescent="0.25">
      <c r="A224" s="19" t="s">
        <v>1744</v>
      </c>
      <c r="B224" s="19" t="s">
        <v>1745</v>
      </c>
      <c r="C224" s="19" t="s">
        <v>1746</v>
      </c>
    </row>
    <row r="225" spans="1:3" x14ac:dyDescent="0.25">
      <c r="A225" s="19" t="s">
        <v>1750</v>
      </c>
      <c r="B225" s="19"/>
      <c r="C225" s="19" t="s">
        <v>1751</v>
      </c>
    </row>
    <row r="226" spans="1:3" x14ac:dyDescent="0.25">
      <c r="A226" s="19" t="s">
        <v>1755</v>
      </c>
      <c r="B226" s="19" t="s">
        <v>1756</v>
      </c>
      <c r="C226" s="19" t="s">
        <v>1757</v>
      </c>
    </row>
    <row r="227" spans="1:3" x14ac:dyDescent="0.25">
      <c r="A227" s="19" t="s">
        <v>1761</v>
      </c>
      <c r="B227" s="19" t="s">
        <v>1762</v>
      </c>
      <c r="C227" s="19" t="s">
        <v>1763</v>
      </c>
    </row>
    <row r="228" spans="1:3" x14ac:dyDescent="0.25">
      <c r="A228" s="19" t="s">
        <v>1767</v>
      </c>
      <c r="B228" s="19" t="s">
        <v>1768</v>
      </c>
      <c r="C228" s="19" t="s">
        <v>1769</v>
      </c>
    </row>
    <row r="229" spans="1:3" x14ac:dyDescent="0.25">
      <c r="A229" s="19" t="s">
        <v>1773</v>
      </c>
      <c r="B229" s="19" t="s">
        <v>1774</v>
      </c>
      <c r="C229" s="19" t="s">
        <v>1775</v>
      </c>
    </row>
    <row r="230" spans="1:3" x14ac:dyDescent="0.25">
      <c r="A230" s="19" t="s">
        <v>1779</v>
      </c>
      <c r="B230" s="19" t="s">
        <v>1780</v>
      </c>
      <c r="C230" s="19" t="s">
        <v>1781</v>
      </c>
    </row>
    <row r="231" spans="1:3" x14ac:dyDescent="0.25">
      <c r="A231" s="19" t="s">
        <v>1785</v>
      </c>
      <c r="B231" s="19" t="s">
        <v>1786</v>
      </c>
      <c r="C231" s="19" t="s">
        <v>1787</v>
      </c>
    </row>
    <row r="232" spans="1:3" x14ac:dyDescent="0.25">
      <c r="A232" s="19" t="s">
        <v>1791</v>
      </c>
      <c r="B232" s="19" t="s">
        <v>1792</v>
      </c>
      <c r="C232" s="19" t="s">
        <v>1793</v>
      </c>
    </row>
    <row r="233" spans="1:3" x14ac:dyDescent="0.25">
      <c r="A233" s="19" t="s">
        <v>1797</v>
      </c>
      <c r="B233" s="19"/>
      <c r="C233" s="19" t="s">
        <v>1798</v>
      </c>
    </row>
    <row r="234" spans="1:3" x14ac:dyDescent="0.25">
      <c r="A234" s="19" t="s">
        <v>1802</v>
      </c>
      <c r="B234" s="19" t="s">
        <v>1803</v>
      </c>
      <c r="C234" s="19" t="s">
        <v>1804</v>
      </c>
    </row>
    <row r="235" spans="1:3" x14ac:dyDescent="0.25">
      <c r="A235" s="19" t="s">
        <v>1808</v>
      </c>
      <c r="B235" s="19" t="s">
        <v>1809</v>
      </c>
      <c r="C235" s="19" t="s">
        <v>1810</v>
      </c>
    </row>
    <row r="236" spans="1:3" x14ac:dyDescent="0.25">
      <c r="A236" s="19" t="s">
        <v>1814</v>
      </c>
      <c r="B236" s="19" t="s">
        <v>1815</v>
      </c>
      <c r="C236" s="19" t="s">
        <v>1816</v>
      </c>
    </row>
    <row r="237" spans="1:3" x14ac:dyDescent="0.25">
      <c r="A237" s="19" t="s">
        <v>1820</v>
      </c>
      <c r="B237" s="19"/>
      <c r="C237" s="19"/>
    </row>
    <row r="238" spans="1:3" x14ac:dyDescent="0.25">
      <c r="A238" s="19" t="s">
        <v>1824</v>
      </c>
      <c r="B238" s="19" t="s">
        <v>1825</v>
      </c>
      <c r="C238" s="19" t="s">
        <v>1826</v>
      </c>
    </row>
    <row r="239" spans="1:3" x14ac:dyDescent="0.25">
      <c r="A239" s="19" t="s">
        <v>1830</v>
      </c>
      <c r="B239" s="19"/>
      <c r="C239" s="19" t="s">
        <v>1831</v>
      </c>
    </row>
    <row r="240" spans="1:3" x14ac:dyDescent="0.25">
      <c r="A240" s="19" t="s">
        <v>1835</v>
      </c>
      <c r="B240" s="19" t="s">
        <v>1836</v>
      </c>
      <c r="C240" s="19" t="s">
        <v>1837</v>
      </c>
    </row>
    <row r="241" spans="1:3" x14ac:dyDescent="0.25">
      <c r="A241" s="19" t="s">
        <v>1841</v>
      </c>
      <c r="B241" s="19" t="s">
        <v>1842</v>
      </c>
      <c r="C241" s="19" t="s">
        <v>1843</v>
      </c>
    </row>
    <row r="242" spans="1:3" x14ac:dyDescent="0.25">
      <c r="A242" s="19" t="s">
        <v>1847</v>
      </c>
      <c r="B242" s="19"/>
      <c r="C242" s="19"/>
    </row>
    <row r="243" spans="1:3" x14ac:dyDescent="0.25">
      <c r="A243" s="19" t="s">
        <v>1851</v>
      </c>
      <c r="B243" s="19"/>
      <c r="C243" s="19" t="s">
        <v>1852</v>
      </c>
    </row>
    <row r="244" spans="1:3" x14ac:dyDescent="0.25">
      <c r="A244" s="19" t="s">
        <v>1856</v>
      </c>
      <c r="B244" s="19" t="s">
        <v>1857</v>
      </c>
      <c r="C244" s="19" t="s">
        <v>1858</v>
      </c>
    </row>
    <row r="245" spans="1:3" x14ac:dyDescent="0.25">
      <c r="A245" s="19" t="s">
        <v>1862</v>
      </c>
      <c r="B245" s="19" t="s">
        <v>1863</v>
      </c>
      <c r="C245" s="19" t="s">
        <v>1864</v>
      </c>
    </row>
    <row r="246" spans="1:3" x14ac:dyDescent="0.25">
      <c r="A246" s="19" t="s">
        <v>1868</v>
      </c>
      <c r="B246" s="19" t="s">
        <v>1869</v>
      </c>
      <c r="C246" s="19" t="s">
        <v>1870</v>
      </c>
    </row>
    <row r="247" spans="1:3" x14ac:dyDescent="0.25">
      <c r="A247" s="19" t="s">
        <v>1874</v>
      </c>
      <c r="B247" s="19" t="s">
        <v>1875</v>
      </c>
      <c r="C247" s="19" t="s">
        <v>1876</v>
      </c>
    </row>
    <row r="248" spans="1:3" x14ac:dyDescent="0.25">
      <c r="A248" s="19" t="s">
        <v>1880</v>
      </c>
      <c r="B248" s="19" t="s">
        <v>1881</v>
      </c>
      <c r="C248" s="19" t="s">
        <v>1882</v>
      </c>
    </row>
    <row r="249" spans="1:3" x14ac:dyDescent="0.25">
      <c r="A249" s="19" t="s">
        <v>1886</v>
      </c>
      <c r="B249" s="19"/>
      <c r="C249" s="19" t="s">
        <v>1887</v>
      </c>
    </row>
    <row r="250" spans="1:3" x14ac:dyDescent="0.25">
      <c r="A250" s="19" t="s">
        <v>1891</v>
      </c>
      <c r="B250" s="19" t="s">
        <v>1892</v>
      </c>
      <c r="C250" s="19" t="s">
        <v>1893</v>
      </c>
    </row>
    <row r="251" spans="1:3" x14ac:dyDescent="0.25">
      <c r="A251" s="19" t="s">
        <v>1897</v>
      </c>
      <c r="B251" s="19"/>
      <c r="C251" s="19" t="s">
        <v>1898</v>
      </c>
    </row>
    <row r="252" spans="1:3" x14ac:dyDescent="0.25">
      <c r="A252" s="19" t="s">
        <v>1902</v>
      </c>
      <c r="B252" s="19" t="s">
        <v>1903</v>
      </c>
      <c r="C252" s="19" t="s">
        <v>1904</v>
      </c>
    </row>
    <row r="253" spans="1:3" x14ac:dyDescent="0.25">
      <c r="A253" s="19" t="s">
        <v>1908</v>
      </c>
      <c r="B253" s="19" t="s">
        <v>1909</v>
      </c>
      <c r="C253" s="19" t="s">
        <v>1910</v>
      </c>
    </row>
    <row r="254" spans="1:3" x14ac:dyDescent="0.25">
      <c r="A254" s="19" t="s">
        <v>1914</v>
      </c>
      <c r="B254" s="19"/>
      <c r="C254" s="19" t="s">
        <v>1915</v>
      </c>
    </row>
    <row r="255" spans="1:3" x14ac:dyDescent="0.25">
      <c r="A255" s="19" t="s">
        <v>1919</v>
      </c>
      <c r="B255" s="19" t="s">
        <v>1920</v>
      </c>
      <c r="C255" s="19" t="s">
        <v>1921</v>
      </c>
    </row>
    <row r="256" spans="1:3" x14ac:dyDescent="0.25">
      <c r="A256" s="19" t="s">
        <v>1925</v>
      </c>
      <c r="B256" s="19" t="s">
        <v>1926</v>
      </c>
      <c r="C256" s="19"/>
    </row>
    <row r="257" spans="1:3" x14ac:dyDescent="0.25">
      <c r="A257" s="19" t="s">
        <v>1930</v>
      </c>
      <c r="B257" s="19" t="s">
        <v>1931</v>
      </c>
      <c r="C257" s="19" t="s">
        <v>1932</v>
      </c>
    </row>
    <row r="258" spans="1:3" x14ac:dyDescent="0.25">
      <c r="A258" s="19" t="s">
        <v>1936</v>
      </c>
      <c r="B258" s="19" t="s">
        <v>1937</v>
      </c>
      <c r="C258" s="19" t="s">
        <v>1938</v>
      </c>
    </row>
    <row r="259" spans="1:3" x14ac:dyDescent="0.25">
      <c r="A259" s="19" t="s">
        <v>1942</v>
      </c>
      <c r="B259" s="19" t="s">
        <v>1943</v>
      </c>
      <c r="C259" s="19" t="s">
        <v>1944</v>
      </c>
    </row>
    <row r="260" spans="1:3" x14ac:dyDescent="0.25">
      <c r="A260" s="19" t="s">
        <v>1948</v>
      </c>
      <c r="B260" s="19" t="s">
        <v>1949</v>
      </c>
      <c r="C260" s="19" t="s">
        <v>1950</v>
      </c>
    </row>
    <row r="261" spans="1:3" x14ac:dyDescent="0.25">
      <c r="A261" s="19" t="s">
        <v>1954</v>
      </c>
      <c r="B261" s="19" t="s">
        <v>1955</v>
      </c>
      <c r="C261" s="19" t="s">
        <v>1956</v>
      </c>
    </row>
    <row r="262" spans="1:3" x14ac:dyDescent="0.25">
      <c r="A262" s="19" t="s">
        <v>1960</v>
      </c>
      <c r="B262" s="19" t="s">
        <v>1961</v>
      </c>
      <c r="C262" s="19"/>
    </row>
    <row r="263" spans="1:3" x14ac:dyDescent="0.25">
      <c r="A263" s="19" t="s">
        <v>1965</v>
      </c>
      <c r="B263" s="19" t="s">
        <v>1966</v>
      </c>
      <c r="C263" s="19" t="s">
        <v>1967</v>
      </c>
    </row>
    <row r="264" spans="1:3" x14ac:dyDescent="0.25">
      <c r="A264" s="19" t="s">
        <v>1971</v>
      </c>
      <c r="B264" s="19" t="s">
        <v>1972</v>
      </c>
      <c r="C264" s="19" t="s">
        <v>1973</v>
      </c>
    </row>
    <row r="265" spans="1:3" x14ac:dyDescent="0.25">
      <c r="A265" s="19" t="s">
        <v>1977</v>
      </c>
      <c r="B265" s="19"/>
      <c r="C265" s="19" t="s">
        <v>1978</v>
      </c>
    </row>
    <row r="266" spans="1:3" x14ac:dyDescent="0.25">
      <c r="A266" s="19" t="s">
        <v>1982</v>
      </c>
      <c r="B266" s="19"/>
      <c r="C266" s="19" t="s">
        <v>1983</v>
      </c>
    </row>
    <row r="267" spans="1:3" x14ac:dyDescent="0.25">
      <c r="A267" s="19" t="s">
        <v>1988</v>
      </c>
      <c r="B267" s="19" t="s">
        <v>1989</v>
      </c>
      <c r="C267" s="19" t="s">
        <v>1990</v>
      </c>
    </row>
    <row r="268" spans="1:3" x14ac:dyDescent="0.25">
      <c r="A268" s="19" t="s">
        <v>1994</v>
      </c>
      <c r="B268" s="19" t="s">
        <v>1995</v>
      </c>
      <c r="C268" s="19" t="s">
        <v>1996</v>
      </c>
    </row>
    <row r="269" spans="1:3" x14ac:dyDescent="0.25">
      <c r="A269" s="19" t="s">
        <v>2000</v>
      </c>
      <c r="B269" s="19" t="s">
        <v>2001</v>
      </c>
      <c r="C269" s="19" t="s">
        <v>2002</v>
      </c>
    </row>
    <row r="270" spans="1:3" x14ac:dyDescent="0.25">
      <c r="A270" s="19" t="s">
        <v>2006</v>
      </c>
      <c r="B270" s="19"/>
      <c r="C270" s="19" t="s">
        <v>2007</v>
      </c>
    </row>
    <row r="271" spans="1:3" x14ac:dyDescent="0.25">
      <c r="A271" s="19" t="s">
        <v>2011</v>
      </c>
      <c r="B271" s="19" t="s">
        <v>2012</v>
      </c>
      <c r="C271" s="19" t="s">
        <v>2013</v>
      </c>
    </row>
    <row r="272" spans="1:3" x14ac:dyDescent="0.25">
      <c r="A272" s="19" t="s">
        <v>2017</v>
      </c>
      <c r="B272" s="19"/>
      <c r="C272" s="19"/>
    </row>
    <row r="273" spans="1:3" x14ac:dyDescent="0.25">
      <c r="A273" s="19" t="s">
        <v>2021</v>
      </c>
      <c r="B273" s="19" t="s">
        <v>2022</v>
      </c>
      <c r="C273" s="19" t="s">
        <v>2023</v>
      </c>
    </row>
    <row r="274" spans="1:3" x14ac:dyDescent="0.25">
      <c r="A274" s="19" t="s">
        <v>2027</v>
      </c>
      <c r="B274" s="19" t="s">
        <v>2028</v>
      </c>
      <c r="C274" s="19" t="s">
        <v>2029</v>
      </c>
    </row>
    <row r="275" spans="1:3" x14ac:dyDescent="0.25">
      <c r="A275" s="19" t="s">
        <v>2034</v>
      </c>
      <c r="B275" s="19" t="s">
        <v>2035</v>
      </c>
      <c r="C275" s="19" t="s">
        <v>2036</v>
      </c>
    </row>
    <row r="276" spans="1:3" x14ac:dyDescent="0.25">
      <c r="A276" s="19" t="s">
        <v>2040</v>
      </c>
      <c r="B276" s="19" t="s">
        <v>2041</v>
      </c>
      <c r="C276" s="19" t="s">
        <v>2042</v>
      </c>
    </row>
    <row r="277" spans="1:3" x14ac:dyDescent="0.25">
      <c r="A277" s="19" t="s">
        <v>2046</v>
      </c>
      <c r="B277" s="19" t="s">
        <v>2047</v>
      </c>
      <c r="C277" s="19" t="s">
        <v>2048</v>
      </c>
    </row>
    <row r="278" spans="1:3" x14ac:dyDescent="0.25">
      <c r="A278" s="19" t="s">
        <v>2052</v>
      </c>
      <c r="B278" s="19" t="s">
        <v>2053</v>
      </c>
      <c r="C278" s="19" t="s">
        <v>2054</v>
      </c>
    </row>
    <row r="279" spans="1:3" x14ac:dyDescent="0.25">
      <c r="A279" s="19" t="s">
        <v>2058</v>
      </c>
      <c r="B279" s="19" t="s">
        <v>2059</v>
      </c>
      <c r="C279" s="19" t="s">
        <v>2060</v>
      </c>
    </row>
    <row r="280" spans="1:3" x14ac:dyDescent="0.25">
      <c r="A280" s="19" t="s">
        <v>2064</v>
      </c>
      <c r="B280" s="19" t="s">
        <v>2065</v>
      </c>
      <c r="C280" s="19" t="s">
        <v>2066</v>
      </c>
    </row>
    <row r="281" spans="1:3" x14ac:dyDescent="0.25">
      <c r="A281" s="19" t="s">
        <v>2070</v>
      </c>
      <c r="B281" s="19" t="s">
        <v>2071</v>
      </c>
      <c r="C281" s="19" t="s">
        <v>2072</v>
      </c>
    </row>
    <row r="282" spans="1:3" x14ac:dyDescent="0.25">
      <c r="A282" s="19" t="s">
        <v>2076</v>
      </c>
      <c r="B282" s="19"/>
      <c r="C282" s="19" t="s">
        <v>2077</v>
      </c>
    </row>
    <row r="283" spans="1:3" x14ac:dyDescent="0.25">
      <c r="A283" s="19" t="s">
        <v>2081</v>
      </c>
      <c r="B283" s="19" t="s">
        <v>2082</v>
      </c>
      <c r="C283" s="19" t="s">
        <v>2083</v>
      </c>
    </row>
    <row r="284" spans="1:3" x14ac:dyDescent="0.25">
      <c r="A284" s="19" t="s">
        <v>2087</v>
      </c>
      <c r="B284" s="19" t="s">
        <v>2088</v>
      </c>
      <c r="C284" s="19" t="s">
        <v>2089</v>
      </c>
    </row>
    <row r="285" spans="1:3" x14ac:dyDescent="0.25">
      <c r="A285" s="19" t="s">
        <v>2093</v>
      </c>
      <c r="B285" s="19" t="s">
        <v>2094</v>
      </c>
      <c r="C285" s="19" t="s">
        <v>2095</v>
      </c>
    </row>
    <row r="286" spans="1:3" x14ac:dyDescent="0.25">
      <c r="A286" s="19" t="s">
        <v>2099</v>
      </c>
      <c r="B286" s="19"/>
      <c r="C286" s="19" t="s">
        <v>2100</v>
      </c>
    </row>
    <row r="287" spans="1:3" x14ac:dyDescent="0.25">
      <c r="A287" s="19" t="s">
        <v>2104</v>
      </c>
      <c r="B287" s="19"/>
      <c r="C287" s="19" t="s">
        <v>2105</v>
      </c>
    </row>
    <row r="288" spans="1:3" x14ac:dyDescent="0.25">
      <c r="A288" s="19" t="s">
        <v>2109</v>
      </c>
      <c r="B288" s="19" t="s">
        <v>2110</v>
      </c>
      <c r="C288" s="19"/>
    </row>
    <row r="289" spans="1:3" x14ac:dyDescent="0.25">
      <c r="A289" s="19" t="s">
        <v>2114</v>
      </c>
      <c r="B289" s="19" t="s">
        <v>2115</v>
      </c>
      <c r="C289" s="19" t="s">
        <v>2116</v>
      </c>
    </row>
    <row r="290" spans="1:3" x14ac:dyDescent="0.25">
      <c r="A290" s="19" t="s">
        <v>2120</v>
      </c>
      <c r="B290" s="19"/>
      <c r="C290" s="19" t="s">
        <v>2121</v>
      </c>
    </row>
    <row r="291" spans="1:3" x14ac:dyDescent="0.25">
      <c r="A291" s="19" t="s">
        <v>2125</v>
      </c>
      <c r="B291" s="19"/>
      <c r="C291" s="19"/>
    </row>
    <row r="292" spans="1:3" x14ac:dyDescent="0.25">
      <c r="A292" s="19" t="s">
        <v>2129</v>
      </c>
      <c r="B292" s="19" t="s">
        <v>2130</v>
      </c>
      <c r="C292" s="19" t="s">
        <v>2131</v>
      </c>
    </row>
    <row r="293" spans="1:3" x14ac:dyDescent="0.25">
      <c r="A293" s="19" t="s">
        <v>2135</v>
      </c>
      <c r="B293" s="19"/>
      <c r="C293" s="19"/>
    </row>
    <row r="294" spans="1:3" x14ac:dyDescent="0.25">
      <c r="A294" s="19" t="s">
        <v>2139</v>
      </c>
      <c r="B294" s="19" t="s">
        <v>2140</v>
      </c>
      <c r="C294" s="19"/>
    </row>
    <row r="295" spans="1:3" x14ac:dyDescent="0.25">
      <c r="A295" s="19" t="s">
        <v>2144</v>
      </c>
      <c r="B295" s="19" t="s">
        <v>2145</v>
      </c>
      <c r="C295" s="19" t="s">
        <v>2146</v>
      </c>
    </row>
    <row r="296" spans="1:3" x14ac:dyDescent="0.25">
      <c r="A296" s="19" t="s">
        <v>2150</v>
      </c>
      <c r="B296" s="19"/>
      <c r="C296" s="19" t="s">
        <v>2151</v>
      </c>
    </row>
    <row r="297" spans="1:3" x14ac:dyDescent="0.25">
      <c r="A297" s="19" t="s">
        <v>2155</v>
      </c>
      <c r="B297" s="19"/>
      <c r="C297" s="19"/>
    </row>
    <row r="298" spans="1:3" x14ac:dyDescent="0.25">
      <c r="A298" s="19" t="s">
        <v>2159</v>
      </c>
      <c r="B298" s="19" t="s">
        <v>2160</v>
      </c>
      <c r="C298" s="19" t="s">
        <v>2161</v>
      </c>
    </row>
    <row r="299" spans="1:3" x14ac:dyDescent="0.25">
      <c r="A299" s="19" t="s">
        <v>2165</v>
      </c>
      <c r="B299" s="19" t="s">
        <v>2166</v>
      </c>
      <c r="C299" s="19" t="s">
        <v>2167</v>
      </c>
    </row>
    <row r="300" spans="1:3" x14ac:dyDescent="0.25">
      <c r="A300" s="19" t="s">
        <v>2171</v>
      </c>
      <c r="B300" s="19" t="s">
        <v>2172</v>
      </c>
      <c r="C300" s="19" t="s">
        <v>2173</v>
      </c>
    </row>
    <row r="301" spans="1:3" x14ac:dyDescent="0.25">
      <c r="A301" s="19" t="s">
        <v>2177</v>
      </c>
      <c r="B301" s="19" t="s">
        <v>2178</v>
      </c>
      <c r="C301" s="19" t="s">
        <v>2179</v>
      </c>
    </row>
    <row r="302" spans="1:3" x14ac:dyDescent="0.25">
      <c r="A302" s="19" t="s">
        <v>2183</v>
      </c>
      <c r="B302" s="19" t="s">
        <v>2184</v>
      </c>
      <c r="C302" s="19" t="s">
        <v>2185</v>
      </c>
    </row>
    <row r="303" spans="1:3" x14ac:dyDescent="0.25">
      <c r="A303" s="19" t="s">
        <v>2189</v>
      </c>
      <c r="B303" s="19" t="s">
        <v>2190</v>
      </c>
      <c r="C303" s="19" t="s">
        <v>2191</v>
      </c>
    </row>
    <row r="304" spans="1:3" x14ac:dyDescent="0.25">
      <c r="A304" s="19" t="s">
        <v>2195</v>
      </c>
      <c r="B304" s="19" t="s">
        <v>2196</v>
      </c>
      <c r="C304" s="19" t="s">
        <v>2197</v>
      </c>
    </row>
    <row r="305" spans="1:3" x14ac:dyDescent="0.25">
      <c r="A305" s="19" t="s">
        <v>2201</v>
      </c>
      <c r="B305" s="19" t="s">
        <v>2202</v>
      </c>
      <c r="C305" s="19"/>
    </row>
    <row r="306" spans="1:3" x14ac:dyDescent="0.25">
      <c r="A306" s="19" t="s">
        <v>2206</v>
      </c>
      <c r="B306" s="19" t="s">
        <v>2207</v>
      </c>
      <c r="C306" s="19"/>
    </row>
    <row r="307" spans="1:3" x14ac:dyDescent="0.25">
      <c r="A307" s="19" t="s">
        <v>2211</v>
      </c>
      <c r="B307" s="19" t="s">
        <v>2212</v>
      </c>
      <c r="C307" s="19" t="s">
        <v>2213</v>
      </c>
    </row>
    <row r="308" spans="1:3" x14ac:dyDescent="0.25">
      <c r="A308" s="19" t="s">
        <v>2217</v>
      </c>
      <c r="B308" s="19" t="s">
        <v>2218</v>
      </c>
      <c r="C308" s="19" t="s">
        <v>2219</v>
      </c>
    </row>
    <row r="309" spans="1:3" x14ac:dyDescent="0.25">
      <c r="A309" s="19" t="s">
        <v>2223</v>
      </c>
      <c r="B309" s="19" t="s">
        <v>2224</v>
      </c>
      <c r="C309" s="19" t="s">
        <v>2225</v>
      </c>
    </row>
    <row r="310" spans="1:3" x14ac:dyDescent="0.25">
      <c r="A310" s="19" t="s">
        <v>2229</v>
      </c>
      <c r="B310" s="19" t="s">
        <v>2230</v>
      </c>
      <c r="C310" s="19"/>
    </row>
    <row r="311" spans="1:3" x14ac:dyDescent="0.25">
      <c r="A311" s="19" t="s">
        <v>2234</v>
      </c>
      <c r="B311" s="19" t="s">
        <v>2235</v>
      </c>
      <c r="C311" s="19" t="s">
        <v>2236</v>
      </c>
    </row>
    <row r="312" spans="1:3" x14ac:dyDescent="0.25">
      <c r="A312" s="19" t="s">
        <v>2240</v>
      </c>
      <c r="B312" s="19" t="s">
        <v>2241</v>
      </c>
      <c r="C312" s="19" t="s">
        <v>2242</v>
      </c>
    </row>
    <row r="313" spans="1:3" x14ac:dyDescent="0.25">
      <c r="A313" s="19" t="s">
        <v>2246</v>
      </c>
      <c r="B313" s="19" t="s">
        <v>2247</v>
      </c>
      <c r="C313" s="19" t="s">
        <v>2248</v>
      </c>
    </row>
    <row r="314" spans="1:3" x14ac:dyDescent="0.25">
      <c r="A314" s="19" t="s">
        <v>2252</v>
      </c>
      <c r="B314" s="19" t="s">
        <v>2253</v>
      </c>
      <c r="C314" s="19" t="s">
        <v>2254</v>
      </c>
    </row>
    <row r="315" spans="1:3" x14ac:dyDescent="0.25">
      <c r="A315" s="19" t="s">
        <v>2258</v>
      </c>
      <c r="B315" s="19" t="s">
        <v>2259</v>
      </c>
      <c r="C315" s="19" t="s">
        <v>2260</v>
      </c>
    </row>
    <row r="316" spans="1:3" x14ac:dyDescent="0.25">
      <c r="A316" s="19" t="s">
        <v>2264</v>
      </c>
      <c r="B316" s="19"/>
      <c r="C316" s="19" t="s">
        <v>2265</v>
      </c>
    </row>
    <row r="317" spans="1:3" x14ac:dyDescent="0.25">
      <c r="A317" s="19" t="s">
        <v>2269</v>
      </c>
      <c r="B317" s="19" t="s">
        <v>2270</v>
      </c>
      <c r="C317" s="19" t="s">
        <v>2271</v>
      </c>
    </row>
    <row r="318" spans="1:3" x14ac:dyDescent="0.25">
      <c r="A318" s="19" t="s">
        <v>2275</v>
      </c>
      <c r="B318" s="19" t="s">
        <v>2276</v>
      </c>
      <c r="C318" s="19" t="s">
        <v>2277</v>
      </c>
    </row>
    <row r="319" spans="1:3" x14ac:dyDescent="0.25">
      <c r="A319" s="19" t="s">
        <v>2281</v>
      </c>
      <c r="B319" s="19" t="s">
        <v>2282</v>
      </c>
      <c r="C319" s="19" t="s">
        <v>2283</v>
      </c>
    </row>
    <row r="320" spans="1:3" x14ac:dyDescent="0.25">
      <c r="A320" s="19" t="s">
        <v>2287</v>
      </c>
      <c r="B320" s="19" t="s">
        <v>2288</v>
      </c>
      <c r="C320" s="19" t="s">
        <v>2289</v>
      </c>
    </row>
    <row r="321" spans="1:3" x14ac:dyDescent="0.25">
      <c r="A321" s="19" t="s">
        <v>2293</v>
      </c>
      <c r="B321" s="19" t="s">
        <v>2294</v>
      </c>
      <c r="C321" s="19"/>
    </row>
    <row r="322" spans="1:3" x14ac:dyDescent="0.25">
      <c r="A322" s="19" t="s">
        <v>2297</v>
      </c>
      <c r="B322" s="19" t="s">
        <v>2298</v>
      </c>
      <c r="C322" s="19" t="s">
        <v>2299</v>
      </c>
    </row>
    <row r="323" spans="1:3" x14ac:dyDescent="0.25">
      <c r="A323" s="19" t="s">
        <v>2303</v>
      </c>
      <c r="B323" s="19" t="s">
        <v>2304</v>
      </c>
      <c r="C323" s="19" t="s">
        <v>2305</v>
      </c>
    </row>
    <row r="324" spans="1:3" x14ac:dyDescent="0.25">
      <c r="A324" s="19" t="s">
        <v>2309</v>
      </c>
      <c r="B324" s="19" t="s">
        <v>2310</v>
      </c>
      <c r="C324" s="19" t="s">
        <v>2311</v>
      </c>
    </row>
    <row r="325" spans="1:3" x14ac:dyDescent="0.25">
      <c r="A325" s="19" t="s">
        <v>2315</v>
      </c>
      <c r="B325" s="19" t="s">
        <v>2316</v>
      </c>
      <c r="C325" s="19" t="s">
        <v>2317</v>
      </c>
    </row>
    <row r="326" spans="1:3" x14ac:dyDescent="0.25">
      <c r="A326" s="19" t="s">
        <v>2321</v>
      </c>
      <c r="B326" s="19"/>
      <c r="C326" s="19" t="s">
        <v>2322</v>
      </c>
    </row>
    <row r="327" spans="1:3" x14ac:dyDescent="0.25">
      <c r="A327" s="19" t="s">
        <v>2326</v>
      </c>
      <c r="B327" s="19" t="s">
        <v>2327</v>
      </c>
      <c r="C327" s="19" t="s">
        <v>2328</v>
      </c>
    </row>
    <row r="328" spans="1:3" x14ac:dyDescent="0.25">
      <c r="A328" s="19" t="s">
        <v>2332</v>
      </c>
      <c r="B328" s="19"/>
      <c r="C328" s="19" t="s">
        <v>2333</v>
      </c>
    </row>
    <row r="329" spans="1:3" x14ac:dyDescent="0.25">
      <c r="A329" s="19" t="s">
        <v>2337</v>
      </c>
      <c r="B329" s="19" t="s">
        <v>2338</v>
      </c>
      <c r="C329" s="19" t="s">
        <v>2339</v>
      </c>
    </row>
    <row r="330" spans="1:3" x14ac:dyDescent="0.25">
      <c r="A330" s="19" t="s">
        <v>2343</v>
      </c>
      <c r="B330" s="19"/>
      <c r="C330" s="19" t="s">
        <v>2344</v>
      </c>
    </row>
    <row r="331" spans="1:3" x14ac:dyDescent="0.25">
      <c r="A331" s="19" t="s">
        <v>2348</v>
      </c>
      <c r="B331" s="19" t="s">
        <v>2349</v>
      </c>
      <c r="C331" s="19"/>
    </row>
    <row r="332" spans="1:3" x14ac:dyDescent="0.25">
      <c r="A332" s="19" t="s">
        <v>2353</v>
      </c>
      <c r="B332" s="19" t="s">
        <v>2354</v>
      </c>
      <c r="C332" s="19" t="s">
        <v>2355</v>
      </c>
    </row>
    <row r="333" spans="1:3" x14ac:dyDescent="0.25">
      <c r="A333" s="19" t="s">
        <v>2359</v>
      </c>
      <c r="B333" s="19" t="s">
        <v>2360</v>
      </c>
      <c r="C333" s="19" t="s">
        <v>2361</v>
      </c>
    </row>
    <row r="334" spans="1:3" x14ac:dyDescent="0.25">
      <c r="A334" s="19" t="s">
        <v>2365</v>
      </c>
      <c r="B334" s="19" t="s">
        <v>2366</v>
      </c>
      <c r="C334" s="19" t="s">
        <v>2367</v>
      </c>
    </row>
    <row r="335" spans="1:3" x14ac:dyDescent="0.25">
      <c r="A335" s="19" t="s">
        <v>2371</v>
      </c>
      <c r="B335" s="19" t="s">
        <v>2372</v>
      </c>
      <c r="C335" s="19" t="s">
        <v>2373</v>
      </c>
    </row>
    <row r="336" spans="1:3" x14ac:dyDescent="0.25">
      <c r="A336" s="19" t="s">
        <v>2377</v>
      </c>
      <c r="B336" s="19"/>
      <c r="C336" s="19"/>
    </row>
    <row r="337" spans="1:3" x14ac:dyDescent="0.25">
      <c r="A337" s="19" t="s">
        <v>2381</v>
      </c>
      <c r="B337" s="19" t="s">
        <v>2382</v>
      </c>
      <c r="C337" s="19" t="s">
        <v>2383</v>
      </c>
    </row>
    <row r="338" spans="1:3" x14ac:dyDescent="0.25">
      <c r="A338" s="19" t="s">
        <v>2387</v>
      </c>
      <c r="B338" s="19" t="s">
        <v>2388</v>
      </c>
      <c r="C338" s="19" t="s">
        <v>2389</v>
      </c>
    </row>
    <row r="339" spans="1:3" x14ac:dyDescent="0.25">
      <c r="A339" s="19" t="s">
        <v>2393</v>
      </c>
      <c r="B339" s="19"/>
      <c r="C339" s="19" t="s">
        <v>2394</v>
      </c>
    </row>
    <row r="340" spans="1:3" x14ac:dyDescent="0.25">
      <c r="A340" s="19" t="s">
        <v>2398</v>
      </c>
      <c r="B340" s="19" t="s">
        <v>2399</v>
      </c>
      <c r="C340" s="19" t="s">
        <v>2400</v>
      </c>
    </row>
    <row r="341" spans="1:3" x14ac:dyDescent="0.25">
      <c r="A341" s="19" t="s">
        <v>2404</v>
      </c>
      <c r="B341" s="19" t="s">
        <v>2405</v>
      </c>
      <c r="C341" s="19" t="s">
        <v>2406</v>
      </c>
    </row>
    <row r="342" spans="1:3" x14ac:dyDescent="0.25">
      <c r="A342" s="19" t="s">
        <v>2410</v>
      </c>
      <c r="B342" s="19" t="s">
        <v>2411</v>
      </c>
      <c r="C342" s="19" t="s">
        <v>2412</v>
      </c>
    </row>
    <row r="343" spans="1:3" x14ac:dyDescent="0.25">
      <c r="A343" s="19" t="s">
        <v>2416</v>
      </c>
      <c r="B343" s="19" t="s">
        <v>2417</v>
      </c>
      <c r="C343" s="19" t="s">
        <v>2418</v>
      </c>
    </row>
    <row r="344" spans="1:3" x14ac:dyDescent="0.25">
      <c r="A344" s="19" t="s">
        <v>2421</v>
      </c>
      <c r="B344" s="19" t="s">
        <v>2422</v>
      </c>
      <c r="C344" s="19"/>
    </row>
    <row r="345" spans="1:3" x14ac:dyDescent="0.25">
      <c r="A345" s="19" t="s">
        <v>2426</v>
      </c>
      <c r="B345" s="19" t="s">
        <v>2427</v>
      </c>
      <c r="C345" s="19"/>
    </row>
    <row r="346" spans="1:3" x14ac:dyDescent="0.25">
      <c r="A346" s="19" t="s">
        <v>2431</v>
      </c>
      <c r="B346" s="19"/>
      <c r="C346" s="19" t="s">
        <v>2432</v>
      </c>
    </row>
    <row r="347" spans="1:3" x14ac:dyDescent="0.25">
      <c r="A347" s="19" t="s">
        <v>2436</v>
      </c>
      <c r="B347" s="19" t="s">
        <v>2437</v>
      </c>
      <c r="C347" s="19" t="s">
        <v>2438</v>
      </c>
    </row>
    <row r="348" spans="1:3" x14ac:dyDescent="0.25">
      <c r="A348" s="19" t="s">
        <v>2442</v>
      </c>
      <c r="B348" s="19" t="s">
        <v>2443</v>
      </c>
      <c r="C348" s="19" t="s">
        <v>2444</v>
      </c>
    </row>
    <row r="349" spans="1:3" x14ac:dyDescent="0.25">
      <c r="A349" s="19" t="s">
        <v>2448</v>
      </c>
      <c r="B349" s="19" t="s">
        <v>2449</v>
      </c>
      <c r="C349" s="19" t="s">
        <v>2450</v>
      </c>
    </row>
    <row r="350" spans="1:3" x14ac:dyDescent="0.25">
      <c r="A350" s="19" t="s">
        <v>2454</v>
      </c>
      <c r="B350" s="19" t="s">
        <v>2455</v>
      </c>
      <c r="C350" s="19" t="s">
        <v>2456</v>
      </c>
    </row>
    <row r="351" spans="1:3" x14ac:dyDescent="0.25">
      <c r="A351" s="19" t="s">
        <v>2460</v>
      </c>
      <c r="B351" s="19" t="s">
        <v>2461</v>
      </c>
      <c r="C351" s="19" t="s">
        <v>2462</v>
      </c>
    </row>
    <row r="352" spans="1:3" x14ac:dyDescent="0.25">
      <c r="A352" s="19" t="s">
        <v>2466</v>
      </c>
      <c r="B352" s="19" t="s">
        <v>2467</v>
      </c>
      <c r="C352" s="19" t="s">
        <v>2468</v>
      </c>
    </row>
    <row r="353" spans="1:3" x14ac:dyDescent="0.25">
      <c r="A353" s="19" t="s">
        <v>2472</v>
      </c>
      <c r="B353" s="19" t="s">
        <v>2473</v>
      </c>
      <c r="C353" s="19" t="s">
        <v>2474</v>
      </c>
    </row>
    <row r="354" spans="1:3" x14ac:dyDescent="0.25">
      <c r="A354" s="19" t="s">
        <v>2478</v>
      </c>
      <c r="B354" s="19" t="s">
        <v>2479</v>
      </c>
      <c r="C354" s="19" t="s">
        <v>2480</v>
      </c>
    </row>
    <row r="355" spans="1:3" x14ac:dyDescent="0.25">
      <c r="A355" s="19" t="s">
        <v>2484</v>
      </c>
      <c r="B355" s="19"/>
      <c r="C355" s="19" t="s">
        <v>2485</v>
      </c>
    </row>
    <row r="356" spans="1:3" x14ac:dyDescent="0.25">
      <c r="A356" s="19" t="s">
        <v>2489</v>
      </c>
      <c r="B356" s="19" t="s">
        <v>2490</v>
      </c>
      <c r="C356" s="19"/>
    </row>
    <row r="357" spans="1:3" x14ac:dyDescent="0.25">
      <c r="A357" s="19" t="s">
        <v>2494</v>
      </c>
      <c r="B357" s="19" t="s">
        <v>2495</v>
      </c>
      <c r="C357" s="19" t="s">
        <v>2496</v>
      </c>
    </row>
    <row r="358" spans="1:3" x14ac:dyDescent="0.25">
      <c r="A358" s="19" t="s">
        <v>2500</v>
      </c>
      <c r="B358" s="19" t="s">
        <v>2501</v>
      </c>
      <c r="C358" s="19" t="s">
        <v>2502</v>
      </c>
    </row>
    <row r="359" spans="1:3" x14ac:dyDescent="0.25">
      <c r="A359" s="19" t="s">
        <v>2506</v>
      </c>
      <c r="B359" s="19"/>
      <c r="C359" s="19" t="s">
        <v>2507</v>
      </c>
    </row>
    <row r="360" spans="1:3" x14ac:dyDescent="0.25">
      <c r="A360" s="19" t="s">
        <v>2511</v>
      </c>
      <c r="B360" s="19" t="s">
        <v>2512</v>
      </c>
      <c r="C360" s="19" t="s">
        <v>2513</v>
      </c>
    </row>
    <row r="361" spans="1:3" x14ac:dyDescent="0.25">
      <c r="A361" s="19" t="s">
        <v>2517</v>
      </c>
      <c r="B361" s="19" t="s">
        <v>2518</v>
      </c>
      <c r="C361" s="19" t="s">
        <v>2519</v>
      </c>
    </row>
    <row r="362" spans="1:3" x14ac:dyDescent="0.25">
      <c r="A362" s="19" t="s">
        <v>2523</v>
      </c>
      <c r="B362" s="19" t="s">
        <v>2524</v>
      </c>
      <c r="C362" s="19" t="s">
        <v>2525</v>
      </c>
    </row>
    <row r="363" spans="1:3" x14ac:dyDescent="0.25">
      <c r="A363" s="19" t="s">
        <v>2528</v>
      </c>
      <c r="B363" s="19" t="s">
        <v>2529</v>
      </c>
      <c r="C363" s="19" t="s">
        <v>2530</v>
      </c>
    </row>
    <row r="364" spans="1:3" x14ac:dyDescent="0.25">
      <c r="A364" s="19" t="s">
        <v>2534</v>
      </c>
      <c r="B364" s="19" t="s">
        <v>2535</v>
      </c>
      <c r="C364" s="19" t="s">
        <v>2536</v>
      </c>
    </row>
    <row r="365" spans="1:3" x14ac:dyDescent="0.25">
      <c r="A365" s="19" t="s">
        <v>2540</v>
      </c>
      <c r="B365" s="19" t="s">
        <v>2541</v>
      </c>
      <c r="C365" s="19"/>
    </row>
    <row r="366" spans="1:3" x14ac:dyDescent="0.25">
      <c r="A366" s="19" t="s">
        <v>2545</v>
      </c>
      <c r="B366" s="19" t="s">
        <v>2546</v>
      </c>
      <c r="C366" s="19" t="s">
        <v>2547</v>
      </c>
    </row>
    <row r="367" spans="1:3" x14ac:dyDescent="0.25">
      <c r="A367" s="19" t="s">
        <v>2551</v>
      </c>
      <c r="B367" s="19" t="s">
        <v>2552</v>
      </c>
      <c r="C367" s="19"/>
    </row>
    <row r="368" spans="1:3" x14ac:dyDescent="0.25">
      <c r="A368" s="19" t="s">
        <v>2556</v>
      </c>
      <c r="B368" s="19"/>
      <c r="C368" s="19" t="s">
        <v>2557</v>
      </c>
    </row>
    <row r="369" spans="1:3" x14ac:dyDescent="0.25">
      <c r="A369" s="19" t="s">
        <v>2561</v>
      </c>
      <c r="B369" s="19"/>
      <c r="C369" s="19"/>
    </row>
    <row r="370" spans="1:3" x14ac:dyDescent="0.25">
      <c r="A370" s="19" t="s">
        <v>2565</v>
      </c>
      <c r="B370" s="19" t="s">
        <v>2566</v>
      </c>
      <c r="C370" s="19" t="s">
        <v>2567</v>
      </c>
    </row>
    <row r="371" spans="1:3" x14ac:dyDescent="0.25">
      <c r="A371" s="19" t="s">
        <v>2571</v>
      </c>
      <c r="B371" s="19"/>
      <c r="C371" s="19"/>
    </row>
    <row r="372" spans="1:3" x14ac:dyDescent="0.25">
      <c r="A372" s="19" t="s">
        <v>2575</v>
      </c>
      <c r="B372" s="19" t="s">
        <v>2576</v>
      </c>
      <c r="C372" s="19" t="s">
        <v>2577</v>
      </c>
    </row>
    <row r="373" spans="1:3" x14ac:dyDescent="0.25">
      <c r="A373" s="19" t="s">
        <v>2581</v>
      </c>
      <c r="B373" s="19" t="s">
        <v>2582</v>
      </c>
      <c r="C373" s="19" t="s">
        <v>2583</v>
      </c>
    </row>
    <row r="374" spans="1:3" x14ac:dyDescent="0.25">
      <c r="A374" s="19" t="s">
        <v>2587</v>
      </c>
      <c r="B374" s="19" t="s">
        <v>2588</v>
      </c>
      <c r="C374" s="19" t="s">
        <v>2589</v>
      </c>
    </row>
    <row r="375" spans="1:3" x14ac:dyDescent="0.25">
      <c r="A375" s="19" t="s">
        <v>2593</v>
      </c>
      <c r="B375" s="19"/>
      <c r="C375" s="19" t="s">
        <v>2594</v>
      </c>
    </row>
    <row r="376" spans="1:3" x14ac:dyDescent="0.25">
      <c r="A376" s="19" t="s">
        <v>2599</v>
      </c>
      <c r="B376" s="19" t="s">
        <v>2600</v>
      </c>
      <c r="C376" s="19" t="s">
        <v>2601</v>
      </c>
    </row>
    <row r="377" spans="1:3" x14ac:dyDescent="0.25">
      <c r="A377" s="19" t="s">
        <v>2605</v>
      </c>
      <c r="B377" s="19" t="s">
        <v>2606</v>
      </c>
      <c r="C377" s="19" t="s">
        <v>2607</v>
      </c>
    </row>
    <row r="378" spans="1:3" x14ac:dyDescent="0.25">
      <c r="A378" s="19" t="s">
        <v>2611</v>
      </c>
      <c r="B378" s="19" t="s">
        <v>2612</v>
      </c>
      <c r="C378" s="19" t="s">
        <v>2613</v>
      </c>
    </row>
    <row r="379" spans="1:3" x14ac:dyDescent="0.25">
      <c r="A379" s="19" t="s">
        <v>2617</v>
      </c>
      <c r="B379" s="19" t="s">
        <v>2618</v>
      </c>
      <c r="C379" s="19" t="s">
        <v>2619</v>
      </c>
    </row>
    <row r="380" spans="1:3" x14ac:dyDescent="0.25">
      <c r="A380" s="19" t="s">
        <v>2623</v>
      </c>
      <c r="B380" s="19" t="s">
        <v>2624</v>
      </c>
      <c r="C380" s="19" t="s">
        <v>2625</v>
      </c>
    </row>
    <row r="381" spans="1:3" x14ac:dyDescent="0.25">
      <c r="A381" s="19" t="s">
        <v>2629</v>
      </c>
      <c r="B381" s="19" t="s">
        <v>2630</v>
      </c>
      <c r="C381" s="19"/>
    </row>
    <row r="382" spans="1:3" x14ac:dyDescent="0.25">
      <c r="A382" s="19" t="s">
        <v>2634</v>
      </c>
      <c r="B382" s="19" t="s">
        <v>2635</v>
      </c>
      <c r="C382" s="19" t="s">
        <v>2636</v>
      </c>
    </row>
    <row r="383" spans="1:3" x14ac:dyDescent="0.25">
      <c r="A383" s="19" t="s">
        <v>2640</v>
      </c>
      <c r="B383" s="19" t="s">
        <v>2641</v>
      </c>
      <c r="C383" s="19" t="s">
        <v>2642</v>
      </c>
    </row>
    <row r="384" spans="1:3" x14ac:dyDescent="0.25">
      <c r="A384" s="19" t="s">
        <v>2646</v>
      </c>
      <c r="B384" s="19" t="s">
        <v>2647</v>
      </c>
      <c r="C384" s="19" t="s">
        <v>2648</v>
      </c>
    </row>
    <row r="385" spans="1:3" x14ac:dyDescent="0.25">
      <c r="A385" s="19" t="s">
        <v>2652</v>
      </c>
      <c r="B385" s="19"/>
      <c r="C385" s="19" t="s">
        <v>2653</v>
      </c>
    </row>
    <row r="386" spans="1:3" x14ac:dyDescent="0.25">
      <c r="A386" s="19" t="s">
        <v>2657</v>
      </c>
      <c r="B386" s="19"/>
      <c r="C386" s="19" t="s">
        <v>2658</v>
      </c>
    </row>
    <row r="387" spans="1:3" x14ac:dyDescent="0.25">
      <c r="A387" s="19" t="s">
        <v>2662</v>
      </c>
      <c r="B387" s="19" t="s">
        <v>2663</v>
      </c>
      <c r="C387" s="19" t="s">
        <v>2664</v>
      </c>
    </row>
    <row r="388" spans="1:3" x14ac:dyDescent="0.25">
      <c r="A388" s="19" t="s">
        <v>2668</v>
      </c>
      <c r="B388" s="19"/>
      <c r="C388" s="19" t="s">
        <v>2669</v>
      </c>
    </row>
    <row r="389" spans="1:3" x14ac:dyDescent="0.25">
      <c r="A389" s="19" t="s">
        <v>2673</v>
      </c>
      <c r="B389" s="19" t="s">
        <v>2674</v>
      </c>
      <c r="C389" s="19" t="s">
        <v>2675</v>
      </c>
    </row>
    <row r="390" spans="1:3" x14ac:dyDescent="0.25">
      <c r="A390" s="19" t="s">
        <v>2679</v>
      </c>
      <c r="B390" s="19" t="s">
        <v>2680</v>
      </c>
      <c r="C390" s="19" t="s">
        <v>2681</v>
      </c>
    </row>
    <row r="391" spans="1:3" x14ac:dyDescent="0.25">
      <c r="A391" s="19" t="s">
        <v>2685</v>
      </c>
      <c r="B391" s="19" t="s">
        <v>2686</v>
      </c>
      <c r="C391" s="19" t="s">
        <v>2687</v>
      </c>
    </row>
    <row r="392" spans="1:3" x14ac:dyDescent="0.25">
      <c r="A392" s="19" t="s">
        <v>2691</v>
      </c>
      <c r="B392" s="19" t="s">
        <v>2692</v>
      </c>
      <c r="C392" s="19"/>
    </row>
    <row r="393" spans="1:3" x14ac:dyDescent="0.25">
      <c r="A393" s="19" t="s">
        <v>2696</v>
      </c>
      <c r="B393" s="19" t="s">
        <v>2697</v>
      </c>
      <c r="C393" s="19"/>
    </row>
    <row r="394" spans="1:3" x14ac:dyDescent="0.25">
      <c r="A394" s="19" t="s">
        <v>2701</v>
      </c>
      <c r="B394" s="19" t="s">
        <v>2702</v>
      </c>
      <c r="C394" s="19" t="s">
        <v>2703</v>
      </c>
    </row>
    <row r="395" spans="1:3" x14ac:dyDescent="0.25">
      <c r="A395" s="19" t="s">
        <v>2706</v>
      </c>
      <c r="B395" s="19" t="s">
        <v>2707</v>
      </c>
      <c r="C395" s="19" t="s">
        <v>2708</v>
      </c>
    </row>
    <row r="396" spans="1:3" x14ac:dyDescent="0.25">
      <c r="A396" s="19" t="s">
        <v>2712</v>
      </c>
      <c r="B396" s="19" t="s">
        <v>2713</v>
      </c>
      <c r="C396" s="19" t="s">
        <v>2714</v>
      </c>
    </row>
    <row r="397" spans="1:3" x14ac:dyDescent="0.25">
      <c r="A397" s="19" t="s">
        <v>2718</v>
      </c>
      <c r="B397" s="19" t="s">
        <v>2719</v>
      </c>
      <c r="C397" s="19"/>
    </row>
    <row r="398" spans="1:3" x14ac:dyDescent="0.25">
      <c r="A398" s="19" t="s">
        <v>2723</v>
      </c>
      <c r="B398" s="19" t="s">
        <v>2724</v>
      </c>
      <c r="C398" s="19" t="s">
        <v>2725</v>
      </c>
    </row>
    <row r="399" spans="1:3" x14ac:dyDescent="0.25">
      <c r="A399" s="19" t="s">
        <v>2729</v>
      </c>
      <c r="B399" s="19" t="s">
        <v>2730</v>
      </c>
      <c r="C399" s="19" t="s">
        <v>2731</v>
      </c>
    </row>
    <row r="400" spans="1:3" x14ac:dyDescent="0.25">
      <c r="A400" s="19" t="s">
        <v>2735</v>
      </c>
      <c r="B400" s="19" t="s">
        <v>2736</v>
      </c>
      <c r="C400" s="19" t="s">
        <v>2737</v>
      </c>
    </row>
    <row r="401" spans="1:3" x14ac:dyDescent="0.25">
      <c r="A401" s="19" t="s">
        <v>2741</v>
      </c>
      <c r="B401" s="19" t="s">
        <v>2742</v>
      </c>
      <c r="C401" s="19" t="s">
        <v>2743</v>
      </c>
    </row>
    <row r="402" spans="1:3" x14ac:dyDescent="0.25">
      <c r="A402" s="19" t="s">
        <v>2747</v>
      </c>
      <c r="B402" s="19" t="s">
        <v>2748</v>
      </c>
      <c r="C402" s="19" t="s">
        <v>2749</v>
      </c>
    </row>
    <row r="403" spans="1:3" x14ac:dyDescent="0.25">
      <c r="A403" s="19" t="s">
        <v>2753</v>
      </c>
      <c r="B403" s="19" t="s">
        <v>2754</v>
      </c>
      <c r="C403" s="19" t="s">
        <v>2755</v>
      </c>
    </row>
    <row r="404" spans="1:3" x14ac:dyDescent="0.25">
      <c r="A404" s="19" t="s">
        <v>2759</v>
      </c>
      <c r="B404" s="19" t="s">
        <v>2760</v>
      </c>
      <c r="C404" s="19" t="s">
        <v>2761</v>
      </c>
    </row>
    <row r="405" spans="1:3" x14ac:dyDescent="0.25">
      <c r="A405" s="19" t="s">
        <v>2765</v>
      </c>
      <c r="B405" s="19" t="s">
        <v>2766</v>
      </c>
      <c r="C405" s="19" t="s">
        <v>2767</v>
      </c>
    </row>
    <row r="406" spans="1:3" x14ac:dyDescent="0.25">
      <c r="A406" s="19" t="s">
        <v>2771</v>
      </c>
      <c r="B406" s="19" t="s">
        <v>2772</v>
      </c>
      <c r="C406" s="19" t="s">
        <v>2773</v>
      </c>
    </row>
    <row r="407" spans="1:3" x14ac:dyDescent="0.25">
      <c r="A407" s="19" t="s">
        <v>2777</v>
      </c>
      <c r="B407" s="19" t="s">
        <v>2778</v>
      </c>
      <c r="C407" s="19" t="s">
        <v>2779</v>
      </c>
    </row>
    <row r="408" spans="1:3" x14ac:dyDescent="0.25">
      <c r="A408" s="19" t="s">
        <v>2783</v>
      </c>
      <c r="B408" s="19" t="s">
        <v>2784</v>
      </c>
      <c r="C408" s="19" t="s">
        <v>2785</v>
      </c>
    </row>
    <row r="409" spans="1:3" x14ac:dyDescent="0.25">
      <c r="A409" s="19" t="s">
        <v>2789</v>
      </c>
      <c r="B409" s="19"/>
      <c r="C409" s="19" t="s">
        <v>2790</v>
      </c>
    </row>
    <row r="410" spans="1:3" x14ac:dyDescent="0.25">
      <c r="A410" s="19" t="s">
        <v>2794</v>
      </c>
      <c r="B410" s="19" t="s">
        <v>2795</v>
      </c>
      <c r="C410" s="19" t="s">
        <v>2796</v>
      </c>
    </row>
    <row r="411" spans="1:3" x14ac:dyDescent="0.25">
      <c r="A411" s="19" t="s">
        <v>2800</v>
      </c>
      <c r="B411" s="19"/>
      <c r="C411" s="19" t="s">
        <v>2801</v>
      </c>
    </row>
    <row r="412" spans="1:3" x14ac:dyDescent="0.25">
      <c r="A412" s="19" t="s">
        <v>2805</v>
      </c>
      <c r="B412" s="19"/>
      <c r="C412" s="19" t="s">
        <v>2806</v>
      </c>
    </row>
    <row r="413" spans="1:3" x14ac:dyDescent="0.25">
      <c r="A413" s="19" t="s">
        <v>2810</v>
      </c>
      <c r="B413" s="19"/>
      <c r="C413" s="19" t="s">
        <v>2811</v>
      </c>
    </row>
    <row r="414" spans="1:3" x14ac:dyDescent="0.25">
      <c r="A414" s="19" t="s">
        <v>2815</v>
      </c>
      <c r="B414" s="19"/>
      <c r="C414" s="19" t="s">
        <v>2816</v>
      </c>
    </row>
    <row r="415" spans="1:3" x14ac:dyDescent="0.25">
      <c r="A415" s="19" t="s">
        <v>2820</v>
      </c>
      <c r="B415" s="19" t="s">
        <v>2821</v>
      </c>
      <c r="C415" s="19" t="s">
        <v>2822</v>
      </c>
    </row>
    <row r="416" spans="1:3" x14ac:dyDescent="0.25">
      <c r="A416" s="19" t="s">
        <v>2826</v>
      </c>
      <c r="B416" s="19"/>
      <c r="C416" s="19" t="s">
        <v>2827</v>
      </c>
    </row>
    <row r="417" spans="1:3" x14ac:dyDescent="0.25">
      <c r="A417" s="19" t="s">
        <v>2831</v>
      </c>
      <c r="B417" s="19" t="s">
        <v>2832</v>
      </c>
      <c r="C417" s="19"/>
    </row>
    <row r="418" spans="1:3" x14ac:dyDescent="0.25">
      <c r="A418" s="19" t="s">
        <v>2836</v>
      </c>
      <c r="B418" s="19"/>
      <c r="C418" s="19" t="s">
        <v>2837</v>
      </c>
    </row>
    <row r="419" spans="1:3" x14ac:dyDescent="0.25">
      <c r="A419" s="19" t="s">
        <v>2841</v>
      </c>
      <c r="B419" s="19"/>
      <c r="C419" s="19" t="s">
        <v>2842</v>
      </c>
    </row>
    <row r="420" spans="1:3" x14ac:dyDescent="0.25">
      <c r="A420" s="19" t="s">
        <v>2846</v>
      </c>
      <c r="B420" s="19" t="s">
        <v>2847</v>
      </c>
      <c r="C420" s="19"/>
    </row>
    <row r="421" spans="1:3" x14ac:dyDescent="0.25">
      <c r="A421" s="19" t="s">
        <v>2851</v>
      </c>
      <c r="B421" s="19" t="s">
        <v>2852</v>
      </c>
      <c r="C421" s="19" t="s">
        <v>2853</v>
      </c>
    </row>
    <row r="422" spans="1:3" x14ac:dyDescent="0.25">
      <c r="A422" s="19" t="s">
        <v>2857</v>
      </c>
      <c r="B422" s="19" t="s">
        <v>2858</v>
      </c>
      <c r="C422" s="19" t="s">
        <v>2859</v>
      </c>
    </row>
    <row r="423" spans="1:3" x14ac:dyDescent="0.25">
      <c r="A423" s="19" t="s">
        <v>2862</v>
      </c>
      <c r="B423" s="19" t="s">
        <v>2863</v>
      </c>
      <c r="C423" s="19" t="s">
        <v>2864</v>
      </c>
    </row>
    <row r="424" spans="1:3" x14ac:dyDescent="0.25">
      <c r="A424" s="19" t="s">
        <v>2868</v>
      </c>
      <c r="B424" s="19"/>
      <c r="C424" s="19" t="s">
        <v>2869</v>
      </c>
    </row>
    <row r="425" spans="1:3" x14ac:dyDescent="0.25">
      <c r="A425" s="19" t="s">
        <v>2873</v>
      </c>
      <c r="B425" s="19"/>
      <c r="C425" s="19" t="s">
        <v>2874</v>
      </c>
    </row>
    <row r="426" spans="1:3" x14ac:dyDescent="0.25">
      <c r="A426" s="19" t="s">
        <v>2878</v>
      </c>
      <c r="B426" s="19" t="s">
        <v>2879</v>
      </c>
      <c r="C426" s="19" t="s">
        <v>2880</v>
      </c>
    </row>
    <row r="427" spans="1:3" x14ac:dyDescent="0.25">
      <c r="A427" s="19" t="s">
        <v>2884</v>
      </c>
      <c r="B427" s="19" t="s">
        <v>2885</v>
      </c>
      <c r="C427" s="19" t="s">
        <v>2886</v>
      </c>
    </row>
    <row r="428" spans="1:3" x14ac:dyDescent="0.25">
      <c r="A428" s="19" t="s">
        <v>2890</v>
      </c>
      <c r="B428" s="19" t="s">
        <v>2891</v>
      </c>
      <c r="C428" s="19" t="s">
        <v>2892</v>
      </c>
    </row>
    <row r="429" spans="1:3" x14ac:dyDescent="0.25">
      <c r="A429" s="19" t="s">
        <v>2896</v>
      </c>
      <c r="B429" s="19"/>
      <c r="C429" s="19" t="s">
        <v>2897</v>
      </c>
    </row>
    <row r="430" spans="1:3" x14ac:dyDescent="0.25">
      <c r="A430" s="19" t="s">
        <v>2901</v>
      </c>
      <c r="B430" s="19" t="s">
        <v>2902</v>
      </c>
      <c r="C430" s="19" t="s">
        <v>2903</v>
      </c>
    </row>
    <row r="431" spans="1:3" x14ac:dyDescent="0.25">
      <c r="A431" s="19" t="s">
        <v>2907</v>
      </c>
      <c r="B431" s="19" t="s">
        <v>2908</v>
      </c>
      <c r="C431" s="19" t="s">
        <v>2909</v>
      </c>
    </row>
    <row r="432" spans="1:3" x14ac:dyDescent="0.25">
      <c r="A432" s="19" t="s">
        <v>2913</v>
      </c>
      <c r="B432" s="19" t="s">
        <v>2914</v>
      </c>
      <c r="C432" s="19" t="s">
        <v>2915</v>
      </c>
    </row>
    <row r="433" spans="1:3" x14ac:dyDescent="0.25">
      <c r="A433" s="19" t="s">
        <v>2919</v>
      </c>
      <c r="B433" s="19" t="s">
        <v>2920</v>
      </c>
      <c r="C433" s="19" t="s">
        <v>2921</v>
      </c>
    </row>
    <row r="434" spans="1:3" x14ac:dyDescent="0.25">
      <c r="A434" s="19" t="s">
        <v>2925</v>
      </c>
      <c r="B434" s="19"/>
      <c r="C434" s="19" t="s">
        <v>2926</v>
      </c>
    </row>
    <row r="435" spans="1:3" x14ac:dyDescent="0.25">
      <c r="A435" s="19" t="s">
        <v>2930</v>
      </c>
      <c r="B435" s="19" t="s">
        <v>2931</v>
      </c>
      <c r="C435" s="19" t="s">
        <v>2932</v>
      </c>
    </row>
    <row r="436" spans="1:3" x14ac:dyDescent="0.25">
      <c r="A436" s="19" t="s">
        <v>2936</v>
      </c>
      <c r="B436" s="19"/>
      <c r="C436" s="19" t="s">
        <v>2937</v>
      </c>
    </row>
    <row r="437" spans="1:3" x14ac:dyDescent="0.25">
      <c r="A437" s="19" t="s">
        <v>2941</v>
      </c>
      <c r="B437" s="19" t="s">
        <v>2942</v>
      </c>
      <c r="C437" s="19" t="s">
        <v>2943</v>
      </c>
    </row>
    <row r="438" spans="1:3" x14ac:dyDescent="0.25">
      <c r="A438" s="19" t="s">
        <v>2947</v>
      </c>
      <c r="B438" s="19" t="s">
        <v>2948</v>
      </c>
      <c r="C438" s="19" t="s">
        <v>2949</v>
      </c>
    </row>
    <row r="439" spans="1:3" x14ac:dyDescent="0.25">
      <c r="A439" s="19" t="s">
        <v>2953</v>
      </c>
      <c r="B439" s="19"/>
      <c r="C439" s="19" t="s">
        <v>2954</v>
      </c>
    </row>
    <row r="440" spans="1:3" x14ac:dyDescent="0.25">
      <c r="A440" s="19" t="s">
        <v>2958</v>
      </c>
      <c r="B440" s="19" t="s">
        <v>2959</v>
      </c>
      <c r="C440" s="19" t="s">
        <v>2960</v>
      </c>
    </row>
    <row r="441" spans="1:3" x14ac:dyDescent="0.25">
      <c r="A441" s="19" t="s">
        <v>2964</v>
      </c>
      <c r="B441" s="19" t="s">
        <v>2965</v>
      </c>
      <c r="C441" s="19" t="s">
        <v>2966</v>
      </c>
    </row>
    <row r="442" spans="1:3" x14ac:dyDescent="0.25">
      <c r="A442" s="19" t="s">
        <v>2970</v>
      </c>
      <c r="B442" s="19" t="s">
        <v>2971</v>
      </c>
      <c r="C442" s="19" t="s">
        <v>2972</v>
      </c>
    </row>
    <row r="443" spans="1:3" x14ac:dyDescent="0.25">
      <c r="A443" s="19" t="s">
        <v>2976</v>
      </c>
      <c r="B443" s="19" t="s">
        <v>2977</v>
      </c>
      <c r="C443" s="19" t="s">
        <v>2978</v>
      </c>
    </row>
    <row r="444" spans="1:3" x14ac:dyDescent="0.25">
      <c r="A444" s="19" t="s">
        <v>2982</v>
      </c>
      <c r="B444" s="19" t="s">
        <v>2983</v>
      </c>
      <c r="C444" s="19" t="s">
        <v>2984</v>
      </c>
    </row>
    <row r="445" spans="1:3" x14ac:dyDescent="0.25">
      <c r="A445" s="19" t="s">
        <v>2988</v>
      </c>
      <c r="B445" s="19" t="s">
        <v>2989</v>
      </c>
      <c r="C445" s="19" t="s">
        <v>2990</v>
      </c>
    </row>
    <row r="446" spans="1:3" x14ac:dyDescent="0.25">
      <c r="A446" s="19" t="s">
        <v>2994</v>
      </c>
      <c r="B446" s="19" t="s">
        <v>2995</v>
      </c>
      <c r="C446" s="19" t="s">
        <v>2996</v>
      </c>
    </row>
    <row r="447" spans="1:3" x14ac:dyDescent="0.25">
      <c r="A447" s="19" t="s">
        <v>3001</v>
      </c>
      <c r="B447" s="19" t="s">
        <v>3002</v>
      </c>
      <c r="C447" s="19"/>
    </row>
    <row r="448" spans="1:3" x14ac:dyDescent="0.25">
      <c r="A448" s="19" t="s">
        <v>3006</v>
      </c>
      <c r="B448" s="19" t="s">
        <v>3007</v>
      </c>
      <c r="C448" s="19" t="s">
        <v>3008</v>
      </c>
    </row>
    <row r="449" spans="1:3" x14ac:dyDescent="0.25">
      <c r="A449" s="19" t="s">
        <v>3012</v>
      </c>
      <c r="B449" s="19" t="s">
        <v>3013</v>
      </c>
      <c r="C449" s="19"/>
    </row>
    <row r="450" spans="1:3" x14ac:dyDescent="0.25">
      <c r="A450" s="19" t="s">
        <v>3017</v>
      </c>
      <c r="B450" s="19" t="s">
        <v>3018</v>
      </c>
      <c r="C450" s="19" t="s">
        <v>3019</v>
      </c>
    </row>
    <row r="451" spans="1:3" x14ac:dyDescent="0.25">
      <c r="A451" s="19" t="s">
        <v>3023</v>
      </c>
      <c r="B451" s="19" t="s">
        <v>3024</v>
      </c>
      <c r="C451" s="19" t="s">
        <v>3025</v>
      </c>
    </row>
    <row r="452" spans="1:3" x14ac:dyDescent="0.25">
      <c r="A452" s="19" t="s">
        <v>3029</v>
      </c>
      <c r="B452" s="19" t="s">
        <v>3030</v>
      </c>
      <c r="C452" s="19" t="s">
        <v>3031</v>
      </c>
    </row>
    <row r="453" spans="1:3" x14ac:dyDescent="0.25">
      <c r="A453" s="19" t="s">
        <v>3037</v>
      </c>
      <c r="B453" s="19" t="s">
        <v>3038</v>
      </c>
      <c r="C453" s="19" t="s">
        <v>3039</v>
      </c>
    </row>
    <row r="454" spans="1:3" x14ac:dyDescent="0.25">
      <c r="A454" s="19" t="s">
        <v>3043</v>
      </c>
      <c r="B454" s="19" t="s">
        <v>3044</v>
      </c>
      <c r="C454" s="19" t="s">
        <v>3045</v>
      </c>
    </row>
    <row r="455" spans="1:3" x14ac:dyDescent="0.25">
      <c r="A455" s="19" t="s">
        <v>3049</v>
      </c>
      <c r="B455" s="19" t="s">
        <v>3050</v>
      </c>
      <c r="C455" s="19" t="s">
        <v>3051</v>
      </c>
    </row>
    <row r="456" spans="1:3" x14ac:dyDescent="0.25">
      <c r="A456" s="19" t="s">
        <v>3055</v>
      </c>
      <c r="B456" s="19" t="s">
        <v>3056</v>
      </c>
      <c r="C456" s="19"/>
    </row>
    <row r="457" spans="1:3" x14ac:dyDescent="0.25">
      <c r="A457" s="19" t="s">
        <v>3060</v>
      </c>
      <c r="B457" s="19" t="s">
        <v>3061</v>
      </c>
      <c r="C457" s="19" t="s">
        <v>3062</v>
      </c>
    </row>
    <row r="458" spans="1:3" x14ac:dyDescent="0.25">
      <c r="A458" s="19" t="s">
        <v>3066</v>
      </c>
      <c r="B458" s="19" t="s">
        <v>3067</v>
      </c>
      <c r="C458" s="19" t="s">
        <v>3068</v>
      </c>
    </row>
    <row r="459" spans="1:3" x14ac:dyDescent="0.25">
      <c r="A459" s="19" t="s">
        <v>3072</v>
      </c>
      <c r="B459" s="19" t="s">
        <v>3073</v>
      </c>
      <c r="C459" s="19" t="s">
        <v>3074</v>
      </c>
    </row>
    <row r="460" spans="1:3" x14ac:dyDescent="0.25">
      <c r="A460" s="19" t="s">
        <v>3078</v>
      </c>
      <c r="B460" s="19" t="s">
        <v>3079</v>
      </c>
      <c r="C460" s="19" t="s">
        <v>3080</v>
      </c>
    </row>
    <row r="461" spans="1:3" x14ac:dyDescent="0.25">
      <c r="A461" s="19" t="s">
        <v>3084</v>
      </c>
      <c r="B461" s="19" t="s">
        <v>3085</v>
      </c>
      <c r="C461" s="19" t="s">
        <v>3086</v>
      </c>
    </row>
    <row r="462" spans="1:3" x14ac:dyDescent="0.25">
      <c r="A462" s="19" t="s">
        <v>3090</v>
      </c>
      <c r="B462" s="19" t="s">
        <v>3091</v>
      </c>
      <c r="C462" s="19" t="s">
        <v>3092</v>
      </c>
    </row>
    <row r="463" spans="1:3" x14ac:dyDescent="0.25">
      <c r="A463" s="19" t="s">
        <v>3096</v>
      </c>
      <c r="B463" s="19" t="s">
        <v>3097</v>
      </c>
      <c r="C463" s="19" t="s">
        <v>3098</v>
      </c>
    </row>
    <row r="464" spans="1:3" x14ac:dyDescent="0.25">
      <c r="A464" s="19" t="s">
        <v>3102</v>
      </c>
      <c r="B464" s="19" t="s">
        <v>3103</v>
      </c>
      <c r="C464" s="19" t="s">
        <v>3104</v>
      </c>
    </row>
    <row r="465" spans="1:3" x14ac:dyDescent="0.25">
      <c r="A465" s="19" t="s">
        <v>3108</v>
      </c>
      <c r="B465" s="19" t="s">
        <v>3109</v>
      </c>
      <c r="C465" s="19" t="s">
        <v>3110</v>
      </c>
    </row>
    <row r="466" spans="1:3" x14ac:dyDescent="0.25">
      <c r="A466" s="19" t="s">
        <v>3114</v>
      </c>
      <c r="B466" s="19" t="s">
        <v>3115</v>
      </c>
      <c r="C466" s="19" t="s">
        <v>3116</v>
      </c>
    </row>
    <row r="467" spans="1:3" x14ac:dyDescent="0.25">
      <c r="A467" s="19" t="s">
        <v>3120</v>
      </c>
      <c r="B467" s="19" t="s">
        <v>3121</v>
      </c>
      <c r="C467" s="19" t="s">
        <v>3122</v>
      </c>
    </row>
    <row r="468" spans="1:3" x14ac:dyDescent="0.25">
      <c r="A468" s="19" t="s">
        <v>3126</v>
      </c>
      <c r="B468" s="19" t="s">
        <v>3127</v>
      </c>
      <c r="C468" s="19" t="s">
        <v>3128</v>
      </c>
    </row>
    <row r="469" spans="1:3" x14ac:dyDescent="0.25">
      <c r="A469" s="19" t="s">
        <v>3132</v>
      </c>
      <c r="B469" s="19" t="s">
        <v>3133</v>
      </c>
      <c r="C469" s="19" t="s">
        <v>3134</v>
      </c>
    </row>
    <row r="470" spans="1:3" x14ac:dyDescent="0.25">
      <c r="A470" s="19" t="s">
        <v>3138</v>
      </c>
      <c r="B470" s="19" t="s">
        <v>3139</v>
      </c>
      <c r="C470" s="19"/>
    </row>
    <row r="471" spans="1:3" x14ac:dyDescent="0.25">
      <c r="A471" s="19" t="s">
        <v>3143</v>
      </c>
      <c r="B471" s="19" t="s">
        <v>3144</v>
      </c>
      <c r="C471" s="19" t="s">
        <v>3145</v>
      </c>
    </row>
    <row r="472" spans="1:3" x14ac:dyDescent="0.25">
      <c r="A472" s="19" t="s">
        <v>3149</v>
      </c>
      <c r="B472" s="19" t="s">
        <v>3150</v>
      </c>
      <c r="C472" s="19" t="s">
        <v>3151</v>
      </c>
    </row>
    <row r="473" spans="1:3" x14ac:dyDescent="0.25">
      <c r="A473" s="19" t="s">
        <v>3155</v>
      </c>
      <c r="B473" s="19"/>
      <c r="C473" s="19" t="s">
        <v>3156</v>
      </c>
    </row>
    <row r="474" spans="1:3" x14ac:dyDescent="0.25">
      <c r="A474" s="19" t="s">
        <v>3160</v>
      </c>
      <c r="B474" s="19" t="s">
        <v>3161</v>
      </c>
      <c r="C474" s="19" t="s">
        <v>3162</v>
      </c>
    </row>
    <row r="475" spans="1:3" x14ac:dyDescent="0.25">
      <c r="A475" s="19" t="s">
        <v>3166</v>
      </c>
      <c r="B475" s="19" t="s">
        <v>3167</v>
      </c>
      <c r="C475" s="19" t="s">
        <v>3168</v>
      </c>
    </row>
    <row r="476" spans="1:3" x14ac:dyDescent="0.25">
      <c r="A476" s="19" t="s">
        <v>3172</v>
      </c>
      <c r="B476" s="19" t="s">
        <v>3173</v>
      </c>
      <c r="C476" s="19" t="s">
        <v>3174</v>
      </c>
    </row>
    <row r="477" spans="1:3" x14ac:dyDescent="0.25">
      <c r="A477" s="19" t="s">
        <v>3178</v>
      </c>
      <c r="B477" s="19" t="s">
        <v>3179</v>
      </c>
      <c r="C477" s="19"/>
    </row>
    <row r="478" spans="1:3" x14ac:dyDescent="0.25">
      <c r="A478" s="19" t="s">
        <v>3183</v>
      </c>
      <c r="B478" s="19" t="s">
        <v>3184</v>
      </c>
      <c r="C478" s="19" t="s">
        <v>3185</v>
      </c>
    </row>
    <row r="479" spans="1:3" x14ac:dyDescent="0.25">
      <c r="A479" s="19" t="s">
        <v>3189</v>
      </c>
      <c r="B479" s="19" t="s">
        <v>3190</v>
      </c>
      <c r="C479" s="19" t="s">
        <v>3191</v>
      </c>
    </row>
    <row r="480" spans="1:3" x14ac:dyDescent="0.25">
      <c r="A480" s="19" t="s">
        <v>3195</v>
      </c>
      <c r="B480" s="19" t="s">
        <v>3196</v>
      </c>
      <c r="C480" s="19" t="s">
        <v>3197</v>
      </c>
    </row>
    <row r="481" spans="1:3" x14ac:dyDescent="0.25">
      <c r="A481" s="19" t="s">
        <v>3200</v>
      </c>
      <c r="B481" s="19"/>
      <c r="C481" s="19" t="s">
        <v>3201</v>
      </c>
    </row>
    <row r="482" spans="1:3" x14ac:dyDescent="0.25">
      <c r="A482" s="19" t="s">
        <v>3204</v>
      </c>
      <c r="B482" s="19" t="s">
        <v>3205</v>
      </c>
      <c r="C482" s="19" t="s">
        <v>3206</v>
      </c>
    </row>
    <row r="483" spans="1:3" x14ac:dyDescent="0.25">
      <c r="A483" s="19" t="s">
        <v>3210</v>
      </c>
      <c r="B483" s="19" t="s">
        <v>3211</v>
      </c>
      <c r="C483" s="19" t="s">
        <v>3212</v>
      </c>
    </row>
    <row r="484" spans="1:3" x14ac:dyDescent="0.25">
      <c r="A484" s="19" t="s">
        <v>3216</v>
      </c>
      <c r="B484" s="19" t="s">
        <v>3217</v>
      </c>
      <c r="C484" s="19" t="s">
        <v>3218</v>
      </c>
    </row>
    <row r="485" spans="1:3" x14ac:dyDescent="0.25">
      <c r="A485" s="19" t="s">
        <v>3222</v>
      </c>
      <c r="B485" s="19"/>
      <c r="C485" s="19" t="s">
        <v>3223</v>
      </c>
    </row>
    <row r="486" spans="1:3" x14ac:dyDescent="0.25">
      <c r="A486" s="19" t="s">
        <v>3227</v>
      </c>
      <c r="B486" s="19" t="s">
        <v>3228</v>
      </c>
      <c r="C486" s="19"/>
    </row>
    <row r="487" spans="1:3" x14ac:dyDescent="0.25">
      <c r="A487" s="19" t="s">
        <v>3232</v>
      </c>
      <c r="B487" s="19" t="s">
        <v>3233</v>
      </c>
      <c r="C487" s="19" t="s">
        <v>3234</v>
      </c>
    </row>
    <row r="488" spans="1:3" x14ac:dyDescent="0.25">
      <c r="A488" s="19" t="s">
        <v>3238</v>
      </c>
      <c r="B488" s="19" t="s">
        <v>3239</v>
      </c>
      <c r="C488" s="19" t="s">
        <v>3240</v>
      </c>
    </row>
    <row r="489" spans="1:3" x14ac:dyDescent="0.25">
      <c r="A489" s="19" t="s">
        <v>3244</v>
      </c>
      <c r="B489" s="19" t="s">
        <v>3245</v>
      </c>
      <c r="C489" s="19" t="s">
        <v>3246</v>
      </c>
    </row>
    <row r="490" spans="1:3" x14ac:dyDescent="0.25">
      <c r="A490" s="19" t="s">
        <v>3250</v>
      </c>
      <c r="B490" s="19" t="s">
        <v>3251</v>
      </c>
      <c r="C490" s="19" t="s">
        <v>3252</v>
      </c>
    </row>
    <row r="491" spans="1:3" x14ac:dyDescent="0.25">
      <c r="A491" s="19" t="s">
        <v>3256</v>
      </c>
      <c r="B491" s="19" t="s">
        <v>3257</v>
      </c>
      <c r="C491" s="19" t="s">
        <v>3258</v>
      </c>
    </row>
    <row r="492" spans="1:3" x14ac:dyDescent="0.25">
      <c r="A492" s="19" t="s">
        <v>3262</v>
      </c>
      <c r="B492" s="19" t="s">
        <v>3263</v>
      </c>
      <c r="C492" s="19" t="s">
        <v>3264</v>
      </c>
    </row>
    <row r="493" spans="1:3" x14ac:dyDescent="0.25">
      <c r="A493" s="19" t="s">
        <v>3268</v>
      </c>
      <c r="B493" s="19"/>
      <c r="C493" s="19" t="s">
        <v>3269</v>
      </c>
    </row>
    <row r="494" spans="1:3" x14ac:dyDescent="0.25">
      <c r="A494" s="19" t="s">
        <v>3273</v>
      </c>
      <c r="B494" s="19" t="s">
        <v>3274</v>
      </c>
      <c r="C494" s="19" t="s">
        <v>3275</v>
      </c>
    </row>
    <row r="495" spans="1:3" x14ac:dyDescent="0.25">
      <c r="A495" s="19" t="s">
        <v>3279</v>
      </c>
      <c r="B495" s="19" t="s">
        <v>3280</v>
      </c>
      <c r="C495" s="19" t="s">
        <v>3281</v>
      </c>
    </row>
    <row r="496" spans="1:3" x14ac:dyDescent="0.25">
      <c r="A496" s="19" t="s">
        <v>3285</v>
      </c>
      <c r="B496" s="19" t="s">
        <v>3286</v>
      </c>
      <c r="C496" s="19" t="s">
        <v>3287</v>
      </c>
    </row>
    <row r="497" spans="1:3" x14ac:dyDescent="0.25">
      <c r="A497" s="19" t="s">
        <v>3291</v>
      </c>
      <c r="B497" s="19"/>
      <c r="C497" s="19" t="s">
        <v>3292</v>
      </c>
    </row>
    <row r="498" spans="1:3" x14ac:dyDescent="0.25">
      <c r="A498" s="19" t="s">
        <v>3296</v>
      </c>
      <c r="B498" s="19" t="s">
        <v>3297</v>
      </c>
      <c r="C498" s="19" t="s">
        <v>3298</v>
      </c>
    </row>
    <row r="499" spans="1:3" x14ac:dyDescent="0.25">
      <c r="A499" s="19" t="s">
        <v>3302</v>
      </c>
      <c r="B499" s="19" t="s">
        <v>3303</v>
      </c>
      <c r="C499" s="19" t="s">
        <v>3304</v>
      </c>
    </row>
    <row r="500" spans="1:3" x14ac:dyDescent="0.25">
      <c r="A500" s="19" t="s">
        <v>3309</v>
      </c>
      <c r="B500" s="19" t="s">
        <v>3310</v>
      </c>
      <c r="C500" s="19" t="s">
        <v>3311</v>
      </c>
    </row>
    <row r="501" spans="1:3" x14ac:dyDescent="0.25">
      <c r="A501" s="19" t="s">
        <v>3315</v>
      </c>
      <c r="B501" s="19"/>
      <c r="C501" s="19" t="s">
        <v>3316</v>
      </c>
    </row>
    <row r="502" spans="1:3" x14ac:dyDescent="0.25">
      <c r="A502" s="19" t="s">
        <v>3320</v>
      </c>
      <c r="B502" s="19"/>
      <c r="C502" s="19" t="s">
        <v>3321</v>
      </c>
    </row>
    <row r="503" spans="1:3" x14ac:dyDescent="0.25">
      <c r="A503" s="19" t="s">
        <v>3325</v>
      </c>
      <c r="B503" s="19" t="s">
        <v>3326</v>
      </c>
      <c r="C503" s="19" t="s">
        <v>3327</v>
      </c>
    </row>
    <row r="504" spans="1:3" x14ac:dyDescent="0.25">
      <c r="A504" s="19" t="s">
        <v>3330</v>
      </c>
      <c r="B504" s="19" t="s">
        <v>3331</v>
      </c>
      <c r="C504" s="19" t="s">
        <v>3332</v>
      </c>
    </row>
    <row r="505" spans="1:3" x14ac:dyDescent="0.25">
      <c r="A505" s="19" t="s">
        <v>3335</v>
      </c>
      <c r="B505" s="19"/>
      <c r="C505" s="19" t="s">
        <v>3336</v>
      </c>
    </row>
    <row r="506" spans="1:3" x14ac:dyDescent="0.25">
      <c r="A506" s="19" t="s">
        <v>3339</v>
      </c>
      <c r="B506" s="19" t="s">
        <v>3340</v>
      </c>
      <c r="C506" s="19" t="s">
        <v>3341</v>
      </c>
    </row>
    <row r="507" spans="1:3" x14ac:dyDescent="0.25">
      <c r="A507" s="19" t="s">
        <v>3345</v>
      </c>
      <c r="B507" s="19" t="s">
        <v>3346</v>
      </c>
      <c r="C507" s="19" t="s">
        <v>3347</v>
      </c>
    </row>
    <row r="508" spans="1:3" x14ac:dyDescent="0.25">
      <c r="A508" s="19" t="s">
        <v>3351</v>
      </c>
      <c r="B508" s="19" t="s">
        <v>3352</v>
      </c>
      <c r="C508" s="19" t="s">
        <v>3353</v>
      </c>
    </row>
    <row r="509" spans="1:3" x14ac:dyDescent="0.25">
      <c r="A509" s="19" t="s">
        <v>3357</v>
      </c>
      <c r="B509" s="19" t="s">
        <v>3358</v>
      </c>
      <c r="C509" s="19" t="s">
        <v>3359</v>
      </c>
    </row>
    <row r="510" spans="1:3" x14ac:dyDescent="0.25">
      <c r="A510" s="19" t="s">
        <v>3363</v>
      </c>
      <c r="B510" s="19" t="s">
        <v>3364</v>
      </c>
      <c r="C510" s="19" t="s">
        <v>3365</v>
      </c>
    </row>
    <row r="511" spans="1:3" x14ac:dyDescent="0.25">
      <c r="A511" s="19" t="s">
        <v>3369</v>
      </c>
      <c r="B511" s="19" t="s">
        <v>3370</v>
      </c>
      <c r="C511" s="19" t="s">
        <v>3371</v>
      </c>
    </row>
    <row r="512" spans="1:3" x14ac:dyDescent="0.25">
      <c r="A512" s="19" t="s">
        <v>3375</v>
      </c>
      <c r="B512" s="19" t="s">
        <v>3376</v>
      </c>
      <c r="C512" s="19" t="s">
        <v>3377</v>
      </c>
    </row>
    <row r="513" spans="1:3" x14ac:dyDescent="0.25">
      <c r="A513" s="19" t="s">
        <v>3381</v>
      </c>
      <c r="B513" s="19" t="s">
        <v>3382</v>
      </c>
      <c r="C513" s="19" t="s">
        <v>3383</v>
      </c>
    </row>
    <row r="514" spans="1:3" x14ac:dyDescent="0.25">
      <c r="A514" s="19" t="s">
        <v>3387</v>
      </c>
      <c r="B514" s="19" t="s">
        <v>3388</v>
      </c>
      <c r="C514" s="19" t="s">
        <v>3389</v>
      </c>
    </row>
    <row r="515" spans="1:3" x14ac:dyDescent="0.25">
      <c r="A515" s="19" t="s">
        <v>3393</v>
      </c>
      <c r="B515" s="19" t="s">
        <v>3394</v>
      </c>
      <c r="C515" s="19"/>
    </row>
    <row r="516" spans="1:3" x14ac:dyDescent="0.25">
      <c r="A516" s="19" t="s">
        <v>3398</v>
      </c>
      <c r="B516" s="19" t="s">
        <v>3399</v>
      </c>
      <c r="C516" s="19" t="s">
        <v>3400</v>
      </c>
    </row>
    <row r="517" spans="1:3" x14ac:dyDescent="0.25">
      <c r="A517" s="19" t="s">
        <v>3404</v>
      </c>
      <c r="B517" s="19" t="s">
        <v>3405</v>
      </c>
      <c r="C517" s="19" t="s">
        <v>3406</v>
      </c>
    </row>
    <row r="518" spans="1:3" x14ac:dyDescent="0.25">
      <c r="A518" s="19" t="s">
        <v>3410</v>
      </c>
      <c r="B518" s="19"/>
      <c r="C518" s="19" t="s">
        <v>3411</v>
      </c>
    </row>
    <row r="519" spans="1:3" x14ac:dyDescent="0.25">
      <c r="A519" s="19" t="s">
        <v>3415</v>
      </c>
      <c r="B519" s="19"/>
      <c r="C519" s="19" t="s">
        <v>3416</v>
      </c>
    </row>
    <row r="520" spans="1:3" x14ac:dyDescent="0.25">
      <c r="A520" s="19" t="s">
        <v>3420</v>
      </c>
      <c r="B520" s="19" t="s">
        <v>3421</v>
      </c>
      <c r="C520" s="19" t="s">
        <v>3422</v>
      </c>
    </row>
    <row r="521" spans="1:3" x14ac:dyDescent="0.25">
      <c r="A521" s="19" t="s">
        <v>3426</v>
      </c>
      <c r="B521" s="19" t="s">
        <v>3427</v>
      </c>
      <c r="C521" s="19" t="s">
        <v>3428</v>
      </c>
    </row>
    <row r="522" spans="1:3" x14ac:dyDescent="0.25">
      <c r="A522" s="19" t="s">
        <v>3432</v>
      </c>
      <c r="B522" s="19" t="s">
        <v>3433</v>
      </c>
      <c r="C522" s="19" t="s">
        <v>3434</v>
      </c>
    </row>
    <row r="523" spans="1:3" x14ac:dyDescent="0.25">
      <c r="A523" s="19" t="s">
        <v>3437</v>
      </c>
      <c r="B523" s="19" t="s">
        <v>3438</v>
      </c>
      <c r="C523" s="19" t="s">
        <v>3439</v>
      </c>
    </row>
    <row r="524" spans="1:3" x14ac:dyDescent="0.25">
      <c r="A524" s="19" t="s">
        <v>3443</v>
      </c>
      <c r="B524" s="19" t="s">
        <v>3444</v>
      </c>
      <c r="C524" s="19" t="s">
        <v>3445</v>
      </c>
    </row>
    <row r="525" spans="1:3" x14ac:dyDescent="0.25">
      <c r="A525" s="19" t="s">
        <v>3449</v>
      </c>
      <c r="B525" s="19" t="s">
        <v>3450</v>
      </c>
      <c r="C525" s="19" t="s">
        <v>3451</v>
      </c>
    </row>
    <row r="526" spans="1:3" x14ac:dyDescent="0.25">
      <c r="A526" s="19" t="s">
        <v>3455</v>
      </c>
      <c r="B526" s="19"/>
      <c r="C526" s="19" t="s">
        <v>3456</v>
      </c>
    </row>
    <row r="527" spans="1:3" x14ac:dyDescent="0.25">
      <c r="A527" s="19" t="s">
        <v>3460</v>
      </c>
      <c r="B527" s="19"/>
      <c r="C527" s="19" t="s">
        <v>3461</v>
      </c>
    </row>
    <row r="528" spans="1:3" x14ac:dyDescent="0.25">
      <c r="A528" s="19" t="s">
        <v>3465</v>
      </c>
      <c r="B528" s="19" t="s">
        <v>3466</v>
      </c>
      <c r="C528" s="19" t="s">
        <v>3467</v>
      </c>
    </row>
    <row r="529" spans="1:3" x14ac:dyDescent="0.25">
      <c r="A529" s="19" t="s">
        <v>3471</v>
      </c>
      <c r="B529" s="19" t="s">
        <v>3472</v>
      </c>
      <c r="C529" s="19" t="s">
        <v>3473</v>
      </c>
    </row>
    <row r="530" spans="1:3" x14ac:dyDescent="0.25">
      <c r="A530" s="19" t="s">
        <v>3477</v>
      </c>
      <c r="B530" s="19" t="s">
        <v>3478</v>
      </c>
      <c r="C530" s="19" t="s">
        <v>3479</v>
      </c>
    </row>
    <row r="531" spans="1:3" x14ac:dyDescent="0.25">
      <c r="A531" s="19" t="s">
        <v>3483</v>
      </c>
      <c r="B531" s="19" t="s">
        <v>3484</v>
      </c>
      <c r="C531" s="19" t="s">
        <v>3485</v>
      </c>
    </row>
    <row r="532" spans="1:3" x14ac:dyDescent="0.25">
      <c r="A532" s="19" t="s">
        <v>3489</v>
      </c>
      <c r="B532" s="19" t="s">
        <v>3490</v>
      </c>
      <c r="C532" s="19" t="s">
        <v>3491</v>
      </c>
    </row>
    <row r="533" spans="1:3" x14ac:dyDescent="0.25">
      <c r="A533" s="19" t="s">
        <v>3495</v>
      </c>
      <c r="B533" s="19" t="s">
        <v>3496</v>
      </c>
      <c r="C533" s="19" t="s">
        <v>3497</v>
      </c>
    </row>
    <row r="534" spans="1:3" x14ac:dyDescent="0.25">
      <c r="A534" s="19" t="s">
        <v>3501</v>
      </c>
      <c r="B534" s="19" t="s">
        <v>3502</v>
      </c>
      <c r="C534" s="19" t="s">
        <v>3503</v>
      </c>
    </row>
    <row r="535" spans="1:3" x14ac:dyDescent="0.25">
      <c r="A535" s="19" t="s">
        <v>3507</v>
      </c>
      <c r="B535" s="19"/>
      <c r="C535" s="19" t="s">
        <v>3508</v>
      </c>
    </row>
    <row r="536" spans="1:3" x14ac:dyDescent="0.25">
      <c r="A536" s="19" t="s">
        <v>3512</v>
      </c>
      <c r="B536" s="19" t="s">
        <v>3513</v>
      </c>
      <c r="C536" s="19" t="s">
        <v>3514</v>
      </c>
    </row>
    <row r="537" spans="1:3" x14ac:dyDescent="0.25">
      <c r="A537" s="19" t="s">
        <v>3518</v>
      </c>
      <c r="B537" s="19"/>
      <c r="C537" s="19" t="s">
        <v>3519</v>
      </c>
    </row>
    <row r="538" spans="1:3" x14ac:dyDescent="0.25">
      <c r="A538" s="19" t="s">
        <v>3523</v>
      </c>
      <c r="B538" s="19" t="s">
        <v>3524</v>
      </c>
      <c r="C538" s="19" t="s">
        <v>3525</v>
      </c>
    </row>
    <row r="539" spans="1:3" x14ac:dyDescent="0.25">
      <c r="A539" s="19" t="s">
        <v>3529</v>
      </c>
      <c r="B539" s="19" t="s">
        <v>3530</v>
      </c>
      <c r="C539" s="19"/>
    </row>
    <row r="540" spans="1:3" x14ac:dyDescent="0.25">
      <c r="A540" s="19" t="s">
        <v>3534</v>
      </c>
      <c r="B540" s="19" t="s">
        <v>3535</v>
      </c>
      <c r="C540" s="19"/>
    </row>
    <row r="541" spans="1:3" x14ac:dyDescent="0.25">
      <c r="A541" s="19" t="s">
        <v>3539</v>
      </c>
      <c r="B541" s="19" t="s">
        <v>3540</v>
      </c>
      <c r="C541" s="19"/>
    </row>
    <row r="542" spans="1:3" x14ac:dyDescent="0.25">
      <c r="A542" s="19" t="s">
        <v>3544</v>
      </c>
      <c r="B542" s="19" t="s">
        <v>3545</v>
      </c>
      <c r="C542" s="19" t="s">
        <v>3546</v>
      </c>
    </row>
    <row r="543" spans="1:3" x14ac:dyDescent="0.25">
      <c r="A543" s="19" t="s">
        <v>3550</v>
      </c>
      <c r="B543" s="19"/>
      <c r="C543" s="19" t="s">
        <v>3551</v>
      </c>
    </row>
    <row r="544" spans="1:3" x14ac:dyDescent="0.25">
      <c r="A544" s="19" t="s">
        <v>3555</v>
      </c>
      <c r="B544" s="19" t="s">
        <v>3556</v>
      </c>
      <c r="C544" s="19" t="s">
        <v>3557</v>
      </c>
    </row>
    <row r="545" spans="1:3" x14ac:dyDescent="0.25">
      <c r="A545" s="19" t="s">
        <v>3561</v>
      </c>
      <c r="B545" s="19" t="s">
        <v>3562</v>
      </c>
      <c r="C545" s="19" t="s">
        <v>3563</v>
      </c>
    </row>
    <row r="546" spans="1:3" x14ac:dyDescent="0.25">
      <c r="A546" s="19" t="s">
        <v>3567</v>
      </c>
      <c r="B546" s="19" t="s">
        <v>3568</v>
      </c>
      <c r="C546" s="19" t="s">
        <v>3569</v>
      </c>
    </row>
    <row r="547" spans="1:3" x14ac:dyDescent="0.25">
      <c r="A547" s="19" t="s">
        <v>3573</v>
      </c>
      <c r="B547" s="19" t="s">
        <v>3574</v>
      </c>
      <c r="C547" s="19" t="s">
        <v>3575</v>
      </c>
    </row>
    <row r="548" spans="1:3" x14ac:dyDescent="0.25">
      <c r="A548" s="19" t="s">
        <v>3579</v>
      </c>
      <c r="B548" s="19"/>
      <c r="C548" s="19" t="s">
        <v>3580</v>
      </c>
    </row>
    <row r="549" spans="1:3" x14ac:dyDescent="0.25">
      <c r="A549" s="19" t="s">
        <v>3584</v>
      </c>
      <c r="B549" s="19"/>
      <c r="C549" s="19" t="s">
        <v>3585</v>
      </c>
    </row>
    <row r="550" spans="1:3" x14ac:dyDescent="0.25">
      <c r="A550" s="19" t="s">
        <v>3589</v>
      </c>
      <c r="B550" s="19" t="s">
        <v>3590</v>
      </c>
      <c r="C550" s="19" t="s">
        <v>3591</v>
      </c>
    </row>
    <row r="551" spans="1:3" x14ac:dyDescent="0.25">
      <c r="A551" s="19" t="s">
        <v>3595</v>
      </c>
      <c r="B551" s="19" t="s">
        <v>3596</v>
      </c>
      <c r="C551" s="19" t="s">
        <v>3597</v>
      </c>
    </row>
    <row r="552" spans="1:3" x14ac:dyDescent="0.25">
      <c r="A552" s="19" t="s">
        <v>3601</v>
      </c>
      <c r="B552" s="19" t="s">
        <v>3602</v>
      </c>
      <c r="C552" s="19" t="s">
        <v>3603</v>
      </c>
    </row>
    <row r="553" spans="1:3" x14ac:dyDescent="0.25">
      <c r="A553" s="19" t="s">
        <v>3607</v>
      </c>
      <c r="B553" s="19" t="s">
        <v>3608</v>
      </c>
      <c r="C553" s="19" t="s">
        <v>3609</v>
      </c>
    </row>
    <row r="554" spans="1:3" x14ac:dyDescent="0.25">
      <c r="A554" s="19" t="s">
        <v>3613</v>
      </c>
      <c r="B554" s="19" t="s">
        <v>3614</v>
      </c>
      <c r="C554" s="19" t="s">
        <v>3615</v>
      </c>
    </row>
    <row r="555" spans="1:3" x14ac:dyDescent="0.25">
      <c r="A555" s="19" t="s">
        <v>3619</v>
      </c>
      <c r="B555" s="19" t="s">
        <v>3620</v>
      </c>
      <c r="C555" s="19"/>
    </row>
    <row r="556" spans="1:3" x14ac:dyDescent="0.25">
      <c r="A556" s="19" t="s">
        <v>3624</v>
      </c>
      <c r="B556" s="19"/>
      <c r="C556" s="19" t="s">
        <v>3625</v>
      </c>
    </row>
    <row r="557" spans="1:3" x14ac:dyDescent="0.25">
      <c r="A557" s="19" t="s">
        <v>3629</v>
      </c>
      <c r="B557" s="19" t="s">
        <v>3630</v>
      </c>
      <c r="C557" s="19" t="s">
        <v>3631</v>
      </c>
    </row>
    <row r="558" spans="1:3" x14ac:dyDescent="0.25">
      <c r="A558" s="19" t="s">
        <v>3635</v>
      </c>
      <c r="B558" s="19" t="s">
        <v>3636</v>
      </c>
      <c r="C558" s="19"/>
    </row>
    <row r="559" spans="1:3" x14ac:dyDescent="0.25">
      <c r="A559" s="19" t="s">
        <v>3640</v>
      </c>
      <c r="B559" s="19"/>
      <c r="C559" s="19" t="s">
        <v>3641</v>
      </c>
    </row>
    <row r="560" spans="1:3" x14ac:dyDescent="0.25">
      <c r="A560" s="19" t="s">
        <v>3645</v>
      </c>
      <c r="B560" s="19"/>
      <c r="C560" s="19" t="s">
        <v>3646</v>
      </c>
    </row>
    <row r="561" spans="1:3" x14ac:dyDescent="0.25">
      <c r="A561" s="19" t="s">
        <v>3650</v>
      </c>
      <c r="B561" s="19" t="s">
        <v>3651</v>
      </c>
      <c r="C561" s="19" t="s">
        <v>3652</v>
      </c>
    </row>
    <row r="562" spans="1:3" x14ac:dyDescent="0.25">
      <c r="A562" s="19" t="s">
        <v>3656</v>
      </c>
      <c r="B562" s="19"/>
      <c r="C562" s="19" t="s">
        <v>3657</v>
      </c>
    </row>
    <row r="563" spans="1:3" x14ac:dyDescent="0.25">
      <c r="A563" s="19" t="s">
        <v>3661</v>
      </c>
      <c r="B563" s="19"/>
      <c r="C563" s="19" t="s">
        <v>3662</v>
      </c>
    </row>
    <row r="564" spans="1:3" x14ac:dyDescent="0.25">
      <c r="A564" s="19" t="s">
        <v>3667</v>
      </c>
      <c r="B564" s="19" t="s">
        <v>3668</v>
      </c>
      <c r="C564" s="19" t="s">
        <v>3669</v>
      </c>
    </row>
    <row r="565" spans="1:3" x14ac:dyDescent="0.25">
      <c r="A565" s="19" t="s">
        <v>3673</v>
      </c>
      <c r="B565" s="19" t="s">
        <v>3674</v>
      </c>
      <c r="C565" s="19" t="s">
        <v>3675</v>
      </c>
    </row>
    <row r="566" spans="1:3" x14ac:dyDescent="0.25">
      <c r="A566" s="19" t="s">
        <v>3679</v>
      </c>
      <c r="B566" s="19" t="s">
        <v>3680</v>
      </c>
      <c r="C566" s="19" t="s">
        <v>3681</v>
      </c>
    </row>
    <row r="567" spans="1:3" x14ac:dyDescent="0.25">
      <c r="A567" s="19" t="s">
        <v>3685</v>
      </c>
      <c r="B567" s="19" t="s">
        <v>3686</v>
      </c>
      <c r="C567" s="19" t="s">
        <v>3687</v>
      </c>
    </row>
    <row r="568" spans="1:3" x14ac:dyDescent="0.25">
      <c r="A568" s="19" t="s">
        <v>3691</v>
      </c>
      <c r="B568" s="19" t="s">
        <v>3692</v>
      </c>
      <c r="C568" s="19" t="s">
        <v>3693</v>
      </c>
    </row>
    <row r="569" spans="1:3" x14ac:dyDescent="0.25">
      <c r="A569" s="19" t="s">
        <v>3697</v>
      </c>
      <c r="B569" s="19"/>
      <c r="C569" s="19" t="s">
        <v>3698</v>
      </c>
    </row>
    <row r="570" spans="1:3" x14ac:dyDescent="0.25">
      <c r="A570" s="19" t="s">
        <v>3702</v>
      </c>
      <c r="B570" s="19" t="s">
        <v>3703</v>
      </c>
      <c r="C570" s="19" t="s">
        <v>3704</v>
      </c>
    </row>
    <row r="571" spans="1:3" x14ac:dyDescent="0.25">
      <c r="A571" s="19" t="s">
        <v>3708</v>
      </c>
      <c r="B571" s="19" t="s">
        <v>3709</v>
      </c>
      <c r="C571" s="19" t="s">
        <v>3710</v>
      </c>
    </row>
    <row r="572" spans="1:3" x14ac:dyDescent="0.25">
      <c r="A572" s="19" t="s">
        <v>3714</v>
      </c>
      <c r="B572" s="19" t="s">
        <v>3715</v>
      </c>
      <c r="C572" s="19" t="s">
        <v>3716</v>
      </c>
    </row>
    <row r="573" spans="1:3" x14ac:dyDescent="0.25">
      <c r="A573" s="19" t="s">
        <v>3720</v>
      </c>
      <c r="B573" s="19" t="s">
        <v>3721</v>
      </c>
      <c r="C573" s="19" t="s">
        <v>3722</v>
      </c>
    </row>
    <row r="574" spans="1:3" x14ac:dyDescent="0.25">
      <c r="A574" s="19" t="s">
        <v>3726</v>
      </c>
      <c r="B574" s="19"/>
      <c r="C574" s="19"/>
    </row>
    <row r="575" spans="1:3" x14ac:dyDescent="0.25">
      <c r="A575" s="19" t="s">
        <v>3730</v>
      </c>
      <c r="B575" s="19" t="s">
        <v>3731</v>
      </c>
      <c r="C575" s="19" t="s">
        <v>3732</v>
      </c>
    </row>
    <row r="576" spans="1:3" x14ac:dyDescent="0.25">
      <c r="A576" s="19" t="s">
        <v>3736</v>
      </c>
      <c r="B576" s="19" t="s">
        <v>3737</v>
      </c>
      <c r="C576" s="19"/>
    </row>
    <row r="577" spans="1:3" x14ac:dyDescent="0.25">
      <c r="A577" s="19" t="s">
        <v>3741</v>
      </c>
      <c r="B577" s="19" t="s">
        <v>3742</v>
      </c>
      <c r="C577" s="19" t="s">
        <v>3743</v>
      </c>
    </row>
    <row r="578" spans="1:3" x14ac:dyDescent="0.25">
      <c r="A578" s="19" t="s">
        <v>3747</v>
      </c>
      <c r="B578" s="19" t="s">
        <v>3748</v>
      </c>
      <c r="C578" s="19" t="s">
        <v>3749</v>
      </c>
    </row>
    <row r="579" spans="1:3" x14ac:dyDescent="0.25">
      <c r="A579" s="19" t="s">
        <v>3753</v>
      </c>
      <c r="B579" s="19" t="s">
        <v>3754</v>
      </c>
      <c r="C579" s="19"/>
    </row>
    <row r="580" spans="1:3" x14ac:dyDescent="0.25">
      <c r="A580" s="19" t="s">
        <v>3758</v>
      </c>
      <c r="B580" s="19" t="s">
        <v>3759</v>
      </c>
      <c r="C580" s="19" t="s">
        <v>3760</v>
      </c>
    </row>
    <row r="581" spans="1:3" x14ac:dyDescent="0.25">
      <c r="A581" s="19" t="s">
        <v>3763</v>
      </c>
      <c r="B581" s="19" t="s">
        <v>3764</v>
      </c>
      <c r="C581" s="19" t="s">
        <v>3765</v>
      </c>
    </row>
    <row r="582" spans="1:3" x14ac:dyDescent="0.25">
      <c r="A582" s="19" t="s">
        <v>3769</v>
      </c>
      <c r="B582" s="19" t="s">
        <v>3770</v>
      </c>
      <c r="C582" s="19" t="s">
        <v>3771</v>
      </c>
    </row>
    <row r="583" spans="1:3" x14ac:dyDescent="0.25">
      <c r="A583" s="19" t="s">
        <v>3775</v>
      </c>
      <c r="B583" s="19" t="s">
        <v>3776</v>
      </c>
      <c r="C583" s="19"/>
    </row>
    <row r="584" spans="1:3" x14ac:dyDescent="0.25">
      <c r="A584" s="19" t="s">
        <v>3780</v>
      </c>
      <c r="B584" s="19" t="s">
        <v>3781</v>
      </c>
      <c r="C584" s="19" t="s">
        <v>3782</v>
      </c>
    </row>
    <row r="585" spans="1:3" x14ac:dyDescent="0.25">
      <c r="A585" s="19" t="s">
        <v>3786</v>
      </c>
      <c r="B585" s="19" t="s">
        <v>3787</v>
      </c>
      <c r="C585" s="19" t="s">
        <v>3788</v>
      </c>
    </row>
    <row r="586" spans="1:3" x14ac:dyDescent="0.25">
      <c r="A586" s="19" t="s">
        <v>3792</v>
      </c>
      <c r="B586" s="19" t="s">
        <v>3793</v>
      </c>
      <c r="C586" s="19" t="s">
        <v>3794</v>
      </c>
    </row>
    <row r="587" spans="1:3" x14ac:dyDescent="0.25">
      <c r="A587" s="19" t="s">
        <v>3798</v>
      </c>
      <c r="B587" s="19" t="s">
        <v>3799</v>
      </c>
      <c r="C587" s="19" t="s">
        <v>3800</v>
      </c>
    </row>
    <row r="588" spans="1:3" x14ac:dyDescent="0.25">
      <c r="A588" s="19" t="s">
        <v>3804</v>
      </c>
      <c r="B588" s="19"/>
      <c r="C588" s="19" t="s">
        <v>3805</v>
      </c>
    </row>
    <row r="589" spans="1:3" x14ac:dyDescent="0.25">
      <c r="A589" s="19" t="s">
        <v>3809</v>
      </c>
      <c r="B589" s="19" t="s">
        <v>3810</v>
      </c>
      <c r="C589" s="19"/>
    </row>
    <row r="590" spans="1:3" x14ac:dyDescent="0.25">
      <c r="A590" s="19" t="s">
        <v>3814</v>
      </c>
      <c r="B590" s="19" t="s">
        <v>3815</v>
      </c>
      <c r="C590" s="19" t="s">
        <v>3816</v>
      </c>
    </row>
    <row r="591" spans="1:3" x14ac:dyDescent="0.25">
      <c r="A591" s="19" t="s">
        <v>3820</v>
      </c>
      <c r="B591" s="19" t="s">
        <v>3821</v>
      </c>
      <c r="C591" s="19"/>
    </row>
    <row r="592" spans="1:3" x14ac:dyDescent="0.25">
      <c r="A592" s="19" t="s">
        <v>3825</v>
      </c>
      <c r="B592" s="19" t="s">
        <v>3826</v>
      </c>
      <c r="C592" s="19" t="s">
        <v>3827</v>
      </c>
    </row>
    <row r="593" spans="1:3" x14ac:dyDescent="0.25">
      <c r="A593" s="19" t="s">
        <v>3831</v>
      </c>
      <c r="B593" s="19" t="s">
        <v>3832</v>
      </c>
      <c r="C593" s="19"/>
    </row>
    <row r="594" spans="1:3" x14ac:dyDescent="0.25">
      <c r="A594" s="19" t="s">
        <v>3836</v>
      </c>
      <c r="B594" s="19"/>
      <c r="C594" s="19" t="s">
        <v>3837</v>
      </c>
    </row>
    <row r="595" spans="1:3" x14ac:dyDescent="0.25">
      <c r="A595" s="19" t="s">
        <v>3841</v>
      </c>
      <c r="B595" s="19" t="s">
        <v>3842</v>
      </c>
      <c r="C595" s="19"/>
    </row>
    <row r="596" spans="1:3" x14ac:dyDescent="0.25">
      <c r="A596" s="19" t="s">
        <v>3846</v>
      </c>
      <c r="B596" s="19" t="s">
        <v>3847</v>
      </c>
      <c r="C596" s="19" t="s">
        <v>3848</v>
      </c>
    </row>
    <row r="597" spans="1:3" x14ac:dyDescent="0.25">
      <c r="A597" s="19" t="s">
        <v>3852</v>
      </c>
      <c r="B597" s="19"/>
      <c r="C597" s="19"/>
    </row>
    <row r="598" spans="1:3" x14ac:dyDescent="0.25">
      <c r="A598" s="19" t="s">
        <v>3856</v>
      </c>
      <c r="B598" s="19" t="s">
        <v>3857</v>
      </c>
      <c r="C598" s="19" t="s">
        <v>3858</v>
      </c>
    </row>
    <row r="599" spans="1:3" x14ac:dyDescent="0.25">
      <c r="A599" s="19" t="s">
        <v>3862</v>
      </c>
      <c r="B599" s="19" t="s">
        <v>3863</v>
      </c>
      <c r="C599" s="19" t="s">
        <v>3864</v>
      </c>
    </row>
    <row r="600" spans="1:3" x14ac:dyDescent="0.25">
      <c r="A600" s="19" t="s">
        <v>3868</v>
      </c>
      <c r="B600" s="19" t="s">
        <v>3869</v>
      </c>
      <c r="C600" s="19" t="s">
        <v>3870</v>
      </c>
    </row>
    <row r="601" spans="1:3" x14ac:dyDescent="0.25">
      <c r="A601" s="19" t="s">
        <v>3874</v>
      </c>
      <c r="B601" s="19" t="s">
        <v>3875</v>
      </c>
      <c r="C601" s="19"/>
    </row>
    <row r="602" spans="1:3" x14ac:dyDescent="0.25">
      <c r="A602" s="19" t="s">
        <v>3879</v>
      </c>
      <c r="B602" s="19" t="s">
        <v>3880</v>
      </c>
      <c r="C602" s="19" t="s">
        <v>3881</v>
      </c>
    </row>
    <row r="603" spans="1:3" x14ac:dyDescent="0.25">
      <c r="A603" s="19" t="s">
        <v>3885</v>
      </c>
      <c r="B603" s="19" t="s">
        <v>3886</v>
      </c>
      <c r="C603" s="19" t="s">
        <v>3887</v>
      </c>
    </row>
    <row r="604" spans="1:3" x14ac:dyDescent="0.25">
      <c r="A604" s="19" t="s">
        <v>3891</v>
      </c>
      <c r="B604" s="19" t="s">
        <v>3892</v>
      </c>
      <c r="C604" s="19" t="s">
        <v>3893</v>
      </c>
    </row>
    <row r="605" spans="1:3" x14ac:dyDescent="0.25">
      <c r="A605" s="19" t="s">
        <v>3897</v>
      </c>
      <c r="B605" s="19" t="s">
        <v>3898</v>
      </c>
      <c r="C605" s="19"/>
    </row>
    <row r="606" spans="1:3" x14ac:dyDescent="0.25">
      <c r="A606" s="19" t="s">
        <v>3902</v>
      </c>
      <c r="B606" s="19"/>
      <c r="C606" s="19" t="s">
        <v>3903</v>
      </c>
    </row>
    <row r="607" spans="1:3" x14ac:dyDescent="0.25">
      <c r="A607" s="19" t="s">
        <v>3907</v>
      </c>
      <c r="B607" s="19" t="s">
        <v>3908</v>
      </c>
      <c r="C607" s="19" t="s">
        <v>3909</v>
      </c>
    </row>
    <row r="608" spans="1:3" x14ac:dyDescent="0.25">
      <c r="A608" s="19" t="s">
        <v>3913</v>
      </c>
      <c r="B608" s="19" t="s">
        <v>3914</v>
      </c>
      <c r="C608" s="19" t="s">
        <v>3915</v>
      </c>
    </row>
    <row r="609" spans="1:3" x14ac:dyDescent="0.25">
      <c r="A609" s="19" t="s">
        <v>3919</v>
      </c>
      <c r="B609" s="19" t="s">
        <v>3920</v>
      </c>
      <c r="C609" s="19" t="s">
        <v>3921</v>
      </c>
    </row>
    <row r="610" spans="1:3" x14ac:dyDescent="0.25">
      <c r="A610" s="19" t="s">
        <v>3925</v>
      </c>
      <c r="B610" s="19"/>
      <c r="C610" s="19"/>
    </row>
    <row r="611" spans="1:3" x14ac:dyDescent="0.25">
      <c r="A611" s="19" t="s">
        <v>3929</v>
      </c>
      <c r="B611" s="19" t="s">
        <v>3930</v>
      </c>
      <c r="C611" s="19" t="s">
        <v>3931</v>
      </c>
    </row>
    <row r="612" spans="1:3" x14ac:dyDescent="0.25">
      <c r="A612" s="19" t="s">
        <v>3935</v>
      </c>
      <c r="B612" s="19" t="s">
        <v>3936</v>
      </c>
      <c r="C612" s="19" t="s">
        <v>3937</v>
      </c>
    </row>
    <row r="613" spans="1:3" x14ac:dyDescent="0.25">
      <c r="A613" s="19" t="s">
        <v>3941</v>
      </c>
      <c r="B613" s="19" t="s">
        <v>3942</v>
      </c>
      <c r="C613" s="19" t="s">
        <v>3943</v>
      </c>
    </row>
    <row r="614" spans="1:3" x14ac:dyDescent="0.25">
      <c r="A614" s="19" t="s">
        <v>3947</v>
      </c>
      <c r="B614" s="19"/>
      <c r="C614" s="19" t="s">
        <v>3948</v>
      </c>
    </row>
    <row r="615" spans="1:3" x14ac:dyDescent="0.25">
      <c r="A615" s="19" t="s">
        <v>3952</v>
      </c>
      <c r="B615" s="19"/>
      <c r="C615" s="19" t="s">
        <v>3953</v>
      </c>
    </row>
    <row r="616" spans="1:3" x14ac:dyDescent="0.25">
      <c r="A616" s="19" t="s">
        <v>3957</v>
      </c>
      <c r="B616" s="19"/>
      <c r="C616" s="19" t="s">
        <v>3958</v>
      </c>
    </row>
    <row r="617" spans="1:3" x14ac:dyDescent="0.25">
      <c r="A617" s="19" t="s">
        <v>3962</v>
      </c>
      <c r="B617" s="19" t="s">
        <v>3963</v>
      </c>
      <c r="C617" s="19" t="s">
        <v>3964</v>
      </c>
    </row>
    <row r="618" spans="1:3" x14ac:dyDescent="0.25">
      <c r="A618" s="19" t="s">
        <v>3968</v>
      </c>
      <c r="B618" s="19" t="s">
        <v>3969</v>
      </c>
      <c r="C618" s="19" t="s">
        <v>3970</v>
      </c>
    </row>
    <row r="619" spans="1:3" x14ac:dyDescent="0.25">
      <c r="A619" s="19" t="s">
        <v>3974</v>
      </c>
      <c r="B619" s="19" t="s">
        <v>3975</v>
      </c>
      <c r="C619" s="19" t="s">
        <v>3976</v>
      </c>
    </row>
    <row r="620" spans="1:3" x14ac:dyDescent="0.25">
      <c r="A620" s="19" t="s">
        <v>3980</v>
      </c>
      <c r="B620" s="19" t="s">
        <v>3981</v>
      </c>
      <c r="C620" s="19" t="s">
        <v>3982</v>
      </c>
    </row>
    <row r="621" spans="1:3" x14ac:dyDescent="0.25">
      <c r="A621" s="19" t="s">
        <v>3986</v>
      </c>
      <c r="B621" s="19" t="s">
        <v>3987</v>
      </c>
      <c r="C621" s="19" t="s">
        <v>3988</v>
      </c>
    </row>
    <row r="622" spans="1:3" x14ac:dyDescent="0.25">
      <c r="A622" s="19" t="s">
        <v>3992</v>
      </c>
      <c r="B622" s="19" t="s">
        <v>3993</v>
      </c>
      <c r="C622" s="19" t="s">
        <v>3994</v>
      </c>
    </row>
    <row r="623" spans="1:3" x14ac:dyDescent="0.25">
      <c r="A623" s="19" t="s">
        <v>3998</v>
      </c>
      <c r="B623" s="19" t="s">
        <v>3999</v>
      </c>
      <c r="C623" s="19" t="s">
        <v>4000</v>
      </c>
    </row>
    <row r="624" spans="1:3" x14ac:dyDescent="0.25">
      <c r="A624" s="19" t="s">
        <v>4004</v>
      </c>
      <c r="B624" s="19" t="s">
        <v>4005</v>
      </c>
      <c r="C624" s="19"/>
    </row>
    <row r="625" spans="1:3" x14ac:dyDescent="0.25">
      <c r="A625" s="19" t="s">
        <v>4009</v>
      </c>
      <c r="B625" s="19"/>
      <c r="C625" s="19" t="s">
        <v>4010</v>
      </c>
    </row>
    <row r="626" spans="1:3" x14ac:dyDescent="0.25">
      <c r="A626" s="19" t="s">
        <v>4014</v>
      </c>
      <c r="B626" s="19" t="s">
        <v>4015</v>
      </c>
      <c r="C626" s="19"/>
    </row>
    <row r="627" spans="1:3" x14ac:dyDescent="0.25">
      <c r="A627" s="19" t="s">
        <v>4019</v>
      </c>
      <c r="B627" s="19" t="s">
        <v>4020</v>
      </c>
      <c r="C627" s="19" t="s">
        <v>4021</v>
      </c>
    </row>
    <row r="628" spans="1:3" x14ac:dyDescent="0.25">
      <c r="A628" s="19" t="s">
        <v>4025</v>
      </c>
      <c r="B628" s="19" t="s">
        <v>4026</v>
      </c>
      <c r="C628" s="19" t="s">
        <v>4027</v>
      </c>
    </row>
    <row r="629" spans="1:3" x14ac:dyDescent="0.25">
      <c r="A629" s="19" t="s">
        <v>4031</v>
      </c>
      <c r="B629" s="19" t="s">
        <v>4032</v>
      </c>
      <c r="C629" s="19" t="s">
        <v>4033</v>
      </c>
    </row>
    <row r="630" spans="1:3" x14ac:dyDescent="0.25">
      <c r="A630" s="19" t="s">
        <v>4037</v>
      </c>
      <c r="B630" s="19" t="s">
        <v>4038</v>
      </c>
      <c r="C630" s="19" t="s">
        <v>4039</v>
      </c>
    </row>
    <row r="631" spans="1:3" x14ac:dyDescent="0.25">
      <c r="A631" s="19" t="s">
        <v>4043</v>
      </c>
      <c r="B631" s="19" t="s">
        <v>4044</v>
      </c>
      <c r="C631" s="19"/>
    </row>
    <row r="632" spans="1:3" x14ac:dyDescent="0.25">
      <c r="A632" s="19" t="s">
        <v>4047</v>
      </c>
      <c r="B632" s="19" t="s">
        <v>4048</v>
      </c>
      <c r="C632" s="19" t="s">
        <v>4049</v>
      </c>
    </row>
    <row r="633" spans="1:3" x14ac:dyDescent="0.25">
      <c r="A633" s="19" t="s">
        <v>4052</v>
      </c>
      <c r="B633" s="19" t="s">
        <v>4053</v>
      </c>
      <c r="C633" s="19" t="s">
        <v>4054</v>
      </c>
    </row>
    <row r="634" spans="1:3" x14ac:dyDescent="0.25">
      <c r="A634" s="19" t="s">
        <v>4058</v>
      </c>
      <c r="B634" s="19" t="s">
        <v>4059</v>
      </c>
      <c r="C634" s="19" t="s">
        <v>4060</v>
      </c>
    </row>
    <row r="635" spans="1:3" x14ac:dyDescent="0.25">
      <c r="A635" s="19" t="s">
        <v>4064</v>
      </c>
      <c r="B635" s="19" t="s">
        <v>4065</v>
      </c>
      <c r="C635" s="19" t="s">
        <v>4066</v>
      </c>
    </row>
    <row r="636" spans="1:3" x14ac:dyDescent="0.25">
      <c r="A636" s="19" t="s">
        <v>4070</v>
      </c>
      <c r="B636" s="19" t="s">
        <v>4071</v>
      </c>
      <c r="C636" s="19" t="s">
        <v>4072</v>
      </c>
    </row>
    <row r="637" spans="1:3" x14ac:dyDescent="0.25">
      <c r="A637" s="19" t="s">
        <v>4076</v>
      </c>
      <c r="B637" s="19" t="s">
        <v>4077</v>
      </c>
      <c r="C637" s="19" t="s">
        <v>4078</v>
      </c>
    </row>
    <row r="638" spans="1:3" x14ac:dyDescent="0.25">
      <c r="A638" s="19" t="s">
        <v>4082</v>
      </c>
      <c r="B638" s="19" t="s">
        <v>4083</v>
      </c>
      <c r="C638" s="19" t="s">
        <v>4084</v>
      </c>
    </row>
    <row r="639" spans="1:3" x14ac:dyDescent="0.25">
      <c r="A639" s="19" t="s">
        <v>4088</v>
      </c>
      <c r="B639" s="19" t="s">
        <v>4089</v>
      </c>
      <c r="C639" s="19" t="s">
        <v>4090</v>
      </c>
    </row>
    <row r="640" spans="1:3" x14ac:dyDescent="0.25">
      <c r="A640" s="19" t="s">
        <v>4095</v>
      </c>
      <c r="B640" s="19"/>
      <c r="C640" s="19" t="s">
        <v>4096</v>
      </c>
    </row>
    <row r="641" spans="1:3" x14ac:dyDescent="0.25">
      <c r="A641" s="19" t="s">
        <v>4100</v>
      </c>
      <c r="B641" s="19" t="s">
        <v>4101</v>
      </c>
      <c r="C641" s="19" t="s">
        <v>4102</v>
      </c>
    </row>
    <row r="642" spans="1:3" x14ac:dyDescent="0.25">
      <c r="A642" s="19" t="s">
        <v>4106</v>
      </c>
      <c r="B642" s="19"/>
      <c r="C642" s="19" t="s">
        <v>4107</v>
      </c>
    </row>
    <row r="643" spans="1:3" x14ac:dyDescent="0.25">
      <c r="A643" s="19" t="s">
        <v>4111</v>
      </c>
      <c r="B643" s="19" t="s">
        <v>4112</v>
      </c>
      <c r="C643" s="19" t="s">
        <v>4113</v>
      </c>
    </row>
    <row r="644" spans="1:3" x14ac:dyDescent="0.25">
      <c r="A644" s="19" t="s">
        <v>4117</v>
      </c>
      <c r="B644" s="19" t="s">
        <v>4118</v>
      </c>
      <c r="C644" s="19" t="s">
        <v>4119</v>
      </c>
    </row>
    <row r="645" spans="1:3" x14ac:dyDescent="0.25">
      <c r="A645" s="19" t="s">
        <v>4125</v>
      </c>
      <c r="B645" s="19" t="s">
        <v>4126</v>
      </c>
      <c r="C645" s="19"/>
    </row>
    <row r="646" spans="1:3" x14ac:dyDescent="0.25">
      <c r="A646" s="19" t="s">
        <v>4130</v>
      </c>
      <c r="B646" s="19"/>
      <c r="C646" s="19" t="s">
        <v>4131</v>
      </c>
    </row>
    <row r="647" spans="1:3" x14ac:dyDescent="0.25">
      <c r="A647" s="19" t="s">
        <v>4135</v>
      </c>
      <c r="B647" s="19" t="s">
        <v>4136</v>
      </c>
      <c r="C647" s="19" t="s">
        <v>4137</v>
      </c>
    </row>
    <row r="648" spans="1:3" x14ac:dyDescent="0.25">
      <c r="A648" s="19" t="s">
        <v>4141</v>
      </c>
      <c r="B648" s="19" t="s">
        <v>4142</v>
      </c>
      <c r="C648" s="19" t="s">
        <v>4143</v>
      </c>
    </row>
    <row r="649" spans="1:3" x14ac:dyDescent="0.25">
      <c r="A649" s="19" t="s">
        <v>4147</v>
      </c>
      <c r="B649" s="19" t="s">
        <v>4148</v>
      </c>
      <c r="C649" s="19" t="s">
        <v>4149</v>
      </c>
    </row>
    <row r="650" spans="1:3" x14ac:dyDescent="0.25">
      <c r="A650" s="19" t="s">
        <v>4153</v>
      </c>
      <c r="B650" s="19" t="s">
        <v>4154</v>
      </c>
      <c r="C650" s="19" t="s">
        <v>4155</v>
      </c>
    </row>
    <row r="651" spans="1:3" x14ac:dyDescent="0.25">
      <c r="A651" s="19" t="s">
        <v>4159</v>
      </c>
      <c r="B651" s="19" t="s">
        <v>4160</v>
      </c>
      <c r="C651" s="19" t="s">
        <v>4161</v>
      </c>
    </row>
    <row r="652" spans="1:3" x14ac:dyDescent="0.25">
      <c r="A652" s="19" t="s">
        <v>4165</v>
      </c>
      <c r="B652" s="19" t="s">
        <v>4166</v>
      </c>
      <c r="C652" s="19" t="s">
        <v>4167</v>
      </c>
    </row>
    <row r="653" spans="1:3" x14ac:dyDescent="0.25">
      <c r="A653" s="19" t="s">
        <v>4171</v>
      </c>
      <c r="B653" s="19"/>
      <c r="C653" s="19" t="s">
        <v>4172</v>
      </c>
    </row>
    <row r="654" spans="1:3" x14ac:dyDescent="0.25">
      <c r="A654" s="19" t="s">
        <v>4176</v>
      </c>
      <c r="B654" s="19" t="s">
        <v>4177</v>
      </c>
      <c r="C654" s="19"/>
    </row>
    <row r="655" spans="1:3" x14ac:dyDescent="0.25">
      <c r="A655" s="19" t="s">
        <v>4181</v>
      </c>
      <c r="B655" s="19" t="s">
        <v>4182</v>
      </c>
      <c r="C655" s="19" t="s">
        <v>4183</v>
      </c>
    </row>
    <row r="656" spans="1:3" x14ac:dyDescent="0.25">
      <c r="A656" s="19" t="s">
        <v>4187</v>
      </c>
      <c r="B656" s="19" t="s">
        <v>4188</v>
      </c>
      <c r="C656" s="19" t="s">
        <v>4189</v>
      </c>
    </row>
    <row r="657" spans="1:3" x14ac:dyDescent="0.25">
      <c r="A657" s="19" t="s">
        <v>4193</v>
      </c>
      <c r="B657" s="19" t="s">
        <v>4194</v>
      </c>
      <c r="C657" s="19"/>
    </row>
    <row r="658" spans="1:3" x14ac:dyDescent="0.25">
      <c r="A658" s="19" t="s">
        <v>4198</v>
      </c>
      <c r="B658" s="19" t="s">
        <v>4199</v>
      </c>
      <c r="C658" s="19"/>
    </row>
    <row r="659" spans="1:3" x14ac:dyDescent="0.25">
      <c r="A659" s="19" t="s">
        <v>4203</v>
      </c>
      <c r="B659" s="19" t="s">
        <v>4204</v>
      </c>
      <c r="C659" s="19" t="s">
        <v>4205</v>
      </c>
    </row>
    <row r="660" spans="1:3" x14ac:dyDescent="0.25">
      <c r="A660" s="19" t="s">
        <v>4209</v>
      </c>
      <c r="B660" s="19"/>
      <c r="C660" s="19"/>
    </row>
    <row r="661" spans="1:3" x14ac:dyDescent="0.25">
      <c r="A661" s="19" t="s">
        <v>4213</v>
      </c>
      <c r="B661" s="19" t="s">
        <v>4214</v>
      </c>
      <c r="C661" s="19" t="s">
        <v>4215</v>
      </c>
    </row>
    <row r="662" spans="1:3" x14ac:dyDescent="0.25">
      <c r="A662" s="19" t="s">
        <v>4219</v>
      </c>
      <c r="B662" s="19" t="s">
        <v>4220</v>
      </c>
      <c r="C662" s="19" t="s">
        <v>4221</v>
      </c>
    </row>
    <row r="663" spans="1:3" x14ac:dyDescent="0.25">
      <c r="A663" s="19" t="s">
        <v>4225</v>
      </c>
      <c r="B663" s="19" t="s">
        <v>4226</v>
      </c>
      <c r="C663" s="19" t="s">
        <v>4227</v>
      </c>
    </row>
    <row r="664" spans="1:3" x14ac:dyDescent="0.25">
      <c r="A664" s="19" t="s">
        <v>4231</v>
      </c>
      <c r="B664" s="19" t="s">
        <v>4232</v>
      </c>
      <c r="C664" s="19"/>
    </row>
    <row r="665" spans="1:3" x14ac:dyDescent="0.25">
      <c r="A665" s="19" t="s">
        <v>4236</v>
      </c>
      <c r="B665" s="19" t="s">
        <v>4237</v>
      </c>
      <c r="C665" s="19"/>
    </row>
    <row r="666" spans="1:3" x14ac:dyDescent="0.25">
      <c r="A666" s="19" t="s">
        <v>4241</v>
      </c>
      <c r="B666" s="19" t="s">
        <v>4242</v>
      </c>
      <c r="C666" s="19" t="s">
        <v>4243</v>
      </c>
    </row>
    <row r="667" spans="1:3" x14ac:dyDescent="0.25">
      <c r="A667" s="19" t="s">
        <v>4246</v>
      </c>
      <c r="B667" s="19" t="s">
        <v>4247</v>
      </c>
      <c r="C667" s="19" t="s">
        <v>4248</v>
      </c>
    </row>
    <row r="668" spans="1:3" x14ac:dyDescent="0.25">
      <c r="A668" s="19" t="s">
        <v>4252</v>
      </c>
      <c r="B668" s="19" t="s">
        <v>4253</v>
      </c>
      <c r="C668" s="19" t="s">
        <v>4254</v>
      </c>
    </row>
    <row r="669" spans="1:3" x14ac:dyDescent="0.25">
      <c r="A669" s="19" t="s">
        <v>4258</v>
      </c>
      <c r="B669" s="19" t="s">
        <v>4259</v>
      </c>
      <c r="C669" s="19" t="s">
        <v>4260</v>
      </c>
    </row>
    <row r="670" spans="1:3" x14ac:dyDescent="0.25">
      <c r="A670" s="19" t="s">
        <v>4264</v>
      </c>
      <c r="B670" s="19" t="s">
        <v>4265</v>
      </c>
      <c r="C670" s="19" t="s">
        <v>4266</v>
      </c>
    </row>
    <row r="671" spans="1:3" x14ac:dyDescent="0.25">
      <c r="A671" s="19" t="s">
        <v>4270</v>
      </c>
      <c r="B671" s="19" t="s">
        <v>4271</v>
      </c>
      <c r="C671" s="19" t="s">
        <v>4272</v>
      </c>
    </row>
    <row r="672" spans="1:3" x14ac:dyDescent="0.25">
      <c r="A672" s="19" t="s">
        <v>4276</v>
      </c>
      <c r="B672" s="19" t="s">
        <v>4277</v>
      </c>
      <c r="C672" s="19" t="s">
        <v>4278</v>
      </c>
    </row>
    <row r="673" spans="1:3" x14ac:dyDescent="0.25">
      <c r="A673" s="19" t="s">
        <v>4282</v>
      </c>
      <c r="B673" s="19" t="s">
        <v>4283</v>
      </c>
      <c r="C673" s="19" t="s">
        <v>4284</v>
      </c>
    </row>
    <row r="674" spans="1:3" x14ac:dyDescent="0.25">
      <c r="A674" s="19" t="s">
        <v>4288</v>
      </c>
      <c r="B674" s="19" t="s">
        <v>4289</v>
      </c>
      <c r="C674" s="19"/>
    </row>
    <row r="675" spans="1:3" x14ac:dyDescent="0.25">
      <c r="A675" s="19" t="s">
        <v>4293</v>
      </c>
      <c r="B675" s="19" t="s">
        <v>4294</v>
      </c>
      <c r="C675" s="19" t="s">
        <v>4295</v>
      </c>
    </row>
    <row r="676" spans="1:3" x14ac:dyDescent="0.25">
      <c r="A676" s="19" t="s">
        <v>4299</v>
      </c>
      <c r="B676" s="19" t="s">
        <v>4300</v>
      </c>
      <c r="C676" s="19" t="s">
        <v>4301</v>
      </c>
    </row>
    <row r="677" spans="1:3" x14ac:dyDescent="0.25">
      <c r="A677" s="19" t="s">
        <v>4305</v>
      </c>
      <c r="B677" s="19"/>
      <c r="C677" s="19" t="s">
        <v>4306</v>
      </c>
    </row>
    <row r="678" spans="1:3" x14ac:dyDescent="0.25">
      <c r="A678" s="19" t="s">
        <v>4310</v>
      </c>
      <c r="B678" s="19"/>
      <c r="C678" s="19" t="s">
        <v>4311</v>
      </c>
    </row>
    <row r="679" spans="1:3" x14ac:dyDescent="0.25">
      <c r="A679" s="19" t="s">
        <v>4315</v>
      </c>
      <c r="B679" s="19" t="s">
        <v>4316</v>
      </c>
      <c r="C679" s="19" t="s">
        <v>4317</v>
      </c>
    </row>
    <row r="680" spans="1:3" x14ac:dyDescent="0.25">
      <c r="A680" s="19" t="s">
        <v>4321</v>
      </c>
      <c r="B680" s="19" t="s">
        <v>4322</v>
      </c>
      <c r="C680" s="19" t="s">
        <v>4323</v>
      </c>
    </row>
    <row r="681" spans="1:3" x14ac:dyDescent="0.25">
      <c r="A681" s="19" t="s">
        <v>4327</v>
      </c>
      <c r="B681" s="19" t="s">
        <v>4328</v>
      </c>
      <c r="C681" s="19" t="s">
        <v>4329</v>
      </c>
    </row>
    <row r="682" spans="1:3" x14ac:dyDescent="0.25">
      <c r="A682" s="19" t="s">
        <v>4333</v>
      </c>
      <c r="B682" s="19" t="s">
        <v>4334</v>
      </c>
      <c r="C682" s="19"/>
    </row>
    <row r="683" spans="1:3" x14ac:dyDescent="0.25">
      <c r="A683" s="19" t="s">
        <v>4338</v>
      </c>
      <c r="B683" s="19" t="s">
        <v>4339</v>
      </c>
      <c r="C683" s="19" t="s">
        <v>4340</v>
      </c>
    </row>
    <row r="684" spans="1:3" x14ac:dyDescent="0.25">
      <c r="A684" s="19" t="s">
        <v>4344</v>
      </c>
      <c r="B684" s="19" t="s">
        <v>4345</v>
      </c>
      <c r="C684" s="19" t="s">
        <v>4346</v>
      </c>
    </row>
    <row r="685" spans="1:3" x14ac:dyDescent="0.25">
      <c r="A685" s="19" t="s">
        <v>4350</v>
      </c>
      <c r="B685" s="19" t="s">
        <v>4351</v>
      </c>
      <c r="C685" s="19" t="s">
        <v>4352</v>
      </c>
    </row>
    <row r="686" spans="1:3" x14ac:dyDescent="0.25">
      <c r="A686" s="19" t="s">
        <v>4356</v>
      </c>
      <c r="B686" s="19"/>
      <c r="C686" s="19" t="s">
        <v>4357</v>
      </c>
    </row>
    <row r="687" spans="1:3" x14ac:dyDescent="0.25">
      <c r="A687" s="19" t="s">
        <v>4361</v>
      </c>
      <c r="B687" s="19" t="s">
        <v>4362</v>
      </c>
      <c r="C687" s="19" t="s">
        <v>4363</v>
      </c>
    </row>
    <row r="688" spans="1:3" x14ac:dyDescent="0.25">
      <c r="A688" s="19" t="s">
        <v>4367</v>
      </c>
      <c r="B688" s="19" t="s">
        <v>4368</v>
      </c>
      <c r="C688" s="19" t="s">
        <v>4369</v>
      </c>
    </row>
    <row r="689" spans="1:3" x14ac:dyDescent="0.25">
      <c r="A689" s="19" t="s">
        <v>4373</v>
      </c>
      <c r="B689" s="19" t="s">
        <v>4374</v>
      </c>
      <c r="C689" s="19" t="s">
        <v>4375</v>
      </c>
    </row>
    <row r="690" spans="1:3" x14ac:dyDescent="0.25">
      <c r="A690" s="19" t="s">
        <v>4379</v>
      </c>
      <c r="B690" s="19" t="s">
        <v>4380</v>
      </c>
      <c r="C690" s="19" t="s">
        <v>4381</v>
      </c>
    </row>
    <row r="691" spans="1:3" x14ac:dyDescent="0.25">
      <c r="A691" s="19" t="s">
        <v>4385</v>
      </c>
      <c r="B691" s="19" t="s">
        <v>4386</v>
      </c>
      <c r="C691" s="19" t="s">
        <v>4387</v>
      </c>
    </row>
    <row r="692" spans="1:3" x14ac:dyDescent="0.25">
      <c r="A692" s="19" t="s">
        <v>4391</v>
      </c>
      <c r="B692" s="19"/>
      <c r="C692" s="19"/>
    </row>
    <row r="693" spans="1:3" x14ac:dyDescent="0.25">
      <c r="A693" s="19" t="s">
        <v>4395</v>
      </c>
      <c r="B693" s="19" t="s">
        <v>4396</v>
      </c>
      <c r="C693" s="19" t="s">
        <v>4397</v>
      </c>
    </row>
    <row r="694" spans="1:3" x14ac:dyDescent="0.25">
      <c r="A694" s="19" t="s">
        <v>4401</v>
      </c>
      <c r="B694" s="19" t="s">
        <v>4402</v>
      </c>
      <c r="C694" s="19" t="s">
        <v>4403</v>
      </c>
    </row>
    <row r="695" spans="1:3" x14ac:dyDescent="0.25">
      <c r="A695" s="19" t="s">
        <v>4407</v>
      </c>
      <c r="B695" s="19" t="s">
        <v>4408</v>
      </c>
      <c r="C695" s="19" t="s">
        <v>4409</v>
      </c>
    </row>
    <row r="696" spans="1:3" x14ac:dyDescent="0.25">
      <c r="A696" s="19" t="s">
        <v>4413</v>
      </c>
      <c r="B696" s="19" t="s">
        <v>4414</v>
      </c>
      <c r="C696" s="19" t="s">
        <v>4415</v>
      </c>
    </row>
    <row r="697" spans="1:3" x14ac:dyDescent="0.25">
      <c r="A697" s="19" t="s">
        <v>4419</v>
      </c>
      <c r="B697" s="19" t="s">
        <v>4420</v>
      </c>
      <c r="C697" s="19" t="s">
        <v>4421</v>
      </c>
    </row>
    <row r="698" spans="1:3" x14ac:dyDescent="0.25">
      <c r="A698" s="19" t="s">
        <v>4425</v>
      </c>
      <c r="B698" s="19" t="s">
        <v>4426</v>
      </c>
      <c r="C698" s="19" t="s">
        <v>4427</v>
      </c>
    </row>
    <row r="699" spans="1:3" x14ac:dyDescent="0.25">
      <c r="A699" s="19" t="s">
        <v>4431</v>
      </c>
      <c r="B699" s="19"/>
      <c r="C699" s="19"/>
    </row>
    <row r="700" spans="1:3" x14ac:dyDescent="0.25">
      <c r="A700" s="19" t="s">
        <v>4435</v>
      </c>
      <c r="B700" s="19" t="s">
        <v>4436</v>
      </c>
      <c r="C700" s="19" t="s">
        <v>4437</v>
      </c>
    </row>
    <row r="701" spans="1:3" x14ac:dyDescent="0.25">
      <c r="A701" s="19" t="s">
        <v>4441</v>
      </c>
      <c r="B701" s="19" t="s">
        <v>4442</v>
      </c>
      <c r="C701" s="19" t="s">
        <v>4443</v>
      </c>
    </row>
    <row r="702" spans="1:3" x14ac:dyDescent="0.25">
      <c r="A702" s="19" t="s">
        <v>4447</v>
      </c>
      <c r="B702" s="19" t="s">
        <v>4448</v>
      </c>
      <c r="C702" s="19"/>
    </row>
    <row r="703" spans="1:3" x14ac:dyDescent="0.25">
      <c r="A703" s="19" t="s">
        <v>4452</v>
      </c>
      <c r="B703" s="19" t="s">
        <v>4453</v>
      </c>
      <c r="C703" s="19" t="s">
        <v>4454</v>
      </c>
    </row>
    <row r="704" spans="1:3" x14ac:dyDescent="0.25">
      <c r="A704" s="19" t="s">
        <v>4458</v>
      </c>
      <c r="B704" s="19" t="s">
        <v>4459</v>
      </c>
      <c r="C704" s="19"/>
    </row>
    <row r="705" spans="1:3" x14ac:dyDescent="0.25">
      <c r="A705" s="19" t="s">
        <v>4463</v>
      </c>
      <c r="B705" s="19"/>
      <c r="C705" s="19" t="s">
        <v>4464</v>
      </c>
    </row>
    <row r="706" spans="1:3" x14ac:dyDescent="0.25">
      <c r="A706" s="19" t="s">
        <v>4468</v>
      </c>
      <c r="B706" s="19"/>
      <c r="C706" s="19" t="s">
        <v>4469</v>
      </c>
    </row>
    <row r="707" spans="1:3" x14ac:dyDescent="0.25">
      <c r="A707" s="19" t="s">
        <v>4473</v>
      </c>
      <c r="B707" s="19" t="s">
        <v>4474</v>
      </c>
      <c r="C707" s="19" t="s">
        <v>4475</v>
      </c>
    </row>
    <row r="708" spans="1:3" x14ac:dyDescent="0.25">
      <c r="A708" s="19" t="s">
        <v>4479</v>
      </c>
      <c r="B708" s="19" t="s">
        <v>4480</v>
      </c>
      <c r="C708" s="19" t="s">
        <v>4481</v>
      </c>
    </row>
    <row r="709" spans="1:3" x14ac:dyDescent="0.25">
      <c r="A709" s="19" t="s">
        <v>4485</v>
      </c>
      <c r="B709" s="19"/>
      <c r="C709" s="19" t="s">
        <v>4486</v>
      </c>
    </row>
    <row r="710" spans="1:3" x14ac:dyDescent="0.25">
      <c r="A710" s="19" t="s">
        <v>4490</v>
      </c>
      <c r="B710" s="19" t="s">
        <v>4491</v>
      </c>
      <c r="C710" s="19" t="s">
        <v>4492</v>
      </c>
    </row>
    <row r="711" spans="1:3" x14ac:dyDescent="0.25">
      <c r="A711" s="19" t="s">
        <v>4496</v>
      </c>
      <c r="B711" s="19"/>
      <c r="C711" s="19" t="s">
        <v>4497</v>
      </c>
    </row>
    <row r="712" spans="1:3" x14ac:dyDescent="0.25">
      <c r="A712" s="19" t="s">
        <v>4501</v>
      </c>
      <c r="B712" s="19" t="s">
        <v>4502</v>
      </c>
      <c r="C712" s="19" t="s">
        <v>4503</v>
      </c>
    </row>
    <row r="713" spans="1:3" x14ac:dyDescent="0.25">
      <c r="A713" s="19" t="s">
        <v>4507</v>
      </c>
      <c r="B713" s="19" t="s">
        <v>4508</v>
      </c>
      <c r="C713" s="19" t="s">
        <v>4509</v>
      </c>
    </row>
    <row r="714" spans="1:3" x14ac:dyDescent="0.25">
      <c r="A714" s="19" t="s">
        <v>4514</v>
      </c>
      <c r="B714" s="19"/>
      <c r="C714" s="19"/>
    </row>
    <row r="715" spans="1:3" x14ac:dyDescent="0.25">
      <c r="A715" s="19" t="s">
        <v>4518</v>
      </c>
      <c r="B715" s="19" t="s">
        <v>4519</v>
      </c>
      <c r="C715" s="19" t="s">
        <v>4520</v>
      </c>
    </row>
    <row r="716" spans="1:3" x14ac:dyDescent="0.25">
      <c r="A716" s="19" t="s">
        <v>4524</v>
      </c>
      <c r="B716" s="19" t="s">
        <v>4525</v>
      </c>
      <c r="C716" s="19" t="s">
        <v>4526</v>
      </c>
    </row>
    <row r="717" spans="1:3" x14ac:dyDescent="0.25">
      <c r="A717" s="19" t="s">
        <v>4530</v>
      </c>
      <c r="B717" s="19" t="s">
        <v>4531</v>
      </c>
      <c r="C717" s="19"/>
    </row>
    <row r="718" spans="1:3" x14ac:dyDescent="0.25">
      <c r="A718" s="19" t="s">
        <v>4535</v>
      </c>
      <c r="B718" s="19" t="s">
        <v>4536</v>
      </c>
      <c r="C718" s="19" t="s">
        <v>4537</v>
      </c>
    </row>
    <row r="719" spans="1:3" x14ac:dyDescent="0.25">
      <c r="A719" s="19" t="s">
        <v>4541</v>
      </c>
      <c r="B719" s="19" t="s">
        <v>4542</v>
      </c>
      <c r="C719" s="19" t="s">
        <v>4543</v>
      </c>
    </row>
    <row r="720" spans="1:3" x14ac:dyDescent="0.25">
      <c r="A720" s="19" t="s">
        <v>4547</v>
      </c>
      <c r="B720" s="19" t="s">
        <v>4548</v>
      </c>
      <c r="C720" s="19" t="s">
        <v>4549</v>
      </c>
    </row>
    <row r="721" spans="1:3" x14ac:dyDescent="0.25">
      <c r="A721" s="19" t="s">
        <v>4553</v>
      </c>
      <c r="B721" s="19" t="s">
        <v>4554</v>
      </c>
      <c r="C721" s="19" t="s">
        <v>4555</v>
      </c>
    </row>
    <row r="722" spans="1:3" x14ac:dyDescent="0.25">
      <c r="A722" s="19" t="s">
        <v>4559</v>
      </c>
      <c r="B722" s="19" t="s">
        <v>4560</v>
      </c>
      <c r="C722" s="19" t="s">
        <v>4561</v>
      </c>
    </row>
    <row r="723" spans="1:3" x14ac:dyDescent="0.25">
      <c r="A723" s="19" t="s">
        <v>4565</v>
      </c>
      <c r="B723" s="19" t="s">
        <v>4566</v>
      </c>
      <c r="C723" s="19" t="s">
        <v>4567</v>
      </c>
    </row>
    <row r="724" spans="1:3" x14ac:dyDescent="0.25">
      <c r="A724" s="19" t="s">
        <v>4571</v>
      </c>
      <c r="B724" s="19"/>
      <c r="C724" s="19" t="s">
        <v>4572</v>
      </c>
    </row>
    <row r="725" spans="1:3" x14ac:dyDescent="0.25">
      <c r="A725" s="19" t="s">
        <v>4576</v>
      </c>
      <c r="B725" s="19" t="s">
        <v>4577</v>
      </c>
      <c r="C725" s="19" t="s">
        <v>4578</v>
      </c>
    </row>
    <row r="726" spans="1:3" x14ac:dyDescent="0.25">
      <c r="A726" s="19" t="s">
        <v>4582</v>
      </c>
      <c r="B726" s="19"/>
      <c r="C726" s="19" t="s">
        <v>4583</v>
      </c>
    </row>
    <row r="727" spans="1:3" x14ac:dyDescent="0.25">
      <c r="A727" s="19" t="s">
        <v>4587</v>
      </c>
      <c r="B727" s="19" t="s">
        <v>4588</v>
      </c>
      <c r="C727" s="19" t="s">
        <v>4589</v>
      </c>
    </row>
    <row r="728" spans="1:3" x14ac:dyDescent="0.25">
      <c r="A728" s="19" t="s">
        <v>4593</v>
      </c>
      <c r="B728" s="19"/>
      <c r="C728" s="19" t="s">
        <v>4594</v>
      </c>
    </row>
    <row r="729" spans="1:3" x14ac:dyDescent="0.25">
      <c r="A729" s="19" t="s">
        <v>4598</v>
      </c>
      <c r="B729" s="19" t="s">
        <v>4599</v>
      </c>
      <c r="C729" s="19" t="s">
        <v>4600</v>
      </c>
    </row>
    <row r="730" spans="1:3" x14ac:dyDescent="0.25">
      <c r="A730" s="19" t="s">
        <v>4604</v>
      </c>
      <c r="B730" s="19" t="s">
        <v>4605</v>
      </c>
      <c r="C730" s="19" t="s">
        <v>4606</v>
      </c>
    </row>
    <row r="731" spans="1:3" x14ac:dyDescent="0.25">
      <c r="A731" s="19" t="s">
        <v>4610</v>
      </c>
      <c r="B731" s="19" t="s">
        <v>4611</v>
      </c>
      <c r="C731" s="19" t="s">
        <v>4612</v>
      </c>
    </row>
    <row r="732" spans="1:3" x14ac:dyDescent="0.25">
      <c r="A732" s="19" t="s">
        <v>4616</v>
      </c>
      <c r="B732" s="19" t="s">
        <v>4617</v>
      </c>
      <c r="C732" s="19" t="s">
        <v>4618</v>
      </c>
    </row>
    <row r="733" spans="1:3" x14ac:dyDescent="0.25">
      <c r="A733" s="19" t="s">
        <v>4622</v>
      </c>
      <c r="B733" s="19"/>
      <c r="C733" s="19" t="s">
        <v>4623</v>
      </c>
    </row>
    <row r="734" spans="1:3" x14ac:dyDescent="0.25">
      <c r="A734" s="19" t="s">
        <v>4627</v>
      </c>
      <c r="B734" s="19" t="s">
        <v>4628</v>
      </c>
      <c r="C734" s="19" t="s">
        <v>4629</v>
      </c>
    </row>
    <row r="735" spans="1:3" x14ac:dyDescent="0.25">
      <c r="A735" s="19" t="s">
        <v>4633</v>
      </c>
      <c r="B735" s="19" t="s">
        <v>4634</v>
      </c>
      <c r="C735" s="19" t="s">
        <v>4635</v>
      </c>
    </row>
    <row r="736" spans="1:3" x14ac:dyDescent="0.25">
      <c r="A736" s="19" t="s">
        <v>4639</v>
      </c>
      <c r="B736" s="19"/>
      <c r="C736" s="19" t="s">
        <v>4640</v>
      </c>
    </row>
    <row r="737" spans="1:3" x14ac:dyDescent="0.25">
      <c r="A737" s="19" t="s">
        <v>4644</v>
      </c>
      <c r="B737" s="19" t="s">
        <v>4645</v>
      </c>
      <c r="C737" s="19"/>
    </row>
    <row r="738" spans="1:3" x14ac:dyDescent="0.25">
      <c r="A738" s="19" t="s">
        <v>4649</v>
      </c>
      <c r="B738" s="19" t="s">
        <v>4650</v>
      </c>
      <c r="C738" s="19" t="s">
        <v>4651</v>
      </c>
    </row>
    <row r="739" spans="1:3" x14ac:dyDescent="0.25">
      <c r="A739" s="19" t="s">
        <v>4655</v>
      </c>
      <c r="B739" s="19" t="s">
        <v>4656</v>
      </c>
      <c r="C739" s="19" t="s">
        <v>4657</v>
      </c>
    </row>
    <row r="740" spans="1:3" x14ac:dyDescent="0.25">
      <c r="A740" s="19" t="s">
        <v>4661</v>
      </c>
      <c r="B740" s="19" t="s">
        <v>4662</v>
      </c>
      <c r="C740" s="19" t="s">
        <v>4663</v>
      </c>
    </row>
    <row r="741" spans="1:3" x14ac:dyDescent="0.25">
      <c r="A741" s="19" t="s">
        <v>4667</v>
      </c>
      <c r="B741" s="19"/>
      <c r="C741" s="19" t="s">
        <v>4668</v>
      </c>
    </row>
    <row r="742" spans="1:3" x14ac:dyDescent="0.25">
      <c r="A742" s="19" t="s">
        <v>4672</v>
      </c>
      <c r="B742" s="19" t="s">
        <v>4673</v>
      </c>
      <c r="C742" s="19" t="s">
        <v>4674</v>
      </c>
    </row>
    <row r="743" spans="1:3" x14ac:dyDescent="0.25">
      <c r="A743" s="19" t="s">
        <v>4678</v>
      </c>
      <c r="B743" s="19" t="s">
        <v>4679</v>
      </c>
      <c r="C743" s="19" t="s">
        <v>4680</v>
      </c>
    </row>
    <row r="744" spans="1:3" x14ac:dyDescent="0.25">
      <c r="A744" s="19" t="s">
        <v>4684</v>
      </c>
      <c r="B744" s="19" t="s">
        <v>4685</v>
      </c>
      <c r="C744" s="19" t="s">
        <v>4686</v>
      </c>
    </row>
    <row r="745" spans="1:3" x14ac:dyDescent="0.25">
      <c r="A745" s="19" t="s">
        <v>4690</v>
      </c>
      <c r="B745" s="19" t="s">
        <v>4691</v>
      </c>
      <c r="C745" s="19" t="s">
        <v>4692</v>
      </c>
    </row>
    <row r="746" spans="1:3" x14ac:dyDescent="0.25">
      <c r="A746" s="19" t="s">
        <v>4696</v>
      </c>
      <c r="B746" s="19"/>
      <c r="C746" s="19" t="s">
        <v>4697</v>
      </c>
    </row>
    <row r="747" spans="1:3" x14ac:dyDescent="0.25">
      <c r="A747" s="19" t="s">
        <v>4701</v>
      </c>
      <c r="B747" s="19" t="s">
        <v>4702</v>
      </c>
      <c r="C747" s="19" t="s">
        <v>4703</v>
      </c>
    </row>
    <row r="748" spans="1:3" x14ac:dyDescent="0.25">
      <c r="A748" s="19" t="s">
        <v>4707</v>
      </c>
      <c r="B748" s="19" t="s">
        <v>4708</v>
      </c>
      <c r="C748" s="19" t="s">
        <v>4709</v>
      </c>
    </row>
    <row r="749" spans="1:3" x14ac:dyDescent="0.25">
      <c r="A749" s="19" t="s">
        <v>4713</v>
      </c>
      <c r="B749" s="19" t="s">
        <v>4714</v>
      </c>
      <c r="C749" s="19" t="s">
        <v>4715</v>
      </c>
    </row>
    <row r="750" spans="1:3" x14ac:dyDescent="0.25">
      <c r="A750" s="19" t="s">
        <v>4719</v>
      </c>
      <c r="B750" s="19" t="s">
        <v>4720</v>
      </c>
      <c r="C750" s="19" t="s">
        <v>4721</v>
      </c>
    </row>
    <row r="751" spans="1:3" x14ac:dyDescent="0.25">
      <c r="A751" s="19" t="s">
        <v>4725</v>
      </c>
      <c r="B751" s="19" t="s">
        <v>4726</v>
      </c>
      <c r="C751" s="19" t="s">
        <v>4727</v>
      </c>
    </row>
    <row r="752" spans="1:3" x14ac:dyDescent="0.25">
      <c r="A752" s="19" t="s">
        <v>4732</v>
      </c>
      <c r="B752" s="19"/>
      <c r="C752" s="19" t="s">
        <v>4733</v>
      </c>
    </row>
    <row r="753" spans="1:3" x14ac:dyDescent="0.25">
      <c r="A753" s="19" t="s">
        <v>4737</v>
      </c>
      <c r="B753" s="19" t="s">
        <v>4738</v>
      </c>
      <c r="C753" s="19" t="s">
        <v>4739</v>
      </c>
    </row>
    <row r="754" spans="1:3" x14ac:dyDescent="0.25">
      <c r="A754" s="19" t="s">
        <v>4743</v>
      </c>
      <c r="B754" s="19" t="s">
        <v>4744</v>
      </c>
      <c r="C754" s="19" t="s">
        <v>4745</v>
      </c>
    </row>
    <row r="755" spans="1:3" x14ac:dyDescent="0.25">
      <c r="A755" s="19" t="s">
        <v>4749</v>
      </c>
      <c r="B755" s="19" t="s">
        <v>4750</v>
      </c>
      <c r="C755" s="19" t="s">
        <v>4751</v>
      </c>
    </row>
    <row r="756" spans="1:3" x14ac:dyDescent="0.25">
      <c r="A756" s="19" t="s">
        <v>4755</v>
      </c>
      <c r="B756" s="19" t="s">
        <v>4756</v>
      </c>
      <c r="C756" s="19"/>
    </row>
    <row r="757" spans="1:3" x14ac:dyDescent="0.25">
      <c r="A757" s="19" t="s">
        <v>4760</v>
      </c>
      <c r="B757" s="19" t="s">
        <v>4761</v>
      </c>
      <c r="C757" s="19" t="s">
        <v>4762</v>
      </c>
    </row>
    <row r="758" spans="1:3" x14ac:dyDescent="0.25">
      <c r="A758" s="19" t="s">
        <v>4766</v>
      </c>
      <c r="B758" s="19" t="s">
        <v>4767</v>
      </c>
      <c r="C758" s="19" t="s">
        <v>4768</v>
      </c>
    </row>
    <row r="759" spans="1:3" x14ac:dyDescent="0.25">
      <c r="A759" s="19" t="s">
        <v>4772</v>
      </c>
      <c r="B759" s="19" t="s">
        <v>4773</v>
      </c>
      <c r="C759" s="19" t="s">
        <v>4774</v>
      </c>
    </row>
    <row r="760" spans="1:3" x14ac:dyDescent="0.25">
      <c r="A760" s="19" t="s">
        <v>4778</v>
      </c>
      <c r="B760" s="19" t="s">
        <v>4779</v>
      </c>
      <c r="C760" s="19"/>
    </row>
    <row r="761" spans="1:3" x14ac:dyDescent="0.25">
      <c r="A761" s="19" t="s">
        <v>4783</v>
      </c>
      <c r="B761" s="19" t="s">
        <v>4784</v>
      </c>
      <c r="C761" s="19" t="s">
        <v>4785</v>
      </c>
    </row>
    <row r="762" spans="1:3" x14ac:dyDescent="0.25">
      <c r="A762" s="19" t="s">
        <v>4789</v>
      </c>
      <c r="B762" s="19" t="s">
        <v>4790</v>
      </c>
      <c r="C762" s="19"/>
    </row>
    <row r="763" spans="1:3" x14ac:dyDescent="0.25">
      <c r="A763" s="19" t="s">
        <v>4794</v>
      </c>
      <c r="B763" s="19" t="s">
        <v>4795</v>
      </c>
      <c r="C763" s="19"/>
    </row>
    <row r="764" spans="1:3" x14ac:dyDescent="0.25">
      <c r="A764" s="19" t="s">
        <v>4799</v>
      </c>
      <c r="B764" s="19" t="s">
        <v>4800</v>
      </c>
      <c r="C764" s="19" t="s">
        <v>4801</v>
      </c>
    </row>
    <row r="765" spans="1:3" x14ac:dyDescent="0.25">
      <c r="A765" s="19" t="s">
        <v>4805</v>
      </c>
      <c r="B765" s="19"/>
      <c r="C765" s="19" t="s">
        <v>4806</v>
      </c>
    </row>
    <row r="766" spans="1:3" x14ac:dyDescent="0.25">
      <c r="A766" s="19" t="s">
        <v>4810</v>
      </c>
      <c r="B766" s="19" t="s">
        <v>4811</v>
      </c>
      <c r="C766" s="19" t="s">
        <v>4812</v>
      </c>
    </row>
    <row r="767" spans="1:3" x14ac:dyDescent="0.25">
      <c r="A767" s="19" t="s">
        <v>4816</v>
      </c>
      <c r="B767" s="19" t="s">
        <v>4817</v>
      </c>
      <c r="C767" s="19" t="s">
        <v>4818</v>
      </c>
    </row>
    <row r="768" spans="1:3" x14ac:dyDescent="0.25">
      <c r="A768" s="19" t="s">
        <v>4821</v>
      </c>
      <c r="B768" s="19" t="s">
        <v>4822</v>
      </c>
      <c r="C768" s="19" t="s">
        <v>4823</v>
      </c>
    </row>
    <row r="769" spans="1:3" x14ac:dyDescent="0.25">
      <c r="A769" s="19" t="s">
        <v>4827</v>
      </c>
      <c r="B769" s="19" t="s">
        <v>4828</v>
      </c>
      <c r="C769" s="19" t="s">
        <v>4829</v>
      </c>
    </row>
    <row r="770" spans="1:3" x14ac:dyDescent="0.25">
      <c r="A770" s="19" t="s">
        <v>4833</v>
      </c>
      <c r="B770" s="19"/>
      <c r="C770" s="19" t="s">
        <v>4834</v>
      </c>
    </row>
    <row r="771" spans="1:3" x14ac:dyDescent="0.25">
      <c r="A771" s="19" t="s">
        <v>4838</v>
      </c>
      <c r="B771" s="19" t="s">
        <v>4839</v>
      </c>
      <c r="C771" s="19" t="s">
        <v>4840</v>
      </c>
    </row>
    <row r="772" spans="1:3" x14ac:dyDescent="0.25">
      <c r="A772" s="19" t="s">
        <v>4844</v>
      </c>
      <c r="B772" s="19" t="s">
        <v>4845</v>
      </c>
      <c r="C772" s="19"/>
    </row>
    <row r="773" spans="1:3" x14ac:dyDescent="0.25">
      <c r="A773" s="19" t="s">
        <v>4849</v>
      </c>
      <c r="B773" s="19" t="s">
        <v>4850</v>
      </c>
      <c r="C773" s="19" t="s">
        <v>4851</v>
      </c>
    </row>
    <row r="774" spans="1:3" x14ac:dyDescent="0.25">
      <c r="A774" s="19" t="s">
        <v>4855</v>
      </c>
      <c r="B774" s="19"/>
      <c r="C774" s="19" t="s">
        <v>4856</v>
      </c>
    </row>
    <row r="775" spans="1:3" x14ac:dyDescent="0.25">
      <c r="A775" s="19" t="s">
        <v>4860</v>
      </c>
      <c r="B775" s="19" t="s">
        <v>4861</v>
      </c>
      <c r="C775" s="19" t="s">
        <v>4862</v>
      </c>
    </row>
    <row r="776" spans="1:3" x14ac:dyDescent="0.25">
      <c r="A776" s="19" t="s">
        <v>4866</v>
      </c>
      <c r="B776" s="19"/>
      <c r="C776" s="19" t="s">
        <v>4867</v>
      </c>
    </row>
    <row r="777" spans="1:3" x14ac:dyDescent="0.25">
      <c r="A777" s="19" t="s">
        <v>4871</v>
      </c>
      <c r="B777" s="19" t="s">
        <v>4872</v>
      </c>
      <c r="C777" s="19" t="s">
        <v>4873</v>
      </c>
    </row>
    <row r="778" spans="1:3" x14ac:dyDescent="0.25">
      <c r="A778" s="19" t="s">
        <v>4877</v>
      </c>
      <c r="B778" s="19" t="s">
        <v>4878</v>
      </c>
      <c r="C778" s="19" t="s">
        <v>4879</v>
      </c>
    </row>
    <row r="779" spans="1:3" x14ac:dyDescent="0.25">
      <c r="A779" s="19" t="s">
        <v>4883</v>
      </c>
      <c r="B779" s="19" t="s">
        <v>4884</v>
      </c>
      <c r="C779" s="19"/>
    </row>
    <row r="780" spans="1:3" x14ac:dyDescent="0.25">
      <c r="A780" s="19" t="s">
        <v>4888</v>
      </c>
      <c r="B780" s="19" t="s">
        <v>4889</v>
      </c>
      <c r="C780" s="19" t="s">
        <v>4890</v>
      </c>
    </row>
    <row r="781" spans="1:3" x14ac:dyDescent="0.25">
      <c r="A781" s="19" t="s">
        <v>4894</v>
      </c>
      <c r="B781" s="19" t="s">
        <v>4895</v>
      </c>
      <c r="C781" s="19" t="s">
        <v>4896</v>
      </c>
    </row>
    <row r="782" spans="1:3" x14ac:dyDescent="0.25">
      <c r="A782" s="19" t="s">
        <v>4900</v>
      </c>
      <c r="B782" s="19"/>
      <c r="C782" s="19" t="s">
        <v>4901</v>
      </c>
    </row>
    <row r="783" spans="1:3" x14ac:dyDescent="0.25">
      <c r="A783" s="19" t="s">
        <v>4905</v>
      </c>
      <c r="B783" s="19" t="s">
        <v>4906</v>
      </c>
      <c r="C783" s="19" t="s">
        <v>4907</v>
      </c>
    </row>
    <row r="784" spans="1:3" x14ac:dyDescent="0.25">
      <c r="A784" s="19" t="s">
        <v>4911</v>
      </c>
      <c r="B784" s="19" t="s">
        <v>4912</v>
      </c>
      <c r="C784" s="19" t="s">
        <v>4913</v>
      </c>
    </row>
    <row r="785" spans="1:3" x14ac:dyDescent="0.25">
      <c r="A785" s="19" t="s">
        <v>4917</v>
      </c>
      <c r="B785" s="19" t="s">
        <v>4918</v>
      </c>
      <c r="C785" s="19" t="s">
        <v>4919</v>
      </c>
    </row>
    <row r="786" spans="1:3" x14ac:dyDescent="0.25">
      <c r="A786" s="19" t="s">
        <v>4923</v>
      </c>
      <c r="B786" s="19" t="s">
        <v>4924</v>
      </c>
      <c r="C786" s="19"/>
    </row>
    <row r="787" spans="1:3" x14ac:dyDescent="0.25">
      <c r="A787" s="19" t="s">
        <v>4928</v>
      </c>
      <c r="B787" s="19" t="s">
        <v>4929</v>
      </c>
      <c r="C787" s="19" t="s">
        <v>4930</v>
      </c>
    </row>
    <row r="788" spans="1:3" x14ac:dyDescent="0.25">
      <c r="A788" s="19" t="s">
        <v>4934</v>
      </c>
      <c r="B788" s="19" t="s">
        <v>4935</v>
      </c>
      <c r="C788" s="19" t="s">
        <v>4936</v>
      </c>
    </row>
    <row r="789" spans="1:3" x14ac:dyDescent="0.25">
      <c r="A789" s="19" t="s">
        <v>4940</v>
      </c>
      <c r="B789" s="19"/>
      <c r="C789" s="19" t="s">
        <v>4941</v>
      </c>
    </row>
    <row r="790" spans="1:3" x14ac:dyDescent="0.25">
      <c r="A790" s="19" t="s">
        <v>4945</v>
      </c>
      <c r="B790" s="19" t="s">
        <v>4946</v>
      </c>
      <c r="C790" s="19" t="s">
        <v>4947</v>
      </c>
    </row>
    <row r="791" spans="1:3" x14ac:dyDescent="0.25">
      <c r="A791" s="19" t="s">
        <v>4951</v>
      </c>
      <c r="B791" s="19" t="s">
        <v>4952</v>
      </c>
      <c r="C791" s="19" t="s">
        <v>4953</v>
      </c>
    </row>
    <row r="792" spans="1:3" x14ac:dyDescent="0.25">
      <c r="A792" s="19" t="s">
        <v>4957</v>
      </c>
      <c r="B792" s="19" t="s">
        <v>4958</v>
      </c>
      <c r="C792" s="19" t="s">
        <v>4959</v>
      </c>
    </row>
    <row r="793" spans="1:3" x14ac:dyDescent="0.25">
      <c r="A793" s="19" t="s">
        <v>4963</v>
      </c>
      <c r="B793" s="19" t="s">
        <v>4964</v>
      </c>
      <c r="C793" s="19" t="s">
        <v>4965</v>
      </c>
    </row>
    <row r="794" spans="1:3" x14ac:dyDescent="0.25">
      <c r="A794" s="19" t="s">
        <v>4969</v>
      </c>
      <c r="B794" s="19" t="s">
        <v>4970</v>
      </c>
      <c r="C794" s="19" t="s">
        <v>4971</v>
      </c>
    </row>
    <row r="795" spans="1:3" x14ac:dyDescent="0.25">
      <c r="A795" s="19" t="s">
        <v>4975</v>
      </c>
      <c r="B795" s="19" t="s">
        <v>4976</v>
      </c>
      <c r="C795" s="19" t="s">
        <v>4977</v>
      </c>
    </row>
    <row r="796" spans="1:3" x14ac:dyDescent="0.25">
      <c r="A796" s="19" t="s">
        <v>4981</v>
      </c>
      <c r="B796" s="19" t="s">
        <v>4982</v>
      </c>
      <c r="C796" s="19" t="s">
        <v>4983</v>
      </c>
    </row>
    <row r="797" spans="1:3" x14ac:dyDescent="0.25">
      <c r="A797" s="19" t="s">
        <v>4987</v>
      </c>
      <c r="B797" s="19" t="s">
        <v>4988</v>
      </c>
      <c r="C797" s="19" t="s">
        <v>4989</v>
      </c>
    </row>
    <row r="798" spans="1:3" x14ac:dyDescent="0.25">
      <c r="A798" s="19" t="s">
        <v>4993</v>
      </c>
      <c r="B798" s="19"/>
      <c r="C798" s="19" t="s">
        <v>4994</v>
      </c>
    </row>
    <row r="799" spans="1:3" x14ac:dyDescent="0.25">
      <c r="A799" s="19" t="s">
        <v>4998</v>
      </c>
      <c r="B799" s="19" t="s">
        <v>4999</v>
      </c>
      <c r="C799" s="19" t="s">
        <v>5000</v>
      </c>
    </row>
    <row r="800" spans="1:3" x14ac:dyDescent="0.25">
      <c r="A800" s="19" t="s">
        <v>5004</v>
      </c>
      <c r="B800" s="19" t="s">
        <v>5005</v>
      </c>
      <c r="C800" s="19" t="s">
        <v>5006</v>
      </c>
    </row>
    <row r="801" spans="1:3" x14ac:dyDescent="0.25">
      <c r="A801" s="19" t="s">
        <v>5010</v>
      </c>
      <c r="B801" s="19"/>
      <c r="C801" s="19"/>
    </row>
    <row r="802" spans="1:3" x14ac:dyDescent="0.25">
      <c r="A802" s="19" t="s">
        <v>5014</v>
      </c>
      <c r="B802" s="19" t="s">
        <v>5015</v>
      </c>
      <c r="C802" s="19" t="s">
        <v>5016</v>
      </c>
    </row>
    <row r="803" spans="1:3" x14ac:dyDescent="0.25">
      <c r="A803" s="19" t="s">
        <v>5020</v>
      </c>
      <c r="B803" s="19" t="s">
        <v>5021</v>
      </c>
      <c r="C803" s="19" t="s">
        <v>5022</v>
      </c>
    </row>
    <row r="804" spans="1:3" x14ac:dyDescent="0.25">
      <c r="A804" s="19" t="s">
        <v>5026</v>
      </c>
      <c r="B804" s="19" t="s">
        <v>5027</v>
      </c>
      <c r="C804" s="19" t="s">
        <v>5028</v>
      </c>
    </row>
    <row r="805" spans="1:3" x14ac:dyDescent="0.25">
      <c r="A805" s="19" t="s">
        <v>5032</v>
      </c>
      <c r="B805" s="19" t="s">
        <v>5033</v>
      </c>
      <c r="C805" s="19"/>
    </row>
    <row r="806" spans="1:3" x14ac:dyDescent="0.25">
      <c r="A806" s="19" t="s">
        <v>5037</v>
      </c>
      <c r="B806" s="19"/>
      <c r="C806" s="19" t="s">
        <v>5038</v>
      </c>
    </row>
    <row r="807" spans="1:3" x14ac:dyDescent="0.25">
      <c r="A807" s="19" t="s">
        <v>5042</v>
      </c>
      <c r="B807" s="19"/>
      <c r="C807" s="19" t="s">
        <v>5043</v>
      </c>
    </row>
    <row r="808" spans="1:3" x14ac:dyDescent="0.25">
      <c r="A808" s="19" t="s">
        <v>5048</v>
      </c>
      <c r="B808" s="19"/>
      <c r="C808" s="19"/>
    </row>
    <row r="809" spans="1:3" x14ac:dyDescent="0.25">
      <c r="A809" s="19" t="s">
        <v>5052</v>
      </c>
      <c r="B809" s="19" t="s">
        <v>5053</v>
      </c>
      <c r="C809" s="19" t="s">
        <v>5054</v>
      </c>
    </row>
    <row r="810" spans="1:3" x14ac:dyDescent="0.25">
      <c r="A810" s="19" t="s">
        <v>5058</v>
      </c>
      <c r="B810" s="19" t="s">
        <v>5059</v>
      </c>
      <c r="C810" s="19" t="s">
        <v>5060</v>
      </c>
    </row>
    <row r="811" spans="1:3" x14ac:dyDescent="0.25">
      <c r="A811" s="19" t="s">
        <v>5064</v>
      </c>
      <c r="B811" s="19"/>
      <c r="C811" s="19" t="s">
        <v>5065</v>
      </c>
    </row>
    <row r="812" spans="1:3" x14ac:dyDescent="0.25">
      <c r="A812" s="19" t="s">
        <v>5069</v>
      </c>
      <c r="B812" s="19" t="s">
        <v>5070</v>
      </c>
      <c r="C812" s="19" t="s">
        <v>5071</v>
      </c>
    </row>
    <row r="813" spans="1:3" x14ac:dyDescent="0.25">
      <c r="A813" s="19" t="s">
        <v>5075</v>
      </c>
      <c r="B813" s="19" t="s">
        <v>5076</v>
      </c>
      <c r="C813" s="19" t="s">
        <v>5077</v>
      </c>
    </row>
    <row r="814" spans="1:3" x14ac:dyDescent="0.25">
      <c r="A814" s="19" t="s">
        <v>5080</v>
      </c>
      <c r="B814" s="19" t="s">
        <v>5081</v>
      </c>
      <c r="C814" s="19" t="s">
        <v>5082</v>
      </c>
    </row>
    <row r="815" spans="1:3" x14ac:dyDescent="0.25">
      <c r="A815" s="19" t="s">
        <v>5086</v>
      </c>
      <c r="B815" s="19" t="s">
        <v>5087</v>
      </c>
      <c r="C815" s="19" t="s">
        <v>5088</v>
      </c>
    </row>
    <row r="816" spans="1:3" x14ac:dyDescent="0.25">
      <c r="A816" s="19" t="s">
        <v>5092</v>
      </c>
      <c r="B816" s="19" t="s">
        <v>5093</v>
      </c>
      <c r="C816" s="19" t="s">
        <v>5094</v>
      </c>
    </row>
    <row r="817" spans="1:3" x14ac:dyDescent="0.25">
      <c r="A817" s="19" t="s">
        <v>5098</v>
      </c>
      <c r="B817" s="19" t="s">
        <v>5099</v>
      </c>
      <c r="C817" s="19" t="s">
        <v>5100</v>
      </c>
    </row>
    <row r="818" spans="1:3" x14ac:dyDescent="0.25">
      <c r="A818" s="19" t="s">
        <v>5104</v>
      </c>
      <c r="B818" s="19" t="s">
        <v>5105</v>
      </c>
      <c r="C818" s="19" t="s">
        <v>5106</v>
      </c>
    </row>
    <row r="819" spans="1:3" x14ac:dyDescent="0.25">
      <c r="A819" s="19" t="s">
        <v>5109</v>
      </c>
      <c r="B819" s="19" t="s">
        <v>5110</v>
      </c>
      <c r="C819" s="19"/>
    </row>
    <row r="820" spans="1:3" x14ac:dyDescent="0.25">
      <c r="A820" s="19" t="s">
        <v>5114</v>
      </c>
      <c r="B820" s="19"/>
      <c r="C820" s="19" t="s">
        <v>5115</v>
      </c>
    </row>
    <row r="821" spans="1:3" x14ac:dyDescent="0.25">
      <c r="A821" s="19" t="s">
        <v>5119</v>
      </c>
      <c r="B821" s="19" t="s">
        <v>5120</v>
      </c>
      <c r="C821" s="19" t="s">
        <v>5121</v>
      </c>
    </row>
    <row r="822" spans="1:3" x14ac:dyDescent="0.25">
      <c r="A822" s="19" t="s">
        <v>5125</v>
      </c>
      <c r="B822" s="19" t="s">
        <v>5126</v>
      </c>
      <c r="C822" s="19" t="s">
        <v>5127</v>
      </c>
    </row>
    <row r="823" spans="1:3" x14ac:dyDescent="0.25">
      <c r="A823" s="19" t="s">
        <v>5131</v>
      </c>
      <c r="B823" s="19" t="s">
        <v>5132</v>
      </c>
      <c r="C823" s="19" t="s">
        <v>5133</v>
      </c>
    </row>
    <row r="824" spans="1:3" x14ac:dyDescent="0.25">
      <c r="A824" s="19" t="s">
        <v>5137</v>
      </c>
      <c r="B824" s="19" t="s">
        <v>5138</v>
      </c>
      <c r="C824" s="19" t="s">
        <v>5139</v>
      </c>
    </row>
    <row r="825" spans="1:3" x14ac:dyDescent="0.25">
      <c r="A825" s="19" t="s">
        <v>5143</v>
      </c>
      <c r="B825" s="19" t="s">
        <v>5144</v>
      </c>
      <c r="C825" s="19" t="s">
        <v>5145</v>
      </c>
    </row>
    <row r="826" spans="1:3" x14ac:dyDescent="0.25">
      <c r="A826" s="19" t="s">
        <v>5149</v>
      </c>
      <c r="B826" s="19" t="s">
        <v>5150</v>
      </c>
      <c r="C826" s="19"/>
    </row>
    <row r="827" spans="1:3" x14ac:dyDescent="0.25">
      <c r="A827" s="19" t="s">
        <v>5154</v>
      </c>
      <c r="B827" s="19" t="s">
        <v>5155</v>
      </c>
      <c r="C827" s="19" t="s">
        <v>5156</v>
      </c>
    </row>
    <row r="828" spans="1:3" x14ac:dyDescent="0.25">
      <c r="A828" s="19" t="s">
        <v>5160</v>
      </c>
      <c r="B828" s="19" t="s">
        <v>5161</v>
      </c>
      <c r="C828" s="19" t="s">
        <v>5162</v>
      </c>
    </row>
    <row r="829" spans="1:3" x14ac:dyDescent="0.25">
      <c r="A829" s="19" t="s">
        <v>5166</v>
      </c>
      <c r="B829" s="19" t="s">
        <v>5167</v>
      </c>
      <c r="C829" s="19" t="s">
        <v>5168</v>
      </c>
    </row>
    <row r="830" spans="1:3" x14ac:dyDescent="0.25">
      <c r="A830" s="19" t="s">
        <v>5172</v>
      </c>
      <c r="B830" s="19" t="s">
        <v>5173</v>
      </c>
      <c r="C830" s="19" t="s">
        <v>5174</v>
      </c>
    </row>
    <row r="831" spans="1:3" x14ac:dyDescent="0.25">
      <c r="A831" s="19" t="s">
        <v>5178</v>
      </c>
      <c r="B831" s="19" t="s">
        <v>5179</v>
      </c>
      <c r="C831" s="19" t="s">
        <v>5180</v>
      </c>
    </row>
    <row r="832" spans="1:3" x14ac:dyDescent="0.25">
      <c r="A832" s="19" t="s">
        <v>5184</v>
      </c>
      <c r="B832" s="19" t="s">
        <v>5185</v>
      </c>
      <c r="C832" s="19" t="s">
        <v>5186</v>
      </c>
    </row>
    <row r="833" spans="1:3" x14ac:dyDescent="0.25">
      <c r="A833" s="19" t="s">
        <v>5189</v>
      </c>
      <c r="B833" s="19" t="s">
        <v>5190</v>
      </c>
      <c r="C833" s="19" t="s">
        <v>5191</v>
      </c>
    </row>
    <row r="834" spans="1:3" x14ac:dyDescent="0.25">
      <c r="A834" s="19" t="s">
        <v>5195</v>
      </c>
      <c r="B834" s="19" t="s">
        <v>5196</v>
      </c>
      <c r="C834" s="19" t="s">
        <v>5197</v>
      </c>
    </row>
    <row r="835" spans="1:3" x14ac:dyDescent="0.25">
      <c r="A835" s="19" t="s">
        <v>5201</v>
      </c>
      <c r="B835" s="19" t="s">
        <v>5202</v>
      </c>
      <c r="C835" s="19" t="s">
        <v>5203</v>
      </c>
    </row>
    <row r="836" spans="1:3" x14ac:dyDescent="0.25">
      <c r="A836" s="19" t="s">
        <v>5207</v>
      </c>
      <c r="B836" s="19" t="s">
        <v>5208</v>
      </c>
      <c r="C836" s="19" t="s">
        <v>5209</v>
      </c>
    </row>
    <row r="837" spans="1:3" x14ac:dyDescent="0.25">
      <c r="A837" s="19" t="s">
        <v>5213</v>
      </c>
      <c r="B837" s="19" t="s">
        <v>5214</v>
      </c>
      <c r="C837" s="19"/>
    </row>
    <row r="838" spans="1:3" x14ac:dyDescent="0.25">
      <c r="A838" s="19" t="s">
        <v>5218</v>
      </c>
      <c r="B838" s="19" t="s">
        <v>5219</v>
      </c>
      <c r="C838" s="19" t="s">
        <v>5220</v>
      </c>
    </row>
    <row r="839" spans="1:3" x14ac:dyDescent="0.25">
      <c r="A839" s="19" t="s">
        <v>5224</v>
      </c>
      <c r="B839" s="19" t="s">
        <v>5225</v>
      </c>
      <c r="C839" s="19" t="s">
        <v>5226</v>
      </c>
    </row>
    <row r="840" spans="1:3" x14ac:dyDescent="0.25">
      <c r="A840" s="19" t="s">
        <v>5230</v>
      </c>
      <c r="B840" s="19" t="s">
        <v>5231</v>
      </c>
      <c r="C840" s="19" t="s">
        <v>5232</v>
      </c>
    </row>
    <row r="841" spans="1:3" x14ac:dyDescent="0.25">
      <c r="A841" s="19" t="s">
        <v>5236</v>
      </c>
      <c r="B841" s="19" t="s">
        <v>5237</v>
      </c>
      <c r="C841" s="19" t="s">
        <v>5238</v>
      </c>
    </row>
    <row r="842" spans="1:3" x14ac:dyDescent="0.25">
      <c r="A842" s="19" t="s">
        <v>5242</v>
      </c>
      <c r="B842" s="19" t="s">
        <v>5243</v>
      </c>
      <c r="C842" s="19" t="s">
        <v>5244</v>
      </c>
    </row>
    <row r="843" spans="1:3" x14ac:dyDescent="0.25">
      <c r="A843" s="19" t="s">
        <v>5248</v>
      </c>
      <c r="B843" s="19" t="s">
        <v>5249</v>
      </c>
      <c r="C843" s="19"/>
    </row>
    <row r="844" spans="1:3" x14ac:dyDescent="0.25">
      <c r="A844" s="19" t="s">
        <v>5253</v>
      </c>
      <c r="B844" s="19" t="s">
        <v>5254</v>
      </c>
      <c r="C844" s="19"/>
    </row>
    <row r="845" spans="1:3" x14ac:dyDescent="0.25">
      <c r="A845" s="19" t="s">
        <v>5258</v>
      </c>
      <c r="B845" s="19" t="s">
        <v>5259</v>
      </c>
      <c r="C845" s="19" t="s">
        <v>5260</v>
      </c>
    </row>
    <row r="846" spans="1:3" x14ac:dyDescent="0.25">
      <c r="A846" s="19" t="s">
        <v>5264</v>
      </c>
      <c r="B846" s="19" t="s">
        <v>5265</v>
      </c>
      <c r="C846" s="19" t="s">
        <v>5266</v>
      </c>
    </row>
    <row r="847" spans="1:3" x14ac:dyDescent="0.25">
      <c r="A847" s="19" t="s">
        <v>5270</v>
      </c>
      <c r="B847" s="19" t="s">
        <v>5271</v>
      </c>
      <c r="C847" s="19"/>
    </row>
    <row r="848" spans="1:3" x14ac:dyDescent="0.25">
      <c r="A848" s="19" t="s">
        <v>5275</v>
      </c>
      <c r="B848" s="19"/>
      <c r="C848" s="19" t="s">
        <v>5276</v>
      </c>
    </row>
    <row r="849" spans="1:3" x14ac:dyDescent="0.25">
      <c r="A849" s="19" t="s">
        <v>5280</v>
      </c>
      <c r="B849" s="19" t="s">
        <v>5281</v>
      </c>
      <c r="C849" s="19"/>
    </row>
    <row r="850" spans="1:3" x14ac:dyDescent="0.25">
      <c r="A850" s="19" t="s">
        <v>5285</v>
      </c>
      <c r="B850" s="19"/>
      <c r="C850" s="19" t="s">
        <v>5286</v>
      </c>
    </row>
    <row r="851" spans="1:3" x14ac:dyDescent="0.25">
      <c r="A851" s="19" t="s">
        <v>5290</v>
      </c>
      <c r="B851" s="19" t="s">
        <v>5291</v>
      </c>
      <c r="C851" s="19" t="s">
        <v>5292</v>
      </c>
    </row>
    <row r="852" spans="1:3" x14ac:dyDescent="0.25">
      <c r="A852" s="19" t="s">
        <v>5295</v>
      </c>
      <c r="B852" s="19" t="s">
        <v>5296</v>
      </c>
      <c r="C852" s="19" t="s">
        <v>5297</v>
      </c>
    </row>
    <row r="853" spans="1:3" x14ac:dyDescent="0.25">
      <c r="A853" s="19" t="s">
        <v>5301</v>
      </c>
      <c r="B853" s="19" t="s">
        <v>5302</v>
      </c>
      <c r="C853" s="19" t="s">
        <v>5303</v>
      </c>
    </row>
    <row r="854" spans="1:3" x14ac:dyDescent="0.25">
      <c r="A854" s="19" t="s">
        <v>5307</v>
      </c>
      <c r="B854" s="19" t="s">
        <v>5308</v>
      </c>
      <c r="C854" s="19"/>
    </row>
    <row r="855" spans="1:3" x14ac:dyDescent="0.25">
      <c r="A855" s="19" t="s">
        <v>5312</v>
      </c>
      <c r="B855" s="19" t="s">
        <v>5313</v>
      </c>
      <c r="C855" s="19"/>
    </row>
    <row r="856" spans="1:3" x14ac:dyDescent="0.25">
      <c r="A856" s="19" t="s">
        <v>5317</v>
      </c>
      <c r="B856" s="19" t="s">
        <v>5318</v>
      </c>
      <c r="C856" s="19" t="s">
        <v>5319</v>
      </c>
    </row>
    <row r="857" spans="1:3" x14ac:dyDescent="0.25">
      <c r="A857" s="19" t="s">
        <v>5323</v>
      </c>
      <c r="B857" s="19" t="s">
        <v>5324</v>
      </c>
      <c r="C857" s="19" t="s">
        <v>5325</v>
      </c>
    </row>
    <row r="858" spans="1:3" x14ac:dyDescent="0.25">
      <c r="A858" s="19" t="s">
        <v>5329</v>
      </c>
      <c r="B858" s="19" t="s">
        <v>5330</v>
      </c>
      <c r="C858" s="19" t="s">
        <v>5331</v>
      </c>
    </row>
    <row r="859" spans="1:3" x14ac:dyDescent="0.25">
      <c r="A859" s="19" t="s">
        <v>5335</v>
      </c>
      <c r="B859" s="19" t="s">
        <v>5336</v>
      </c>
      <c r="C859" s="19" t="s">
        <v>5337</v>
      </c>
    </row>
    <row r="860" spans="1:3" x14ac:dyDescent="0.25">
      <c r="A860" s="19" t="s">
        <v>5341</v>
      </c>
      <c r="B860" s="19" t="s">
        <v>5342</v>
      </c>
      <c r="C860" s="19" t="s">
        <v>5343</v>
      </c>
    </row>
    <row r="861" spans="1:3" x14ac:dyDescent="0.25">
      <c r="A861" s="19" t="s">
        <v>5347</v>
      </c>
      <c r="B861" s="19" t="s">
        <v>5348</v>
      </c>
      <c r="C861" s="19" t="s">
        <v>5349</v>
      </c>
    </row>
    <row r="862" spans="1:3" x14ac:dyDescent="0.25">
      <c r="A862" s="19" t="s">
        <v>5353</v>
      </c>
      <c r="B862" s="19"/>
      <c r="C862" s="19" t="s">
        <v>5354</v>
      </c>
    </row>
    <row r="863" spans="1:3" x14ac:dyDescent="0.25">
      <c r="A863" s="19" t="s">
        <v>5358</v>
      </c>
      <c r="B863" s="19" t="s">
        <v>5359</v>
      </c>
      <c r="C863" s="19" t="s">
        <v>5360</v>
      </c>
    </row>
    <row r="864" spans="1:3" x14ac:dyDescent="0.25">
      <c r="A864" s="19" t="s">
        <v>5364</v>
      </c>
      <c r="B864" s="19" t="s">
        <v>5365</v>
      </c>
      <c r="C864" s="19" t="s">
        <v>5366</v>
      </c>
    </row>
    <row r="865" spans="1:3" x14ac:dyDescent="0.25">
      <c r="A865" s="19" t="s">
        <v>5370</v>
      </c>
      <c r="B865" s="19" t="s">
        <v>5371</v>
      </c>
      <c r="C865" s="19" t="s">
        <v>5372</v>
      </c>
    </row>
    <row r="866" spans="1:3" x14ac:dyDescent="0.25">
      <c r="A866" s="19" t="s">
        <v>5376</v>
      </c>
      <c r="B866" s="19" t="s">
        <v>5377</v>
      </c>
      <c r="C866" s="19" t="s">
        <v>5378</v>
      </c>
    </row>
    <row r="867" spans="1:3" x14ac:dyDescent="0.25">
      <c r="A867" s="19" t="s">
        <v>5382</v>
      </c>
      <c r="B867" s="19"/>
      <c r="C867" s="19" t="s">
        <v>5383</v>
      </c>
    </row>
    <row r="868" spans="1:3" x14ac:dyDescent="0.25">
      <c r="A868" s="19" t="s">
        <v>5387</v>
      </c>
      <c r="B868" s="19" t="s">
        <v>5388</v>
      </c>
      <c r="C868" s="19" t="s">
        <v>5389</v>
      </c>
    </row>
    <row r="869" spans="1:3" x14ac:dyDescent="0.25">
      <c r="A869" s="19" t="s">
        <v>5393</v>
      </c>
      <c r="B869" s="19" t="s">
        <v>5394</v>
      </c>
      <c r="C869" s="19"/>
    </row>
    <row r="870" spans="1:3" x14ac:dyDescent="0.25">
      <c r="A870" s="19" t="s">
        <v>5398</v>
      </c>
      <c r="B870" s="19" t="s">
        <v>5399</v>
      </c>
      <c r="C870" s="19" t="s">
        <v>5400</v>
      </c>
    </row>
    <row r="871" spans="1:3" x14ac:dyDescent="0.25">
      <c r="A871" s="19" t="s">
        <v>5404</v>
      </c>
      <c r="B871" s="19"/>
      <c r="C871" s="19" t="s">
        <v>5405</v>
      </c>
    </row>
    <row r="872" spans="1:3" x14ac:dyDescent="0.25">
      <c r="A872" s="19" t="s">
        <v>5409</v>
      </c>
      <c r="B872" s="19" t="s">
        <v>5410</v>
      </c>
      <c r="C872" s="19" t="s">
        <v>5411</v>
      </c>
    </row>
    <row r="873" spans="1:3" x14ac:dyDescent="0.25">
      <c r="A873" s="19" t="s">
        <v>5415</v>
      </c>
      <c r="B873" s="19" t="s">
        <v>5416</v>
      </c>
      <c r="C873" s="19" t="s">
        <v>5417</v>
      </c>
    </row>
    <row r="874" spans="1:3" x14ac:dyDescent="0.25">
      <c r="A874" s="19" t="s">
        <v>5423</v>
      </c>
      <c r="B874" s="19" t="s">
        <v>5424</v>
      </c>
      <c r="C874" s="19" t="s">
        <v>5425</v>
      </c>
    </row>
    <row r="875" spans="1:3" x14ac:dyDescent="0.25">
      <c r="A875" s="19" t="s">
        <v>5429</v>
      </c>
      <c r="B875" s="19" t="s">
        <v>5430</v>
      </c>
      <c r="C875" s="19" t="s">
        <v>5431</v>
      </c>
    </row>
    <row r="876" spans="1:3" x14ac:dyDescent="0.25">
      <c r="A876" s="19" t="s">
        <v>5435</v>
      </c>
      <c r="B876" s="19" t="s">
        <v>5436</v>
      </c>
      <c r="C876" s="19" t="s">
        <v>5437</v>
      </c>
    </row>
    <row r="877" spans="1:3" x14ac:dyDescent="0.25">
      <c r="A877" s="19" t="s">
        <v>5441</v>
      </c>
      <c r="B877" s="19" t="s">
        <v>5442</v>
      </c>
      <c r="C877" s="19" t="s">
        <v>5443</v>
      </c>
    </row>
    <row r="878" spans="1:3" x14ac:dyDescent="0.25">
      <c r="A878" s="19" t="s">
        <v>5446</v>
      </c>
      <c r="B878" s="19" t="s">
        <v>5447</v>
      </c>
      <c r="C878" s="19" t="s">
        <v>5448</v>
      </c>
    </row>
    <row r="879" spans="1:3" x14ac:dyDescent="0.25">
      <c r="A879" s="19" t="s">
        <v>5452</v>
      </c>
      <c r="B879" s="19" t="s">
        <v>5453</v>
      </c>
      <c r="C879" s="19" t="s">
        <v>5454</v>
      </c>
    </row>
    <row r="880" spans="1:3" x14ac:dyDescent="0.25">
      <c r="A880" s="19" t="s">
        <v>5458</v>
      </c>
      <c r="B880" s="19"/>
      <c r="C880" s="19" t="s">
        <v>5459</v>
      </c>
    </row>
    <row r="881" spans="1:3" x14ac:dyDescent="0.25">
      <c r="A881" s="19" t="s">
        <v>5463</v>
      </c>
      <c r="B881" s="19"/>
      <c r="C881" s="19" t="s">
        <v>5464</v>
      </c>
    </row>
    <row r="882" spans="1:3" x14ac:dyDescent="0.25">
      <c r="A882" s="19" t="s">
        <v>5468</v>
      </c>
      <c r="B882" s="19" t="s">
        <v>5469</v>
      </c>
      <c r="C882" s="19" t="s">
        <v>5470</v>
      </c>
    </row>
    <row r="883" spans="1:3" x14ac:dyDescent="0.25">
      <c r="A883" s="19" t="s">
        <v>5474</v>
      </c>
      <c r="B883" s="19"/>
      <c r="C883" s="19" t="s">
        <v>5475</v>
      </c>
    </row>
    <row r="884" spans="1:3" x14ac:dyDescent="0.25">
      <c r="A884" s="19" t="s">
        <v>5479</v>
      </c>
      <c r="B884" s="19" t="s">
        <v>5480</v>
      </c>
      <c r="C884" s="19" t="s">
        <v>5481</v>
      </c>
    </row>
    <row r="885" spans="1:3" x14ac:dyDescent="0.25">
      <c r="A885" s="19" t="s">
        <v>5485</v>
      </c>
      <c r="B885" s="19" t="s">
        <v>5486</v>
      </c>
      <c r="C885" s="19" t="s">
        <v>5487</v>
      </c>
    </row>
    <row r="886" spans="1:3" x14ac:dyDescent="0.25">
      <c r="A886" s="19" t="s">
        <v>5491</v>
      </c>
      <c r="B886" s="19" t="s">
        <v>5492</v>
      </c>
      <c r="C886" s="19" t="s">
        <v>5493</v>
      </c>
    </row>
    <row r="887" spans="1:3" x14ac:dyDescent="0.25">
      <c r="A887" s="19" t="s">
        <v>5497</v>
      </c>
      <c r="B887" s="19" t="s">
        <v>5498</v>
      </c>
      <c r="C887" s="19" t="s">
        <v>5499</v>
      </c>
    </row>
    <row r="888" spans="1:3" x14ac:dyDescent="0.25">
      <c r="A888" s="19" t="s">
        <v>5503</v>
      </c>
      <c r="B888" s="19" t="s">
        <v>5504</v>
      </c>
      <c r="C888" s="19" t="s">
        <v>5505</v>
      </c>
    </row>
    <row r="889" spans="1:3" x14ac:dyDescent="0.25">
      <c r="A889" s="19" t="s">
        <v>5509</v>
      </c>
      <c r="B889" s="19" t="s">
        <v>5510</v>
      </c>
      <c r="C889" s="19" t="s">
        <v>5511</v>
      </c>
    </row>
    <row r="890" spans="1:3" x14ac:dyDescent="0.25">
      <c r="A890" s="19" t="s">
        <v>5515</v>
      </c>
      <c r="B890" s="19" t="s">
        <v>5516</v>
      </c>
      <c r="C890" s="19" t="s">
        <v>5517</v>
      </c>
    </row>
    <row r="891" spans="1:3" x14ac:dyDescent="0.25">
      <c r="A891" s="19" t="s">
        <v>5521</v>
      </c>
      <c r="B891" s="19" t="s">
        <v>5522</v>
      </c>
      <c r="C891" s="19" t="s">
        <v>5523</v>
      </c>
    </row>
    <row r="892" spans="1:3" x14ac:dyDescent="0.25">
      <c r="A892" s="19" t="s">
        <v>5527</v>
      </c>
      <c r="B892" s="19" t="s">
        <v>5528</v>
      </c>
      <c r="C892" s="19" t="s">
        <v>5529</v>
      </c>
    </row>
    <row r="893" spans="1:3" x14ac:dyDescent="0.25">
      <c r="A893" s="19" t="s">
        <v>5533</v>
      </c>
      <c r="B893" s="19" t="s">
        <v>5534</v>
      </c>
      <c r="C893" s="19" t="s">
        <v>5535</v>
      </c>
    </row>
    <row r="894" spans="1:3" x14ac:dyDescent="0.25">
      <c r="A894" s="19" t="s">
        <v>5539</v>
      </c>
      <c r="B894" s="19" t="s">
        <v>5540</v>
      </c>
      <c r="C894" s="19" t="s">
        <v>5541</v>
      </c>
    </row>
    <row r="895" spans="1:3" x14ac:dyDescent="0.25">
      <c r="A895" s="19" t="s">
        <v>5545</v>
      </c>
      <c r="B895" s="19" t="s">
        <v>5546</v>
      </c>
      <c r="C895" s="19"/>
    </row>
    <row r="896" spans="1:3" x14ac:dyDescent="0.25">
      <c r="A896" s="19" t="s">
        <v>5550</v>
      </c>
      <c r="B896" s="19"/>
      <c r="C896" s="19" t="s">
        <v>5551</v>
      </c>
    </row>
    <row r="897" spans="1:3" x14ac:dyDescent="0.25">
      <c r="A897" s="19" t="s">
        <v>5555</v>
      </c>
      <c r="B897" s="19"/>
      <c r="C897" s="19" t="s">
        <v>5556</v>
      </c>
    </row>
    <row r="898" spans="1:3" x14ac:dyDescent="0.25">
      <c r="A898" s="19" t="s">
        <v>5560</v>
      </c>
      <c r="B898" s="19" t="s">
        <v>5561</v>
      </c>
      <c r="C898" s="19" t="s">
        <v>5562</v>
      </c>
    </row>
    <row r="899" spans="1:3" x14ac:dyDescent="0.25">
      <c r="A899" s="19" t="s">
        <v>5566</v>
      </c>
      <c r="B899" s="19" t="s">
        <v>5567</v>
      </c>
      <c r="C899" s="19" t="s">
        <v>5568</v>
      </c>
    </row>
    <row r="900" spans="1:3" x14ac:dyDescent="0.25">
      <c r="A900" s="19" t="s">
        <v>5572</v>
      </c>
      <c r="B900" s="19"/>
      <c r="C900" s="19" t="s">
        <v>5573</v>
      </c>
    </row>
    <row r="901" spans="1:3" x14ac:dyDescent="0.25">
      <c r="A901" s="19" t="s">
        <v>5577</v>
      </c>
      <c r="B901" s="19" t="s">
        <v>5578</v>
      </c>
      <c r="C901" s="19"/>
    </row>
    <row r="902" spans="1:3" x14ac:dyDescent="0.25">
      <c r="A902" s="19" t="s">
        <v>5582</v>
      </c>
      <c r="B902" s="19"/>
      <c r="C902" s="19" t="s">
        <v>5583</v>
      </c>
    </row>
    <row r="903" spans="1:3" x14ac:dyDescent="0.25">
      <c r="A903" s="19" t="s">
        <v>5587</v>
      </c>
      <c r="B903" s="19" t="s">
        <v>5588</v>
      </c>
      <c r="C903" s="19" t="s">
        <v>5589</v>
      </c>
    </row>
    <row r="904" spans="1:3" x14ac:dyDescent="0.25">
      <c r="A904" s="19" t="s">
        <v>5593</v>
      </c>
      <c r="B904" s="19" t="s">
        <v>5594</v>
      </c>
      <c r="C904" s="19" t="s">
        <v>5595</v>
      </c>
    </row>
    <row r="905" spans="1:3" x14ac:dyDescent="0.25">
      <c r="A905" s="19" t="s">
        <v>5599</v>
      </c>
      <c r="B905" s="19" t="s">
        <v>5600</v>
      </c>
      <c r="C905" s="19" t="s">
        <v>5601</v>
      </c>
    </row>
    <row r="906" spans="1:3" x14ac:dyDescent="0.25">
      <c r="A906" s="19" t="s">
        <v>5605</v>
      </c>
      <c r="B906" s="19" t="s">
        <v>5606</v>
      </c>
      <c r="C906" s="19" t="s">
        <v>5607</v>
      </c>
    </row>
    <row r="907" spans="1:3" x14ac:dyDescent="0.25">
      <c r="A907" s="19" t="s">
        <v>5611</v>
      </c>
      <c r="B907" s="19"/>
      <c r="C907" s="19" t="s">
        <v>5612</v>
      </c>
    </row>
    <row r="908" spans="1:3" x14ac:dyDescent="0.25">
      <c r="A908" s="19" t="s">
        <v>5616</v>
      </c>
      <c r="B908" s="19" t="s">
        <v>5617</v>
      </c>
      <c r="C908" s="19" t="s">
        <v>5618</v>
      </c>
    </row>
    <row r="909" spans="1:3" x14ac:dyDescent="0.25">
      <c r="A909" s="19" t="s">
        <v>5622</v>
      </c>
      <c r="B909" s="19" t="s">
        <v>5623</v>
      </c>
      <c r="C909" s="19" t="s">
        <v>5624</v>
      </c>
    </row>
    <row r="910" spans="1:3" x14ac:dyDescent="0.25">
      <c r="A910" s="19" t="s">
        <v>5628</v>
      </c>
      <c r="B910" s="19" t="s">
        <v>5629</v>
      </c>
      <c r="C910" s="19" t="s">
        <v>5630</v>
      </c>
    </row>
    <row r="911" spans="1:3" x14ac:dyDescent="0.25">
      <c r="A911" s="19" t="s">
        <v>5634</v>
      </c>
      <c r="B911" s="19"/>
      <c r="C911" s="19" t="s">
        <v>5635</v>
      </c>
    </row>
    <row r="912" spans="1:3" x14ac:dyDescent="0.25">
      <c r="A912" s="19" t="s">
        <v>5639</v>
      </c>
      <c r="B912" s="19" t="s">
        <v>5640</v>
      </c>
      <c r="C912" s="19" t="s">
        <v>5641</v>
      </c>
    </row>
    <row r="913" spans="1:3" x14ac:dyDescent="0.25">
      <c r="A913" s="19" t="s">
        <v>5645</v>
      </c>
      <c r="B913" s="19" t="s">
        <v>5646</v>
      </c>
      <c r="C913" s="19" t="s">
        <v>5647</v>
      </c>
    </row>
    <row r="914" spans="1:3" x14ac:dyDescent="0.25">
      <c r="A914" s="19" t="s">
        <v>5651</v>
      </c>
      <c r="B914" s="19"/>
      <c r="C914" s="19" t="s">
        <v>5652</v>
      </c>
    </row>
    <row r="915" spans="1:3" x14ac:dyDescent="0.25">
      <c r="A915" s="19" t="s">
        <v>5656</v>
      </c>
      <c r="B915" s="19" t="s">
        <v>5657</v>
      </c>
      <c r="C915" s="19" t="s">
        <v>5658</v>
      </c>
    </row>
    <row r="916" spans="1:3" x14ac:dyDescent="0.25">
      <c r="A916" s="19" t="s">
        <v>5662</v>
      </c>
      <c r="B916" s="19" t="s">
        <v>5663</v>
      </c>
      <c r="C916" s="19" t="s">
        <v>5664</v>
      </c>
    </row>
    <row r="917" spans="1:3" x14ac:dyDescent="0.25">
      <c r="A917" s="19" t="s">
        <v>5668</v>
      </c>
      <c r="B917" s="19" t="s">
        <v>5669</v>
      </c>
      <c r="C917" s="19" t="s">
        <v>5670</v>
      </c>
    </row>
    <row r="918" spans="1:3" x14ac:dyDescent="0.25">
      <c r="A918" s="19" t="s">
        <v>5674</v>
      </c>
      <c r="B918" s="19"/>
      <c r="C918" s="19"/>
    </row>
    <row r="919" spans="1:3" x14ac:dyDescent="0.25">
      <c r="A919" s="19" t="s">
        <v>5678</v>
      </c>
      <c r="B919" s="19" t="s">
        <v>5679</v>
      </c>
      <c r="C919" s="19" t="s">
        <v>5680</v>
      </c>
    </row>
    <row r="920" spans="1:3" x14ac:dyDescent="0.25">
      <c r="A920" s="19" t="s">
        <v>5683</v>
      </c>
      <c r="B920" s="19" t="s">
        <v>5684</v>
      </c>
      <c r="C920" s="19" t="s">
        <v>5685</v>
      </c>
    </row>
    <row r="921" spans="1:3" x14ac:dyDescent="0.25">
      <c r="A921" s="19" t="s">
        <v>5689</v>
      </c>
      <c r="B921" s="19" t="s">
        <v>5690</v>
      </c>
      <c r="C921" s="19" t="s">
        <v>5691</v>
      </c>
    </row>
    <row r="922" spans="1:3" x14ac:dyDescent="0.25">
      <c r="A922" s="19" t="s">
        <v>5695</v>
      </c>
      <c r="B922" s="19" t="s">
        <v>5696</v>
      </c>
      <c r="C922" s="19" t="s">
        <v>5697</v>
      </c>
    </row>
    <row r="923" spans="1:3" x14ac:dyDescent="0.25">
      <c r="A923" s="19" t="s">
        <v>5701</v>
      </c>
      <c r="B923" s="19" t="s">
        <v>5702</v>
      </c>
      <c r="C923" s="19" t="s">
        <v>5703</v>
      </c>
    </row>
    <row r="924" spans="1:3" x14ac:dyDescent="0.25">
      <c r="A924" s="19" t="s">
        <v>5707</v>
      </c>
      <c r="B924" s="19"/>
      <c r="C924" s="19"/>
    </row>
    <row r="925" spans="1:3" x14ac:dyDescent="0.25">
      <c r="A925" s="19" t="s">
        <v>5711</v>
      </c>
      <c r="B925" s="19" t="s">
        <v>5712</v>
      </c>
      <c r="C925" s="19" t="s">
        <v>5713</v>
      </c>
    </row>
    <row r="926" spans="1:3" x14ac:dyDescent="0.25">
      <c r="A926" s="19" t="s">
        <v>5717</v>
      </c>
      <c r="B926" s="19" t="s">
        <v>5718</v>
      </c>
      <c r="C926" s="19"/>
    </row>
    <row r="927" spans="1:3" x14ac:dyDescent="0.25">
      <c r="A927" s="19" t="s">
        <v>5722</v>
      </c>
      <c r="B927" s="19"/>
      <c r="C927" s="19" t="s">
        <v>5723</v>
      </c>
    </row>
    <row r="928" spans="1:3" x14ac:dyDescent="0.25">
      <c r="A928" s="19" t="s">
        <v>5727</v>
      </c>
      <c r="B928" s="19" t="s">
        <v>5728</v>
      </c>
      <c r="C928" s="19" t="s">
        <v>5729</v>
      </c>
    </row>
    <row r="929" spans="1:3" x14ac:dyDescent="0.25">
      <c r="A929" s="19" t="s">
        <v>5733</v>
      </c>
      <c r="B929" s="19" t="s">
        <v>5734</v>
      </c>
      <c r="C929" s="19" t="s">
        <v>5735</v>
      </c>
    </row>
    <row r="930" spans="1:3" x14ac:dyDescent="0.25">
      <c r="A930" s="19" t="s">
        <v>5739</v>
      </c>
      <c r="B930" s="19" t="s">
        <v>5740</v>
      </c>
      <c r="C930" s="19"/>
    </row>
    <row r="931" spans="1:3" x14ac:dyDescent="0.25">
      <c r="A931" s="19" t="s">
        <v>5744</v>
      </c>
      <c r="B931" s="19" t="s">
        <v>5745</v>
      </c>
      <c r="C931" s="19" t="s">
        <v>5746</v>
      </c>
    </row>
    <row r="932" spans="1:3" x14ac:dyDescent="0.25">
      <c r="A932" s="19" t="s">
        <v>5750</v>
      </c>
      <c r="B932" s="19" t="s">
        <v>5751</v>
      </c>
      <c r="C932" s="19"/>
    </row>
    <row r="933" spans="1:3" x14ac:dyDescent="0.25">
      <c r="A933" s="19" t="s">
        <v>5755</v>
      </c>
      <c r="B933" s="19"/>
      <c r="C933" s="19"/>
    </row>
    <row r="934" spans="1:3" x14ac:dyDescent="0.25">
      <c r="A934" s="19" t="s">
        <v>5759</v>
      </c>
      <c r="B934" s="19" t="s">
        <v>5760</v>
      </c>
      <c r="C934" s="19" t="s">
        <v>5761</v>
      </c>
    </row>
    <row r="935" spans="1:3" x14ac:dyDescent="0.25">
      <c r="A935" s="19" t="s">
        <v>5765</v>
      </c>
      <c r="B935" s="19"/>
      <c r="C935" s="19" t="s">
        <v>5766</v>
      </c>
    </row>
    <row r="936" spans="1:3" x14ac:dyDescent="0.25">
      <c r="A936" s="19" t="s">
        <v>5770</v>
      </c>
      <c r="B936" s="19" t="s">
        <v>5771</v>
      </c>
      <c r="C936" s="19" t="s">
        <v>5772</v>
      </c>
    </row>
    <row r="937" spans="1:3" x14ac:dyDescent="0.25">
      <c r="A937" s="19" t="s">
        <v>5776</v>
      </c>
      <c r="B937" s="19" t="s">
        <v>5777</v>
      </c>
      <c r="C937" s="19" t="s">
        <v>5778</v>
      </c>
    </row>
    <row r="938" spans="1:3" x14ac:dyDescent="0.25">
      <c r="A938" s="19" t="s">
        <v>5782</v>
      </c>
      <c r="B938" s="19" t="s">
        <v>5783</v>
      </c>
      <c r="C938" s="19" t="s">
        <v>5784</v>
      </c>
    </row>
    <row r="939" spans="1:3" x14ac:dyDescent="0.25">
      <c r="A939" s="19" t="s">
        <v>5787</v>
      </c>
      <c r="B939" s="19" t="s">
        <v>5788</v>
      </c>
      <c r="C939" s="19" t="s">
        <v>5789</v>
      </c>
    </row>
    <row r="940" spans="1:3" x14ac:dyDescent="0.25">
      <c r="A940" s="19" t="s">
        <v>5793</v>
      </c>
      <c r="B940" s="19" t="s">
        <v>5794</v>
      </c>
      <c r="C940" s="19" t="s">
        <v>5795</v>
      </c>
    </row>
    <row r="941" spans="1:3" x14ac:dyDescent="0.25">
      <c r="A941" s="19" t="s">
        <v>5799</v>
      </c>
      <c r="B941" s="19" t="s">
        <v>5800</v>
      </c>
      <c r="C941" s="19" t="s">
        <v>5801</v>
      </c>
    </row>
    <row r="942" spans="1:3" x14ac:dyDescent="0.25">
      <c r="A942" s="19" t="s">
        <v>5805</v>
      </c>
      <c r="B942" s="19" t="s">
        <v>5806</v>
      </c>
      <c r="C942" s="19" t="s">
        <v>5807</v>
      </c>
    </row>
    <row r="943" spans="1:3" x14ac:dyDescent="0.25">
      <c r="A943" s="19" t="s">
        <v>5811</v>
      </c>
      <c r="B943" s="19" t="s">
        <v>5812</v>
      </c>
      <c r="C943" s="19" t="s">
        <v>5813</v>
      </c>
    </row>
    <row r="944" spans="1:3" x14ac:dyDescent="0.25">
      <c r="A944" s="19" t="s">
        <v>5818</v>
      </c>
      <c r="B944" s="19" t="s">
        <v>5819</v>
      </c>
      <c r="C944" s="19" t="s">
        <v>5820</v>
      </c>
    </row>
    <row r="945" spans="1:3" x14ac:dyDescent="0.25">
      <c r="A945" s="19" t="s">
        <v>5824</v>
      </c>
      <c r="B945" s="19" t="s">
        <v>5825</v>
      </c>
      <c r="C945" s="19" t="s">
        <v>5826</v>
      </c>
    </row>
    <row r="946" spans="1:3" x14ac:dyDescent="0.25">
      <c r="A946" s="19" t="s">
        <v>5830</v>
      </c>
      <c r="B946" s="19" t="s">
        <v>5831</v>
      </c>
      <c r="C946" s="19" t="s">
        <v>5832</v>
      </c>
    </row>
    <row r="947" spans="1:3" x14ac:dyDescent="0.25">
      <c r="A947" s="19" t="s">
        <v>5836</v>
      </c>
      <c r="B947" s="19"/>
      <c r="C947" s="19" t="s">
        <v>5837</v>
      </c>
    </row>
    <row r="948" spans="1:3" x14ac:dyDescent="0.25">
      <c r="A948" s="19" t="s">
        <v>5841</v>
      </c>
      <c r="B948" s="19"/>
      <c r="C948" s="19" t="s">
        <v>5842</v>
      </c>
    </row>
    <row r="949" spans="1:3" x14ac:dyDescent="0.25">
      <c r="A949" s="19" t="s">
        <v>5846</v>
      </c>
      <c r="B949" s="19" t="s">
        <v>5847</v>
      </c>
      <c r="C949" s="19"/>
    </row>
    <row r="950" spans="1:3" x14ac:dyDescent="0.25">
      <c r="A950" s="19" t="s">
        <v>5851</v>
      </c>
      <c r="B950" s="19" t="s">
        <v>5852</v>
      </c>
      <c r="C950" s="19" t="s">
        <v>5853</v>
      </c>
    </row>
    <row r="951" spans="1:3" x14ac:dyDescent="0.25">
      <c r="A951" s="19" t="s">
        <v>5857</v>
      </c>
      <c r="B951" s="19" t="s">
        <v>5858</v>
      </c>
      <c r="C951" s="19" t="s">
        <v>5859</v>
      </c>
    </row>
    <row r="952" spans="1:3" x14ac:dyDescent="0.25">
      <c r="A952" s="19" t="s">
        <v>5863</v>
      </c>
      <c r="B952" s="19"/>
      <c r="C952" s="19" t="s">
        <v>5864</v>
      </c>
    </row>
    <row r="953" spans="1:3" x14ac:dyDescent="0.25">
      <c r="A953" s="19" t="s">
        <v>5868</v>
      </c>
      <c r="B953" s="19" t="s">
        <v>5869</v>
      </c>
      <c r="C953" s="19" t="s">
        <v>5870</v>
      </c>
    </row>
    <row r="954" spans="1:3" x14ac:dyDescent="0.25">
      <c r="A954" s="19" t="s">
        <v>5874</v>
      </c>
      <c r="B954" s="19" t="s">
        <v>5875</v>
      </c>
      <c r="C954" s="19" t="s">
        <v>5876</v>
      </c>
    </row>
    <row r="955" spans="1:3" x14ac:dyDescent="0.25">
      <c r="A955" s="19" t="s">
        <v>5880</v>
      </c>
      <c r="B955" s="19" t="s">
        <v>5881</v>
      </c>
      <c r="C955" s="19" t="s">
        <v>5882</v>
      </c>
    </row>
    <row r="956" spans="1:3" x14ac:dyDescent="0.25">
      <c r="A956" s="19" t="s">
        <v>5886</v>
      </c>
      <c r="B956" s="19" t="s">
        <v>5887</v>
      </c>
      <c r="C956" s="19" t="s">
        <v>5888</v>
      </c>
    </row>
    <row r="957" spans="1:3" x14ac:dyDescent="0.25">
      <c r="A957" s="19" t="s">
        <v>5892</v>
      </c>
      <c r="B957" s="19" t="s">
        <v>5893</v>
      </c>
      <c r="C957" s="19" t="s">
        <v>5894</v>
      </c>
    </row>
    <row r="958" spans="1:3" x14ac:dyDescent="0.25">
      <c r="A958" s="19" t="s">
        <v>5897</v>
      </c>
      <c r="B958" s="19" t="s">
        <v>5898</v>
      </c>
      <c r="C958" s="19" t="s">
        <v>5899</v>
      </c>
    </row>
    <row r="959" spans="1:3" x14ac:dyDescent="0.25">
      <c r="A959" s="19" t="s">
        <v>5902</v>
      </c>
      <c r="B959" s="19" t="s">
        <v>5903</v>
      </c>
      <c r="C959" s="19" t="s">
        <v>5904</v>
      </c>
    </row>
    <row r="960" spans="1:3" x14ac:dyDescent="0.25">
      <c r="A960" s="19" t="s">
        <v>5907</v>
      </c>
      <c r="B960" s="19" t="s">
        <v>5908</v>
      </c>
      <c r="C960" s="19"/>
    </row>
    <row r="961" spans="1:3" x14ac:dyDescent="0.25">
      <c r="A961" s="19" t="s">
        <v>5912</v>
      </c>
      <c r="B961" s="19" t="s">
        <v>5913</v>
      </c>
      <c r="C961" s="19"/>
    </row>
    <row r="962" spans="1:3" x14ac:dyDescent="0.25">
      <c r="A962" s="19" t="s">
        <v>5917</v>
      </c>
      <c r="B962" s="19" t="s">
        <v>5918</v>
      </c>
      <c r="C962" s="19" t="s">
        <v>5919</v>
      </c>
    </row>
    <row r="963" spans="1:3" x14ac:dyDescent="0.25">
      <c r="A963" s="19" t="s">
        <v>5923</v>
      </c>
      <c r="B963" s="19"/>
      <c r="C963" s="19" t="s">
        <v>5924</v>
      </c>
    </row>
    <row r="964" spans="1:3" x14ac:dyDescent="0.25">
      <c r="A964" s="19" t="s">
        <v>5928</v>
      </c>
      <c r="B964" s="19" t="s">
        <v>5929</v>
      </c>
      <c r="C964" s="19" t="s">
        <v>5930</v>
      </c>
    </row>
    <row r="965" spans="1:3" x14ac:dyDescent="0.25">
      <c r="A965" s="19" t="s">
        <v>5934</v>
      </c>
      <c r="B965" s="19" t="s">
        <v>5935</v>
      </c>
      <c r="C965" s="19" t="s">
        <v>5936</v>
      </c>
    </row>
    <row r="966" spans="1:3" x14ac:dyDescent="0.25">
      <c r="A966" s="19" t="s">
        <v>5940</v>
      </c>
      <c r="B966" s="19" t="s">
        <v>5941</v>
      </c>
      <c r="C966" s="19" t="s">
        <v>5942</v>
      </c>
    </row>
    <row r="967" spans="1:3" x14ac:dyDescent="0.25">
      <c r="A967" s="19" t="s">
        <v>5946</v>
      </c>
      <c r="B967" s="19" t="s">
        <v>5947</v>
      </c>
      <c r="C967" s="19"/>
    </row>
    <row r="968" spans="1:3" x14ac:dyDescent="0.25">
      <c r="A968" s="19" t="s">
        <v>5951</v>
      </c>
      <c r="B968" s="19" t="s">
        <v>5952</v>
      </c>
      <c r="C968" s="19" t="s">
        <v>5953</v>
      </c>
    </row>
    <row r="969" spans="1:3" x14ac:dyDescent="0.25">
      <c r="A969" s="19" t="s">
        <v>5957</v>
      </c>
      <c r="B969" s="19" t="s">
        <v>5958</v>
      </c>
      <c r="C969" s="19" t="s">
        <v>5959</v>
      </c>
    </row>
    <row r="970" spans="1:3" x14ac:dyDescent="0.25">
      <c r="A970" s="19" t="s">
        <v>5963</v>
      </c>
      <c r="B970" s="19" t="s">
        <v>5964</v>
      </c>
      <c r="C970" s="19" t="s">
        <v>5965</v>
      </c>
    </row>
    <row r="971" spans="1:3" x14ac:dyDescent="0.25">
      <c r="A971" s="19" t="s">
        <v>5969</v>
      </c>
      <c r="B971" s="19" t="s">
        <v>5970</v>
      </c>
      <c r="C971" s="19" t="s">
        <v>5971</v>
      </c>
    </row>
    <row r="972" spans="1:3" x14ac:dyDescent="0.25">
      <c r="A972" s="19" t="s">
        <v>5975</v>
      </c>
      <c r="B972" s="19"/>
      <c r="C972" s="19" t="s">
        <v>5976</v>
      </c>
    </row>
    <row r="973" spans="1:3" x14ac:dyDescent="0.25">
      <c r="A973" s="19" t="s">
        <v>5980</v>
      </c>
      <c r="B973" s="19" t="s">
        <v>5981</v>
      </c>
      <c r="C973" s="19" t="s">
        <v>5982</v>
      </c>
    </row>
    <row r="974" spans="1:3" x14ac:dyDescent="0.25">
      <c r="A974" s="19" t="s">
        <v>5986</v>
      </c>
      <c r="B974" s="19"/>
      <c r="C974" s="19" t="s">
        <v>5987</v>
      </c>
    </row>
    <row r="975" spans="1:3" x14ac:dyDescent="0.25">
      <c r="A975" s="19" t="s">
        <v>5991</v>
      </c>
      <c r="B975" s="19" t="s">
        <v>5992</v>
      </c>
      <c r="C975" s="19" t="s">
        <v>5993</v>
      </c>
    </row>
    <row r="976" spans="1:3" x14ac:dyDescent="0.25">
      <c r="A976" s="19" t="s">
        <v>5997</v>
      </c>
      <c r="B976" s="19" t="s">
        <v>5998</v>
      </c>
      <c r="C976" s="19" t="s">
        <v>5999</v>
      </c>
    </row>
    <row r="977" spans="1:3" x14ac:dyDescent="0.25">
      <c r="A977" s="19" t="s">
        <v>6003</v>
      </c>
      <c r="B977" s="19" t="s">
        <v>6004</v>
      </c>
      <c r="C977" s="19" t="s">
        <v>6005</v>
      </c>
    </row>
    <row r="978" spans="1:3" x14ac:dyDescent="0.25">
      <c r="A978" s="19" t="s">
        <v>6009</v>
      </c>
      <c r="B978" s="19" t="s">
        <v>6010</v>
      </c>
      <c r="C978" s="19" t="s">
        <v>6011</v>
      </c>
    </row>
    <row r="979" spans="1:3" x14ac:dyDescent="0.25">
      <c r="A979" s="19" t="s">
        <v>6015</v>
      </c>
      <c r="B979" s="19" t="s">
        <v>6016</v>
      </c>
      <c r="C979" s="19" t="s">
        <v>6017</v>
      </c>
    </row>
    <row r="980" spans="1:3" x14ac:dyDescent="0.25">
      <c r="A980" s="19" t="s">
        <v>6021</v>
      </c>
      <c r="B980" s="19" t="s">
        <v>6022</v>
      </c>
      <c r="C980" s="19" t="s">
        <v>6023</v>
      </c>
    </row>
    <row r="981" spans="1:3" x14ac:dyDescent="0.25">
      <c r="A981" s="19" t="s">
        <v>6027</v>
      </c>
      <c r="B981" s="19"/>
      <c r="C981" s="19" t="s">
        <v>6028</v>
      </c>
    </row>
    <row r="982" spans="1:3" x14ac:dyDescent="0.25">
      <c r="A982" s="19" t="s">
        <v>6032</v>
      </c>
      <c r="B982" s="19"/>
      <c r="C982" s="19" t="s">
        <v>6033</v>
      </c>
    </row>
    <row r="983" spans="1:3" x14ac:dyDescent="0.25">
      <c r="A983" s="19" t="s">
        <v>6037</v>
      </c>
      <c r="B983" s="19" t="s">
        <v>6038</v>
      </c>
      <c r="C983" s="19" t="s">
        <v>6039</v>
      </c>
    </row>
    <row r="984" spans="1:3" x14ac:dyDescent="0.25">
      <c r="A984" s="19" t="s">
        <v>6043</v>
      </c>
      <c r="B984" s="19" t="s">
        <v>6044</v>
      </c>
      <c r="C984" s="19" t="s">
        <v>6045</v>
      </c>
    </row>
    <row r="985" spans="1:3" x14ac:dyDescent="0.25">
      <c r="A985" s="19" t="s">
        <v>6049</v>
      </c>
      <c r="B985" s="19" t="s">
        <v>6050</v>
      </c>
      <c r="C985" s="19" t="s">
        <v>6051</v>
      </c>
    </row>
    <row r="986" spans="1:3" x14ac:dyDescent="0.25">
      <c r="A986" s="19" t="s">
        <v>6055</v>
      </c>
      <c r="B986" s="19" t="s">
        <v>6056</v>
      </c>
      <c r="C986" s="19"/>
    </row>
    <row r="987" spans="1:3" x14ac:dyDescent="0.25">
      <c r="A987" s="19" t="s">
        <v>6060</v>
      </c>
      <c r="B987" s="19" t="s">
        <v>6061</v>
      </c>
      <c r="C987" s="19" t="s">
        <v>6062</v>
      </c>
    </row>
    <row r="988" spans="1:3" x14ac:dyDescent="0.25">
      <c r="A988" s="19" t="s">
        <v>6066</v>
      </c>
      <c r="B988" s="19" t="s">
        <v>6067</v>
      </c>
      <c r="C988" s="19" t="s">
        <v>6068</v>
      </c>
    </row>
    <row r="989" spans="1:3" x14ac:dyDescent="0.25">
      <c r="A989" s="19" t="s">
        <v>6072</v>
      </c>
      <c r="B989" s="19" t="s">
        <v>6073</v>
      </c>
      <c r="C989" s="19" t="s">
        <v>6074</v>
      </c>
    </row>
    <row r="990" spans="1:3" x14ac:dyDescent="0.25">
      <c r="A990" s="19" t="s">
        <v>6078</v>
      </c>
      <c r="B990" s="19"/>
      <c r="C990" s="19" t="s">
        <v>6079</v>
      </c>
    </row>
    <row r="991" spans="1:3" x14ac:dyDescent="0.25">
      <c r="A991" s="19" t="s">
        <v>6083</v>
      </c>
      <c r="B991" s="19"/>
      <c r="C991" s="19" t="s">
        <v>6084</v>
      </c>
    </row>
    <row r="992" spans="1:3" x14ac:dyDescent="0.25">
      <c r="A992" s="19" t="s">
        <v>6088</v>
      </c>
      <c r="B992" s="19" t="s">
        <v>6089</v>
      </c>
      <c r="C992" s="19" t="s">
        <v>6090</v>
      </c>
    </row>
    <row r="993" spans="1:3" x14ac:dyDescent="0.25">
      <c r="A993" s="19" t="s">
        <v>6093</v>
      </c>
      <c r="B993" s="19"/>
      <c r="C993" s="19" t="s">
        <v>6094</v>
      </c>
    </row>
    <row r="994" spans="1:3" x14ac:dyDescent="0.25">
      <c r="A994" s="19" t="s">
        <v>6098</v>
      </c>
      <c r="B994" s="19"/>
      <c r="C994" s="19" t="s">
        <v>6099</v>
      </c>
    </row>
    <row r="995" spans="1:3" x14ac:dyDescent="0.25">
      <c r="A995" s="19" t="s">
        <v>6103</v>
      </c>
      <c r="B995" s="19"/>
      <c r="C995" s="19" t="s">
        <v>6104</v>
      </c>
    </row>
    <row r="996" spans="1:3" x14ac:dyDescent="0.25">
      <c r="A996" s="19" t="s">
        <v>6108</v>
      </c>
      <c r="B996" s="19"/>
      <c r="C996" s="19" t="s">
        <v>6109</v>
      </c>
    </row>
    <row r="997" spans="1:3" x14ac:dyDescent="0.25">
      <c r="A997" s="19" t="s">
        <v>6113</v>
      </c>
      <c r="B997" s="19" t="s">
        <v>6114</v>
      </c>
      <c r="C997" s="19" t="s">
        <v>6115</v>
      </c>
    </row>
    <row r="998" spans="1:3" x14ac:dyDescent="0.25">
      <c r="A998" s="19" t="s">
        <v>6119</v>
      </c>
      <c r="B998" s="19"/>
      <c r="C998" s="19" t="s">
        <v>6120</v>
      </c>
    </row>
    <row r="999" spans="1:3" x14ac:dyDescent="0.25">
      <c r="A999" s="19" t="s">
        <v>6124</v>
      </c>
      <c r="B999" s="19"/>
      <c r="C999" s="19" t="s">
        <v>6125</v>
      </c>
    </row>
    <row r="1000" spans="1:3" x14ac:dyDescent="0.25">
      <c r="A1000" s="19" t="s">
        <v>6129</v>
      </c>
      <c r="B1000" s="19" t="s">
        <v>6130</v>
      </c>
      <c r="C1000" s="19" t="s">
        <v>6131</v>
      </c>
    </row>
    <row r="1001" spans="1:3" x14ac:dyDescent="0.25">
      <c r="A1001" s="19" t="s">
        <v>6135</v>
      </c>
      <c r="B1001" s="19"/>
      <c r="C1001" s="19" t="s">
        <v>6136</v>
      </c>
    </row>
  </sheetData>
  <dataValidations count="2">
    <dataValidation type="list" allowBlank="1" showInputMessage="1" showErrorMessage="1" sqref="E4:E7 E3:G3" xr:uid="{8EAFD8E2-A8FA-4820-B858-B96BB54F38F0}">
      <formula1>$I$4:$I$8</formula1>
    </dataValidation>
    <dataValidation type="list" allowBlank="1" showInputMessage="1" showErrorMessage="1" sqref="E8" xr:uid="{BE3BEC1B-122A-478A-AFA1-B6D80167CDCB}">
      <formula1>$AB$4:$AB$8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11CA8-012F-465A-9E29-68AB17275DD8}">
  <sheetPr>
    <tabColor rgb="FF92D050"/>
  </sheetPr>
  <dimension ref="A1"/>
  <sheetViews>
    <sheetView showGridLines="0" showRowColHeaders="0" workbookViewId="0">
      <selection activeCell="F20" sqref="F2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F3706-BFA0-446E-9A1D-0F109A257830}">
  <sheetPr>
    <tabColor theme="7" tint="-0.249977111117893"/>
  </sheetPr>
  <dimension ref="A1:W31"/>
  <sheetViews>
    <sheetView topLeftCell="A7" zoomScale="89" zoomScaleNormal="89" workbookViewId="0">
      <selection activeCell="F24" sqref="F24"/>
    </sheetView>
  </sheetViews>
  <sheetFormatPr defaultRowHeight="15" x14ac:dyDescent="0.25"/>
  <sheetData>
    <row r="1" spans="1:23" x14ac:dyDescent="0.25">
      <c r="A1" s="32"/>
      <c r="B1" s="31"/>
      <c r="C1" s="18"/>
      <c r="D1" s="18"/>
      <c r="E1" s="18"/>
      <c r="F1" s="18"/>
      <c r="G1" s="18"/>
      <c r="H1" s="18"/>
      <c r="I1" s="18"/>
      <c r="J1" s="18"/>
      <c r="K1" s="18"/>
      <c r="L1" s="18"/>
      <c r="M1" s="18"/>
      <c r="N1" s="18"/>
      <c r="O1" s="18"/>
      <c r="P1" s="18"/>
      <c r="Q1" s="18"/>
      <c r="R1" s="18"/>
      <c r="S1" s="18"/>
      <c r="T1" s="18"/>
      <c r="U1" s="18"/>
      <c r="V1" s="18"/>
      <c r="W1" s="32"/>
    </row>
    <row r="2" spans="1:23" x14ac:dyDescent="0.25">
      <c r="A2" s="36" t="s">
        <v>6240</v>
      </c>
      <c r="B2" s="31"/>
      <c r="C2" s="17"/>
      <c r="D2" s="37" t="s">
        <v>6239</v>
      </c>
      <c r="E2" s="16"/>
      <c r="F2" s="31"/>
      <c r="G2" s="31"/>
      <c r="H2" s="17"/>
      <c r="I2" s="35" t="s">
        <v>6246</v>
      </c>
      <c r="J2" s="16"/>
      <c r="K2" s="31"/>
      <c r="L2" s="31"/>
      <c r="M2" s="17"/>
      <c r="N2" s="18" t="s">
        <v>6238</v>
      </c>
      <c r="O2" s="18"/>
      <c r="P2" s="16"/>
      <c r="R2" s="17"/>
      <c r="S2" s="18" t="s">
        <v>6248</v>
      </c>
      <c r="T2" s="18"/>
      <c r="U2" s="16"/>
      <c r="V2" s="31"/>
      <c r="W2" s="36" t="s">
        <v>6240</v>
      </c>
    </row>
    <row r="3" spans="1:23" x14ac:dyDescent="0.25">
      <c r="A3" s="33"/>
      <c r="B3" s="31"/>
      <c r="C3" s="13"/>
      <c r="D3" s="12"/>
      <c r="E3" s="11"/>
      <c r="F3" s="31"/>
      <c r="G3" s="31"/>
      <c r="H3" s="13"/>
      <c r="I3" s="12"/>
      <c r="J3" s="11"/>
      <c r="K3" s="31"/>
      <c r="L3" s="31"/>
      <c r="M3" s="13"/>
      <c r="N3" s="12"/>
      <c r="O3" s="12"/>
      <c r="P3" s="11"/>
      <c r="R3" s="13"/>
      <c r="S3" s="12"/>
      <c r="T3" s="12"/>
      <c r="U3" s="11"/>
      <c r="V3" s="31"/>
      <c r="W3" s="33"/>
    </row>
    <row r="4" spans="1:23" x14ac:dyDescent="0.25">
      <c r="A4" s="34"/>
      <c r="B4" s="12"/>
      <c r="C4" s="12"/>
      <c r="D4" s="12"/>
      <c r="E4" s="12"/>
      <c r="F4" s="12"/>
      <c r="G4" s="12"/>
      <c r="H4" s="12"/>
      <c r="I4" s="12"/>
      <c r="J4" s="12"/>
      <c r="K4" s="12"/>
      <c r="L4" s="12"/>
      <c r="M4" s="12"/>
      <c r="N4" s="12"/>
      <c r="O4" s="12"/>
      <c r="P4" s="12"/>
      <c r="Q4" s="12"/>
      <c r="R4" s="12"/>
      <c r="S4" s="12"/>
      <c r="T4" s="12"/>
      <c r="U4" s="12"/>
      <c r="V4" s="12"/>
      <c r="W4" s="34"/>
    </row>
    <row r="8" spans="1:23" x14ac:dyDescent="0.25">
      <c r="A8" s="17"/>
      <c r="B8" s="16"/>
      <c r="D8" s="17"/>
      <c r="E8" s="18"/>
      <c r="F8" s="18"/>
      <c r="G8" s="18"/>
      <c r="H8" s="18"/>
      <c r="I8" s="16"/>
      <c r="J8" s="31"/>
      <c r="K8" s="17"/>
      <c r="L8" s="18"/>
      <c r="M8" s="18"/>
      <c r="N8" s="18"/>
      <c r="O8" s="18"/>
      <c r="P8" s="16"/>
      <c r="R8" s="17"/>
      <c r="S8" s="18"/>
      <c r="T8" s="18"/>
      <c r="U8" s="18"/>
      <c r="V8" s="18"/>
      <c r="W8" s="16"/>
    </row>
    <row r="9" spans="1:23" x14ac:dyDescent="0.25">
      <c r="A9" s="15"/>
      <c r="B9" s="14"/>
      <c r="D9" s="15"/>
      <c r="E9" s="31"/>
      <c r="F9" s="31"/>
      <c r="G9" s="31"/>
      <c r="H9" s="31"/>
      <c r="I9" s="14"/>
      <c r="J9" s="31"/>
      <c r="K9" s="15"/>
      <c r="L9" s="31"/>
      <c r="M9" s="31"/>
      <c r="N9" s="31"/>
      <c r="O9" s="31"/>
      <c r="P9" s="14"/>
      <c r="R9" s="15"/>
      <c r="S9" s="31"/>
      <c r="T9" s="31"/>
      <c r="U9" s="31"/>
      <c r="V9" s="31"/>
      <c r="W9" s="14"/>
    </row>
    <row r="10" spans="1:23" x14ac:dyDescent="0.25">
      <c r="A10" s="39" t="s">
        <v>6236</v>
      </c>
      <c r="B10" s="14"/>
      <c r="D10" s="15"/>
      <c r="E10" s="31"/>
      <c r="F10" s="31"/>
      <c r="G10" s="31"/>
      <c r="H10" s="31"/>
      <c r="I10" s="14"/>
      <c r="J10" s="31"/>
      <c r="K10" s="15"/>
      <c r="L10" s="31"/>
      <c r="M10" s="31"/>
      <c r="N10" s="31"/>
      <c r="O10" s="31"/>
      <c r="P10" s="14"/>
      <c r="R10" s="15"/>
      <c r="S10" s="31"/>
      <c r="T10" s="31"/>
      <c r="U10" s="31"/>
      <c r="V10" s="31"/>
      <c r="W10" s="14"/>
    </row>
    <row r="11" spans="1:23" x14ac:dyDescent="0.25">
      <c r="A11" s="15"/>
      <c r="B11" s="14"/>
      <c r="D11" s="15"/>
      <c r="E11" s="31"/>
      <c r="F11" s="31"/>
      <c r="G11" s="31"/>
      <c r="H11" s="31"/>
      <c r="I11" s="14"/>
      <c r="J11" s="31"/>
      <c r="K11" s="15"/>
      <c r="L11" s="31"/>
      <c r="M11" s="31"/>
      <c r="N11" s="31"/>
      <c r="O11" s="31"/>
      <c r="P11" s="14"/>
      <c r="R11" s="15"/>
      <c r="S11" s="31"/>
      <c r="T11" s="38" t="s">
        <v>6237</v>
      </c>
      <c r="U11" s="31"/>
      <c r="V11" s="31"/>
      <c r="W11" s="14"/>
    </row>
    <row r="12" spans="1:23" x14ac:dyDescent="0.25">
      <c r="A12" s="15"/>
      <c r="B12" s="14"/>
      <c r="D12" s="15"/>
      <c r="E12" s="31"/>
      <c r="F12" s="38" t="s">
        <v>6237</v>
      </c>
      <c r="G12" s="31"/>
      <c r="H12" s="31"/>
      <c r="I12" s="14"/>
      <c r="J12" s="31"/>
      <c r="K12" s="15"/>
      <c r="L12" s="31"/>
      <c r="N12" s="31"/>
      <c r="O12" s="31"/>
      <c r="P12" s="14"/>
      <c r="R12" s="15"/>
      <c r="S12" s="31"/>
      <c r="T12" s="31"/>
      <c r="U12" s="31"/>
      <c r="V12" s="31"/>
      <c r="W12" s="14"/>
    </row>
    <row r="13" spans="1:23" x14ac:dyDescent="0.25">
      <c r="A13" s="13"/>
      <c r="B13" s="11"/>
      <c r="D13" s="15"/>
      <c r="E13" s="31"/>
      <c r="F13" s="31"/>
      <c r="G13" s="31"/>
      <c r="H13" s="31"/>
      <c r="I13" s="14"/>
      <c r="J13" s="31"/>
      <c r="K13" s="15"/>
      <c r="L13" s="31"/>
      <c r="M13" s="31"/>
      <c r="N13" s="31"/>
      <c r="O13" s="31"/>
      <c r="P13" s="14"/>
      <c r="R13" s="15"/>
      <c r="S13" s="31"/>
      <c r="T13" s="31"/>
      <c r="U13" s="31"/>
      <c r="V13" s="31"/>
      <c r="W13" s="14"/>
    </row>
    <row r="14" spans="1:23" x14ac:dyDescent="0.25">
      <c r="D14" s="15"/>
      <c r="E14" s="31"/>
      <c r="F14" s="31"/>
      <c r="G14" s="31"/>
      <c r="H14" s="31"/>
      <c r="I14" s="14"/>
      <c r="J14" s="31"/>
      <c r="K14" s="15"/>
      <c r="L14" s="31"/>
      <c r="M14" s="31"/>
      <c r="N14" s="31"/>
      <c r="O14" s="31"/>
      <c r="P14" s="14"/>
      <c r="R14" s="15"/>
      <c r="S14" s="31"/>
      <c r="T14" s="31"/>
      <c r="U14" s="31"/>
      <c r="V14" s="31"/>
      <c r="W14" s="14"/>
    </row>
    <row r="15" spans="1:23" x14ac:dyDescent="0.25">
      <c r="D15" s="15"/>
      <c r="E15" s="31"/>
      <c r="F15" s="31"/>
      <c r="G15" s="31"/>
      <c r="H15" s="31"/>
      <c r="I15" s="14"/>
      <c r="J15" s="31"/>
      <c r="K15" s="15"/>
      <c r="L15" s="31"/>
      <c r="M15" s="31"/>
      <c r="N15" s="31"/>
      <c r="O15" s="31"/>
      <c r="P15" s="14"/>
      <c r="R15" s="15"/>
      <c r="S15" s="31"/>
      <c r="T15" s="31"/>
      <c r="U15" s="31"/>
      <c r="V15" s="31"/>
      <c r="W15" s="14"/>
    </row>
    <row r="16" spans="1:23" x14ac:dyDescent="0.25">
      <c r="A16" s="17"/>
      <c r="B16" s="16"/>
      <c r="D16" s="15"/>
      <c r="E16" s="31"/>
      <c r="F16" s="31"/>
      <c r="G16" s="31"/>
      <c r="H16" s="31"/>
      <c r="I16" s="14"/>
      <c r="J16" s="31"/>
      <c r="K16" s="15"/>
      <c r="L16" s="31"/>
      <c r="M16" s="31"/>
      <c r="N16" s="31"/>
      <c r="O16" s="31"/>
      <c r="P16" s="14"/>
      <c r="R16" s="15"/>
      <c r="S16" s="31"/>
      <c r="T16" s="31"/>
      <c r="U16" s="31"/>
      <c r="V16" s="31"/>
      <c r="W16" s="14"/>
    </row>
    <row r="17" spans="1:23" x14ac:dyDescent="0.25">
      <c r="A17" s="15"/>
      <c r="B17" s="14"/>
      <c r="D17" s="15"/>
      <c r="E17" s="31"/>
      <c r="F17" s="31"/>
      <c r="G17" s="31"/>
      <c r="H17" s="31"/>
      <c r="I17" s="14"/>
      <c r="J17" s="31"/>
      <c r="K17" s="15"/>
      <c r="L17" s="31"/>
      <c r="M17" s="31"/>
      <c r="N17" s="31"/>
      <c r="O17" s="31"/>
      <c r="P17" s="14"/>
      <c r="R17" s="15"/>
      <c r="S17" s="31"/>
      <c r="T17" s="31"/>
      <c r="U17" s="31"/>
      <c r="V17" s="31"/>
      <c r="W17" s="14"/>
    </row>
    <row r="18" spans="1:23" x14ac:dyDescent="0.25">
      <c r="A18" s="15"/>
      <c r="B18" s="14"/>
      <c r="D18" s="13"/>
      <c r="E18" s="12"/>
      <c r="F18" s="12"/>
      <c r="G18" s="12"/>
      <c r="H18" s="12"/>
      <c r="I18" s="11"/>
      <c r="J18" s="31"/>
      <c r="K18" s="15"/>
      <c r="L18" s="31"/>
      <c r="M18" s="38" t="s">
        <v>6237</v>
      </c>
      <c r="N18" s="31"/>
      <c r="O18" s="31"/>
      <c r="P18" s="14"/>
      <c r="R18" s="13"/>
      <c r="S18" s="12"/>
      <c r="T18" s="12"/>
      <c r="U18" s="12"/>
      <c r="V18" s="12"/>
      <c r="W18" s="11"/>
    </row>
    <row r="19" spans="1:23" x14ac:dyDescent="0.25">
      <c r="A19" s="39" t="s">
        <v>6236</v>
      </c>
      <c r="B19" s="14"/>
      <c r="D19" s="31"/>
      <c r="E19" s="31"/>
      <c r="F19" s="31"/>
      <c r="G19" s="31"/>
      <c r="H19" s="31"/>
      <c r="I19" s="31"/>
      <c r="J19" s="31"/>
      <c r="K19" s="15"/>
      <c r="L19" s="31"/>
      <c r="M19" s="31"/>
      <c r="N19" s="31"/>
      <c r="O19" s="31"/>
      <c r="P19" s="14"/>
    </row>
    <row r="20" spans="1:23" x14ac:dyDescent="0.25">
      <c r="A20" s="15"/>
      <c r="B20" s="14"/>
      <c r="D20" s="17"/>
      <c r="E20" s="18"/>
      <c r="F20" s="18"/>
      <c r="G20" s="18"/>
      <c r="H20" s="18"/>
      <c r="I20" s="16"/>
      <c r="J20" s="31"/>
      <c r="K20" s="15"/>
      <c r="L20" s="31"/>
      <c r="M20" s="31"/>
      <c r="N20" s="31"/>
      <c r="O20" s="31"/>
      <c r="P20" s="14"/>
      <c r="R20" s="17"/>
      <c r="S20" s="18"/>
      <c r="T20" s="18"/>
      <c r="U20" s="18"/>
      <c r="V20" s="18"/>
      <c r="W20" s="16"/>
    </row>
    <row r="21" spans="1:23" x14ac:dyDescent="0.25">
      <c r="A21" s="13"/>
      <c r="B21" s="11"/>
      <c r="D21" s="15"/>
      <c r="E21" s="31"/>
      <c r="F21" s="31"/>
      <c r="G21" s="31"/>
      <c r="H21" s="31"/>
      <c r="I21" s="14"/>
      <c r="J21" s="31"/>
      <c r="K21" s="15"/>
      <c r="L21" s="31"/>
      <c r="M21" s="31"/>
      <c r="N21" s="31"/>
      <c r="O21" s="31"/>
      <c r="P21" s="14"/>
      <c r="R21" s="15"/>
      <c r="S21" s="31"/>
      <c r="T21" s="31"/>
      <c r="U21" s="31"/>
      <c r="V21" s="31"/>
      <c r="W21" s="14"/>
    </row>
    <row r="22" spans="1:23" x14ac:dyDescent="0.25">
      <c r="D22" s="15"/>
      <c r="E22" s="31"/>
      <c r="F22" s="31"/>
      <c r="G22" s="31"/>
      <c r="H22" s="31"/>
      <c r="I22" s="14"/>
      <c r="J22" s="31"/>
      <c r="K22" s="15"/>
      <c r="L22" s="31"/>
      <c r="M22" s="31"/>
      <c r="N22" s="31"/>
      <c r="O22" s="31"/>
      <c r="P22" s="14"/>
      <c r="R22" s="15"/>
      <c r="S22" s="31"/>
      <c r="T22" s="31"/>
      <c r="U22" s="31"/>
      <c r="V22" s="31"/>
      <c r="W22" s="14"/>
    </row>
    <row r="23" spans="1:23" x14ac:dyDescent="0.25">
      <c r="D23" s="15"/>
      <c r="E23" s="31"/>
      <c r="F23" s="31"/>
      <c r="G23" s="31"/>
      <c r="H23" s="31"/>
      <c r="I23" s="14"/>
      <c r="J23" s="31"/>
      <c r="K23" s="15"/>
      <c r="L23" s="31"/>
      <c r="M23" s="31"/>
      <c r="N23" s="31"/>
      <c r="O23" s="31"/>
      <c r="P23" s="14"/>
      <c r="R23" s="15"/>
      <c r="S23" s="31"/>
      <c r="T23" s="31"/>
      <c r="U23" s="31"/>
      <c r="V23" s="31"/>
      <c r="W23" s="14"/>
    </row>
    <row r="24" spans="1:23" x14ac:dyDescent="0.25">
      <c r="A24" s="17"/>
      <c r="B24" s="16"/>
      <c r="D24" s="15"/>
      <c r="E24" s="31"/>
      <c r="F24" s="38" t="s">
        <v>6237</v>
      </c>
      <c r="G24" s="31"/>
      <c r="H24" s="31"/>
      <c r="I24" s="14"/>
      <c r="J24" s="31"/>
      <c r="K24" s="15"/>
      <c r="L24" s="31"/>
      <c r="M24" s="31"/>
      <c r="N24" s="31"/>
      <c r="O24" s="31"/>
      <c r="P24" s="14"/>
      <c r="R24" s="15"/>
      <c r="S24" s="31"/>
      <c r="T24" s="38" t="s">
        <v>6237</v>
      </c>
      <c r="U24" s="31"/>
      <c r="V24" s="31"/>
      <c r="W24" s="14"/>
    </row>
    <row r="25" spans="1:23" x14ac:dyDescent="0.25">
      <c r="A25" s="15"/>
      <c r="B25" s="14"/>
      <c r="D25" s="15"/>
      <c r="E25" s="31"/>
      <c r="F25" s="31"/>
      <c r="G25" s="31"/>
      <c r="H25" s="31"/>
      <c r="I25" s="14"/>
      <c r="J25" s="31"/>
      <c r="K25" s="15"/>
      <c r="L25" s="31"/>
      <c r="M25" s="31"/>
      <c r="N25" s="31"/>
      <c r="O25" s="31"/>
      <c r="P25" s="14"/>
      <c r="R25" s="15"/>
      <c r="S25" s="31"/>
      <c r="T25" s="31"/>
      <c r="U25" s="31"/>
      <c r="V25" s="31"/>
      <c r="W25" s="14"/>
    </row>
    <row r="26" spans="1:23" x14ac:dyDescent="0.25">
      <c r="A26" s="39" t="s">
        <v>6236</v>
      </c>
      <c r="B26" s="14"/>
      <c r="D26" s="15"/>
      <c r="E26" s="31"/>
      <c r="F26" s="31"/>
      <c r="G26" s="31"/>
      <c r="H26" s="31"/>
      <c r="I26" s="14"/>
      <c r="J26" s="31"/>
      <c r="K26" s="15"/>
      <c r="L26" s="31"/>
      <c r="M26" s="31"/>
      <c r="N26" s="31"/>
      <c r="O26" s="31"/>
      <c r="P26" s="14"/>
      <c r="R26" s="15"/>
      <c r="S26" s="31"/>
      <c r="T26" s="31"/>
      <c r="U26" s="31"/>
      <c r="V26" s="31"/>
      <c r="W26" s="14"/>
    </row>
    <row r="27" spans="1:23" x14ac:dyDescent="0.25">
      <c r="B27" s="14"/>
      <c r="D27" s="15"/>
      <c r="E27" s="31"/>
      <c r="F27" s="31"/>
      <c r="G27" s="31"/>
      <c r="H27" s="31"/>
      <c r="I27" s="14"/>
      <c r="J27" s="31"/>
      <c r="K27" s="15"/>
      <c r="L27" s="31"/>
      <c r="M27" s="31"/>
      <c r="N27" s="31"/>
      <c r="O27" s="31"/>
      <c r="P27" s="14"/>
      <c r="R27" s="15"/>
      <c r="S27" s="31"/>
      <c r="T27" s="31"/>
      <c r="U27" s="31"/>
      <c r="V27" s="31"/>
      <c r="W27" s="14"/>
    </row>
    <row r="28" spans="1:23" x14ac:dyDescent="0.25">
      <c r="A28" s="15"/>
      <c r="B28" s="14"/>
      <c r="D28" s="15"/>
      <c r="E28" s="31"/>
      <c r="F28" s="31"/>
      <c r="G28" s="31"/>
      <c r="H28" s="31"/>
      <c r="I28" s="14"/>
      <c r="J28" s="31"/>
      <c r="K28" s="15"/>
      <c r="L28" s="31"/>
      <c r="M28" s="31"/>
      <c r="N28" s="31"/>
      <c r="O28" s="31"/>
      <c r="P28" s="14"/>
      <c r="R28" s="15"/>
      <c r="S28" s="31"/>
      <c r="T28" s="31"/>
      <c r="U28" s="31"/>
      <c r="V28" s="31"/>
      <c r="W28" s="14"/>
    </row>
    <row r="29" spans="1:23" x14ac:dyDescent="0.25">
      <c r="A29" s="13"/>
      <c r="B29" s="11"/>
      <c r="D29" s="13"/>
      <c r="E29" s="12"/>
      <c r="F29" s="12"/>
      <c r="G29" s="12"/>
      <c r="H29" s="12"/>
      <c r="I29" s="11"/>
      <c r="J29" s="31"/>
      <c r="K29" s="13"/>
      <c r="L29" s="12"/>
      <c r="M29" s="12"/>
      <c r="N29" s="12"/>
      <c r="O29" s="12"/>
      <c r="P29" s="11"/>
      <c r="R29" s="13"/>
      <c r="S29" s="12"/>
      <c r="T29" s="12"/>
      <c r="U29" s="12"/>
      <c r="V29" s="12"/>
      <c r="W29" s="11"/>
    </row>
    <row r="30" spans="1:23" x14ac:dyDescent="0.25">
      <c r="D30" s="31"/>
      <c r="E30" s="31"/>
      <c r="F30" s="31"/>
      <c r="G30" s="31"/>
      <c r="H30" s="31"/>
      <c r="I30" s="31"/>
      <c r="J30" s="31"/>
      <c r="K30" s="31"/>
      <c r="L30" s="31"/>
      <c r="M30" s="31"/>
      <c r="N30" s="31"/>
      <c r="O30" s="31"/>
      <c r="P30" s="31"/>
    </row>
    <row r="31" spans="1:23" x14ac:dyDescent="0.25">
      <c r="D31" s="31"/>
      <c r="E31" s="31"/>
      <c r="F31" s="31"/>
      <c r="G31" s="31"/>
      <c r="H31" s="31"/>
      <c r="I31" s="31"/>
      <c r="J31" s="31"/>
      <c r="K31" s="31"/>
      <c r="L31" s="31"/>
      <c r="M31" s="31"/>
      <c r="N31" s="31"/>
      <c r="O31" s="31"/>
      <c r="P31" s="3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FFFF00"/>
  </sheetPr>
  <dimension ref="A1:T1001"/>
  <sheetViews>
    <sheetView topLeftCell="C1" zoomScale="80" zoomScaleNormal="80" workbookViewId="0">
      <selection activeCell="J15" sqref="J15"/>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6.7109375" customWidth="1"/>
    <col min="11" max="11" width="12.42578125" customWidth="1"/>
    <col min="12" max="12" width="21" customWidth="1"/>
    <col min="13" max="13" width="7.5703125" customWidth="1"/>
    <col min="14" max="14" width="11.28515625" customWidth="1"/>
    <col min="15" max="15" width="11.42578125" customWidth="1"/>
    <col min="19" max="19" width="13" customWidth="1"/>
    <col min="20" max="20" width="13.42578125" customWidth="1"/>
  </cols>
  <sheetData>
    <row r="1" spans="1:20" x14ac:dyDescent="0.25">
      <c r="A1" s="2" t="s">
        <v>0</v>
      </c>
      <c r="B1" s="2" t="s">
        <v>1</v>
      </c>
      <c r="C1" s="2" t="s">
        <v>3</v>
      </c>
      <c r="D1" s="2" t="s">
        <v>11</v>
      </c>
      <c r="E1" s="2" t="s">
        <v>14</v>
      </c>
      <c r="F1" s="2" t="s">
        <v>4</v>
      </c>
      <c r="G1" s="2" t="s">
        <v>2</v>
      </c>
      <c r="H1" s="2" t="s">
        <v>7</v>
      </c>
      <c r="I1" s="2" t="s">
        <v>9</v>
      </c>
      <c r="J1" s="2" t="s">
        <v>6197</v>
      </c>
      <c r="K1" s="2" t="s">
        <v>10</v>
      </c>
      <c r="L1" s="2" t="s">
        <v>6198</v>
      </c>
      <c r="M1" s="2" t="s">
        <v>12</v>
      </c>
      <c r="N1" s="2" t="s">
        <v>13</v>
      </c>
      <c r="O1" s="2" t="s">
        <v>6199</v>
      </c>
      <c r="P1" s="2" t="s">
        <v>15</v>
      </c>
      <c r="Q1" s="2" t="s">
        <v>6200</v>
      </c>
      <c r="R1" s="2" t="s">
        <v>16</v>
      </c>
      <c r="S1" s="2" t="s">
        <v>6196</v>
      </c>
      <c r="T1" s="2" t="s">
        <v>6189</v>
      </c>
    </row>
    <row r="2" spans="1:20"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INDEX(products!$A$1:$I$49,MATCH(orders!$D2,products!$A$1:$A$49,0),MATCH(orders!I$1,products!$A$1:$D$1,0))</f>
        <v>Rob</v>
      </c>
      <c r="J2" t="str">
        <f>IF(I2="Rob","Robusta",IF(I2="Exc","Excelsa",IF(I2="Ara","Arabica",IF(I2="Lib","Liberica",""))))</f>
        <v>Robusta</v>
      </c>
      <c r="K2" t="str">
        <f>INDEX(products!$A$1:$I$49,MATCH(orders!$D2,products!$A$1:$A$49,0),MATCH(orders!K$1,products!$A$1:$D$1,0))</f>
        <v>M</v>
      </c>
      <c r="L2" t="str">
        <f>IF(K2="M","Medium",IF(K2="L","Light",IF(K2="D","Dark","")))</f>
        <v>Medium</v>
      </c>
      <c r="M2">
        <f>INDEX(products!$A$1:$I$49,MATCH(orders!$D2,products!$A$1:$A$49,0),MATCH(orders!M$1,products!$A$1:$D$1,0))</f>
        <v>1</v>
      </c>
      <c r="N2">
        <f>_xlfn.XLOOKUP(D2,products!$A$2:$A$49,products!$E$2:$E$49)</f>
        <v>9.9499999999999993</v>
      </c>
      <c r="O2">
        <f>_xlfn.XLOOKUP(D2,products!$A$2:$A$49,products!$H$2:$H$49)</f>
        <v>9.3529999999999998</v>
      </c>
      <c r="P2">
        <f>N2*E2</f>
        <v>19.899999999999999</v>
      </c>
      <c r="Q2">
        <f>O2*E2</f>
        <v>18.706</v>
      </c>
      <c r="R2">
        <f>P2-Q2</f>
        <v>1.1939999999999991</v>
      </c>
      <c r="S2" s="4">
        <f>R2/P2</f>
        <v>5.9999999999999956E-2</v>
      </c>
      <c r="T2" t="str">
        <f>_xlfn.XLOOKUP(C2,customers!$A$1:$A$1001,customers!$I$1:$I$1001,,0)</f>
        <v>Yes</v>
      </c>
    </row>
    <row r="3" spans="1:20"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INDEX(products!$A$1:$I$49,MATCH(orders!$D3,products!$A$1:$A$49,0),MATCH(orders!I$1,products!$A$1:$D$1,0))</f>
        <v>Exc</v>
      </c>
      <c r="J3" t="str">
        <f t="shared" ref="J3:J66" si="0">IF(I3="Rob","Robusta",IF(I3="Exc","Excelsa",IF(I3="Ara","Arabica",IF(I3="Lib","Liberica",""))))</f>
        <v>Excelsa</v>
      </c>
      <c r="K3" t="str">
        <f>INDEX(products!$A$1:$I$49,MATCH(orders!$D3,products!$A$1:$A$49,0),MATCH(orders!K$1,products!$A$1:$D$1,0))</f>
        <v>M</v>
      </c>
      <c r="L3" t="str">
        <f t="shared" ref="L3:L66" si="1">IF(K3="M","Medium",IF(K3="L","Light",IF(K3="D","Dark","")))</f>
        <v>Medium</v>
      </c>
      <c r="M3">
        <f>INDEX(products!$A$1:$I$49,MATCH(orders!$D3,products!$A$1:$A$49,0),MATCH(orders!M$1,products!$A$1:$D$1,0))</f>
        <v>0.5</v>
      </c>
      <c r="N3">
        <f>_xlfn.XLOOKUP(D3,products!$A$2:$A$49,products!$E$2:$E$49)</f>
        <v>8.25</v>
      </c>
      <c r="O3">
        <f>_xlfn.XLOOKUP(D3,products!$A$2:$A$49,products!$H$2:$H$49)</f>
        <v>7.3425000000000002</v>
      </c>
      <c r="P3">
        <f t="shared" ref="P3:P66" si="2">N3*E3</f>
        <v>41.25</v>
      </c>
      <c r="Q3">
        <f t="shared" ref="Q3:Q66" si="3">O3*E3</f>
        <v>36.712499999999999</v>
      </c>
      <c r="R3">
        <f t="shared" ref="R3:R66" si="4">P3-Q3</f>
        <v>4.5375000000000014</v>
      </c>
      <c r="S3" s="4">
        <f t="shared" ref="S3:S66" si="5">R3/P3</f>
        <v>0.11000000000000003</v>
      </c>
      <c r="T3" t="str">
        <f>_xlfn.XLOOKUP(C3,customers!$A$1:$A$1001,customers!$I$1:$I$1001,,0)</f>
        <v>Yes</v>
      </c>
    </row>
    <row r="4" spans="1:20"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INDEX(products!$A$1:$I$49,MATCH(orders!$D4,products!$A$1:$A$49,0),MATCH(orders!I$1,products!$A$1:$D$1,0))</f>
        <v>Ara</v>
      </c>
      <c r="J4" t="str">
        <f t="shared" si="0"/>
        <v>Arabica</v>
      </c>
      <c r="K4" t="str">
        <f>INDEX(products!$A$1:$I$49,MATCH(orders!$D4,products!$A$1:$A$49,0),MATCH(orders!K$1,products!$A$1:$D$1,0))</f>
        <v>L</v>
      </c>
      <c r="L4" t="str">
        <f t="shared" si="1"/>
        <v>Light</v>
      </c>
      <c r="M4">
        <f>INDEX(products!$A$1:$I$49,MATCH(orders!$D4,products!$A$1:$A$49,0),MATCH(orders!M$1,products!$A$1:$D$1,0))</f>
        <v>1</v>
      </c>
      <c r="N4">
        <f>_xlfn.XLOOKUP(D4,products!$A$2:$A$49,products!$E$2:$E$49)</f>
        <v>12.95</v>
      </c>
      <c r="O4">
        <f>_xlfn.XLOOKUP(D4,products!$A$2:$A$49,products!$H$2:$H$49)</f>
        <v>11.7845</v>
      </c>
      <c r="P4">
        <f t="shared" si="2"/>
        <v>12.95</v>
      </c>
      <c r="Q4">
        <f t="shared" si="3"/>
        <v>11.7845</v>
      </c>
      <c r="R4">
        <f t="shared" si="4"/>
        <v>1.1654999999999998</v>
      </c>
      <c r="S4" s="4">
        <f t="shared" si="5"/>
        <v>8.9999999999999983E-2</v>
      </c>
      <c r="T4" t="str">
        <f>_xlfn.XLOOKUP(C4,customers!$A$1:$A$1001,customers!$I$1:$I$1001,,0)</f>
        <v>Yes</v>
      </c>
    </row>
    <row r="5" spans="1:20"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v>
      </c>
      <c r="H5" s="2" t="str">
        <f>_xlfn.XLOOKUP(C5,customers!$A$1:$A$1001,customers!$G$1:$G$1001,,0)</f>
        <v>Ireland</v>
      </c>
      <c r="I5" t="str">
        <f>INDEX(products!$A$1:$I$49,MATCH(orders!$D5,products!$A$1:$A$49,0),MATCH(orders!I$1,products!$A$1:$D$1,0))</f>
        <v>Exc</v>
      </c>
      <c r="J5" t="str">
        <f t="shared" si="0"/>
        <v>Excelsa</v>
      </c>
      <c r="K5" t="str">
        <f>INDEX(products!$A$1:$I$49,MATCH(orders!$D5,products!$A$1:$A$49,0),MATCH(orders!K$1,products!$A$1:$D$1,0))</f>
        <v>M</v>
      </c>
      <c r="L5" t="str">
        <f t="shared" si="1"/>
        <v>Medium</v>
      </c>
      <c r="M5">
        <f>INDEX(products!$A$1:$I$49,MATCH(orders!$D5,products!$A$1:$A$49,0),MATCH(orders!M$1,products!$A$1:$D$1,0))</f>
        <v>1</v>
      </c>
      <c r="N5">
        <f>_xlfn.XLOOKUP(D5,products!$A$2:$A$49,products!$E$2:$E$49)</f>
        <v>13.75</v>
      </c>
      <c r="O5">
        <f>_xlfn.XLOOKUP(D5,products!$A$2:$A$49,products!$H$2:$H$49)</f>
        <v>12.237500000000001</v>
      </c>
      <c r="P5">
        <f t="shared" si="2"/>
        <v>27.5</v>
      </c>
      <c r="Q5">
        <f t="shared" si="3"/>
        <v>24.475000000000001</v>
      </c>
      <c r="R5">
        <f t="shared" si="4"/>
        <v>3.0249999999999986</v>
      </c>
      <c r="S5" s="4">
        <f t="shared" si="5"/>
        <v>0.10999999999999995</v>
      </c>
      <c r="T5" t="str">
        <f>_xlfn.XLOOKUP(C5,customers!$A$1:$A$1001,customers!$I$1:$I$1001,,0)</f>
        <v>No</v>
      </c>
    </row>
    <row r="6" spans="1:20"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v>
      </c>
      <c r="H6" s="2" t="str">
        <f>_xlfn.XLOOKUP(C6,customers!$A$1:$A$1001,customers!$G$1:$G$1001,,0)</f>
        <v>Ireland</v>
      </c>
      <c r="I6" t="str">
        <f>INDEX(products!$A$1:$I$49,MATCH(orders!$D6,products!$A$1:$A$49,0),MATCH(orders!I$1,products!$A$1:$D$1,0))</f>
        <v>Rob</v>
      </c>
      <c r="J6" t="str">
        <f t="shared" si="0"/>
        <v>Robusta</v>
      </c>
      <c r="K6" t="str">
        <f>INDEX(products!$A$1:$I$49,MATCH(orders!$D6,products!$A$1:$A$49,0),MATCH(orders!K$1,products!$A$1:$D$1,0))</f>
        <v>L</v>
      </c>
      <c r="L6" t="str">
        <f t="shared" si="1"/>
        <v>Light</v>
      </c>
      <c r="M6">
        <f>INDEX(products!$A$1:$I$49,MATCH(orders!$D6,products!$A$1:$A$49,0),MATCH(orders!M$1,products!$A$1:$D$1,0))</f>
        <v>2.5</v>
      </c>
      <c r="N6">
        <f>_xlfn.XLOOKUP(D6,products!$A$2:$A$49,products!$E$2:$E$49)</f>
        <v>27.484999999999996</v>
      </c>
      <c r="O6">
        <f>_xlfn.XLOOKUP(D6,products!$A$2:$A$49,products!$H$2:$H$49)</f>
        <v>25.835899999999995</v>
      </c>
      <c r="P6">
        <f t="shared" si="2"/>
        <v>54.969999999999992</v>
      </c>
      <c r="Q6">
        <f t="shared" si="3"/>
        <v>51.67179999999999</v>
      </c>
      <c r="R6">
        <f t="shared" si="4"/>
        <v>3.2982000000000014</v>
      </c>
      <c r="S6" s="4">
        <f t="shared" si="5"/>
        <v>6.0000000000000032E-2</v>
      </c>
      <c r="T6" t="str">
        <f>_xlfn.XLOOKUP(C6,customers!$A$1:$A$1001,customers!$I$1:$I$1001,,0)</f>
        <v>No</v>
      </c>
    </row>
    <row r="7" spans="1:20"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v>
      </c>
      <c r="H7" s="2" t="str">
        <f>_xlfn.XLOOKUP(C7,customers!$A$1:$A$1001,customers!$G$1:$G$1001,,0)</f>
        <v>United States</v>
      </c>
      <c r="I7" t="str">
        <f>INDEX(products!$A$1:$I$49,MATCH(orders!$D7,products!$A$1:$A$49,0),MATCH(orders!I$1,products!$A$1:$D$1,0))</f>
        <v>Lib</v>
      </c>
      <c r="J7" t="str">
        <f t="shared" si="0"/>
        <v>Liberica</v>
      </c>
      <c r="K7" t="str">
        <f>INDEX(products!$A$1:$I$49,MATCH(orders!$D7,products!$A$1:$A$49,0),MATCH(orders!K$1,products!$A$1:$D$1,0))</f>
        <v>D</v>
      </c>
      <c r="L7" t="str">
        <f t="shared" si="1"/>
        <v>Dark</v>
      </c>
      <c r="M7">
        <f>INDEX(products!$A$1:$I$49,MATCH(orders!$D7,products!$A$1:$A$49,0),MATCH(orders!M$1,products!$A$1:$D$1,0))</f>
        <v>1</v>
      </c>
      <c r="N7">
        <f>_xlfn.XLOOKUP(D7,products!$A$2:$A$49,products!$E$2:$E$49)</f>
        <v>12.95</v>
      </c>
      <c r="O7">
        <f>_xlfn.XLOOKUP(D7,products!$A$2:$A$49,products!$H$2:$H$49)</f>
        <v>11.266499999999999</v>
      </c>
      <c r="P7">
        <f t="shared" si="2"/>
        <v>38.849999999999994</v>
      </c>
      <c r="Q7">
        <f t="shared" si="3"/>
        <v>33.799499999999995</v>
      </c>
      <c r="R7">
        <f t="shared" si="4"/>
        <v>5.0504999999999995</v>
      </c>
      <c r="S7" s="4">
        <f t="shared" si="5"/>
        <v>0.13</v>
      </c>
      <c r="T7" t="str">
        <f>_xlfn.XLOOKUP(C7,customers!$A$1:$A$1001,customers!$I$1:$I$1001,,0)</f>
        <v>No</v>
      </c>
    </row>
    <row r="8" spans="1:20"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INDEX(products!$A$1:$I$49,MATCH(orders!$D8,products!$A$1:$A$49,0),MATCH(orders!I$1,products!$A$1:$D$1,0))</f>
        <v>Exc</v>
      </c>
      <c r="J8" t="str">
        <f t="shared" si="0"/>
        <v>Excelsa</v>
      </c>
      <c r="K8" t="str">
        <f>INDEX(products!$A$1:$I$49,MATCH(orders!$D8,products!$A$1:$A$49,0),MATCH(orders!K$1,products!$A$1:$D$1,0))</f>
        <v>D</v>
      </c>
      <c r="L8" t="str">
        <f t="shared" si="1"/>
        <v>Dark</v>
      </c>
      <c r="M8">
        <f>INDEX(products!$A$1:$I$49,MATCH(orders!$D8,products!$A$1:$A$49,0),MATCH(orders!M$1,products!$A$1:$D$1,0))</f>
        <v>0.5</v>
      </c>
      <c r="N8">
        <f>_xlfn.XLOOKUP(D8,products!$A$2:$A$49,products!$E$2:$E$49)</f>
        <v>7.29</v>
      </c>
      <c r="O8">
        <f>_xlfn.XLOOKUP(D8,products!$A$2:$A$49,products!$H$2:$H$49)</f>
        <v>6.4881000000000002</v>
      </c>
      <c r="P8">
        <f t="shared" si="2"/>
        <v>21.87</v>
      </c>
      <c r="Q8">
        <f t="shared" si="3"/>
        <v>19.464300000000001</v>
      </c>
      <c r="R8">
        <f t="shared" si="4"/>
        <v>2.4056999999999995</v>
      </c>
      <c r="S8" s="4">
        <f t="shared" si="5"/>
        <v>0.10999999999999997</v>
      </c>
      <c r="T8" t="str">
        <f>_xlfn.XLOOKUP(C8,customers!$A$1:$A$1001,customers!$I$1:$I$1001,,0)</f>
        <v>Yes</v>
      </c>
    </row>
    <row r="9" spans="1:20"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v>
      </c>
      <c r="H9" s="2" t="str">
        <f>_xlfn.XLOOKUP(C9,customers!$A$1:$A$1001,customers!$G$1:$G$1001,,0)</f>
        <v>Ireland</v>
      </c>
      <c r="I9" t="str">
        <f>INDEX(products!$A$1:$I$49,MATCH(orders!$D9,products!$A$1:$A$49,0),MATCH(orders!I$1,products!$A$1:$D$1,0))</f>
        <v>Lib</v>
      </c>
      <c r="J9" t="str">
        <f t="shared" si="0"/>
        <v>Liberica</v>
      </c>
      <c r="K9" t="str">
        <f>INDEX(products!$A$1:$I$49,MATCH(orders!$D9,products!$A$1:$A$49,0),MATCH(orders!K$1,products!$A$1:$D$1,0))</f>
        <v>L</v>
      </c>
      <c r="L9" t="str">
        <f t="shared" si="1"/>
        <v>Light</v>
      </c>
      <c r="M9">
        <f>INDEX(products!$A$1:$I$49,MATCH(orders!$D9,products!$A$1:$A$49,0),MATCH(orders!M$1,products!$A$1:$D$1,0))</f>
        <v>0.2</v>
      </c>
      <c r="N9">
        <f>_xlfn.XLOOKUP(D9,products!$A$2:$A$49,products!$E$2:$E$49)</f>
        <v>4.7549999999999999</v>
      </c>
      <c r="O9">
        <f>_xlfn.XLOOKUP(D9,products!$A$2:$A$49,products!$H$2:$H$49)</f>
        <v>4.1368499999999999</v>
      </c>
      <c r="P9">
        <f t="shared" si="2"/>
        <v>4.7549999999999999</v>
      </c>
      <c r="Q9">
        <f t="shared" si="3"/>
        <v>4.1368499999999999</v>
      </c>
      <c r="R9">
        <f t="shared" si="4"/>
        <v>0.61814999999999998</v>
      </c>
      <c r="S9" s="4">
        <f t="shared" si="5"/>
        <v>0.13</v>
      </c>
      <c r="T9" t="str">
        <f>_xlfn.XLOOKUP(C9,customers!$A$1:$A$1001,customers!$I$1:$I$1001,,0)</f>
        <v>Yes</v>
      </c>
    </row>
    <row r="10" spans="1:20"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INDEX(products!$A$1:$I$49,MATCH(orders!$D10,products!$A$1:$A$49,0),MATCH(orders!I$1,products!$A$1:$D$1,0))</f>
        <v>Rob</v>
      </c>
      <c r="J10" t="str">
        <f t="shared" si="0"/>
        <v>Robusta</v>
      </c>
      <c r="K10" t="str">
        <f>INDEX(products!$A$1:$I$49,MATCH(orders!$D10,products!$A$1:$A$49,0),MATCH(orders!K$1,products!$A$1:$D$1,0))</f>
        <v>M</v>
      </c>
      <c r="L10" t="str">
        <f t="shared" si="1"/>
        <v>Medium</v>
      </c>
      <c r="M10">
        <f>INDEX(products!$A$1:$I$49,MATCH(orders!$D10,products!$A$1:$A$49,0),MATCH(orders!M$1,products!$A$1:$D$1,0))</f>
        <v>0.5</v>
      </c>
      <c r="N10">
        <f>_xlfn.XLOOKUP(D10,products!$A$2:$A$49,products!$E$2:$E$49)</f>
        <v>5.97</v>
      </c>
      <c r="O10">
        <f>_xlfn.XLOOKUP(D10,products!$A$2:$A$49,products!$H$2:$H$49)</f>
        <v>5.6117999999999997</v>
      </c>
      <c r="P10">
        <f t="shared" si="2"/>
        <v>17.91</v>
      </c>
      <c r="Q10">
        <f t="shared" si="3"/>
        <v>16.8354</v>
      </c>
      <c r="R10">
        <f t="shared" si="4"/>
        <v>1.0746000000000002</v>
      </c>
      <c r="S10" s="4">
        <f t="shared" si="5"/>
        <v>6.0000000000000012E-2</v>
      </c>
      <c r="T10" t="str">
        <f>_xlfn.XLOOKUP(C10,customers!$A$1:$A$1001,customers!$I$1:$I$1001,,0)</f>
        <v>No</v>
      </c>
    </row>
    <row r="11" spans="1:20"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INDEX(products!$A$1:$I$49,MATCH(orders!$D11,products!$A$1:$A$49,0),MATCH(orders!I$1,products!$A$1:$D$1,0))</f>
        <v>Rob</v>
      </c>
      <c r="J11" t="str">
        <f t="shared" si="0"/>
        <v>Robusta</v>
      </c>
      <c r="K11" t="str">
        <f>INDEX(products!$A$1:$I$49,MATCH(orders!$D11,products!$A$1:$A$49,0),MATCH(orders!K$1,products!$A$1:$D$1,0))</f>
        <v>M</v>
      </c>
      <c r="L11" t="str">
        <f t="shared" si="1"/>
        <v>Medium</v>
      </c>
      <c r="M11">
        <f>INDEX(products!$A$1:$I$49,MATCH(orders!$D11,products!$A$1:$A$49,0),MATCH(orders!M$1,products!$A$1:$D$1,0))</f>
        <v>0.5</v>
      </c>
      <c r="N11">
        <f>_xlfn.XLOOKUP(D11,products!$A$2:$A$49,products!$E$2:$E$49)</f>
        <v>5.97</v>
      </c>
      <c r="O11">
        <f>_xlfn.XLOOKUP(D11,products!$A$2:$A$49,products!$H$2:$H$49)</f>
        <v>5.6117999999999997</v>
      </c>
      <c r="P11">
        <f t="shared" si="2"/>
        <v>5.97</v>
      </c>
      <c r="Q11">
        <f t="shared" si="3"/>
        <v>5.6117999999999997</v>
      </c>
      <c r="R11">
        <f t="shared" si="4"/>
        <v>0.35820000000000007</v>
      </c>
      <c r="S11" s="4">
        <f t="shared" si="5"/>
        <v>6.0000000000000012E-2</v>
      </c>
      <c r="T11" t="str">
        <f>_xlfn.XLOOKUP(C11,customers!$A$1:$A$1001,customers!$I$1:$I$1001,,0)</f>
        <v>No</v>
      </c>
    </row>
    <row r="12" spans="1:20"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INDEX(products!$A$1:$I$49,MATCH(orders!$D12,products!$A$1:$A$49,0),MATCH(orders!I$1,products!$A$1:$D$1,0))</f>
        <v>Ara</v>
      </c>
      <c r="J12" t="str">
        <f t="shared" si="0"/>
        <v>Arabica</v>
      </c>
      <c r="K12" t="str">
        <f>INDEX(products!$A$1:$I$49,MATCH(orders!$D12,products!$A$1:$A$49,0),MATCH(orders!K$1,products!$A$1:$D$1,0))</f>
        <v>D</v>
      </c>
      <c r="L12" t="str">
        <f t="shared" si="1"/>
        <v>Dark</v>
      </c>
      <c r="M12">
        <f>INDEX(products!$A$1:$I$49,MATCH(orders!$D12,products!$A$1:$A$49,0),MATCH(orders!M$1,products!$A$1:$D$1,0))</f>
        <v>1</v>
      </c>
      <c r="N12">
        <f>_xlfn.XLOOKUP(D12,products!$A$2:$A$49,products!$E$2:$E$49)</f>
        <v>9.9499999999999993</v>
      </c>
      <c r="O12">
        <f>_xlfn.XLOOKUP(D12,products!$A$2:$A$49,products!$H$2:$H$49)</f>
        <v>9.0544999999999991</v>
      </c>
      <c r="P12">
        <f t="shared" si="2"/>
        <v>39.799999999999997</v>
      </c>
      <c r="Q12">
        <f t="shared" si="3"/>
        <v>36.217999999999996</v>
      </c>
      <c r="R12">
        <f t="shared" si="4"/>
        <v>3.5820000000000007</v>
      </c>
      <c r="S12" s="4">
        <f t="shared" si="5"/>
        <v>9.0000000000000024E-2</v>
      </c>
      <c r="T12" t="str">
        <f>_xlfn.XLOOKUP(C12,customers!$A$1:$A$1001,customers!$I$1:$I$1001,,0)</f>
        <v>No</v>
      </c>
    </row>
    <row r="13" spans="1:20"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INDEX(products!$A$1:$I$49,MATCH(orders!$D13,products!$A$1:$A$49,0),MATCH(orders!I$1,products!$A$1:$D$1,0))</f>
        <v>Exc</v>
      </c>
      <c r="J13" t="str">
        <f t="shared" si="0"/>
        <v>Excelsa</v>
      </c>
      <c r="K13" t="str">
        <f>INDEX(products!$A$1:$I$49,MATCH(orders!$D13,products!$A$1:$A$49,0),MATCH(orders!K$1,products!$A$1:$D$1,0))</f>
        <v>L</v>
      </c>
      <c r="L13" t="str">
        <f t="shared" si="1"/>
        <v>Light</v>
      </c>
      <c r="M13">
        <f>INDEX(products!$A$1:$I$49,MATCH(orders!$D13,products!$A$1:$A$49,0),MATCH(orders!M$1,products!$A$1:$D$1,0))</f>
        <v>2.5</v>
      </c>
      <c r="N13">
        <f>_xlfn.XLOOKUP(D13,products!$A$2:$A$49,products!$E$2:$E$49)</f>
        <v>34.154999999999994</v>
      </c>
      <c r="O13">
        <f>_xlfn.XLOOKUP(D13,products!$A$2:$A$49,products!$H$2:$H$49)</f>
        <v>30.397949999999994</v>
      </c>
      <c r="P13">
        <f t="shared" si="2"/>
        <v>170.77499999999998</v>
      </c>
      <c r="Q13">
        <f t="shared" si="3"/>
        <v>151.98974999999996</v>
      </c>
      <c r="R13">
        <f t="shared" si="4"/>
        <v>18.785250000000019</v>
      </c>
      <c r="S13" s="4">
        <f t="shared" si="5"/>
        <v>0.11000000000000013</v>
      </c>
      <c r="T13" t="str">
        <f>_xlfn.XLOOKUP(C13,customers!$A$1:$A$1001,customers!$I$1:$I$1001,,0)</f>
        <v>Yes</v>
      </c>
    </row>
    <row r="14" spans="1:20"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INDEX(products!$A$1:$I$49,MATCH(orders!$D14,products!$A$1:$A$49,0),MATCH(orders!I$1,products!$A$1:$D$1,0))</f>
        <v>Rob</v>
      </c>
      <c r="J14" t="str">
        <f t="shared" si="0"/>
        <v>Robusta</v>
      </c>
      <c r="K14" t="str">
        <f>INDEX(products!$A$1:$I$49,MATCH(orders!$D14,products!$A$1:$A$49,0),MATCH(orders!K$1,products!$A$1:$D$1,0))</f>
        <v>M</v>
      </c>
      <c r="L14" t="str">
        <f t="shared" si="1"/>
        <v>Medium</v>
      </c>
      <c r="M14">
        <f>INDEX(products!$A$1:$I$49,MATCH(orders!$D14,products!$A$1:$A$49,0),MATCH(orders!M$1,products!$A$1:$D$1,0))</f>
        <v>1</v>
      </c>
      <c r="N14">
        <f>_xlfn.XLOOKUP(D14,products!$A$2:$A$49,products!$E$2:$E$49)</f>
        <v>9.9499999999999993</v>
      </c>
      <c r="O14">
        <f>_xlfn.XLOOKUP(D14,products!$A$2:$A$49,products!$H$2:$H$49)</f>
        <v>9.3529999999999998</v>
      </c>
      <c r="P14">
        <f t="shared" si="2"/>
        <v>49.75</v>
      </c>
      <c r="Q14">
        <f t="shared" si="3"/>
        <v>46.765000000000001</v>
      </c>
      <c r="R14">
        <f t="shared" si="4"/>
        <v>2.9849999999999994</v>
      </c>
      <c r="S14" s="4">
        <f t="shared" si="5"/>
        <v>5.9999999999999991E-2</v>
      </c>
      <c r="T14" t="str">
        <f>_xlfn.XLOOKUP(C14,customers!$A$1:$A$1001,customers!$I$1:$I$1001,,0)</f>
        <v>No</v>
      </c>
    </row>
    <row r="15" spans="1:20"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INDEX(products!$A$1:$I$49,MATCH(orders!$D15,products!$A$1:$A$49,0),MATCH(orders!I$1,products!$A$1:$D$1,0))</f>
        <v>Rob</v>
      </c>
      <c r="J15" t="str">
        <f t="shared" si="0"/>
        <v>Robusta</v>
      </c>
      <c r="K15" t="str">
        <f>INDEX(products!$A$1:$I$49,MATCH(orders!$D15,products!$A$1:$A$49,0),MATCH(orders!K$1,products!$A$1:$D$1,0))</f>
        <v>D</v>
      </c>
      <c r="L15" t="str">
        <f t="shared" si="1"/>
        <v>Dark</v>
      </c>
      <c r="M15">
        <f>INDEX(products!$A$1:$I$49,MATCH(orders!$D15,products!$A$1:$A$49,0),MATCH(orders!M$1,products!$A$1:$D$1,0))</f>
        <v>2.5</v>
      </c>
      <c r="N15">
        <f>_xlfn.XLOOKUP(D15,products!$A$2:$A$49,products!$E$2:$E$49)</f>
        <v>20.584999999999997</v>
      </c>
      <c r="O15">
        <f>_xlfn.XLOOKUP(D15,products!$A$2:$A$49,products!$H$2:$H$49)</f>
        <v>19.349899999999998</v>
      </c>
      <c r="P15">
        <f t="shared" si="2"/>
        <v>41.169999999999995</v>
      </c>
      <c r="Q15">
        <f t="shared" si="3"/>
        <v>38.699799999999996</v>
      </c>
      <c r="R15">
        <f t="shared" si="4"/>
        <v>2.4701999999999984</v>
      </c>
      <c r="S15" s="4">
        <f t="shared" si="5"/>
        <v>5.999999999999997E-2</v>
      </c>
      <c r="T15" t="str">
        <f>_xlfn.XLOOKUP(C15,customers!$A$1:$A$1001,customers!$I$1:$I$1001,,0)</f>
        <v>No</v>
      </c>
    </row>
    <row r="16" spans="1:20"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INDEX(products!$A$1:$I$49,MATCH(orders!$D16,products!$A$1:$A$49,0),MATCH(orders!I$1,products!$A$1:$D$1,0))</f>
        <v>Lib</v>
      </c>
      <c r="J16" t="str">
        <f t="shared" si="0"/>
        <v>Liberica</v>
      </c>
      <c r="K16" t="str">
        <f>INDEX(products!$A$1:$I$49,MATCH(orders!$D16,products!$A$1:$A$49,0),MATCH(orders!K$1,products!$A$1:$D$1,0))</f>
        <v>D</v>
      </c>
      <c r="L16" t="str">
        <f t="shared" si="1"/>
        <v>Dark</v>
      </c>
      <c r="M16">
        <f>INDEX(products!$A$1:$I$49,MATCH(orders!$D16,products!$A$1:$A$49,0),MATCH(orders!M$1,products!$A$1:$D$1,0))</f>
        <v>0.2</v>
      </c>
      <c r="N16">
        <f>_xlfn.XLOOKUP(D16,products!$A$2:$A$49,products!$E$2:$E$49)</f>
        <v>3.8849999999999998</v>
      </c>
      <c r="O16">
        <f>_xlfn.XLOOKUP(D16,products!$A$2:$A$49,products!$H$2:$H$49)</f>
        <v>3.37995</v>
      </c>
      <c r="P16">
        <f t="shared" si="2"/>
        <v>11.654999999999999</v>
      </c>
      <c r="Q16">
        <f t="shared" si="3"/>
        <v>10.139849999999999</v>
      </c>
      <c r="R16">
        <f t="shared" si="4"/>
        <v>1.5151500000000002</v>
      </c>
      <c r="S16" s="4">
        <f t="shared" si="5"/>
        <v>0.13000000000000003</v>
      </c>
      <c r="T16" t="str">
        <f>_xlfn.XLOOKUP(C16,customers!$A$1:$A$1001,customers!$I$1:$I$1001,,0)</f>
        <v>Yes</v>
      </c>
    </row>
    <row r="17" spans="1:20"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INDEX(products!$A$1:$I$49,MATCH(orders!$D17,products!$A$1:$A$49,0),MATCH(orders!I$1,products!$A$1:$D$1,0))</f>
        <v>Rob</v>
      </c>
      <c r="J17" t="str">
        <f t="shared" si="0"/>
        <v>Robusta</v>
      </c>
      <c r="K17" t="str">
        <f>INDEX(products!$A$1:$I$49,MATCH(orders!$D17,products!$A$1:$A$49,0),MATCH(orders!K$1,products!$A$1:$D$1,0))</f>
        <v>M</v>
      </c>
      <c r="L17" t="str">
        <f t="shared" si="1"/>
        <v>Medium</v>
      </c>
      <c r="M17">
        <f>INDEX(products!$A$1:$I$49,MATCH(orders!$D17,products!$A$1:$A$49,0),MATCH(orders!M$1,products!$A$1:$D$1,0))</f>
        <v>2.5</v>
      </c>
      <c r="N17">
        <f>_xlfn.XLOOKUP(D17,products!$A$2:$A$49,products!$E$2:$E$49)</f>
        <v>22.884999999999998</v>
      </c>
      <c r="O17">
        <f>_xlfn.XLOOKUP(D17,products!$A$2:$A$49,products!$H$2:$H$49)</f>
        <v>21.511899999999997</v>
      </c>
      <c r="P17">
        <f t="shared" si="2"/>
        <v>114.42499999999998</v>
      </c>
      <c r="Q17">
        <f t="shared" si="3"/>
        <v>107.55949999999999</v>
      </c>
      <c r="R17">
        <f t="shared" si="4"/>
        <v>6.8654999999999973</v>
      </c>
      <c r="S17" s="4">
        <f t="shared" si="5"/>
        <v>5.9999999999999984E-2</v>
      </c>
      <c r="T17" t="str">
        <f>_xlfn.XLOOKUP(C17,customers!$A$1:$A$1001,customers!$I$1:$I$1001,,0)</f>
        <v>No</v>
      </c>
    </row>
    <row r="18" spans="1:20"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INDEX(products!$A$1:$I$49,MATCH(orders!$D18,products!$A$1:$A$49,0),MATCH(orders!I$1,products!$A$1:$D$1,0))</f>
        <v>Ara</v>
      </c>
      <c r="J18" t="str">
        <f t="shared" si="0"/>
        <v>Arabica</v>
      </c>
      <c r="K18" t="str">
        <f>INDEX(products!$A$1:$I$49,MATCH(orders!$D18,products!$A$1:$A$49,0),MATCH(orders!K$1,products!$A$1:$D$1,0))</f>
        <v>M</v>
      </c>
      <c r="L18" t="str">
        <f t="shared" si="1"/>
        <v>Medium</v>
      </c>
      <c r="M18">
        <f>INDEX(products!$A$1:$I$49,MATCH(orders!$D18,products!$A$1:$A$49,0),MATCH(orders!M$1,products!$A$1:$D$1,0))</f>
        <v>0.2</v>
      </c>
      <c r="N18">
        <f>_xlfn.XLOOKUP(D18,products!$A$2:$A$49,products!$E$2:$E$49)</f>
        <v>3.375</v>
      </c>
      <c r="O18">
        <f>_xlfn.XLOOKUP(D18,products!$A$2:$A$49,products!$H$2:$H$49)</f>
        <v>3.07125</v>
      </c>
      <c r="P18">
        <f t="shared" si="2"/>
        <v>20.25</v>
      </c>
      <c r="Q18">
        <f t="shared" si="3"/>
        <v>18.427500000000002</v>
      </c>
      <c r="R18">
        <f t="shared" si="4"/>
        <v>1.822499999999998</v>
      </c>
      <c r="S18" s="4">
        <f t="shared" si="5"/>
        <v>8.99999999999999E-2</v>
      </c>
      <c r="T18" t="str">
        <f>_xlfn.XLOOKUP(C18,customers!$A$1:$A$1001,customers!$I$1:$I$1001,,0)</f>
        <v>No</v>
      </c>
    </row>
    <row r="19" spans="1:20"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INDEX(products!$A$1:$I$49,MATCH(orders!$D19,products!$A$1:$A$49,0),MATCH(orders!I$1,products!$A$1:$D$1,0))</f>
        <v>Ara</v>
      </c>
      <c r="J19" t="str">
        <f t="shared" si="0"/>
        <v>Arabica</v>
      </c>
      <c r="K19" t="str">
        <f>INDEX(products!$A$1:$I$49,MATCH(orders!$D19,products!$A$1:$A$49,0),MATCH(orders!K$1,products!$A$1:$D$1,0))</f>
        <v>L</v>
      </c>
      <c r="L19" t="str">
        <f t="shared" si="1"/>
        <v>Light</v>
      </c>
      <c r="M19">
        <f>INDEX(products!$A$1:$I$49,MATCH(orders!$D19,products!$A$1:$A$49,0),MATCH(orders!M$1,products!$A$1:$D$1,0))</f>
        <v>1</v>
      </c>
      <c r="N19">
        <f>_xlfn.XLOOKUP(D19,products!$A$2:$A$49,products!$E$2:$E$49)</f>
        <v>12.95</v>
      </c>
      <c r="O19">
        <f>_xlfn.XLOOKUP(D19,products!$A$2:$A$49,products!$H$2:$H$49)</f>
        <v>11.7845</v>
      </c>
      <c r="P19">
        <f t="shared" si="2"/>
        <v>77.699999999999989</v>
      </c>
      <c r="Q19">
        <f t="shared" si="3"/>
        <v>70.706999999999994</v>
      </c>
      <c r="R19">
        <f t="shared" si="4"/>
        <v>6.992999999999995</v>
      </c>
      <c r="S19" s="4">
        <f t="shared" si="5"/>
        <v>8.9999999999999955E-2</v>
      </c>
      <c r="T19" t="str">
        <f>_xlfn.XLOOKUP(C19,customers!$A$1:$A$1001,customers!$I$1:$I$1001,,0)</f>
        <v>No</v>
      </c>
    </row>
    <row r="20" spans="1:20"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INDEX(products!$A$1:$I$49,MATCH(orders!$D20,products!$A$1:$A$49,0),MATCH(orders!I$1,products!$A$1:$D$1,0))</f>
        <v>Rob</v>
      </c>
      <c r="J20" t="str">
        <f t="shared" si="0"/>
        <v>Robusta</v>
      </c>
      <c r="K20" t="str">
        <f>INDEX(products!$A$1:$I$49,MATCH(orders!$D20,products!$A$1:$A$49,0),MATCH(orders!K$1,products!$A$1:$D$1,0))</f>
        <v>D</v>
      </c>
      <c r="L20" t="str">
        <f t="shared" si="1"/>
        <v>Dark</v>
      </c>
      <c r="M20">
        <f>INDEX(products!$A$1:$I$49,MATCH(orders!$D20,products!$A$1:$A$49,0),MATCH(orders!M$1,products!$A$1:$D$1,0))</f>
        <v>2.5</v>
      </c>
      <c r="N20">
        <f>_xlfn.XLOOKUP(D20,products!$A$2:$A$49,products!$E$2:$E$49)</f>
        <v>20.584999999999997</v>
      </c>
      <c r="O20">
        <f>_xlfn.XLOOKUP(D20,products!$A$2:$A$49,products!$H$2:$H$49)</f>
        <v>19.349899999999998</v>
      </c>
      <c r="P20">
        <f t="shared" si="2"/>
        <v>82.339999999999989</v>
      </c>
      <c r="Q20">
        <f t="shared" si="3"/>
        <v>77.399599999999992</v>
      </c>
      <c r="R20">
        <f t="shared" si="4"/>
        <v>4.9403999999999968</v>
      </c>
      <c r="S20" s="4">
        <f t="shared" si="5"/>
        <v>5.999999999999997E-2</v>
      </c>
      <c r="T20" t="str">
        <f>_xlfn.XLOOKUP(C20,customers!$A$1:$A$1001,customers!$I$1:$I$1001,,0)</f>
        <v>Yes</v>
      </c>
    </row>
    <row r="21" spans="1:20"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INDEX(products!$A$1:$I$49,MATCH(orders!$D21,products!$A$1:$A$49,0),MATCH(orders!I$1,products!$A$1:$D$1,0))</f>
        <v>Ara</v>
      </c>
      <c r="J21" t="str">
        <f t="shared" si="0"/>
        <v>Arabica</v>
      </c>
      <c r="K21" t="str">
        <f>INDEX(products!$A$1:$I$49,MATCH(orders!$D21,products!$A$1:$A$49,0),MATCH(orders!K$1,products!$A$1:$D$1,0))</f>
        <v>M</v>
      </c>
      <c r="L21" t="str">
        <f t="shared" si="1"/>
        <v>Medium</v>
      </c>
      <c r="M21">
        <f>INDEX(products!$A$1:$I$49,MATCH(orders!$D21,products!$A$1:$A$49,0),MATCH(orders!M$1,products!$A$1:$D$1,0))</f>
        <v>0.2</v>
      </c>
      <c r="N21">
        <f>_xlfn.XLOOKUP(D21,products!$A$2:$A$49,products!$E$2:$E$49)</f>
        <v>3.375</v>
      </c>
      <c r="O21">
        <f>_xlfn.XLOOKUP(D21,products!$A$2:$A$49,products!$H$2:$H$49)</f>
        <v>3.07125</v>
      </c>
      <c r="P21">
        <f t="shared" si="2"/>
        <v>16.875</v>
      </c>
      <c r="Q21">
        <f t="shared" si="3"/>
        <v>15.356249999999999</v>
      </c>
      <c r="R21">
        <f t="shared" si="4"/>
        <v>1.5187500000000007</v>
      </c>
      <c r="S21" s="4">
        <f t="shared" si="5"/>
        <v>9.0000000000000038E-2</v>
      </c>
      <c r="T21" t="str">
        <f>_xlfn.XLOOKUP(C21,customers!$A$1:$A$1001,customers!$I$1:$I$1001,,0)</f>
        <v>Yes</v>
      </c>
    </row>
    <row r="22" spans="1:20"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INDEX(products!$A$1:$I$49,MATCH(orders!$D22,products!$A$1:$A$49,0),MATCH(orders!I$1,products!$A$1:$D$1,0))</f>
        <v>Exc</v>
      </c>
      <c r="J22" t="str">
        <f t="shared" si="0"/>
        <v>Excelsa</v>
      </c>
      <c r="K22" t="str">
        <f>INDEX(products!$A$1:$I$49,MATCH(orders!$D22,products!$A$1:$A$49,0),MATCH(orders!K$1,products!$A$1:$D$1,0))</f>
        <v>D</v>
      </c>
      <c r="L22" t="str">
        <f t="shared" si="1"/>
        <v>Dark</v>
      </c>
      <c r="M22">
        <f>INDEX(products!$A$1:$I$49,MATCH(orders!$D22,products!$A$1:$A$49,0),MATCH(orders!M$1,products!$A$1:$D$1,0))</f>
        <v>0.2</v>
      </c>
      <c r="N22">
        <f>_xlfn.XLOOKUP(D22,products!$A$2:$A$49,products!$E$2:$E$49)</f>
        <v>3.645</v>
      </c>
      <c r="O22">
        <f>_xlfn.XLOOKUP(D22,products!$A$2:$A$49,products!$H$2:$H$49)</f>
        <v>3.2440500000000001</v>
      </c>
      <c r="P22">
        <f t="shared" si="2"/>
        <v>14.58</v>
      </c>
      <c r="Q22">
        <f t="shared" si="3"/>
        <v>12.9762</v>
      </c>
      <c r="R22">
        <f t="shared" si="4"/>
        <v>1.6037999999999997</v>
      </c>
      <c r="S22" s="4">
        <f t="shared" si="5"/>
        <v>0.10999999999999997</v>
      </c>
      <c r="T22" t="str">
        <f>_xlfn.XLOOKUP(C22,customers!$A$1:$A$1001,customers!$I$1:$I$1001,,0)</f>
        <v>Yes</v>
      </c>
    </row>
    <row r="23" spans="1:20"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INDEX(products!$A$1:$I$49,MATCH(orders!$D23,products!$A$1:$A$49,0),MATCH(orders!I$1,products!$A$1:$D$1,0))</f>
        <v>Ara</v>
      </c>
      <c r="J23" t="str">
        <f t="shared" si="0"/>
        <v>Arabica</v>
      </c>
      <c r="K23" t="str">
        <f>INDEX(products!$A$1:$I$49,MATCH(orders!$D23,products!$A$1:$A$49,0),MATCH(orders!K$1,products!$A$1:$D$1,0))</f>
        <v>D</v>
      </c>
      <c r="L23" t="str">
        <f t="shared" si="1"/>
        <v>Dark</v>
      </c>
      <c r="M23">
        <f>INDEX(products!$A$1:$I$49,MATCH(orders!$D23,products!$A$1:$A$49,0),MATCH(orders!M$1,products!$A$1:$D$1,0))</f>
        <v>0.2</v>
      </c>
      <c r="N23">
        <f>_xlfn.XLOOKUP(D23,products!$A$2:$A$49,products!$E$2:$E$49)</f>
        <v>2.9849999999999999</v>
      </c>
      <c r="O23">
        <f>_xlfn.XLOOKUP(D23,products!$A$2:$A$49,products!$H$2:$H$49)</f>
        <v>2.7163499999999998</v>
      </c>
      <c r="P23">
        <f t="shared" si="2"/>
        <v>17.91</v>
      </c>
      <c r="Q23">
        <f t="shared" si="3"/>
        <v>16.298099999999998</v>
      </c>
      <c r="R23">
        <f t="shared" si="4"/>
        <v>1.6119000000000021</v>
      </c>
      <c r="S23" s="4">
        <f t="shared" si="5"/>
        <v>9.0000000000000122E-2</v>
      </c>
      <c r="T23" t="str">
        <f>_xlfn.XLOOKUP(C23,customers!$A$1:$A$1001,customers!$I$1:$I$1001,,0)</f>
        <v>No</v>
      </c>
    </row>
    <row r="24" spans="1:20"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INDEX(products!$A$1:$I$49,MATCH(orders!$D24,products!$A$1:$A$49,0),MATCH(orders!I$1,products!$A$1:$D$1,0))</f>
        <v>Rob</v>
      </c>
      <c r="J24" t="str">
        <f t="shared" si="0"/>
        <v>Robusta</v>
      </c>
      <c r="K24" t="str">
        <f>INDEX(products!$A$1:$I$49,MATCH(orders!$D24,products!$A$1:$A$49,0),MATCH(orders!K$1,products!$A$1:$D$1,0))</f>
        <v>M</v>
      </c>
      <c r="L24" t="str">
        <f t="shared" si="1"/>
        <v>Medium</v>
      </c>
      <c r="M24">
        <f>INDEX(products!$A$1:$I$49,MATCH(orders!$D24,products!$A$1:$A$49,0),MATCH(orders!M$1,products!$A$1:$D$1,0))</f>
        <v>2.5</v>
      </c>
      <c r="N24">
        <f>_xlfn.XLOOKUP(D24,products!$A$2:$A$49,products!$E$2:$E$49)</f>
        <v>22.884999999999998</v>
      </c>
      <c r="O24">
        <f>_xlfn.XLOOKUP(D24,products!$A$2:$A$49,products!$H$2:$H$49)</f>
        <v>21.511899999999997</v>
      </c>
      <c r="P24">
        <f t="shared" si="2"/>
        <v>91.539999999999992</v>
      </c>
      <c r="Q24">
        <f t="shared" si="3"/>
        <v>86.047599999999989</v>
      </c>
      <c r="R24">
        <f t="shared" si="4"/>
        <v>5.4924000000000035</v>
      </c>
      <c r="S24" s="4">
        <f t="shared" si="5"/>
        <v>6.0000000000000046E-2</v>
      </c>
      <c r="T24" t="str">
        <f>_xlfn.XLOOKUP(C24,customers!$A$1:$A$1001,customers!$I$1:$I$1001,,0)</f>
        <v>Yes</v>
      </c>
    </row>
    <row r="25" spans="1:20"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INDEX(products!$A$1:$I$49,MATCH(orders!$D25,products!$A$1:$A$49,0),MATCH(orders!I$1,products!$A$1:$D$1,0))</f>
        <v>Ara</v>
      </c>
      <c r="J25" t="str">
        <f t="shared" si="0"/>
        <v>Arabica</v>
      </c>
      <c r="K25" t="str">
        <f>INDEX(products!$A$1:$I$49,MATCH(orders!$D25,products!$A$1:$A$49,0),MATCH(orders!K$1,products!$A$1:$D$1,0))</f>
        <v>D</v>
      </c>
      <c r="L25" t="str">
        <f t="shared" si="1"/>
        <v>Dark</v>
      </c>
      <c r="M25">
        <f>INDEX(products!$A$1:$I$49,MATCH(orders!$D25,products!$A$1:$A$49,0),MATCH(orders!M$1,products!$A$1:$D$1,0))</f>
        <v>0.2</v>
      </c>
      <c r="N25">
        <f>_xlfn.XLOOKUP(D25,products!$A$2:$A$49,products!$E$2:$E$49)</f>
        <v>2.9849999999999999</v>
      </c>
      <c r="O25">
        <f>_xlfn.XLOOKUP(D25,products!$A$2:$A$49,products!$H$2:$H$49)</f>
        <v>2.7163499999999998</v>
      </c>
      <c r="P25">
        <f t="shared" si="2"/>
        <v>11.94</v>
      </c>
      <c r="Q25">
        <f t="shared" si="3"/>
        <v>10.865399999999999</v>
      </c>
      <c r="R25">
        <f t="shared" si="4"/>
        <v>1.0746000000000002</v>
      </c>
      <c r="S25" s="4">
        <f t="shared" si="5"/>
        <v>9.0000000000000024E-2</v>
      </c>
      <c r="T25" t="str">
        <f>_xlfn.XLOOKUP(C25,customers!$A$1:$A$1001,customers!$I$1:$I$1001,,0)</f>
        <v>Yes</v>
      </c>
    </row>
    <row r="26" spans="1:20"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INDEX(products!$A$1:$I$49,MATCH(orders!$D26,products!$A$1:$A$49,0),MATCH(orders!I$1,products!$A$1:$D$1,0))</f>
        <v>Ara</v>
      </c>
      <c r="J26" t="str">
        <f t="shared" si="0"/>
        <v>Arabica</v>
      </c>
      <c r="K26" t="str">
        <f>INDEX(products!$A$1:$I$49,MATCH(orders!$D26,products!$A$1:$A$49,0),MATCH(orders!K$1,products!$A$1:$D$1,0))</f>
        <v>M</v>
      </c>
      <c r="L26" t="str">
        <f t="shared" si="1"/>
        <v>Medium</v>
      </c>
      <c r="M26">
        <f>INDEX(products!$A$1:$I$49,MATCH(orders!$D26,products!$A$1:$A$49,0),MATCH(orders!M$1,products!$A$1:$D$1,0))</f>
        <v>1</v>
      </c>
      <c r="N26">
        <f>_xlfn.XLOOKUP(D26,products!$A$2:$A$49,products!$E$2:$E$49)</f>
        <v>11.25</v>
      </c>
      <c r="O26">
        <f>_xlfn.XLOOKUP(D26,products!$A$2:$A$49,products!$H$2:$H$49)</f>
        <v>10.237500000000001</v>
      </c>
      <c r="P26">
        <f t="shared" si="2"/>
        <v>11.25</v>
      </c>
      <c r="Q26">
        <f t="shared" si="3"/>
        <v>10.237500000000001</v>
      </c>
      <c r="R26">
        <f t="shared" si="4"/>
        <v>1.0124999999999993</v>
      </c>
      <c r="S26" s="4">
        <f t="shared" si="5"/>
        <v>8.9999999999999941E-2</v>
      </c>
      <c r="T26" t="str">
        <f>_xlfn.XLOOKUP(C26,customers!$A$1:$A$1001,customers!$I$1:$I$1001,,0)</f>
        <v>No</v>
      </c>
    </row>
    <row r="27" spans="1:20"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v>
      </c>
      <c r="H27" s="2" t="str">
        <f>_xlfn.XLOOKUP(C27,customers!$A$1:$A$1001,customers!$G$1:$G$1001,,0)</f>
        <v>United States</v>
      </c>
      <c r="I27" t="str">
        <f>INDEX(products!$A$1:$I$49,MATCH(orders!$D27,products!$A$1:$A$49,0),MATCH(orders!I$1,products!$A$1:$D$1,0))</f>
        <v>Exc</v>
      </c>
      <c r="J27" t="str">
        <f t="shared" si="0"/>
        <v>Excelsa</v>
      </c>
      <c r="K27" t="str">
        <f>INDEX(products!$A$1:$I$49,MATCH(orders!$D27,products!$A$1:$A$49,0),MATCH(orders!K$1,products!$A$1:$D$1,0))</f>
        <v>M</v>
      </c>
      <c r="L27" t="str">
        <f t="shared" si="1"/>
        <v>Medium</v>
      </c>
      <c r="M27">
        <f>INDEX(products!$A$1:$I$49,MATCH(orders!$D27,products!$A$1:$A$49,0),MATCH(orders!M$1,products!$A$1:$D$1,0))</f>
        <v>0.2</v>
      </c>
      <c r="N27">
        <f>_xlfn.XLOOKUP(D27,products!$A$2:$A$49,products!$E$2:$E$49)</f>
        <v>4.125</v>
      </c>
      <c r="O27">
        <f>_xlfn.XLOOKUP(D27,products!$A$2:$A$49,products!$H$2:$H$49)</f>
        <v>3.6712500000000001</v>
      </c>
      <c r="P27">
        <f t="shared" si="2"/>
        <v>12.375</v>
      </c>
      <c r="Q27">
        <f t="shared" si="3"/>
        <v>11.01375</v>
      </c>
      <c r="R27">
        <f t="shared" si="4"/>
        <v>1.3612500000000001</v>
      </c>
      <c r="S27" s="4">
        <f t="shared" si="5"/>
        <v>0.11</v>
      </c>
      <c r="T27" t="str">
        <f>_xlfn.XLOOKUP(C27,customers!$A$1:$A$1001,customers!$I$1:$I$1001,,0)</f>
        <v>Yes</v>
      </c>
    </row>
    <row r="28" spans="1:20"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INDEX(products!$A$1:$I$49,MATCH(orders!$D28,products!$A$1:$A$49,0),MATCH(orders!I$1,products!$A$1:$D$1,0))</f>
        <v>Ara</v>
      </c>
      <c r="J28" t="str">
        <f t="shared" si="0"/>
        <v>Arabica</v>
      </c>
      <c r="K28" t="str">
        <f>INDEX(products!$A$1:$I$49,MATCH(orders!$D28,products!$A$1:$A$49,0),MATCH(orders!K$1,products!$A$1:$D$1,0))</f>
        <v>M</v>
      </c>
      <c r="L28" t="str">
        <f t="shared" si="1"/>
        <v>Medium</v>
      </c>
      <c r="M28">
        <f>INDEX(products!$A$1:$I$49,MATCH(orders!$D28,products!$A$1:$A$49,0),MATCH(orders!M$1,products!$A$1:$D$1,0))</f>
        <v>0.5</v>
      </c>
      <c r="N28">
        <f>_xlfn.XLOOKUP(D28,products!$A$2:$A$49,products!$E$2:$E$49)</f>
        <v>6.75</v>
      </c>
      <c r="O28">
        <f>_xlfn.XLOOKUP(D28,products!$A$2:$A$49,products!$H$2:$H$49)</f>
        <v>6.1425000000000001</v>
      </c>
      <c r="P28">
        <f t="shared" si="2"/>
        <v>27</v>
      </c>
      <c r="Q28">
        <f t="shared" si="3"/>
        <v>24.57</v>
      </c>
      <c r="R28">
        <f t="shared" si="4"/>
        <v>2.4299999999999997</v>
      </c>
      <c r="S28" s="4">
        <f t="shared" si="5"/>
        <v>8.9999999999999983E-2</v>
      </c>
      <c r="T28" t="str">
        <f>_xlfn.XLOOKUP(C28,customers!$A$1:$A$1001,customers!$I$1:$I$1001,,0)</f>
        <v>Yes</v>
      </c>
    </row>
    <row r="29" spans="1:20"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INDEX(products!$A$1:$I$49,MATCH(orders!$D29,products!$A$1:$A$49,0),MATCH(orders!I$1,products!$A$1:$D$1,0))</f>
        <v>Ara</v>
      </c>
      <c r="J29" t="str">
        <f t="shared" si="0"/>
        <v>Arabica</v>
      </c>
      <c r="K29" t="str">
        <f>INDEX(products!$A$1:$I$49,MATCH(orders!$D29,products!$A$1:$A$49,0),MATCH(orders!K$1,products!$A$1:$D$1,0))</f>
        <v>M</v>
      </c>
      <c r="L29" t="str">
        <f t="shared" si="1"/>
        <v>Medium</v>
      </c>
      <c r="M29">
        <f>INDEX(products!$A$1:$I$49,MATCH(orders!$D29,products!$A$1:$A$49,0),MATCH(orders!M$1,products!$A$1:$D$1,0))</f>
        <v>0.2</v>
      </c>
      <c r="N29">
        <f>_xlfn.XLOOKUP(D29,products!$A$2:$A$49,products!$E$2:$E$49)</f>
        <v>3.375</v>
      </c>
      <c r="O29">
        <f>_xlfn.XLOOKUP(D29,products!$A$2:$A$49,products!$H$2:$H$49)</f>
        <v>3.07125</v>
      </c>
      <c r="P29">
        <f t="shared" si="2"/>
        <v>16.875</v>
      </c>
      <c r="Q29">
        <f t="shared" si="3"/>
        <v>15.356249999999999</v>
      </c>
      <c r="R29">
        <f t="shared" si="4"/>
        <v>1.5187500000000007</v>
      </c>
      <c r="S29" s="4">
        <f t="shared" si="5"/>
        <v>9.0000000000000038E-2</v>
      </c>
      <c r="T29" t="str">
        <f>_xlfn.XLOOKUP(C29,customers!$A$1:$A$1001,customers!$I$1:$I$1001,,0)</f>
        <v>No</v>
      </c>
    </row>
    <row r="30" spans="1:20"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INDEX(products!$A$1:$I$49,MATCH(orders!$D30,products!$A$1:$A$49,0),MATCH(orders!I$1,products!$A$1:$D$1,0))</f>
        <v>Ara</v>
      </c>
      <c r="J30" t="str">
        <f t="shared" si="0"/>
        <v>Arabica</v>
      </c>
      <c r="K30" t="str">
        <f>INDEX(products!$A$1:$I$49,MATCH(orders!$D30,products!$A$1:$A$49,0),MATCH(orders!K$1,products!$A$1:$D$1,0))</f>
        <v>D</v>
      </c>
      <c r="L30" t="str">
        <f t="shared" si="1"/>
        <v>Dark</v>
      </c>
      <c r="M30">
        <f>INDEX(products!$A$1:$I$49,MATCH(orders!$D30,products!$A$1:$A$49,0),MATCH(orders!M$1,products!$A$1:$D$1,0))</f>
        <v>0.5</v>
      </c>
      <c r="N30">
        <f>_xlfn.XLOOKUP(D30,products!$A$2:$A$49,products!$E$2:$E$49)</f>
        <v>5.97</v>
      </c>
      <c r="O30">
        <f>_xlfn.XLOOKUP(D30,products!$A$2:$A$49,products!$H$2:$H$49)</f>
        <v>5.4326999999999996</v>
      </c>
      <c r="P30">
        <f t="shared" si="2"/>
        <v>17.91</v>
      </c>
      <c r="Q30">
        <f t="shared" si="3"/>
        <v>16.298099999999998</v>
      </c>
      <c r="R30">
        <f t="shared" si="4"/>
        <v>1.6119000000000021</v>
      </c>
      <c r="S30" s="4">
        <f t="shared" si="5"/>
        <v>9.0000000000000122E-2</v>
      </c>
      <c r="T30" t="str">
        <f>_xlfn.XLOOKUP(C30,customers!$A$1:$A$1001,customers!$I$1:$I$1001,,0)</f>
        <v>No</v>
      </c>
    </row>
    <row r="31" spans="1:20"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INDEX(products!$A$1:$I$49,MATCH(orders!$D31,products!$A$1:$A$49,0),MATCH(orders!I$1,products!$A$1:$D$1,0))</f>
        <v>Ara</v>
      </c>
      <c r="J31" t="str">
        <f t="shared" si="0"/>
        <v>Arabica</v>
      </c>
      <c r="K31" t="str">
        <f>INDEX(products!$A$1:$I$49,MATCH(orders!$D31,products!$A$1:$A$49,0),MATCH(orders!K$1,products!$A$1:$D$1,0))</f>
        <v>D</v>
      </c>
      <c r="L31" t="str">
        <f t="shared" si="1"/>
        <v>Dark</v>
      </c>
      <c r="M31">
        <f>INDEX(products!$A$1:$I$49,MATCH(orders!$D31,products!$A$1:$A$49,0),MATCH(orders!M$1,products!$A$1:$D$1,0))</f>
        <v>1</v>
      </c>
      <c r="N31">
        <f>_xlfn.XLOOKUP(D31,products!$A$2:$A$49,products!$E$2:$E$49)</f>
        <v>9.9499999999999993</v>
      </c>
      <c r="O31">
        <f>_xlfn.XLOOKUP(D31,products!$A$2:$A$49,products!$H$2:$H$49)</f>
        <v>9.0544999999999991</v>
      </c>
      <c r="P31">
        <f t="shared" si="2"/>
        <v>39.799999999999997</v>
      </c>
      <c r="Q31">
        <f t="shared" si="3"/>
        <v>36.217999999999996</v>
      </c>
      <c r="R31">
        <f t="shared" si="4"/>
        <v>3.5820000000000007</v>
      </c>
      <c r="S31" s="4">
        <f t="shared" si="5"/>
        <v>9.0000000000000024E-2</v>
      </c>
      <c r="T31" t="str">
        <f>_xlfn.XLOOKUP(C31,customers!$A$1:$A$1001,customers!$I$1:$I$1001,,0)</f>
        <v>Yes</v>
      </c>
    </row>
    <row r="32" spans="1:20"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v>
      </c>
      <c r="H32" s="2" t="str">
        <f>_xlfn.XLOOKUP(C32,customers!$A$1:$A$1001,customers!$G$1:$G$1001,,0)</f>
        <v>United States</v>
      </c>
      <c r="I32" t="str">
        <f>INDEX(products!$A$1:$I$49,MATCH(orders!$D32,products!$A$1:$A$49,0),MATCH(orders!I$1,products!$A$1:$D$1,0))</f>
        <v>Lib</v>
      </c>
      <c r="J32" t="str">
        <f t="shared" si="0"/>
        <v>Liberica</v>
      </c>
      <c r="K32" t="str">
        <f>INDEX(products!$A$1:$I$49,MATCH(orders!$D32,products!$A$1:$A$49,0),MATCH(orders!K$1,products!$A$1:$D$1,0))</f>
        <v>M</v>
      </c>
      <c r="L32" t="str">
        <f t="shared" si="1"/>
        <v>Medium</v>
      </c>
      <c r="M32">
        <f>INDEX(products!$A$1:$I$49,MATCH(orders!$D32,products!$A$1:$A$49,0),MATCH(orders!M$1,products!$A$1:$D$1,0))</f>
        <v>0.2</v>
      </c>
      <c r="N32">
        <f>_xlfn.XLOOKUP(D32,products!$A$2:$A$49,products!$E$2:$E$49)</f>
        <v>4.3650000000000002</v>
      </c>
      <c r="O32">
        <f>_xlfn.XLOOKUP(D32,products!$A$2:$A$49,products!$H$2:$H$49)</f>
        <v>3.7975500000000002</v>
      </c>
      <c r="P32">
        <f t="shared" si="2"/>
        <v>21.825000000000003</v>
      </c>
      <c r="Q32">
        <f t="shared" si="3"/>
        <v>18.987750000000002</v>
      </c>
      <c r="R32">
        <f t="shared" si="4"/>
        <v>2.8372500000000009</v>
      </c>
      <c r="S32" s="4">
        <f t="shared" si="5"/>
        <v>0.13000000000000003</v>
      </c>
      <c r="T32" t="str">
        <f>_xlfn.XLOOKUP(C32,customers!$A$1:$A$1001,customers!$I$1:$I$1001,,0)</f>
        <v>No</v>
      </c>
    </row>
    <row r="33" spans="1:20"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v>
      </c>
      <c r="H33" s="2" t="str">
        <f>_xlfn.XLOOKUP(C33,customers!$A$1:$A$1001,customers!$G$1:$G$1001,,0)</f>
        <v>United States</v>
      </c>
      <c r="I33" t="str">
        <f>INDEX(products!$A$1:$I$49,MATCH(orders!$D33,products!$A$1:$A$49,0),MATCH(orders!I$1,products!$A$1:$D$1,0))</f>
        <v>Ara</v>
      </c>
      <c r="J33" t="str">
        <f t="shared" si="0"/>
        <v>Arabica</v>
      </c>
      <c r="K33" t="str">
        <f>INDEX(products!$A$1:$I$49,MATCH(orders!$D33,products!$A$1:$A$49,0),MATCH(orders!K$1,products!$A$1:$D$1,0))</f>
        <v>D</v>
      </c>
      <c r="L33" t="str">
        <f t="shared" si="1"/>
        <v>Dark</v>
      </c>
      <c r="M33">
        <f>INDEX(products!$A$1:$I$49,MATCH(orders!$D33,products!$A$1:$A$49,0),MATCH(orders!M$1,products!$A$1:$D$1,0))</f>
        <v>0.5</v>
      </c>
      <c r="N33">
        <f>_xlfn.XLOOKUP(D33,products!$A$2:$A$49,products!$E$2:$E$49)</f>
        <v>5.97</v>
      </c>
      <c r="O33">
        <f>_xlfn.XLOOKUP(D33,products!$A$2:$A$49,products!$H$2:$H$49)</f>
        <v>5.4326999999999996</v>
      </c>
      <c r="P33">
        <f t="shared" si="2"/>
        <v>35.82</v>
      </c>
      <c r="Q33">
        <f t="shared" si="3"/>
        <v>32.596199999999996</v>
      </c>
      <c r="R33">
        <f t="shared" si="4"/>
        <v>3.2238000000000042</v>
      </c>
      <c r="S33" s="4">
        <f t="shared" si="5"/>
        <v>9.0000000000000122E-2</v>
      </c>
      <c r="T33" t="str">
        <f>_xlfn.XLOOKUP(C33,customers!$A$1:$A$1001,customers!$I$1:$I$1001,,0)</f>
        <v>No</v>
      </c>
    </row>
    <row r="34" spans="1:20"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v>
      </c>
      <c r="H34" s="2" t="str">
        <f>_xlfn.XLOOKUP(C34,customers!$A$1:$A$1001,customers!$G$1:$G$1001,,0)</f>
        <v>United States</v>
      </c>
      <c r="I34" t="str">
        <f>INDEX(products!$A$1:$I$49,MATCH(orders!$D34,products!$A$1:$A$49,0),MATCH(orders!I$1,products!$A$1:$D$1,0))</f>
        <v>Lib</v>
      </c>
      <c r="J34" t="str">
        <f t="shared" si="0"/>
        <v>Liberica</v>
      </c>
      <c r="K34" t="str">
        <f>INDEX(products!$A$1:$I$49,MATCH(orders!$D34,products!$A$1:$A$49,0),MATCH(orders!K$1,products!$A$1:$D$1,0))</f>
        <v>M</v>
      </c>
      <c r="L34" t="str">
        <f t="shared" si="1"/>
        <v>Medium</v>
      </c>
      <c r="M34">
        <f>INDEX(products!$A$1:$I$49,MATCH(orders!$D34,products!$A$1:$A$49,0),MATCH(orders!M$1,products!$A$1:$D$1,0))</f>
        <v>0.5</v>
      </c>
      <c r="N34">
        <f>_xlfn.XLOOKUP(D34,products!$A$2:$A$49,products!$E$2:$E$49)</f>
        <v>8.73</v>
      </c>
      <c r="O34">
        <f>_xlfn.XLOOKUP(D34,products!$A$2:$A$49,products!$H$2:$H$49)</f>
        <v>7.5951000000000004</v>
      </c>
      <c r="P34">
        <f t="shared" si="2"/>
        <v>52.38</v>
      </c>
      <c r="Q34">
        <f t="shared" si="3"/>
        <v>45.570599999999999</v>
      </c>
      <c r="R34">
        <f t="shared" si="4"/>
        <v>6.8094000000000037</v>
      </c>
      <c r="S34" s="4">
        <f t="shared" si="5"/>
        <v>0.13000000000000006</v>
      </c>
      <c r="T34" t="str">
        <f>_xlfn.XLOOKUP(C34,customers!$A$1:$A$1001,customers!$I$1:$I$1001,,0)</f>
        <v>No</v>
      </c>
    </row>
    <row r="35" spans="1:20"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INDEX(products!$A$1:$I$49,MATCH(orders!$D35,products!$A$1:$A$49,0),MATCH(orders!I$1,products!$A$1:$D$1,0))</f>
        <v>Lib</v>
      </c>
      <c r="J35" t="str">
        <f t="shared" si="0"/>
        <v>Liberica</v>
      </c>
      <c r="K35" t="str">
        <f>INDEX(products!$A$1:$I$49,MATCH(orders!$D35,products!$A$1:$A$49,0),MATCH(orders!K$1,products!$A$1:$D$1,0))</f>
        <v>L</v>
      </c>
      <c r="L35" t="str">
        <f t="shared" si="1"/>
        <v>Light</v>
      </c>
      <c r="M35">
        <f>INDEX(products!$A$1:$I$49,MATCH(orders!$D35,products!$A$1:$A$49,0),MATCH(orders!M$1,products!$A$1:$D$1,0))</f>
        <v>0.2</v>
      </c>
      <c r="N35">
        <f>_xlfn.XLOOKUP(D35,products!$A$2:$A$49,products!$E$2:$E$49)</f>
        <v>4.7549999999999999</v>
      </c>
      <c r="O35">
        <f>_xlfn.XLOOKUP(D35,products!$A$2:$A$49,products!$H$2:$H$49)</f>
        <v>4.1368499999999999</v>
      </c>
      <c r="P35">
        <f t="shared" si="2"/>
        <v>23.774999999999999</v>
      </c>
      <c r="Q35">
        <f t="shared" si="3"/>
        <v>20.684249999999999</v>
      </c>
      <c r="R35">
        <f t="shared" si="4"/>
        <v>3.0907499999999999</v>
      </c>
      <c r="S35" s="4">
        <f t="shared" si="5"/>
        <v>0.13</v>
      </c>
      <c r="T35" t="str">
        <f>_xlfn.XLOOKUP(C35,customers!$A$1:$A$1001,customers!$I$1:$I$1001,,0)</f>
        <v>No</v>
      </c>
    </row>
    <row r="36" spans="1:20"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INDEX(products!$A$1:$I$49,MATCH(orders!$D36,products!$A$1:$A$49,0),MATCH(orders!I$1,products!$A$1:$D$1,0))</f>
        <v>Lib</v>
      </c>
      <c r="J36" t="str">
        <f t="shared" si="0"/>
        <v>Liberica</v>
      </c>
      <c r="K36" t="str">
        <f>INDEX(products!$A$1:$I$49,MATCH(orders!$D36,products!$A$1:$A$49,0),MATCH(orders!K$1,products!$A$1:$D$1,0))</f>
        <v>L</v>
      </c>
      <c r="L36" t="str">
        <f t="shared" si="1"/>
        <v>Light</v>
      </c>
      <c r="M36">
        <f>INDEX(products!$A$1:$I$49,MATCH(orders!$D36,products!$A$1:$A$49,0),MATCH(orders!M$1,products!$A$1:$D$1,0))</f>
        <v>0.5</v>
      </c>
      <c r="N36">
        <f>_xlfn.XLOOKUP(D36,products!$A$2:$A$49,products!$E$2:$E$49)</f>
        <v>9.51</v>
      </c>
      <c r="O36">
        <f>_xlfn.XLOOKUP(D36,products!$A$2:$A$49,products!$H$2:$H$49)</f>
        <v>8.2736999999999998</v>
      </c>
      <c r="P36">
        <f t="shared" si="2"/>
        <v>57.06</v>
      </c>
      <c r="Q36">
        <f t="shared" si="3"/>
        <v>49.642200000000003</v>
      </c>
      <c r="R36">
        <f t="shared" si="4"/>
        <v>7.4177999999999997</v>
      </c>
      <c r="S36" s="4">
        <f t="shared" si="5"/>
        <v>0.12999999999999998</v>
      </c>
      <c r="T36" t="str">
        <f>_xlfn.XLOOKUP(C36,customers!$A$1:$A$1001,customers!$I$1:$I$1001,,0)</f>
        <v>Yes</v>
      </c>
    </row>
    <row r="37" spans="1:20"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INDEX(products!$A$1:$I$49,MATCH(orders!$D37,products!$A$1:$A$49,0),MATCH(orders!I$1,products!$A$1:$D$1,0))</f>
        <v>Ara</v>
      </c>
      <c r="J37" t="str">
        <f t="shared" si="0"/>
        <v>Arabica</v>
      </c>
      <c r="K37" t="str">
        <f>INDEX(products!$A$1:$I$49,MATCH(orders!$D37,products!$A$1:$A$49,0),MATCH(orders!K$1,products!$A$1:$D$1,0))</f>
        <v>D</v>
      </c>
      <c r="L37" t="str">
        <f t="shared" si="1"/>
        <v>Dark</v>
      </c>
      <c r="M37">
        <f>INDEX(products!$A$1:$I$49,MATCH(orders!$D37,products!$A$1:$A$49,0),MATCH(orders!M$1,products!$A$1:$D$1,0))</f>
        <v>0.5</v>
      </c>
      <c r="N37">
        <f>_xlfn.XLOOKUP(D37,products!$A$2:$A$49,products!$E$2:$E$49)</f>
        <v>5.97</v>
      </c>
      <c r="O37">
        <f>_xlfn.XLOOKUP(D37,products!$A$2:$A$49,products!$H$2:$H$49)</f>
        <v>5.4326999999999996</v>
      </c>
      <c r="P37">
        <f t="shared" si="2"/>
        <v>35.82</v>
      </c>
      <c r="Q37">
        <f t="shared" si="3"/>
        <v>32.596199999999996</v>
      </c>
      <c r="R37">
        <f t="shared" si="4"/>
        <v>3.2238000000000042</v>
      </c>
      <c r="S37" s="4">
        <f t="shared" si="5"/>
        <v>9.0000000000000122E-2</v>
      </c>
      <c r="T37" t="str">
        <f>_xlfn.XLOOKUP(C37,customers!$A$1:$A$1001,customers!$I$1:$I$1001,,0)</f>
        <v>No</v>
      </c>
    </row>
    <row r="38" spans="1:20"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INDEX(products!$A$1:$I$49,MATCH(orders!$D38,products!$A$1:$A$49,0),MATCH(orders!I$1,products!$A$1:$D$1,0))</f>
        <v>Lib</v>
      </c>
      <c r="J38" t="str">
        <f t="shared" si="0"/>
        <v>Liberica</v>
      </c>
      <c r="K38" t="str">
        <f>INDEX(products!$A$1:$I$49,MATCH(orders!$D38,products!$A$1:$A$49,0),MATCH(orders!K$1,products!$A$1:$D$1,0))</f>
        <v>M</v>
      </c>
      <c r="L38" t="str">
        <f t="shared" si="1"/>
        <v>Medium</v>
      </c>
      <c r="M38">
        <f>INDEX(products!$A$1:$I$49,MATCH(orders!$D38,products!$A$1:$A$49,0),MATCH(orders!M$1,products!$A$1:$D$1,0))</f>
        <v>0.2</v>
      </c>
      <c r="N38">
        <f>_xlfn.XLOOKUP(D38,products!$A$2:$A$49,products!$E$2:$E$49)</f>
        <v>4.3650000000000002</v>
      </c>
      <c r="O38">
        <f>_xlfn.XLOOKUP(D38,products!$A$2:$A$49,products!$H$2:$H$49)</f>
        <v>3.7975500000000002</v>
      </c>
      <c r="P38">
        <f t="shared" si="2"/>
        <v>8.73</v>
      </c>
      <c r="Q38">
        <f t="shared" si="3"/>
        <v>7.5951000000000004</v>
      </c>
      <c r="R38">
        <f t="shared" si="4"/>
        <v>1.1349</v>
      </c>
      <c r="S38" s="4">
        <f t="shared" si="5"/>
        <v>0.13</v>
      </c>
      <c r="T38" t="str">
        <f>_xlfn.XLOOKUP(C38,customers!$A$1:$A$1001,customers!$I$1:$I$1001,,0)</f>
        <v>No</v>
      </c>
    </row>
    <row r="39" spans="1:20"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INDEX(products!$A$1:$I$49,MATCH(orders!$D39,products!$A$1:$A$49,0),MATCH(orders!I$1,products!$A$1:$D$1,0))</f>
        <v>Lib</v>
      </c>
      <c r="J39" t="str">
        <f t="shared" si="0"/>
        <v>Liberica</v>
      </c>
      <c r="K39" t="str">
        <f>INDEX(products!$A$1:$I$49,MATCH(orders!$D39,products!$A$1:$A$49,0),MATCH(orders!K$1,products!$A$1:$D$1,0))</f>
        <v>L</v>
      </c>
      <c r="L39" t="str">
        <f t="shared" si="1"/>
        <v>Light</v>
      </c>
      <c r="M39">
        <f>INDEX(products!$A$1:$I$49,MATCH(orders!$D39,products!$A$1:$A$49,0),MATCH(orders!M$1,products!$A$1:$D$1,0))</f>
        <v>0.5</v>
      </c>
      <c r="N39">
        <f>_xlfn.XLOOKUP(D39,products!$A$2:$A$49,products!$E$2:$E$49)</f>
        <v>9.51</v>
      </c>
      <c r="O39">
        <f>_xlfn.XLOOKUP(D39,products!$A$2:$A$49,products!$H$2:$H$49)</f>
        <v>8.2736999999999998</v>
      </c>
      <c r="P39">
        <f t="shared" si="2"/>
        <v>28.53</v>
      </c>
      <c r="Q39">
        <f t="shared" si="3"/>
        <v>24.821100000000001</v>
      </c>
      <c r="R39">
        <f t="shared" si="4"/>
        <v>3.7088999999999999</v>
      </c>
      <c r="S39" s="4">
        <f t="shared" si="5"/>
        <v>0.12999999999999998</v>
      </c>
      <c r="T39" t="str">
        <f>_xlfn.XLOOKUP(C39,customers!$A$1:$A$1001,customers!$I$1:$I$1001,,0)</f>
        <v>No</v>
      </c>
    </row>
    <row r="40" spans="1:20"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INDEX(products!$A$1:$I$49,MATCH(orders!$D40,products!$A$1:$A$49,0),MATCH(orders!I$1,products!$A$1:$D$1,0))</f>
        <v>Rob</v>
      </c>
      <c r="J40" t="str">
        <f t="shared" si="0"/>
        <v>Robusta</v>
      </c>
      <c r="K40" t="str">
        <f>INDEX(products!$A$1:$I$49,MATCH(orders!$D40,products!$A$1:$A$49,0),MATCH(orders!K$1,products!$A$1:$D$1,0))</f>
        <v>M</v>
      </c>
      <c r="L40" t="str">
        <f t="shared" si="1"/>
        <v>Medium</v>
      </c>
      <c r="M40">
        <f>INDEX(products!$A$1:$I$49,MATCH(orders!$D40,products!$A$1:$A$49,0),MATCH(orders!M$1,products!$A$1:$D$1,0))</f>
        <v>2.5</v>
      </c>
      <c r="N40">
        <f>_xlfn.XLOOKUP(D40,products!$A$2:$A$49,products!$E$2:$E$49)</f>
        <v>22.884999999999998</v>
      </c>
      <c r="O40">
        <f>_xlfn.XLOOKUP(D40,products!$A$2:$A$49,products!$H$2:$H$49)</f>
        <v>21.511899999999997</v>
      </c>
      <c r="P40">
        <f t="shared" si="2"/>
        <v>114.42499999999998</v>
      </c>
      <c r="Q40">
        <f t="shared" si="3"/>
        <v>107.55949999999999</v>
      </c>
      <c r="R40">
        <f t="shared" si="4"/>
        <v>6.8654999999999973</v>
      </c>
      <c r="S40" s="4">
        <f t="shared" si="5"/>
        <v>5.9999999999999984E-2</v>
      </c>
      <c r="T40" t="str">
        <f>_xlfn.XLOOKUP(C40,customers!$A$1:$A$1001,customers!$I$1:$I$1001,,0)</f>
        <v>No</v>
      </c>
    </row>
    <row r="41" spans="1:20"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v>
      </c>
      <c r="H41" s="2" t="str">
        <f>_xlfn.XLOOKUP(C41,customers!$A$1:$A$1001,customers!$G$1:$G$1001,,0)</f>
        <v>United States</v>
      </c>
      <c r="I41" t="str">
        <f>INDEX(products!$A$1:$I$49,MATCH(orders!$D41,products!$A$1:$A$49,0),MATCH(orders!I$1,products!$A$1:$D$1,0))</f>
        <v>Rob</v>
      </c>
      <c r="J41" t="str">
        <f t="shared" si="0"/>
        <v>Robusta</v>
      </c>
      <c r="K41" t="str">
        <f>INDEX(products!$A$1:$I$49,MATCH(orders!$D41,products!$A$1:$A$49,0),MATCH(orders!K$1,products!$A$1:$D$1,0))</f>
        <v>M</v>
      </c>
      <c r="L41" t="str">
        <f t="shared" si="1"/>
        <v>Medium</v>
      </c>
      <c r="M41">
        <f>INDEX(products!$A$1:$I$49,MATCH(orders!$D41,products!$A$1:$A$49,0),MATCH(orders!M$1,products!$A$1:$D$1,0))</f>
        <v>1</v>
      </c>
      <c r="N41">
        <f>_xlfn.XLOOKUP(D41,products!$A$2:$A$49,products!$E$2:$E$49)</f>
        <v>9.9499999999999993</v>
      </c>
      <c r="O41">
        <f>_xlfn.XLOOKUP(D41,products!$A$2:$A$49,products!$H$2:$H$49)</f>
        <v>9.3529999999999998</v>
      </c>
      <c r="P41">
        <f t="shared" si="2"/>
        <v>59.699999999999996</v>
      </c>
      <c r="Q41">
        <f t="shared" si="3"/>
        <v>56.117999999999995</v>
      </c>
      <c r="R41">
        <f t="shared" si="4"/>
        <v>3.5820000000000007</v>
      </c>
      <c r="S41" s="4">
        <f t="shared" si="5"/>
        <v>6.0000000000000019E-2</v>
      </c>
      <c r="T41" t="str">
        <f>_xlfn.XLOOKUP(C41,customers!$A$1:$A$1001,customers!$I$1:$I$1001,,0)</f>
        <v>Yes</v>
      </c>
    </row>
    <row r="42" spans="1:20"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v>
      </c>
      <c r="H42" s="2" t="str">
        <f>_xlfn.XLOOKUP(C42,customers!$A$1:$A$1001,customers!$G$1:$G$1001,,0)</f>
        <v>United States</v>
      </c>
      <c r="I42" t="str">
        <f>INDEX(products!$A$1:$I$49,MATCH(orders!$D42,products!$A$1:$A$49,0),MATCH(orders!I$1,products!$A$1:$D$1,0))</f>
        <v>Lib</v>
      </c>
      <c r="J42" t="str">
        <f t="shared" si="0"/>
        <v>Liberica</v>
      </c>
      <c r="K42" t="str">
        <f>INDEX(products!$A$1:$I$49,MATCH(orders!$D42,products!$A$1:$A$49,0),MATCH(orders!K$1,products!$A$1:$D$1,0))</f>
        <v>M</v>
      </c>
      <c r="L42" t="str">
        <f t="shared" si="1"/>
        <v>Medium</v>
      </c>
      <c r="M42">
        <f>INDEX(products!$A$1:$I$49,MATCH(orders!$D42,products!$A$1:$A$49,0),MATCH(orders!M$1,products!$A$1:$D$1,0))</f>
        <v>1</v>
      </c>
      <c r="N42">
        <f>_xlfn.XLOOKUP(D42,products!$A$2:$A$49,products!$E$2:$E$49)</f>
        <v>14.55</v>
      </c>
      <c r="O42">
        <f>_xlfn.XLOOKUP(D42,products!$A$2:$A$49,products!$H$2:$H$49)</f>
        <v>12.6585</v>
      </c>
      <c r="P42">
        <f t="shared" si="2"/>
        <v>43.650000000000006</v>
      </c>
      <c r="Q42">
        <f t="shared" si="3"/>
        <v>37.975499999999997</v>
      </c>
      <c r="R42">
        <f t="shared" si="4"/>
        <v>5.674500000000009</v>
      </c>
      <c r="S42" s="4">
        <f t="shared" si="5"/>
        <v>0.1300000000000002</v>
      </c>
      <c r="T42" t="str">
        <f>_xlfn.XLOOKUP(C42,customers!$A$1:$A$1001,customers!$I$1:$I$1001,,0)</f>
        <v>No</v>
      </c>
    </row>
    <row r="43" spans="1:20"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INDEX(products!$A$1:$I$49,MATCH(orders!$D43,products!$A$1:$A$49,0),MATCH(orders!I$1,products!$A$1:$D$1,0))</f>
        <v>Exc</v>
      </c>
      <c r="J43" t="str">
        <f t="shared" si="0"/>
        <v>Excelsa</v>
      </c>
      <c r="K43" t="str">
        <f>INDEX(products!$A$1:$I$49,MATCH(orders!$D43,products!$A$1:$A$49,0),MATCH(orders!K$1,products!$A$1:$D$1,0))</f>
        <v>D</v>
      </c>
      <c r="L43" t="str">
        <f t="shared" si="1"/>
        <v>Dark</v>
      </c>
      <c r="M43">
        <f>INDEX(products!$A$1:$I$49,MATCH(orders!$D43,products!$A$1:$A$49,0),MATCH(orders!M$1,products!$A$1:$D$1,0))</f>
        <v>0.2</v>
      </c>
      <c r="N43">
        <f>_xlfn.XLOOKUP(D43,products!$A$2:$A$49,products!$E$2:$E$49)</f>
        <v>3.645</v>
      </c>
      <c r="O43">
        <f>_xlfn.XLOOKUP(D43,products!$A$2:$A$49,products!$H$2:$H$49)</f>
        <v>3.2440500000000001</v>
      </c>
      <c r="P43">
        <f t="shared" si="2"/>
        <v>7.29</v>
      </c>
      <c r="Q43">
        <f t="shared" si="3"/>
        <v>6.4881000000000002</v>
      </c>
      <c r="R43">
        <f t="shared" si="4"/>
        <v>0.80189999999999984</v>
      </c>
      <c r="S43" s="4">
        <f t="shared" si="5"/>
        <v>0.10999999999999997</v>
      </c>
      <c r="T43" t="str">
        <f>_xlfn.XLOOKUP(C43,customers!$A$1:$A$1001,customers!$I$1:$I$1001,,0)</f>
        <v>Yes</v>
      </c>
    </row>
    <row r="44" spans="1:20"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INDEX(products!$A$1:$I$49,MATCH(orders!$D44,products!$A$1:$A$49,0),MATCH(orders!I$1,products!$A$1:$D$1,0))</f>
        <v>Rob</v>
      </c>
      <c r="J44" t="str">
        <f t="shared" si="0"/>
        <v>Robusta</v>
      </c>
      <c r="K44" t="str">
        <f>INDEX(products!$A$1:$I$49,MATCH(orders!$D44,products!$A$1:$A$49,0),MATCH(orders!K$1,products!$A$1:$D$1,0))</f>
        <v>D</v>
      </c>
      <c r="L44" t="str">
        <f t="shared" si="1"/>
        <v>Dark</v>
      </c>
      <c r="M44">
        <f>INDEX(products!$A$1:$I$49,MATCH(orders!$D44,products!$A$1:$A$49,0),MATCH(orders!M$1,products!$A$1:$D$1,0))</f>
        <v>0.2</v>
      </c>
      <c r="N44">
        <f>_xlfn.XLOOKUP(D44,products!$A$2:$A$49,products!$E$2:$E$49)</f>
        <v>2.6849999999999996</v>
      </c>
      <c r="O44">
        <f>_xlfn.XLOOKUP(D44,products!$A$2:$A$49,products!$H$2:$H$49)</f>
        <v>2.5238999999999998</v>
      </c>
      <c r="P44">
        <f t="shared" si="2"/>
        <v>8.0549999999999997</v>
      </c>
      <c r="Q44">
        <f t="shared" si="3"/>
        <v>7.5716999999999999</v>
      </c>
      <c r="R44">
        <f t="shared" si="4"/>
        <v>0.48329999999999984</v>
      </c>
      <c r="S44" s="4">
        <f t="shared" si="5"/>
        <v>5.9999999999999984E-2</v>
      </c>
      <c r="T44" t="str">
        <f>_xlfn.XLOOKUP(C44,customers!$A$1:$A$1001,customers!$I$1:$I$1001,,0)</f>
        <v>Yes</v>
      </c>
    </row>
    <row r="45" spans="1:20"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v>
      </c>
      <c r="H45" s="2" t="str">
        <f>_xlfn.XLOOKUP(C45,customers!$A$1:$A$1001,customers!$G$1:$G$1001,,0)</f>
        <v>United States</v>
      </c>
      <c r="I45" t="str">
        <f>INDEX(products!$A$1:$I$49,MATCH(orders!$D45,products!$A$1:$A$49,0),MATCH(orders!I$1,products!$A$1:$D$1,0))</f>
        <v>Lib</v>
      </c>
      <c r="J45" t="str">
        <f t="shared" si="0"/>
        <v>Liberica</v>
      </c>
      <c r="K45" t="str">
        <f>INDEX(products!$A$1:$I$49,MATCH(orders!$D45,products!$A$1:$A$49,0),MATCH(orders!K$1,products!$A$1:$D$1,0))</f>
        <v>L</v>
      </c>
      <c r="L45" t="str">
        <f t="shared" si="1"/>
        <v>Light</v>
      </c>
      <c r="M45">
        <f>INDEX(products!$A$1:$I$49,MATCH(orders!$D45,products!$A$1:$A$49,0),MATCH(orders!M$1,products!$A$1:$D$1,0))</f>
        <v>2.5</v>
      </c>
      <c r="N45">
        <f>_xlfn.XLOOKUP(D45,products!$A$2:$A$49,products!$E$2:$E$49)</f>
        <v>36.454999999999998</v>
      </c>
      <c r="O45">
        <f>_xlfn.XLOOKUP(D45,products!$A$2:$A$49,products!$H$2:$H$49)</f>
        <v>31.71585</v>
      </c>
      <c r="P45">
        <f t="shared" si="2"/>
        <v>72.91</v>
      </c>
      <c r="Q45">
        <f t="shared" si="3"/>
        <v>63.431699999999999</v>
      </c>
      <c r="R45">
        <f t="shared" si="4"/>
        <v>9.4782999999999973</v>
      </c>
      <c r="S45" s="4">
        <f t="shared" si="5"/>
        <v>0.12999999999999998</v>
      </c>
      <c r="T45" t="str">
        <f>_xlfn.XLOOKUP(C45,customers!$A$1:$A$1001,customers!$I$1:$I$1001,,0)</f>
        <v>No</v>
      </c>
    </row>
    <row r="46" spans="1:20"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INDEX(products!$A$1:$I$49,MATCH(orders!$D46,products!$A$1:$A$49,0),MATCH(orders!I$1,products!$A$1:$D$1,0))</f>
        <v>Exc</v>
      </c>
      <c r="J46" t="str">
        <f t="shared" si="0"/>
        <v>Excelsa</v>
      </c>
      <c r="K46" t="str">
        <f>INDEX(products!$A$1:$I$49,MATCH(orders!$D46,products!$A$1:$A$49,0),MATCH(orders!K$1,products!$A$1:$D$1,0))</f>
        <v>M</v>
      </c>
      <c r="L46" t="str">
        <f t="shared" si="1"/>
        <v>Medium</v>
      </c>
      <c r="M46">
        <f>INDEX(products!$A$1:$I$49,MATCH(orders!$D46,products!$A$1:$A$49,0),MATCH(orders!M$1,products!$A$1:$D$1,0))</f>
        <v>0.5</v>
      </c>
      <c r="N46">
        <f>_xlfn.XLOOKUP(D46,products!$A$2:$A$49,products!$E$2:$E$49)</f>
        <v>8.25</v>
      </c>
      <c r="O46">
        <f>_xlfn.XLOOKUP(D46,products!$A$2:$A$49,products!$H$2:$H$49)</f>
        <v>7.3425000000000002</v>
      </c>
      <c r="P46">
        <f t="shared" si="2"/>
        <v>16.5</v>
      </c>
      <c r="Q46">
        <f t="shared" si="3"/>
        <v>14.685</v>
      </c>
      <c r="R46">
        <f t="shared" si="4"/>
        <v>1.8149999999999995</v>
      </c>
      <c r="S46" s="4">
        <f t="shared" si="5"/>
        <v>0.10999999999999997</v>
      </c>
      <c r="T46" t="str">
        <f>_xlfn.XLOOKUP(C46,customers!$A$1:$A$1001,customers!$I$1:$I$1001,,0)</f>
        <v>Yes</v>
      </c>
    </row>
    <row r="47" spans="1:20"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INDEX(products!$A$1:$I$49,MATCH(orders!$D47,products!$A$1:$A$49,0),MATCH(orders!I$1,products!$A$1:$D$1,0))</f>
        <v>Lib</v>
      </c>
      <c r="J47" t="str">
        <f t="shared" si="0"/>
        <v>Liberica</v>
      </c>
      <c r="K47" t="str">
        <f>INDEX(products!$A$1:$I$49,MATCH(orders!$D47,products!$A$1:$A$49,0),MATCH(orders!K$1,products!$A$1:$D$1,0))</f>
        <v>D</v>
      </c>
      <c r="L47" t="str">
        <f t="shared" si="1"/>
        <v>Dark</v>
      </c>
      <c r="M47">
        <f>INDEX(products!$A$1:$I$49,MATCH(orders!$D47,products!$A$1:$A$49,0),MATCH(orders!M$1,products!$A$1:$D$1,0))</f>
        <v>2.5</v>
      </c>
      <c r="N47">
        <f>_xlfn.XLOOKUP(D47,products!$A$2:$A$49,products!$E$2:$E$49)</f>
        <v>29.784999999999997</v>
      </c>
      <c r="O47">
        <f>_xlfn.XLOOKUP(D47,products!$A$2:$A$49,products!$H$2:$H$49)</f>
        <v>25.912949999999995</v>
      </c>
      <c r="P47">
        <f t="shared" si="2"/>
        <v>178.70999999999998</v>
      </c>
      <c r="Q47">
        <f t="shared" si="3"/>
        <v>155.47769999999997</v>
      </c>
      <c r="R47">
        <f t="shared" si="4"/>
        <v>23.232300000000009</v>
      </c>
      <c r="S47" s="4">
        <f t="shared" si="5"/>
        <v>0.13000000000000006</v>
      </c>
      <c r="T47" t="str">
        <f>_xlfn.XLOOKUP(C47,customers!$A$1:$A$1001,customers!$I$1:$I$1001,,0)</f>
        <v>No</v>
      </c>
    </row>
    <row r="48" spans="1:20"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v>
      </c>
      <c r="H48" s="2" t="str">
        <f>_xlfn.XLOOKUP(C48,customers!$A$1:$A$1001,customers!$G$1:$G$1001,,0)</f>
        <v>United States</v>
      </c>
      <c r="I48" t="str">
        <f>INDEX(products!$A$1:$I$49,MATCH(orders!$D48,products!$A$1:$A$49,0),MATCH(orders!I$1,products!$A$1:$D$1,0))</f>
        <v>Exc</v>
      </c>
      <c r="J48" t="str">
        <f t="shared" si="0"/>
        <v>Excelsa</v>
      </c>
      <c r="K48" t="str">
        <f>INDEX(products!$A$1:$I$49,MATCH(orders!$D48,products!$A$1:$A$49,0),MATCH(orders!K$1,products!$A$1:$D$1,0))</f>
        <v>M</v>
      </c>
      <c r="L48" t="str">
        <f t="shared" si="1"/>
        <v>Medium</v>
      </c>
      <c r="M48">
        <f>INDEX(products!$A$1:$I$49,MATCH(orders!$D48,products!$A$1:$A$49,0),MATCH(orders!M$1,products!$A$1:$D$1,0))</f>
        <v>2.5</v>
      </c>
      <c r="N48">
        <f>_xlfn.XLOOKUP(D48,products!$A$2:$A$49,products!$E$2:$E$49)</f>
        <v>31.624999999999996</v>
      </c>
      <c r="O48">
        <f>_xlfn.XLOOKUP(D48,products!$A$2:$A$49,products!$H$2:$H$49)</f>
        <v>28.146249999999995</v>
      </c>
      <c r="P48">
        <f t="shared" si="2"/>
        <v>63.249999999999993</v>
      </c>
      <c r="Q48">
        <f t="shared" si="3"/>
        <v>56.29249999999999</v>
      </c>
      <c r="R48">
        <f t="shared" si="4"/>
        <v>6.9575000000000031</v>
      </c>
      <c r="S48" s="4">
        <f t="shared" si="5"/>
        <v>0.11000000000000006</v>
      </c>
      <c r="T48" t="str">
        <f>_xlfn.XLOOKUP(C48,customers!$A$1:$A$1001,customers!$I$1:$I$1001,,0)</f>
        <v>Yes</v>
      </c>
    </row>
    <row r="49" spans="1:20"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INDEX(products!$A$1:$I$49,MATCH(orders!$D49,products!$A$1:$A$49,0),MATCH(orders!I$1,products!$A$1:$D$1,0))</f>
        <v>Ara</v>
      </c>
      <c r="J49" t="str">
        <f t="shared" si="0"/>
        <v>Arabica</v>
      </c>
      <c r="K49" t="str">
        <f>INDEX(products!$A$1:$I$49,MATCH(orders!$D49,products!$A$1:$A$49,0),MATCH(orders!K$1,products!$A$1:$D$1,0))</f>
        <v>L</v>
      </c>
      <c r="L49" t="str">
        <f t="shared" si="1"/>
        <v>Light</v>
      </c>
      <c r="M49">
        <f>INDEX(products!$A$1:$I$49,MATCH(orders!$D49,products!$A$1:$A$49,0),MATCH(orders!M$1,products!$A$1:$D$1,0))</f>
        <v>0.2</v>
      </c>
      <c r="N49">
        <f>_xlfn.XLOOKUP(D49,products!$A$2:$A$49,products!$E$2:$E$49)</f>
        <v>3.8849999999999998</v>
      </c>
      <c r="O49">
        <f>_xlfn.XLOOKUP(D49,products!$A$2:$A$49,products!$H$2:$H$49)</f>
        <v>3.5353499999999998</v>
      </c>
      <c r="P49">
        <f t="shared" si="2"/>
        <v>7.77</v>
      </c>
      <c r="Q49">
        <f t="shared" si="3"/>
        <v>7.0706999999999995</v>
      </c>
      <c r="R49">
        <f t="shared" si="4"/>
        <v>0.69930000000000003</v>
      </c>
      <c r="S49" s="4">
        <f t="shared" si="5"/>
        <v>9.0000000000000011E-2</v>
      </c>
      <c r="T49" t="str">
        <f>_xlfn.XLOOKUP(C49,customers!$A$1:$A$1001,customers!$I$1:$I$1001,,0)</f>
        <v>Yes</v>
      </c>
    </row>
    <row r="50" spans="1:20"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INDEX(products!$A$1:$I$49,MATCH(orders!$D50,products!$A$1:$A$49,0),MATCH(orders!I$1,products!$A$1:$D$1,0))</f>
        <v>Ara</v>
      </c>
      <c r="J50" t="str">
        <f t="shared" si="0"/>
        <v>Arabica</v>
      </c>
      <c r="K50" t="str">
        <f>INDEX(products!$A$1:$I$49,MATCH(orders!$D50,products!$A$1:$A$49,0),MATCH(orders!K$1,products!$A$1:$D$1,0))</f>
        <v>D</v>
      </c>
      <c r="L50" t="str">
        <f t="shared" si="1"/>
        <v>Dark</v>
      </c>
      <c r="M50">
        <f>INDEX(products!$A$1:$I$49,MATCH(orders!$D50,products!$A$1:$A$49,0),MATCH(orders!M$1,products!$A$1:$D$1,0))</f>
        <v>2.5</v>
      </c>
      <c r="N50">
        <f>_xlfn.XLOOKUP(D50,products!$A$2:$A$49,products!$E$2:$E$49)</f>
        <v>22.884999999999998</v>
      </c>
      <c r="O50">
        <f>_xlfn.XLOOKUP(D50,products!$A$2:$A$49,products!$H$2:$H$49)</f>
        <v>20.82535</v>
      </c>
      <c r="P50">
        <f t="shared" si="2"/>
        <v>91.539999999999992</v>
      </c>
      <c r="Q50">
        <f t="shared" si="3"/>
        <v>83.301400000000001</v>
      </c>
      <c r="R50">
        <f t="shared" si="4"/>
        <v>8.238599999999991</v>
      </c>
      <c r="S50" s="4">
        <f t="shared" si="5"/>
        <v>8.9999999999999913E-2</v>
      </c>
      <c r="T50" t="str">
        <f>_xlfn.XLOOKUP(C50,customers!$A$1:$A$1001,customers!$I$1:$I$1001,,0)</f>
        <v>No</v>
      </c>
    </row>
    <row r="51" spans="1:20"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INDEX(products!$A$1:$I$49,MATCH(orders!$D51,products!$A$1:$A$49,0),MATCH(orders!I$1,products!$A$1:$D$1,0))</f>
        <v>Ara</v>
      </c>
      <c r="J51" t="str">
        <f t="shared" si="0"/>
        <v>Arabica</v>
      </c>
      <c r="K51" t="str">
        <f>INDEX(products!$A$1:$I$49,MATCH(orders!$D51,products!$A$1:$A$49,0),MATCH(orders!K$1,products!$A$1:$D$1,0))</f>
        <v>L</v>
      </c>
      <c r="L51" t="str">
        <f t="shared" si="1"/>
        <v>Light</v>
      </c>
      <c r="M51">
        <f>INDEX(products!$A$1:$I$49,MATCH(orders!$D51,products!$A$1:$A$49,0),MATCH(orders!M$1,products!$A$1:$D$1,0))</f>
        <v>1</v>
      </c>
      <c r="N51">
        <f>_xlfn.XLOOKUP(D51,products!$A$2:$A$49,products!$E$2:$E$49)</f>
        <v>12.95</v>
      </c>
      <c r="O51">
        <f>_xlfn.XLOOKUP(D51,products!$A$2:$A$49,products!$H$2:$H$49)</f>
        <v>11.7845</v>
      </c>
      <c r="P51">
        <f t="shared" si="2"/>
        <v>38.849999999999994</v>
      </c>
      <c r="Q51">
        <f t="shared" si="3"/>
        <v>35.353499999999997</v>
      </c>
      <c r="R51">
        <f t="shared" si="4"/>
        <v>3.4964999999999975</v>
      </c>
      <c r="S51" s="4">
        <f t="shared" si="5"/>
        <v>8.9999999999999955E-2</v>
      </c>
      <c r="T51" t="str">
        <f>_xlfn.XLOOKUP(C51,customers!$A$1:$A$1001,customers!$I$1:$I$1001,,0)</f>
        <v>No</v>
      </c>
    </row>
    <row r="52" spans="1:20"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INDEX(products!$A$1:$I$49,MATCH(orders!$D52,products!$A$1:$A$49,0),MATCH(orders!I$1,products!$A$1:$D$1,0))</f>
        <v>Lib</v>
      </c>
      <c r="J52" t="str">
        <f t="shared" si="0"/>
        <v>Liberica</v>
      </c>
      <c r="K52" t="str">
        <f>INDEX(products!$A$1:$I$49,MATCH(orders!$D52,products!$A$1:$A$49,0),MATCH(orders!K$1,products!$A$1:$D$1,0))</f>
        <v>D</v>
      </c>
      <c r="L52" t="str">
        <f t="shared" si="1"/>
        <v>Dark</v>
      </c>
      <c r="M52">
        <f>INDEX(products!$A$1:$I$49,MATCH(orders!$D52,products!$A$1:$A$49,0),MATCH(orders!M$1,products!$A$1:$D$1,0))</f>
        <v>0.5</v>
      </c>
      <c r="N52">
        <f>_xlfn.XLOOKUP(D52,products!$A$2:$A$49,products!$E$2:$E$49)</f>
        <v>7.77</v>
      </c>
      <c r="O52">
        <f>_xlfn.XLOOKUP(D52,products!$A$2:$A$49,products!$H$2:$H$49)</f>
        <v>6.7599</v>
      </c>
      <c r="P52">
        <f t="shared" si="2"/>
        <v>15.54</v>
      </c>
      <c r="Q52">
        <f t="shared" si="3"/>
        <v>13.5198</v>
      </c>
      <c r="R52">
        <f t="shared" si="4"/>
        <v>2.0201999999999991</v>
      </c>
      <c r="S52" s="4">
        <f t="shared" si="5"/>
        <v>0.12999999999999995</v>
      </c>
      <c r="T52" t="str">
        <f>_xlfn.XLOOKUP(C52,customers!$A$1:$A$1001,customers!$I$1:$I$1001,,0)</f>
        <v>No</v>
      </c>
    </row>
    <row r="53" spans="1:20"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INDEX(products!$A$1:$I$49,MATCH(orders!$D53,products!$A$1:$A$49,0),MATCH(orders!I$1,products!$A$1:$D$1,0))</f>
        <v>Lib</v>
      </c>
      <c r="J53" t="str">
        <f t="shared" si="0"/>
        <v>Liberica</v>
      </c>
      <c r="K53" t="str">
        <f>INDEX(products!$A$1:$I$49,MATCH(orders!$D53,products!$A$1:$A$49,0),MATCH(orders!K$1,products!$A$1:$D$1,0))</f>
        <v>L</v>
      </c>
      <c r="L53" t="str">
        <f t="shared" si="1"/>
        <v>Light</v>
      </c>
      <c r="M53">
        <f>INDEX(products!$A$1:$I$49,MATCH(orders!$D53,products!$A$1:$A$49,0),MATCH(orders!M$1,products!$A$1:$D$1,0))</f>
        <v>2.5</v>
      </c>
      <c r="N53">
        <f>_xlfn.XLOOKUP(D53,products!$A$2:$A$49,products!$E$2:$E$49)</f>
        <v>36.454999999999998</v>
      </c>
      <c r="O53">
        <f>_xlfn.XLOOKUP(D53,products!$A$2:$A$49,products!$H$2:$H$49)</f>
        <v>31.71585</v>
      </c>
      <c r="P53">
        <f t="shared" si="2"/>
        <v>145.82</v>
      </c>
      <c r="Q53">
        <f t="shared" si="3"/>
        <v>126.8634</v>
      </c>
      <c r="R53">
        <f t="shared" si="4"/>
        <v>18.956599999999995</v>
      </c>
      <c r="S53" s="4">
        <f t="shared" si="5"/>
        <v>0.12999999999999998</v>
      </c>
      <c r="T53" t="str">
        <f>_xlfn.XLOOKUP(C53,customers!$A$1:$A$1001,customers!$I$1:$I$1001,,0)</f>
        <v>Yes</v>
      </c>
    </row>
    <row r="54" spans="1:20"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INDEX(products!$A$1:$I$49,MATCH(orders!$D54,products!$A$1:$A$49,0),MATCH(orders!I$1,products!$A$1:$D$1,0))</f>
        <v>Rob</v>
      </c>
      <c r="J54" t="str">
        <f t="shared" si="0"/>
        <v>Robusta</v>
      </c>
      <c r="K54" t="str">
        <f>INDEX(products!$A$1:$I$49,MATCH(orders!$D54,products!$A$1:$A$49,0),MATCH(orders!K$1,products!$A$1:$D$1,0))</f>
        <v>M</v>
      </c>
      <c r="L54" t="str">
        <f t="shared" si="1"/>
        <v>Medium</v>
      </c>
      <c r="M54">
        <f>INDEX(products!$A$1:$I$49,MATCH(orders!$D54,products!$A$1:$A$49,0),MATCH(orders!M$1,products!$A$1:$D$1,0))</f>
        <v>0.5</v>
      </c>
      <c r="N54">
        <f>_xlfn.XLOOKUP(D54,products!$A$2:$A$49,products!$E$2:$E$49)</f>
        <v>5.97</v>
      </c>
      <c r="O54">
        <f>_xlfn.XLOOKUP(D54,products!$A$2:$A$49,products!$H$2:$H$49)</f>
        <v>5.6117999999999997</v>
      </c>
      <c r="P54">
        <f t="shared" si="2"/>
        <v>29.849999999999998</v>
      </c>
      <c r="Q54">
        <f t="shared" si="3"/>
        <v>28.058999999999997</v>
      </c>
      <c r="R54">
        <f t="shared" si="4"/>
        <v>1.7910000000000004</v>
      </c>
      <c r="S54" s="4">
        <f t="shared" si="5"/>
        <v>6.0000000000000019E-2</v>
      </c>
      <c r="T54" t="str">
        <f>_xlfn.XLOOKUP(C54,customers!$A$1:$A$1001,customers!$I$1:$I$1001,,0)</f>
        <v>No</v>
      </c>
    </row>
    <row r="55" spans="1:20"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INDEX(products!$A$1:$I$49,MATCH(orders!$D55,products!$A$1:$A$49,0),MATCH(orders!I$1,products!$A$1:$D$1,0))</f>
        <v>Lib</v>
      </c>
      <c r="J55" t="str">
        <f t="shared" si="0"/>
        <v>Liberica</v>
      </c>
      <c r="K55" t="str">
        <f>INDEX(products!$A$1:$I$49,MATCH(orders!$D55,products!$A$1:$A$49,0),MATCH(orders!K$1,products!$A$1:$D$1,0))</f>
        <v>L</v>
      </c>
      <c r="L55" t="str">
        <f t="shared" si="1"/>
        <v>Light</v>
      </c>
      <c r="M55">
        <f>INDEX(products!$A$1:$I$49,MATCH(orders!$D55,products!$A$1:$A$49,0),MATCH(orders!M$1,products!$A$1:$D$1,0))</f>
        <v>2.5</v>
      </c>
      <c r="N55">
        <f>_xlfn.XLOOKUP(D55,products!$A$2:$A$49,products!$E$2:$E$49)</f>
        <v>36.454999999999998</v>
      </c>
      <c r="O55">
        <f>_xlfn.XLOOKUP(D55,products!$A$2:$A$49,products!$H$2:$H$49)</f>
        <v>31.71585</v>
      </c>
      <c r="P55">
        <f t="shared" si="2"/>
        <v>72.91</v>
      </c>
      <c r="Q55">
        <f t="shared" si="3"/>
        <v>63.431699999999999</v>
      </c>
      <c r="R55">
        <f t="shared" si="4"/>
        <v>9.4782999999999973</v>
      </c>
      <c r="S55" s="4">
        <f t="shared" si="5"/>
        <v>0.12999999999999998</v>
      </c>
      <c r="T55" t="str">
        <f>_xlfn.XLOOKUP(C55,customers!$A$1:$A$1001,customers!$I$1:$I$1001,,0)</f>
        <v>No</v>
      </c>
    </row>
    <row r="56" spans="1:20"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INDEX(products!$A$1:$I$49,MATCH(orders!$D56,products!$A$1:$A$49,0),MATCH(orders!I$1,products!$A$1:$D$1,0))</f>
        <v>Lib</v>
      </c>
      <c r="J56" t="str">
        <f t="shared" si="0"/>
        <v>Liberica</v>
      </c>
      <c r="K56" t="str">
        <f>INDEX(products!$A$1:$I$49,MATCH(orders!$D56,products!$A$1:$A$49,0),MATCH(orders!K$1,products!$A$1:$D$1,0))</f>
        <v>M</v>
      </c>
      <c r="L56" t="str">
        <f t="shared" si="1"/>
        <v>Medium</v>
      </c>
      <c r="M56">
        <f>INDEX(products!$A$1:$I$49,MATCH(orders!$D56,products!$A$1:$A$49,0),MATCH(orders!M$1,products!$A$1:$D$1,0))</f>
        <v>1</v>
      </c>
      <c r="N56">
        <f>_xlfn.XLOOKUP(D56,products!$A$2:$A$49,products!$E$2:$E$49)</f>
        <v>14.55</v>
      </c>
      <c r="O56">
        <f>_xlfn.XLOOKUP(D56,products!$A$2:$A$49,products!$H$2:$H$49)</f>
        <v>12.6585</v>
      </c>
      <c r="P56">
        <f t="shared" si="2"/>
        <v>72.75</v>
      </c>
      <c r="Q56">
        <f t="shared" si="3"/>
        <v>63.292500000000004</v>
      </c>
      <c r="R56">
        <f t="shared" si="4"/>
        <v>9.457499999999996</v>
      </c>
      <c r="S56" s="4">
        <f t="shared" si="5"/>
        <v>0.12999999999999995</v>
      </c>
      <c r="T56" t="str">
        <f>_xlfn.XLOOKUP(C56,customers!$A$1:$A$1001,customers!$I$1:$I$1001,,0)</f>
        <v>No</v>
      </c>
    </row>
    <row r="57" spans="1:20"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v>
      </c>
      <c r="H57" s="2" t="str">
        <f>_xlfn.XLOOKUP(C57,customers!$A$1:$A$1001,customers!$G$1:$G$1001,,0)</f>
        <v>United States</v>
      </c>
      <c r="I57" t="str">
        <f>INDEX(products!$A$1:$I$49,MATCH(orders!$D57,products!$A$1:$A$49,0),MATCH(orders!I$1,products!$A$1:$D$1,0))</f>
        <v>Lib</v>
      </c>
      <c r="J57" t="str">
        <f t="shared" si="0"/>
        <v>Liberica</v>
      </c>
      <c r="K57" t="str">
        <f>INDEX(products!$A$1:$I$49,MATCH(orders!$D57,products!$A$1:$A$49,0),MATCH(orders!K$1,products!$A$1:$D$1,0))</f>
        <v>L</v>
      </c>
      <c r="L57" t="str">
        <f t="shared" si="1"/>
        <v>Light</v>
      </c>
      <c r="M57">
        <f>INDEX(products!$A$1:$I$49,MATCH(orders!$D57,products!$A$1:$A$49,0),MATCH(orders!M$1,products!$A$1:$D$1,0))</f>
        <v>1</v>
      </c>
      <c r="N57">
        <f>_xlfn.XLOOKUP(D57,products!$A$2:$A$49,products!$E$2:$E$49)</f>
        <v>15.85</v>
      </c>
      <c r="O57">
        <f>_xlfn.XLOOKUP(D57,products!$A$2:$A$49,products!$H$2:$H$49)</f>
        <v>13.7895</v>
      </c>
      <c r="P57">
        <f t="shared" si="2"/>
        <v>47.55</v>
      </c>
      <c r="Q57">
        <f t="shared" si="3"/>
        <v>41.368499999999997</v>
      </c>
      <c r="R57">
        <f t="shared" si="4"/>
        <v>6.1814999999999998</v>
      </c>
      <c r="S57" s="4">
        <f t="shared" si="5"/>
        <v>0.13</v>
      </c>
      <c r="T57" t="str">
        <f>_xlfn.XLOOKUP(C57,customers!$A$1:$A$1001,customers!$I$1:$I$1001,,0)</f>
        <v>No</v>
      </c>
    </row>
    <row r="58" spans="1:20"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INDEX(products!$A$1:$I$49,MATCH(orders!$D58,products!$A$1:$A$49,0),MATCH(orders!I$1,products!$A$1:$D$1,0))</f>
        <v>Exc</v>
      </c>
      <c r="J58" t="str">
        <f t="shared" si="0"/>
        <v>Excelsa</v>
      </c>
      <c r="K58" t="str">
        <f>INDEX(products!$A$1:$I$49,MATCH(orders!$D58,products!$A$1:$A$49,0),MATCH(orders!K$1,products!$A$1:$D$1,0))</f>
        <v>D</v>
      </c>
      <c r="L58" t="str">
        <f t="shared" si="1"/>
        <v>Dark</v>
      </c>
      <c r="M58">
        <f>INDEX(products!$A$1:$I$49,MATCH(orders!$D58,products!$A$1:$A$49,0),MATCH(orders!M$1,products!$A$1:$D$1,0))</f>
        <v>0.2</v>
      </c>
      <c r="N58">
        <f>_xlfn.XLOOKUP(D58,products!$A$2:$A$49,products!$E$2:$E$49)</f>
        <v>3.645</v>
      </c>
      <c r="O58">
        <f>_xlfn.XLOOKUP(D58,products!$A$2:$A$49,products!$H$2:$H$49)</f>
        <v>3.2440500000000001</v>
      </c>
      <c r="P58">
        <f t="shared" si="2"/>
        <v>10.935</v>
      </c>
      <c r="Q58">
        <f t="shared" si="3"/>
        <v>9.7321500000000007</v>
      </c>
      <c r="R58">
        <f t="shared" si="4"/>
        <v>1.2028499999999998</v>
      </c>
      <c r="S58" s="4">
        <f t="shared" si="5"/>
        <v>0.10999999999999997</v>
      </c>
      <c r="T58" t="str">
        <f>_xlfn.XLOOKUP(C58,customers!$A$1:$A$1001,customers!$I$1:$I$1001,,0)</f>
        <v>Yes</v>
      </c>
    </row>
    <row r="59" spans="1:20"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INDEX(products!$A$1:$I$49,MATCH(orders!$D59,products!$A$1:$A$49,0),MATCH(orders!I$1,products!$A$1:$D$1,0))</f>
        <v>Exc</v>
      </c>
      <c r="J59" t="str">
        <f t="shared" si="0"/>
        <v>Excelsa</v>
      </c>
      <c r="K59" t="str">
        <f>INDEX(products!$A$1:$I$49,MATCH(orders!$D59,products!$A$1:$A$49,0),MATCH(orders!K$1,products!$A$1:$D$1,0))</f>
        <v>L</v>
      </c>
      <c r="L59" t="str">
        <f t="shared" si="1"/>
        <v>Light</v>
      </c>
      <c r="M59">
        <f>INDEX(products!$A$1:$I$49,MATCH(orders!$D59,products!$A$1:$A$49,0),MATCH(orders!M$1,products!$A$1:$D$1,0))</f>
        <v>1</v>
      </c>
      <c r="N59">
        <f>_xlfn.XLOOKUP(D59,products!$A$2:$A$49,products!$E$2:$E$49)</f>
        <v>14.85</v>
      </c>
      <c r="O59">
        <f>_xlfn.XLOOKUP(D59,products!$A$2:$A$49,products!$H$2:$H$49)</f>
        <v>13.2165</v>
      </c>
      <c r="P59">
        <f t="shared" si="2"/>
        <v>59.4</v>
      </c>
      <c r="Q59">
        <f t="shared" si="3"/>
        <v>52.866</v>
      </c>
      <c r="R59">
        <f t="shared" si="4"/>
        <v>6.5339999999999989</v>
      </c>
      <c r="S59" s="4">
        <f t="shared" si="5"/>
        <v>0.10999999999999999</v>
      </c>
      <c r="T59" t="str">
        <f>_xlfn.XLOOKUP(C59,customers!$A$1:$A$1001,customers!$I$1:$I$1001,,0)</f>
        <v>No</v>
      </c>
    </row>
    <row r="60" spans="1:20"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v>
      </c>
      <c r="H60" s="2" t="str">
        <f>_xlfn.XLOOKUP(C60,customers!$A$1:$A$1001,customers!$G$1:$G$1001,,0)</f>
        <v>United States</v>
      </c>
      <c r="I60" t="str">
        <f>INDEX(products!$A$1:$I$49,MATCH(orders!$D60,products!$A$1:$A$49,0),MATCH(orders!I$1,products!$A$1:$D$1,0))</f>
        <v>Lib</v>
      </c>
      <c r="J60" t="str">
        <f t="shared" si="0"/>
        <v>Liberica</v>
      </c>
      <c r="K60" t="str">
        <f>INDEX(products!$A$1:$I$49,MATCH(orders!$D60,products!$A$1:$A$49,0),MATCH(orders!K$1,products!$A$1:$D$1,0))</f>
        <v>D</v>
      </c>
      <c r="L60" t="str">
        <f t="shared" si="1"/>
        <v>Dark</v>
      </c>
      <c r="M60">
        <f>INDEX(products!$A$1:$I$49,MATCH(orders!$D60,products!$A$1:$A$49,0),MATCH(orders!M$1,products!$A$1:$D$1,0))</f>
        <v>2.5</v>
      </c>
      <c r="N60">
        <f>_xlfn.XLOOKUP(D60,products!$A$2:$A$49,products!$E$2:$E$49)</f>
        <v>29.784999999999997</v>
      </c>
      <c r="O60">
        <f>_xlfn.XLOOKUP(D60,products!$A$2:$A$49,products!$H$2:$H$49)</f>
        <v>25.912949999999995</v>
      </c>
      <c r="P60">
        <f t="shared" si="2"/>
        <v>89.35499999999999</v>
      </c>
      <c r="Q60">
        <f t="shared" si="3"/>
        <v>77.738849999999985</v>
      </c>
      <c r="R60">
        <f t="shared" si="4"/>
        <v>11.616150000000005</v>
      </c>
      <c r="S60" s="4">
        <f t="shared" si="5"/>
        <v>0.13000000000000006</v>
      </c>
      <c r="T60" t="str">
        <f>_xlfn.XLOOKUP(C60,customers!$A$1:$A$1001,customers!$I$1:$I$1001,,0)</f>
        <v>Yes</v>
      </c>
    </row>
    <row r="61" spans="1:20"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INDEX(products!$A$1:$I$49,MATCH(orders!$D61,products!$A$1:$A$49,0),MATCH(orders!I$1,products!$A$1:$D$1,0))</f>
        <v>Lib</v>
      </c>
      <c r="J61" t="str">
        <f t="shared" si="0"/>
        <v>Liberica</v>
      </c>
      <c r="K61" t="str">
        <f>INDEX(products!$A$1:$I$49,MATCH(orders!$D61,products!$A$1:$A$49,0),MATCH(orders!K$1,products!$A$1:$D$1,0))</f>
        <v>M</v>
      </c>
      <c r="L61" t="str">
        <f t="shared" si="1"/>
        <v>Medium</v>
      </c>
      <c r="M61">
        <f>INDEX(products!$A$1:$I$49,MATCH(orders!$D61,products!$A$1:$A$49,0),MATCH(orders!M$1,products!$A$1:$D$1,0))</f>
        <v>0.5</v>
      </c>
      <c r="N61">
        <f>_xlfn.XLOOKUP(D61,products!$A$2:$A$49,products!$E$2:$E$49)</f>
        <v>8.73</v>
      </c>
      <c r="O61">
        <f>_xlfn.XLOOKUP(D61,products!$A$2:$A$49,products!$H$2:$H$49)</f>
        <v>7.5951000000000004</v>
      </c>
      <c r="P61">
        <f t="shared" si="2"/>
        <v>26.19</v>
      </c>
      <c r="Q61">
        <f t="shared" si="3"/>
        <v>22.785299999999999</v>
      </c>
      <c r="R61">
        <f t="shared" si="4"/>
        <v>3.4047000000000018</v>
      </c>
      <c r="S61" s="4">
        <f t="shared" si="5"/>
        <v>0.13000000000000006</v>
      </c>
      <c r="T61" t="str">
        <f>_xlfn.XLOOKUP(C61,customers!$A$1:$A$1001,customers!$I$1:$I$1001,,0)</f>
        <v>Yes</v>
      </c>
    </row>
    <row r="62" spans="1:20"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INDEX(products!$A$1:$I$49,MATCH(orders!$D62,products!$A$1:$A$49,0),MATCH(orders!I$1,products!$A$1:$D$1,0))</f>
        <v>Ara</v>
      </c>
      <c r="J62" t="str">
        <f t="shared" si="0"/>
        <v>Arabica</v>
      </c>
      <c r="K62" t="str">
        <f>INDEX(products!$A$1:$I$49,MATCH(orders!$D62,products!$A$1:$A$49,0),MATCH(orders!K$1,products!$A$1:$D$1,0))</f>
        <v>D</v>
      </c>
      <c r="L62" t="str">
        <f t="shared" si="1"/>
        <v>Dark</v>
      </c>
      <c r="M62">
        <f>INDEX(products!$A$1:$I$49,MATCH(orders!$D62,products!$A$1:$A$49,0),MATCH(orders!M$1,products!$A$1:$D$1,0))</f>
        <v>2.5</v>
      </c>
      <c r="N62">
        <f>_xlfn.XLOOKUP(D62,products!$A$2:$A$49,products!$E$2:$E$49)</f>
        <v>22.884999999999998</v>
      </c>
      <c r="O62">
        <f>_xlfn.XLOOKUP(D62,products!$A$2:$A$49,products!$H$2:$H$49)</f>
        <v>20.82535</v>
      </c>
      <c r="P62">
        <f t="shared" si="2"/>
        <v>114.42499999999998</v>
      </c>
      <c r="Q62">
        <f t="shared" si="3"/>
        <v>104.12675</v>
      </c>
      <c r="R62">
        <f t="shared" si="4"/>
        <v>10.298249999999982</v>
      </c>
      <c r="S62" s="4">
        <f t="shared" si="5"/>
        <v>8.9999999999999858E-2</v>
      </c>
      <c r="T62" t="str">
        <f>_xlfn.XLOOKUP(C62,customers!$A$1:$A$1001,customers!$I$1:$I$1001,,0)</f>
        <v>No</v>
      </c>
    </row>
    <row r="63" spans="1:20"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v>
      </c>
      <c r="H63" s="2" t="str">
        <f>_xlfn.XLOOKUP(C63,customers!$A$1:$A$1001,customers!$G$1:$G$1001,,0)</f>
        <v>United Kingdom</v>
      </c>
      <c r="I63" t="str">
        <f>INDEX(products!$A$1:$I$49,MATCH(orders!$D63,products!$A$1:$A$49,0),MATCH(orders!I$1,products!$A$1:$D$1,0))</f>
        <v>Rob</v>
      </c>
      <c r="J63" t="str">
        <f t="shared" si="0"/>
        <v>Robusta</v>
      </c>
      <c r="K63" t="str">
        <f>INDEX(products!$A$1:$I$49,MATCH(orders!$D63,products!$A$1:$A$49,0),MATCH(orders!K$1,products!$A$1:$D$1,0))</f>
        <v>D</v>
      </c>
      <c r="L63" t="str">
        <f t="shared" si="1"/>
        <v>Dark</v>
      </c>
      <c r="M63">
        <f>INDEX(products!$A$1:$I$49,MATCH(orders!$D63,products!$A$1:$A$49,0),MATCH(orders!M$1,products!$A$1:$D$1,0))</f>
        <v>0.5</v>
      </c>
      <c r="N63">
        <f>_xlfn.XLOOKUP(D63,products!$A$2:$A$49,products!$E$2:$E$49)</f>
        <v>5.3699999999999992</v>
      </c>
      <c r="O63">
        <f>_xlfn.XLOOKUP(D63,products!$A$2:$A$49,products!$H$2:$H$49)</f>
        <v>5.0477999999999996</v>
      </c>
      <c r="P63">
        <f t="shared" si="2"/>
        <v>26.849999999999994</v>
      </c>
      <c r="Q63">
        <f t="shared" si="3"/>
        <v>25.238999999999997</v>
      </c>
      <c r="R63">
        <f t="shared" si="4"/>
        <v>1.6109999999999971</v>
      </c>
      <c r="S63" s="4">
        <f t="shared" si="5"/>
        <v>5.9999999999999908E-2</v>
      </c>
      <c r="T63" t="str">
        <f>_xlfn.XLOOKUP(C63,customers!$A$1:$A$1001,customers!$I$1:$I$1001,,0)</f>
        <v>Yes</v>
      </c>
    </row>
    <row r="64" spans="1:20"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v>
      </c>
      <c r="H64" s="2" t="str">
        <f>_xlfn.XLOOKUP(C64,customers!$A$1:$A$1001,customers!$G$1:$G$1001,,0)</f>
        <v>United States</v>
      </c>
      <c r="I64" t="str">
        <f>INDEX(products!$A$1:$I$49,MATCH(orders!$D64,products!$A$1:$A$49,0),MATCH(orders!I$1,products!$A$1:$D$1,0))</f>
        <v>Lib</v>
      </c>
      <c r="J64" t="str">
        <f t="shared" si="0"/>
        <v>Liberica</v>
      </c>
      <c r="K64" t="str">
        <f>INDEX(products!$A$1:$I$49,MATCH(orders!$D64,products!$A$1:$A$49,0),MATCH(orders!K$1,products!$A$1:$D$1,0))</f>
        <v>L</v>
      </c>
      <c r="L64" t="str">
        <f t="shared" si="1"/>
        <v>Light</v>
      </c>
      <c r="M64">
        <f>INDEX(products!$A$1:$I$49,MATCH(orders!$D64,products!$A$1:$A$49,0),MATCH(orders!M$1,products!$A$1:$D$1,0))</f>
        <v>0.2</v>
      </c>
      <c r="N64">
        <f>_xlfn.XLOOKUP(D64,products!$A$2:$A$49,products!$E$2:$E$49)</f>
        <v>4.7549999999999999</v>
      </c>
      <c r="O64">
        <f>_xlfn.XLOOKUP(D64,products!$A$2:$A$49,products!$H$2:$H$49)</f>
        <v>4.1368499999999999</v>
      </c>
      <c r="P64">
        <f t="shared" si="2"/>
        <v>23.774999999999999</v>
      </c>
      <c r="Q64">
        <f t="shared" si="3"/>
        <v>20.684249999999999</v>
      </c>
      <c r="R64">
        <f t="shared" si="4"/>
        <v>3.0907499999999999</v>
      </c>
      <c r="S64" s="4">
        <f t="shared" si="5"/>
        <v>0.13</v>
      </c>
      <c r="T64" t="str">
        <f>_xlfn.XLOOKUP(C64,customers!$A$1:$A$1001,customers!$I$1:$I$1001,,0)</f>
        <v>Yes</v>
      </c>
    </row>
    <row r="65" spans="1:20"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INDEX(products!$A$1:$I$49,MATCH(orders!$D65,products!$A$1:$A$49,0),MATCH(orders!I$1,products!$A$1:$D$1,0))</f>
        <v>Ara</v>
      </c>
      <c r="J65" t="str">
        <f t="shared" si="0"/>
        <v>Arabica</v>
      </c>
      <c r="K65" t="str">
        <f>INDEX(products!$A$1:$I$49,MATCH(orders!$D65,products!$A$1:$A$49,0),MATCH(orders!K$1,products!$A$1:$D$1,0))</f>
        <v>M</v>
      </c>
      <c r="L65" t="str">
        <f t="shared" si="1"/>
        <v>Medium</v>
      </c>
      <c r="M65">
        <f>INDEX(products!$A$1:$I$49,MATCH(orders!$D65,products!$A$1:$A$49,0),MATCH(orders!M$1,products!$A$1:$D$1,0))</f>
        <v>0.5</v>
      </c>
      <c r="N65">
        <f>_xlfn.XLOOKUP(D65,products!$A$2:$A$49,products!$E$2:$E$49)</f>
        <v>6.75</v>
      </c>
      <c r="O65">
        <f>_xlfn.XLOOKUP(D65,products!$A$2:$A$49,products!$H$2:$H$49)</f>
        <v>6.1425000000000001</v>
      </c>
      <c r="P65">
        <f t="shared" si="2"/>
        <v>6.75</v>
      </c>
      <c r="Q65">
        <f t="shared" si="3"/>
        <v>6.1425000000000001</v>
      </c>
      <c r="R65">
        <f t="shared" si="4"/>
        <v>0.60749999999999993</v>
      </c>
      <c r="S65" s="4">
        <f t="shared" si="5"/>
        <v>8.9999999999999983E-2</v>
      </c>
      <c r="T65" t="str">
        <f>_xlfn.XLOOKUP(C65,customers!$A$1:$A$1001,customers!$I$1:$I$1001,,0)</f>
        <v>No</v>
      </c>
    </row>
    <row r="66" spans="1:20"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v>
      </c>
      <c r="H66" s="2" t="str">
        <f>_xlfn.XLOOKUP(C66,customers!$A$1:$A$1001,customers!$G$1:$G$1001,,0)</f>
        <v>United States</v>
      </c>
      <c r="I66" t="str">
        <f>INDEX(products!$A$1:$I$49,MATCH(orders!$D66,products!$A$1:$A$49,0),MATCH(orders!I$1,products!$A$1:$D$1,0))</f>
        <v>Rob</v>
      </c>
      <c r="J66" t="str">
        <f t="shared" si="0"/>
        <v>Robusta</v>
      </c>
      <c r="K66" t="str">
        <f>INDEX(products!$A$1:$I$49,MATCH(orders!$D66,products!$A$1:$A$49,0),MATCH(orders!K$1,products!$A$1:$D$1,0))</f>
        <v>M</v>
      </c>
      <c r="L66" t="str">
        <f t="shared" si="1"/>
        <v>Medium</v>
      </c>
      <c r="M66">
        <f>INDEX(products!$A$1:$I$49,MATCH(orders!$D66,products!$A$1:$A$49,0),MATCH(orders!M$1,products!$A$1:$D$1,0))</f>
        <v>0.5</v>
      </c>
      <c r="N66">
        <f>_xlfn.XLOOKUP(D66,products!$A$2:$A$49,products!$E$2:$E$49)</f>
        <v>5.97</v>
      </c>
      <c r="O66">
        <f>_xlfn.XLOOKUP(D66,products!$A$2:$A$49,products!$H$2:$H$49)</f>
        <v>5.6117999999999997</v>
      </c>
      <c r="P66">
        <f t="shared" si="2"/>
        <v>35.82</v>
      </c>
      <c r="Q66">
        <f t="shared" si="3"/>
        <v>33.6708</v>
      </c>
      <c r="R66">
        <f t="shared" si="4"/>
        <v>2.1492000000000004</v>
      </c>
      <c r="S66" s="4">
        <f t="shared" si="5"/>
        <v>6.0000000000000012E-2</v>
      </c>
      <c r="T66" t="str">
        <f>_xlfn.XLOOKUP(C66,customers!$A$1:$A$1001,customers!$I$1:$I$1001,,0)</f>
        <v>Yes</v>
      </c>
    </row>
    <row r="67" spans="1:20"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INDEX(products!$A$1:$I$49,MATCH(orders!$D67,products!$A$1:$A$49,0),MATCH(orders!I$1,products!$A$1:$D$1,0))</f>
        <v>Rob</v>
      </c>
      <c r="J67" t="str">
        <f t="shared" ref="J67:J130" si="6">IF(I67="Rob","Robusta",IF(I67="Exc","Excelsa",IF(I67="Ara","Arabica",IF(I67="Lib","Liberica",""))))</f>
        <v>Robusta</v>
      </c>
      <c r="K67" t="str">
        <f>INDEX(products!$A$1:$I$49,MATCH(orders!$D67,products!$A$1:$A$49,0),MATCH(orders!K$1,products!$A$1:$D$1,0))</f>
        <v>D</v>
      </c>
      <c r="L67" t="str">
        <f t="shared" ref="L67:L130" si="7">IF(K67="M","Medium",IF(K67="L","Light",IF(K67="D","Dark","")))</f>
        <v>Dark</v>
      </c>
      <c r="M67">
        <f>INDEX(products!$A$1:$I$49,MATCH(orders!$D67,products!$A$1:$A$49,0),MATCH(orders!M$1,products!$A$1:$D$1,0))</f>
        <v>2.5</v>
      </c>
      <c r="N67">
        <f>_xlfn.XLOOKUP(D67,products!$A$2:$A$49,products!$E$2:$E$49)</f>
        <v>20.584999999999997</v>
      </c>
      <c r="O67">
        <f>_xlfn.XLOOKUP(D67,products!$A$2:$A$49,products!$H$2:$H$49)</f>
        <v>19.349899999999998</v>
      </c>
      <c r="P67">
        <f t="shared" ref="P67:P130" si="8">N67*E67</f>
        <v>82.339999999999989</v>
      </c>
      <c r="Q67">
        <f t="shared" ref="Q67:Q130" si="9">O67*E67</f>
        <v>77.399599999999992</v>
      </c>
      <c r="R67">
        <f t="shared" ref="R67:R130" si="10">P67-Q67</f>
        <v>4.9403999999999968</v>
      </c>
      <c r="S67" s="4">
        <f t="shared" ref="S67:S130" si="11">R67/P67</f>
        <v>5.999999999999997E-2</v>
      </c>
      <c r="T67" t="str">
        <f>_xlfn.XLOOKUP(C67,customers!$A$1:$A$1001,customers!$I$1:$I$1001,,0)</f>
        <v>Yes</v>
      </c>
    </row>
    <row r="68" spans="1:20"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INDEX(products!$A$1:$I$49,MATCH(orders!$D68,products!$A$1:$A$49,0),MATCH(orders!I$1,products!$A$1:$D$1,0))</f>
        <v>Rob</v>
      </c>
      <c r="J68" t="str">
        <f t="shared" si="6"/>
        <v>Robusta</v>
      </c>
      <c r="K68" t="str">
        <f>INDEX(products!$A$1:$I$49,MATCH(orders!$D68,products!$A$1:$A$49,0),MATCH(orders!K$1,products!$A$1:$D$1,0))</f>
        <v>L</v>
      </c>
      <c r="L68" t="str">
        <f t="shared" si="7"/>
        <v>Light</v>
      </c>
      <c r="M68">
        <f>INDEX(products!$A$1:$I$49,MATCH(orders!$D68,products!$A$1:$A$49,0),MATCH(orders!M$1,products!$A$1:$D$1,0))</f>
        <v>0.5</v>
      </c>
      <c r="N68">
        <f>_xlfn.XLOOKUP(D68,products!$A$2:$A$49,products!$E$2:$E$49)</f>
        <v>7.169999999999999</v>
      </c>
      <c r="O68">
        <f>_xlfn.XLOOKUP(D68,products!$A$2:$A$49,products!$H$2:$H$49)</f>
        <v>6.7397999999999989</v>
      </c>
      <c r="P68">
        <f t="shared" si="8"/>
        <v>7.169999999999999</v>
      </c>
      <c r="Q68">
        <f t="shared" si="9"/>
        <v>6.7397999999999989</v>
      </c>
      <c r="R68">
        <f t="shared" si="10"/>
        <v>0.43020000000000014</v>
      </c>
      <c r="S68" s="4">
        <f t="shared" si="11"/>
        <v>6.0000000000000026E-2</v>
      </c>
      <c r="T68" t="str">
        <f>_xlfn.XLOOKUP(C68,customers!$A$1:$A$1001,customers!$I$1:$I$1001,,0)</f>
        <v>Yes</v>
      </c>
    </row>
    <row r="69" spans="1:20"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INDEX(products!$A$1:$I$49,MATCH(orders!$D69,products!$A$1:$A$49,0),MATCH(orders!I$1,products!$A$1:$D$1,0))</f>
        <v>Lib</v>
      </c>
      <c r="J69" t="str">
        <f t="shared" si="6"/>
        <v>Liberica</v>
      </c>
      <c r="K69" t="str">
        <f>INDEX(products!$A$1:$I$49,MATCH(orders!$D69,products!$A$1:$A$49,0),MATCH(orders!K$1,products!$A$1:$D$1,0))</f>
        <v>L</v>
      </c>
      <c r="L69" t="str">
        <f t="shared" si="7"/>
        <v>Light</v>
      </c>
      <c r="M69">
        <f>INDEX(products!$A$1:$I$49,MATCH(orders!$D69,products!$A$1:$A$49,0),MATCH(orders!M$1,products!$A$1:$D$1,0))</f>
        <v>0.2</v>
      </c>
      <c r="N69">
        <f>_xlfn.XLOOKUP(D69,products!$A$2:$A$49,products!$E$2:$E$49)</f>
        <v>4.7549999999999999</v>
      </c>
      <c r="O69">
        <f>_xlfn.XLOOKUP(D69,products!$A$2:$A$49,products!$H$2:$H$49)</f>
        <v>4.1368499999999999</v>
      </c>
      <c r="P69">
        <f t="shared" si="8"/>
        <v>9.51</v>
      </c>
      <c r="Q69">
        <f t="shared" si="9"/>
        <v>8.2736999999999998</v>
      </c>
      <c r="R69">
        <f t="shared" si="10"/>
        <v>1.2363</v>
      </c>
      <c r="S69" s="4">
        <f t="shared" si="11"/>
        <v>0.13</v>
      </c>
      <c r="T69" t="str">
        <f>_xlfn.XLOOKUP(C69,customers!$A$1:$A$1001,customers!$I$1:$I$1001,,0)</f>
        <v>No</v>
      </c>
    </row>
    <row r="70" spans="1:20"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INDEX(products!$A$1:$I$49,MATCH(orders!$D70,products!$A$1:$A$49,0),MATCH(orders!I$1,products!$A$1:$D$1,0))</f>
        <v>Rob</v>
      </c>
      <c r="J70" t="str">
        <f t="shared" si="6"/>
        <v>Robusta</v>
      </c>
      <c r="K70" t="str">
        <f>INDEX(products!$A$1:$I$49,MATCH(orders!$D70,products!$A$1:$A$49,0),MATCH(orders!K$1,products!$A$1:$D$1,0))</f>
        <v>M</v>
      </c>
      <c r="L70" t="str">
        <f t="shared" si="7"/>
        <v>Medium</v>
      </c>
      <c r="M70">
        <f>INDEX(products!$A$1:$I$49,MATCH(orders!$D70,products!$A$1:$A$49,0),MATCH(orders!M$1,products!$A$1:$D$1,0))</f>
        <v>0.2</v>
      </c>
      <c r="N70">
        <f>_xlfn.XLOOKUP(D70,products!$A$2:$A$49,products!$E$2:$E$49)</f>
        <v>2.9849999999999999</v>
      </c>
      <c r="O70">
        <f>_xlfn.XLOOKUP(D70,products!$A$2:$A$49,products!$H$2:$H$49)</f>
        <v>2.8058999999999998</v>
      </c>
      <c r="P70">
        <f t="shared" si="8"/>
        <v>2.9849999999999999</v>
      </c>
      <c r="Q70">
        <f t="shared" si="9"/>
        <v>2.8058999999999998</v>
      </c>
      <c r="R70">
        <f t="shared" si="10"/>
        <v>0.17910000000000004</v>
      </c>
      <c r="S70" s="4">
        <f t="shared" si="11"/>
        <v>6.0000000000000012E-2</v>
      </c>
      <c r="T70" t="str">
        <f>_xlfn.XLOOKUP(C70,customers!$A$1:$A$1001,customers!$I$1:$I$1001,,0)</f>
        <v>No</v>
      </c>
    </row>
    <row r="71" spans="1:20"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INDEX(products!$A$1:$I$49,MATCH(orders!$D71,products!$A$1:$A$49,0),MATCH(orders!I$1,products!$A$1:$D$1,0))</f>
        <v>Rob</v>
      </c>
      <c r="J71" t="str">
        <f t="shared" si="6"/>
        <v>Robusta</v>
      </c>
      <c r="K71" t="str">
        <f>INDEX(products!$A$1:$I$49,MATCH(orders!$D71,products!$A$1:$A$49,0),MATCH(orders!K$1,products!$A$1:$D$1,0))</f>
        <v>M</v>
      </c>
      <c r="L71" t="str">
        <f t="shared" si="7"/>
        <v>Medium</v>
      </c>
      <c r="M71">
        <f>INDEX(products!$A$1:$I$49,MATCH(orders!$D71,products!$A$1:$A$49,0),MATCH(orders!M$1,products!$A$1:$D$1,0))</f>
        <v>1</v>
      </c>
      <c r="N71">
        <f>_xlfn.XLOOKUP(D71,products!$A$2:$A$49,products!$E$2:$E$49)</f>
        <v>9.9499999999999993</v>
      </c>
      <c r="O71">
        <f>_xlfn.XLOOKUP(D71,products!$A$2:$A$49,products!$H$2:$H$49)</f>
        <v>9.3529999999999998</v>
      </c>
      <c r="P71">
        <f t="shared" si="8"/>
        <v>59.699999999999996</v>
      </c>
      <c r="Q71">
        <f t="shared" si="9"/>
        <v>56.117999999999995</v>
      </c>
      <c r="R71">
        <f t="shared" si="10"/>
        <v>3.5820000000000007</v>
      </c>
      <c r="S71" s="4">
        <f t="shared" si="11"/>
        <v>6.0000000000000019E-2</v>
      </c>
      <c r="T71" t="str">
        <f>_xlfn.XLOOKUP(C71,customers!$A$1:$A$1001,customers!$I$1:$I$1001,,0)</f>
        <v>Yes</v>
      </c>
    </row>
    <row r="72" spans="1:20"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INDEX(products!$A$1:$I$49,MATCH(orders!$D72,products!$A$1:$A$49,0),MATCH(orders!I$1,products!$A$1:$D$1,0))</f>
        <v>Exc</v>
      </c>
      <c r="J72" t="str">
        <f t="shared" si="6"/>
        <v>Excelsa</v>
      </c>
      <c r="K72" t="str">
        <f>INDEX(products!$A$1:$I$49,MATCH(orders!$D72,products!$A$1:$A$49,0),MATCH(orders!K$1,products!$A$1:$D$1,0))</f>
        <v>L</v>
      </c>
      <c r="L72" t="str">
        <f t="shared" si="7"/>
        <v>Light</v>
      </c>
      <c r="M72">
        <f>INDEX(products!$A$1:$I$49,MATCH(orders!$D72,products!$A$1:$A$49,0),MATCH(orders!M$1,products!$A$1:$D$1,0))</f>
        <v>2.5</v>
      </c>
      <c r="N72">
        <f>_xlfn.XLOOKUP(D72,products!$A$2:$A$49,products!$E$2:$E$49)</f>
        <v>34.154999999999994</v>
      </c>
      <c r="O72">
        <f>_xlfn.XLOOKUP(D72,products!$A$2:$A$49,products!$H$2:$H$49)</f>
        <v>30.397949999999994</v>
      </c>
      <c r="P72">
        <f t="shared" si="8"/>
        <v>136.61999999999998</v>
      </c>
      <c r="Q72">
        <f t="shared" si="9"/>
        <v>121.59179999999998</v>
      </c>
      <c r="R72">
        <f t="shared" si="10"/>
        <v>15.028199999999998</v>
      </c>
      <c r="S72" s="4">
        <f t="shared" si="11"/>
        <v>0.11</v>
      </c>
      <c r="T72" t="str">
        <f>_xlfn.XLOOKUP(C72,customers!$A$1:$A$1001,customers!$I$1:$I$1001,,0)</f>
        <v>No</v>
      </c>
    </row>
    <row r="73" spans="1:20"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INDEX(products!$A$1:$I$49,MATCH(orders!$D73,products!$A$1:$A$49,0),MATCH(orders!I$1,products!$A$1:$D$1,0))</f>
        <v>Lib</v>
      </c>
      <c r="J73" t="str">
        <f t="shared" si="6"/>
        <v>Liberica</v>
      </c>
      <c r="K73" t="str">
        <f>INDEX(products!$A$1:$I$49,MATCH(orders!$D73,products!$A$1:$A$49,0),MATCH(orders!K$1,products!$A$1:$D$1,0))</f>
        <v>L</v>
      </c>
      <c r="L73" t="str">
        <f t="shared" si="7"/>
        <v>Light</v>
      </c>
      <c r="M73">
        <f>INDEX(products!$A$1:$I$49,MATCH(orders!$D73,products!$A$1:$A$49,0),MATCH(orders!M$1,products!$A$1:$D$1,0))</f>
        <v>0.2</v>
      </c>
      <c r="N73">
        <f>_xlfn.XLOOKUP(D73,products!$A$2:$A$49,products!$E$2:$E$49)</f>
        <v>4.7549999999999999</v>
      </c>
      <c r="O73">
        <f>_xlfn.XLOOKUP(D73,products!$A$2:$A$49,products!$H$2:$H$49)</f>
        <v>4.1368499999999999</v>
      </c>
      <c r="P73">
        <f t="shared" si="8"/>
        <v>9.51</v>
      </c>
      <c r="Q73">
        <f t="shared" si="9"/>
        <v>8.2736999999999998</v>
      </c>
      <c r="R73">
        <f t="shared" si="10"/>
        <v>1.2363</v>
      </c>
      <c r="S73" s="4">
        <f t="shared" si="11"/>
        <v>0.13</v>
      </c>
      <c r="T73" t="str">
        <f>_xlfn.XLOOKUP(C73,customers!$A$1:$A$1001,customers!$I$1:$I$1001,,0)</f>
        <v>No</v>
      </c>
    </row>
    <row r="74" spans="1:20"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v>
      </c>
      <c r="H74" s="2" t="str">
        <f>_xlfn.XLOOKUP(C74,customers!$A$1:$A$1001,customers!$G$1:$G$1001,,0)</f>
        <v>United States</v>
      </c>
      <c r="I74" t="str">
        <f>INDEX(products!$A$1:$I$49,MATCH(orders!$D74,products!$A$1:$A$49,0),MATCH(orders!I$1,products!$A$1:$D$1,0))</f>
        <v>Ara</v>
      </c>
      <c r="J74" t="str">
        <f t="shared" si="6"/>
        <v>Arabica</v>
      </c>
      <c r="K74" t="str">
        <f>INDEX(products!$A$1:$I$49,MATCH(orders!$D74,products!$A$1:$A$49,0),MATCH(orders!K$1,products!$A$1:$D$1,0))</f>
        <v>M</v>
      </c>
      <c r="L74" t="str">
        <f t="shared" si="7"/>
        <v>Medium</v>
      </c>
      <c r="M74">
        <f>INDEX(products!$A$1:$I$49,MATCH(orders!$D74,products!$A$1:$A$49,0),MATCH(orders!M$1,products!$A$1:$D$1,0))</f>
        <v>2.5</v>
      </c>
      <c r="N74">
        <f>_xlfn.XLOOKUP(D74,products!$A$2:$A$49,products!$E$2:$E$49)</f>
        <v>25.874999999999996</v>
      </c>
      <c r="O74">
        <f>_xlfn.XLOOKUP(D74,products!$A$2:$A$49,products!$H$2:$H$49)</f>
        <v>23.546249999999997</v>
      </c>
      <c r="P74">
        <f t="shared" si="8"/>
        <v>77.624999999999986</v>
      </c>
      <c r="Q74">
        <f t="shared" si="9"/>
        <v>70.638749999999987</v>
      </c>
      <c r="R74">
        <f t="shared" si="10"/>
        <v>6.9862499999999983</v>
      </c>
      <c r="S74" s="4">
        <f t="shared" si="11"/>
        <v>0.09</v>
      </c>
      <c r="T74" t="str">
        <f>_xlfn.XLOOKUP(C74,customers!$A$1:$A$1001,customers!$I$1:$I$1001,,0)</f>
        <v>No</v>
      </c>
    </row>
    <row r="75" spans="1:20"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v>
      </c>
      <c r="H75" s="2" t="str">
        <f>_xlfn.XLOOKUP(C75,customers!$A$1:$A$1001,customers!$G$1:$G$1001,,0)</f>
        <v>United States</v>
      </c>
      <c r="I75" t="str">
        <f>INDEX(products!$A$1:$I$49,MATCH(orders!$D75,products!$A$1:$A$49,0),MATCH(orders!I$1,products!$A$1:$D$1,0))</f>
        <v>Lib</v>
      </c>
      <c r="J75" t="str">
        <f t="shared" si="6"/>
        <v>Liberica</v>
      </c>
      <c r="K75" t="str">
        <f>INDEX(products!$A$1:$I$49,MATCH(orders!$D75,products!$A$1:$A$49,0),MATCH(orders!K$1,products!$A$1:$D$1,0))</f>
        <v>M</v>
      </c>
      <c r="L75" t="str">
        <f t="shared" si="7"/>
        <v>Medium</v>
      </c>
      <c r="M75">
        <f>INDEX(products!$A$1:$I$49,MATCH(orders!$D75,products!$A$1:$A$49,0),MATCH(orders!M$1,products!$A$1:$D$1,0))</f>
        <v>0.2</v>
      </c>
      <c r="N75">
        <f>_xlfn.XLOOKUP(D75,products!$A$2:$A$49,products!$E$2:$E$49)</f>
        <v>4.3650000000000002</v>
      </c>
      <c r="O75">
        <f>_xlfn.XLOOKUP(D75,products!$A$2:$A$49,products!$H$2:$H$49)</f>
        <v>3.7975500000000002</v>
      </c>
      <c r="P75">
        <f t="shared" si="8"/>
        <v>21.825000000000003</v>
      </c>
      <c r="Q75">
        <f t="shared" si="9"/>
        <v>18.987750000000002</v>
      </c>
      <c r="R75">
        <f t="shared" si="10"/>
        <v>2.8372500000000009</v>
      </c>
      <c r="S75" s="4">
        <f t="shared" si="11"/>
        <v>0.13000000000000003</v>
      </c>
      <c r="T75" t="str">
        <f>_xlfn.XLOOKUP(C75,customers!$A$1:$A$1001,customers!$I$1:$I$1001,,0)</f>
        <v>Yes</v>
      </c>
    </row>
    <row r="76" spans="1:20"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INDEX(products!$A$1:$I$49,MATCH(orders!$D76,products!$A$1:$A$49,0),MATCH(orders!I$1,products!$A$1:$D$1,0))</f>
        <v>Exc</v>
      </c>
      <c r="J76" t="str">
        <f t="shared" si="6"/>
        <v>Excelsa</v>
      </c>
      <c r="K76" t="str">
        <f>INDEX(products!$A$1:$I$49,MATCH(orders!$D76,products!$A$1:$A$49,0),MATCH(orders!K$1,products!$A$1:$D$1,0))</f>
        <v>L</v>
      </c>
      <c r="L76" t="str">
        <f t="shared" si="7"/>
        <v>Light</v>
      </c>
      <c r="M76">
        <f>INDEX(products!$A$1:$I$49,MATCH(orders!$D76,products!$A$1:$A$49,0),MATCH(orders!M$1,products!$A$1:$D$1,0))</f>
        <v>0.5</v>
      </c>
      <c r="N76">
        <f>_xlfn.XLOOKUP(D76,products!$A$2:$A$49,products!$E$2:$E$49)</f>
        <v>8.91</v>
      </c>
      <c r="O76">
        <f>_xlfn.XLOOKUP(D76,products!$A$2:$A$49,products!$H$2:$H$49)</f>
        <v>7.9298999999999999</v>
      </c>
      <c r="P76">
        <f t="shared" si="8"/>
        <v>17.82</v>
      </c>
      <c r="Q76">
        <f t="shared" si="9"/>
        <v>15.8598</v>
      </c>
      <c r="R76">
        <f t="shared" si="10"/>
        <v>1.9602000000000004</v>
      </c>
      <c r="S76" s="4">
        <f t="shared" si="11"/>
        <v>0.11000000000000001</v>
      </c>
      <c r="T76" t="str">
        <f>_xlfn.XLOOKUP(C76,customers!$A$1:$A$1001,customers!$I$1:$I$1001,,0)</f>
        <v>Yes</v>
      </c>
    </row>
    <row r="77" spans="1:20"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INDEX(products!$A$1:$I$49,MATCH(orders!$D77,products!$A$1:$A$49,0),MATCH(orders!I$1,products!$A$1:$D$1,0))</f>
        <v>Rob</v>
      </c>
      <c r="J77" t="str">
        <f t="shared" si="6"/>
        <v>Robusta</v>
      </c>
      <c r="K77" t="str">
        <f>INDEX(products!$A$1:$I$49,MATCH(orders!$D77,products!$A$1:$A$49,0),MATCH(orders!K$1,products!$A$1:$D$1,0))</f>
        <v>D</v>
      </c>
      <c r="L77" t="str">
        <f t="shared" si="7"/>
        <v>Dark</v>
      </c>
      <c r="M77">
        <f>INDEX(products!$A$1:$I$49,MATCH(orders!$D77,products!$A$1:$A$49,0),MATCH(orders!M$1,products!$A$1:$D$1,0))</f>
        <v>1</v>
      </c>
      <c r="N77">
        <f>_xlfn.XLOOKUP(D77,products!$A$2:$A$49,products!$E$2:$E$49)</f>
        <v>8.9499999999999993</v>
      </c>
      <c r="O77">
        <f>_xlfn.XLOOKUP(D77,products!$A$2:$A$49,products!$H$2:$H$49)</f>
        <v>8.4130000000000003</v>
      </c>
      <c r="P77">
        <f t="shared" si="8"/>
        <v>53.699999999999996</v>
      </c>
      <c r="Q77">
        <f t="shared" si="9"/>
        <v>50.478000000000002</v>
      </c>
      <c r="R77">
        <f t="shared" si="10"/>
        <v>3.2219999999999942</v>
      </c>
      <c r="S77" s="4">
        <f t="shared" si="11"/>
        <v>5.9999999999999894E-2</v>
      </c>
      <c r="T77" t="str">
        <f>_xlfn.XLOOKUP(C77,customers!$A$1:$A$1001,customers!$I$1:$I$1001,,0)</f>
        <v>Yes</v>
      </c>
    </row>
    <row r="78" spans="1:20"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v>
      </c>
      <c r="H78" s="2" t="str">
        <f>_xlfn.XLOOKUP(C78,customers!$A$1:$A$1001,customers!$G$1:$G$1001,,0)</f>
        <v>Ireland</v>
      </c>
      <c r="I78" t="str">
        <f>INDEX(products!$A$1:$I$49,MATCH(orders!$D78,products!$A$1:$A$49,0),MATCH(orders!I$1,products!$A$1:$D$1,0))</f>
        <v>Rob</v>
      </c>
      <c r="J78" t="str">
        <f t="shared" si="6"/>
        <v>Robusta</v>
      </c>
      <c r="K78" t="str">
        <f>INDEX(products!$A$1:$I$49,MATCH(orders!$D78,products!$A$1:$A$49,0),MATCH(orders!K$1,products!$A$1:$D$1,0))</f>
        <v>L</v>
      </c>
      <c r="L78" t="str">
        <f t="shared" si="7"/>
        <v>Light</v>
      </c>
      <c r="M78">
        <f>INDEX(products!$A$1:$I$49,MATCH(orders!$D78,products!$A$1:$A$49,0),MATCH(orders!M$1,products!$A$1:$D$1,0))</f>
        <v>0.2</v>
      </c>
      <c r="N78">
        <f>_xlfn.XLOOKUP(D78,products!$A$2:$A$49,products!$E$2:$E$49)</f>
        <v>3.5849999999999995</v>
      </c>
      <c r="O78">
        <f>_xlfn.XLOOKUP(D78,products!$A$2:$A$49,products!$H$2:$H$49)</f>
        <v>3.3698999999999995</v>
      </c>
      <c r="P78">
        <f t="shared" si="8"/>
        <v>3.5849999999999995</v>
      </c>
      <c r="Q78">
        <f t="shared" si="9"/>
        <v>3.3698999999999995</v>
      </c>
      <c r="R78">
        <f t="shared" si="10"/>
        <v>0.21510000000000007</v>
      </c>
      <c r="S78" s="4">
        <f t="shared" si="11"/>
        <v>6.0000000000000026E-2</v>
      </c>
      <c r="T78" t="str">
        <f>_xlfn.XLOOKUP(C78,customers!$A$1:$A$1001,customers!$I$1:$I$1001,,0)</f>
        <v>Yes</v>
      </c>
    </row>
    <row r="79" spans="1:20"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INDEX(products!$A$1:$I$49,MATCH(orders!$D79,products!$A$1:$A$49,0),MATCH(orders!I$1,products!$A$1:$D$1,0))</f>
        <v>Exc</v>
      </c>
      <c r="J79" t="str">
        <f t="shared" si="6"/>
        <v>Excelsa</v>
      </c>
      <c r="K79" t="str">
        <f>INDEX(products!$A$1:$I$49,MATCH(orders!$D79,products!$A$1:$A$49,0),MATCH(orders!K$1,products!$A$1:$D$1,0))</f>
        <v>D</v>
      </c>
      <c r="L79" t="str">
        <f t="shared" si="7"/>
        <v>Dark</v>
      </c>
      <c r="M79">
        <f>INDEX(products!$A$1:$I$49,MATCH(orders!$D79,products!$A$1:$A$49,0),MATCH(orders!M$1,products!$A$1:$D$1,0))</f>
        <v>0.2</v>
      </c>
      <c r="N79">
        <f>_xlfn.XLOOKUP(D79,products!$A$2:$A$49,products!$E$2:$E$49)</f>
        <v>3.645</v>
      </c>
      <c r="O79">
        <f>_xlfn.XLOOKUP(D79,products!$A$2:$A$49,products!$H$2:$H$49)</f>
        <v>3.2440500000000001</v>
      </c>
      <c r="P79">
        <f t="shared" si="8"/>
        <v>7.29</v>
      </c>
      <c r="Q79">
        <f t="shared" si="9"/>
        <v>6.4881000000000002</v>
      </c>
      <c r="R79">
        <f t="shared" si="10"/>
        <v>0.80189999999999984</v>
      </c>
      <c r="S79" s="4">
        <f t="shared" si="11"/>
        <v>0.10999999999999997</v>
      </c>
      <c r="T79" t="str">
        <f>_xlfn.XLOOKUP(C79,customers!$A$1:$A$1001,customers!$I$1:$I$1001,,0)</f>
        <v>No</v>
      </c>
    </row>
    <row r="80" spans="1:20"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INDEX(products!$A$1:$I$49,MATCH(orders!$D80,products!$A$1:$A$49,0),MATCH(orders!I$1,products!$A$1:$D$1,0))</f>
        <v>Ara</v>
      </c>
      <c r="J80" t="str">
        <f t="shared" si="6"/>
        <v>Arabica</v>
      </c>
      <c r="K80" t="str">
        <f>INDEX(products!$A$1:$I$49,MATCH(orders!$D80,products!$A$1:$A$49,0),MATCH(orders!K$1,products!$A$1:$D$1,0))</f>
        <v>M</v>
      </c>
      <c r="L80" t="str">
        <f t="shared" si="7"/>
        <v>Medium</v>
      </c>
      <c r="M80">
        <f>INDEX(products!$A$1:$I$49,MATCH(orders!$D80,products!$A$1:$A$49,0),MATCH(orders!M$1,products!$A$1:$D$1,0))</f>
        <v>0.5</v>
      </c>
      <c r="N80">
        <f>_xlfn.XLOOKUP(D80,products!$A$2:$A$49,products!$E$2:$E$49)</f>
        <v>6.75</v>
      </c>
      <c r="O80">
        <f>_xlfn.XLOOKUP(D80,products!$A$2:$A$49,products!$H$2:$H$49)</f>
        <v>6.1425000000000001</v>
      </c>
      <c r="P80">
        <f t="shared" si="8"/>
        <v>40.5</v>
      </c>
      <c r="Q80">
        <f t="shared" si="9"/>
        <v>36.855000000000004</v>
      </c>
      <c r="R80">
        <f t="shared" si="10"/>
        <v>3.644999999999996</v>
      </c>
      <c r="S80" s="4">
        <f t="shared" si="11"/>
        <v>8.99999999999999E-2</v>
      </c>
      <c r="T80" t="str">
        <f>_xlfn.XLOOKUP(C80,customers!$A$1:$A$1001,customers!$I$1:$I$1001,,0)</f>
        <v>Yes</v>
      </c>
    </row>
    <row r="81" spans="1:20"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INDEX(products!$A$1:$I$49,MATCH(orders!$D81,products!$A$1:$A$49,0),MATCH(orders!I$1,products!$A$1:$D$1,0))</f>
        <v>Rob</v>
      </c>
      <c r="J81" t="str">
        <f t="shared" si="6"/>
        <v>Robusta</v>
      </c>
      <c r="K81" t="str">
        <f>INDEX(products!$A$1:$I$49,MATCH(orders!$D81,products!$A$1:$A$49,0),MATCH(orders!K$1,products!$A$1:$D$1,0))</f>
        <v>L</v>
      </c>
      <c r="L81" t="str">
        <f t="shared" si="7"/>
        <v>Light</v>
      </c>
      <c r="M81">
        <f>INDEX(products!$A$1:$I$49,MATCH(orders!$D81,products!$A$1:$A$49,0),MATCH(orders!M$1,products!$A$1:$D$1,0))</f>
        <v>1</v>
      </c>
      <c r="N81">
        <f>_xlfn.XLOOKUP(D81,products!$A$2:$A$49,products!$E$2:$E$49)</f>
        <v>11.95</v>
      </c>
      <c r="O81">
        <f>_xlfn.XLOOKUP(D81,products!$A$2:$A$49,products!$H$2:$H$49)</f>
        <v>11.232999999999999</v>
      </c>
      <c r="P81">
        <f t="shared" si="8"/>
        <v>47.8</v>
      </c>
      <c r="Q81">
        <f t="shared" si="9"/>
        <v>44.931999999999995</v>
      </c>
      <c r="R81">
        <f t="shared" si="10"/>
        <v>2.8680000000000021</v>
      </c>
      <c r="S81" s="4">
        <f t="shared" si="11"/>
        <v>6.0000000000000046E-2</v>
      </c>
      <c r="T81" t="str">
        <f>_xlfn.XLOOKUP(C81,customers!$A$1:$A$1001,customers!$I$1:$I$1001,,0)</f>
        <v>No</v>
      </c>
    </row>
    <row r="82" spans="1:20"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INDEX(products!$A$1:$I$49,MATCH(orders!$D82,products!$A$1:$A$49,0),MATCH(orders!I$1,products!$A$1:$D$1,0))</f>
        <v>Ara</v>
      </c>
      <c r="J82" t="str">
        <f t="shared" si="6"/>
        <v>Arabica</v>
      </c>
      <c r="K82" t="str">
        <f>INDEX(products!$A$1:$I$49,MATCH(orders!$D82,products!$A$1:$A$49,0),MATCH(orders!K$1,products!$A$1:$D$1,0))</f>
        <v>L</v>
      </c>
      <c r="L82" t="str">
        <f t="shared" si="7"/>
        <v>Light</v>
      </c>
      <c r="M82">
        <f>INDEX(products!$A$1:$I$49,MATCH(orders!$D82,products!$A$1:$A$49,0),MATCH(orders!M$1,products!$A$1:$D$1,0))</f>
        <v>0.5</v>
      </c>
      <c r="N82">
        <f>_xlfn.XLOOKUP(D82,products!$A$2:$A$49,products!$E$2:$E$49)</f>
        <v>7.77</v>
      </c>
      <c r="O82">
        <f>_xlfn.XLOOKUP(D82,products!$A$2:$A$49,products!$H$2:$H$49)</f>
        <v>7.0706999999999995</v>
      </c>
      <c r="P82">
        <f t="shared" si="8"/>
        <v>38.849999999999994</v>
      </c>
      <c r="Q82">
        <f t="shared" si="9"/>
        <v>35.353499999999997</v>
      </c>
      <c r="R82">
        <f t="shared" si="10"/>
        <v>3.4964999999999975</v>
      </c>
      <c r="S82" s="4">
        <f t="shared" si="11"/>
        <v>8.9999999999999955E-2</v>
      </c>
      <c r="T82" t="str">
        <f>_xlfn.XLOOKUP(C82,customers!$A$1:$A$1001,customers!$I$1:$I$1001,,0)</f>
        <v>Yes</v>
      </c>
    </row>
    <row r="83" spans="1:20"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INDEX(products!$A$1:$I$49,MATCH(orders!$D83,products!$A$1:$A$49,0),MATCH(orders!I$1,products!$A$1:$D$1,0))</f>
        <v>Lib</v>
      </c>
      <c r="J83" t="str">
        <f t="shared" si="6"/>
        <v>Liberica</v>
      </c>
      <c r="K83" t="str">
        <f>INDEX(products!$A$1:$I$49,MATCH(orders!$D83,products!$A$1:$A$49,0),MATCH(orders!K$1,products!$A$1:$D$1,0))</f>
        <v>L</v>
      </c>
      <c r="L83" t="str">
        <f t="shared" si="7"/>
        <v>Light</v>
      </c>
      <c r="M83">
        <f>INDEX(products!$A$1:$I$49,MATCH(orders!$D83,products!$A$1:$A$49,0),MATCH(orders!M$1,products!$A$1:$D$1,0))</f>
        <v>2.5</v>
      </c>
      <c r="N83">
        <f>_xlfn.XLOOKUP(D83,products!$A$2:$A$49,products!$E$2:$E$49)</f>
        <v>36.454999999999998</v>
      </c>
      <c r="O83">
        <f>_xlfn.XLOOKUP(D83,products!$A$2:$A$49,products!$H$2:$H$49)</f>
        <v>31.71585</v>
      </c>
      <c r="P83">
        <f t="shared" si="8"/>
        <v>109.36499999999999</v>
      </c>
      <c r="Q83">
        <f t="shared" si="9"/>
        <v>95.147549999999995</v>
      </c>
      <c r="R83">
        <f t="shared" si="10"/>
        <v>14.217449999999999</v>
      </c>
      <c r="S83" s="4">
        <f t="shared" si="11"/>
        <v>0.13</v>
      </c>
      <c r="T83" t="str">
        <f>_xlfn.XLOOKUP(C83,customers!$A$1:$A$1001,customers!$I$1:$I$1001,,0)</f>
        <v>Yes</v>
      </c>
    </row>
    <row r="84" spans="1:20"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INDEX(products!$A$1:$I$49,MATCH(orders!$D84,products!$A$1:$A$49,0),MATCH(orders!I$1,products!$A$1:$D$1,0))</f>
        <v>Lib</v>
      </c>
      <c r="J84" t="str">
        <f t="shared" si="6"/>
        <v>Liberica</v>
      </c>
      <c r="K84" t="str">
        <f>INDEX(products!$A$1:$I$49,MATCH(orders!$D84,products!$A$1:$A$49,0),MATCH(orders!K$1,products!$A$1:$D$1,0))</f>
        <v>M</v>
      </c>
      <c r="L84" t="str">
        <f t="shared" si="7"/>
        <v>Medium</v>
      </c>
      <c r="M84">
        <f>INDEX(products!$A$1:$I$49,MATCH(orders!$D84,products!$A$1:$A$49,0),MATCH(orders!M$1,products!$A$1:$D$1,0))</f>
        <v>2.5</v>
      </c>
      <c r="N84">
        <f>_xlfn.XLOOKUP(D84,products!$A$2:$A$49,products!$E$2:$E$49)</f>
        <v>33.464999999999996</v>
      </c>
      <c r="O84">
        <f>_xlfn.XLOOKUP(D84,products!$A$2:$A$49,products!$H$2:$H$49)</f>
        <v>29.114549999999998</v>
      </c>
      <c r="P84">
        <f t="shared" si="8"/>
        <v>100.39499999999998</v>
      </c>
      <c r="Q84">
        <f t="shared" si="9"/>
        <v>87.343649999999997</v>
      </c>
      <c r="R84">
        <f t="shared" si="10"/>
        <v>13.051349999999985</v>
      </c>
      <c r="S84" s="4">
        <f t="shared" si="11"/>
        <v>0.12999999999999987</v>
      </c>
      <c r="T84" t="str">
        <f>_xlfn.XLOOKUP(C84,customers!$A$1:$A$1001,customers!$I$1:$I$1001,,0)</f>
        <v>Yes</v>
      </c>
    </row>
    <row r="85" spans="1:20"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v>
      </c>
      <c r="H85" s="2" t="str">
        <f>_xlfn.XLOOKUP(C85,customers!$A$1:$A$1001,customers!$G$1:$G$1001,,0)</f>
        <v>United States</v>
      </c>
      <c r="I85" t="str">
        <f>INDEX(products!$A$1:$I$49,MATCH(orders!$D85,products!$A$1:$A$49,0),MATCH(orders!I$1,products!$A$1:$D$1,0))</f>
        <v>Rob</v>
      </c>
      <c r="J85" t="str">
        <f t="shared" si="6"/>
        <v>Robusta</v>
      </c>
      <c r="K85" t="str">
        <f>INDEX(products!$A$1:$I$49,MATCH(orders!$D85,products!$A$1:$A$49,0),MATCH(orders!K$1,products!$A$1:$D$1,0))</f>
        <v>D</v>
      </c>
      <c r="L85" t="str">
        <f t="shared" si="7"/>
        <v>Dark</v>
      </c>
      <c r="M85">
        <f>INDEX(products!$A$1:$I$49,MATCH(orders!$D85,products!$A$1:$A$49,0),MATCH(orders!M$1,products!$A$1:$D$1,0))</f>
        <v>2.5</v>
      </c>
      <c r="N85">
        <f>_xlfn.XLOOKUP(D85,products!$A$2:$A$49,products!$E$2:$E$49)</f>
        <v>20.584999999999997</v>
      </c>
      <c r="O85">
        <f>_xlfn.XLOOKUP(D85,products!$A$2:$A$49,products!$H$2:$H$49)</f>
        <v>19.349899999999998</v>
      </c>
      <c r="P85">
        <f t="shared" si="8"/>
        <v>82.339999999999989</v>
      </c>
      <c r="Q85">
        <f t="shared" si="9"/>
        <v>77.399599999999992</v>
      </c>
      <c r="R85">
        <f t="shared" si="10"/>
        <v>4.9403999999999968</v>
      </c>
      <c r="S85" s="4">
        <f t="shared" si="11"/>
        <v>5.999999999999997E-2</v>
      </c>
      <c r="T85" t="str">
        <f>_xlfn.XLOOKUP(C85,customers!$A$1:$A$1001,customers!$I$1:$I$1001,,0)</f>
        <v>Yes</v>
      </c>
    </row>
    <row r="86" spans="1:20"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INDEX(products!$A$1:$I$49,MATCH(orders!$D86,products!$A$1:$A$49,0),MATCH(orders!I$1,products!$A$1:$D$1,0))</f>
        <v>Lib</v>
      </c>
      <c r="J86" t="str">
        <f t="shared" si="6"/>
        <v>Liberica</v>
      </c>
      <c r="K86" t="str">
        <f>INDEX(products!$A$1:$I$49,MATCH(orders!$D86,products!$A$1:$A$49,0),MATCH(orders!K$1,products!$A$1:$D$1,0))</f>
        <v>L</v>
      </c>
      <c r="L86" t="str">
        <f t="shared" si="7"/>
        <v>Light</v>
      </c>
      <c r="M86">
        <f>INDEX(products!$A$1:$I$49,MATCH(orders!$D86,products!$A$1:$A$49,0),MATCH(orders!M$1,products!$A$1:$D$1,0))</f>
        <v>0.5</v>
      </c>
      <c r="N86">
        <f>_xlfn.XLOOKUP(D86,products!$A$2:$A$49,products!$E$2:$E$49)</f>
        <v>9.51</v>
      </c>
      <c r="O86">
        <f>_xlfn.XLOOKUP(D86,products!$A$2:$A$49,products!$H$2:$H$49)</f>
        <v>8.2736999999999998</v>
      </c>
      <c r="P86">
        <f t="shared" si="8"/>
        <v>9.51</v>
      </c>
      <c r="Q86">
        <f t="shared" si="9"/>
        <v>8.2736999999999998</v>
      </c>
      <c r="R86">
        <f t="shared" si="10"/>
        <v>1.2363</v>
      </c>
      <c r="S86" s="4">
        <f t="shared" si="11"/>
        <v>0.13</v>
      </c>
      <c r="T86" t="str">
        <f>_xlfn.XLOOKUP(C86,customers!$A$1:$A$1001,customers!$I$1:$I$1001,,0)</f>
        <v>No</v>
      </c>
    </row>
    <row r="87" spans="1:20"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INDEX(products!$A$1:$I$49,MATCH(orders!$D87,products!$A$1:$A$49,0),MATCH(orders!I$1,products!$A$1:$D$1,0))</f>
        <v>Ara</v>
      </c>
      <c r="J87" t="str">
        <f t="shared" si="6"/>
        <v>Arabica</v>
      </c>
      <c r="K87" t="str">
        <f>INDEX(products!$A$1:$I$49,MATCH(orders!$D87,products!$A$1:$A$49,0),MATCH(orders!K$1,products!$A$1:$D$1,0))</f>
        <v>L</v>
      </c>
      <c r="L87" t="str">
        <f t="shared" si="7"/>
        <v>Light</v>
      </c>
      <c r="M87">
        <f>INDEX(products!$A$1:$I$49,MATCH(orders!$D87,products!$A$1:$A$49,0),MATCH(orders!M$1,products!$A$1:$D$1,0))</f>
        <v>2.5</v>
      </c>
      <c r="N87">
        <f>_xlfn.XLOOKUP(D87,products!$A$2:$A$49,products!$E$2:$E$49)</f>
        <v>29.784999999999997</v>
      </c>
      <c r="O87">
        <f>_xlfn.XLOOKUP(D87,products!$A$2:$A$49,products!$H$2:$H$49)</f>
        <v>27.104349999999997</v>
      </c>
      <c r="P87">
        <f t="shared" si="8"/>
        <v>89.35499999999999</v>
      </c>
      <c r="Q87">
        <f t="shared" si="9"/>
        <v>81.31304999999999</v>
      </c>
      <c r="R87">
        <f t="shared" si="10"/>
        <v>8.0419499999999999</v>
      </c>
      <c r="S87" s="4">
        <f t="shared" si="11"/>
        <v>9.0000000000000011E-2</v>
      </c>
      <c r="T87" t="str">
        <f>_xlfn.XLOOKUP(C87,customers!$A$1:$A$1001,customers!$I$1:$I$1001,,0)</f>
        <v>No</v>
      </c>
    </row>
    <row r="88" spans="1:20"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INDEX(products!$A$1:$I$49,MATCH(orders!$D88,products!$A$1:$A$49,0),MATCH(orders!I$1,products!$A$1:$D$1,0))</f>
        <v>Ara</v>
      </c>
      <c r="J88" t="str">
        <f t="shared" si="6"/>
        <v>Arabica</v>
      </c>
      <c r="K88" t="str">
        <f>INDEX(products!$A$1:$I$49,MATCH(orders!$D88,products!$A$1:$A$49,0),MATCH(orders!K$1,products!$A$1:$D$1,0))</f>
        <v>D</v>
      </c>
      <c r="L88" t="str">
        <f t="shared" si="7"/>
        <v>Dark</v>
      </c>
      <c r="M88">
        <f>INDEX(products!$A$1:$I$49,MATCH(orders!$D88,products!$A$1:$A$49,0),MATCH(orders!M$1,products!$A$1:$D$1,0))</f>
        <v>0.2</v>
      </c>
      <c r="N88">
        <f>_xlfn.XLOOKUP(D88,products!$A$2:$A$49,products!$E$2:$E$49)</f>
        <v>2.9849999999999999</v>
      </c>
      <c r="O88">
        <f>_xlfn.XLOOKUP(D88,products!$A$2:$A$49,products!$H$2:$H$49)</f>
        <v>2.7163499999999998</v>
      </c>
      <c r="P88">
        <f t="shared" si="8"/>
        <v>11.94</v>
      </c>
      <c r="Q88">
        <f t="shared" si="9"/>
        <v>10.865399999999999</v>
      </c>
      <c r="R88">
        <f t="shared" si="10"/>
        <v>1.0746000000000002</v>
      </c>
      <c r="S88" s="4">
        <f t="shared" si="11"/>
        <v>9.0000000000000024E-2</v>
      </c>
      <c r="T88" t="str">
        <f>_xlfn.XLOOKUP(C88,customers!$A$1:$A$1001,customers!$I$1:$I$1001,,0)</f>
        <v>No</v>
      </c>
    </row>
    <row r="89" spans="1:20"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INDEX(products!$A$1:$I$49,MATCH(orders!$D89,products!$A$1:$A$49,0),MATCH(orders!I$1,products!$A$1:$D$1,0))</f>
        <v>Ara</v>
      </c>
      <c r="J89" t="str">
        <f t="shared" si="6"/>
        <v>Arabica</v>
      </c>
      <c r="K89" t="str">
        <f>INDEX(products!$A$1:$I$49,MATCH(orders!$D89,products!$A$1:$A$49,0),MATCH(orders!K$1,products!$A$1:$D$1,0))</f>
        <v>M</v>
      </c>
      <c r="L89" t="str">
        <f t="shared" si="7"/>
        <v>Medium</v>
      </c>
      <c r="M89">
        <f>INDEX(products!$A$1:$I$49,MATCH(orders!$D89,products!$A$1:$A$49,0),MATCH(orders!M$1,products!$A$1:$D$1,0))</f>
        <v>1</v>
      </c>
      <c r="N89">
        <f>_xlfn.XLOOKUP(D89,products!$A$2:$A$49,products!$E$2:$E$49)</f>
        <v>11.25</v>
      </c>
      <c r="O89">
        <f>_xlfn.XLOOKUP(D89,products!$A$2:$A$49,products!$H$2:$H$49)</f>
        <v>10.237500000000001</v>
      </c>
      <c r="P89">
        <f t="shared" si="8"/>
        <v>33.75</v>
      </c>
      <c r="Q89">
        <f t="shared" si="9"/>
        <v>30.712500000000002</v>
      </c>
      <c r="R89">
        <f t="shared" si="10"/>
        <v>3.0374999999999979</v>
      </c>
      <c r="S89" s="4">
        <f t="shared" si="11"/>
        <v>8.9999999999999941E-2</v>
      </c>
      <c r="T89" t="str">
        <f>_xlfn.XLOOKUP(C89,customers!$A$1:$A$1001,customers!$I$1:$I$1001,,0)</f>
        <v>No</v>
      </c>
    </row>
    <row r="90" spans="1:20"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INDEX(products!$A$1:$I$49,MATCH(orders!$D90,products!$A$1:$A$49,0),MATCH(orders!I$1,products!$A$1:$D$1,0))</f>
        <v>Rob</v>
      </c>
      <c r="J90" t="str">
        <f t="shared" si="6"/>
        <v>Robusta</v>
      </c>
      <c r="K90" t="str">
        <f>INDEX(products!$A$1:$I$49,MATCH(orders!$D90,products!$A$1:$A$49,0),MATCH(orders!K$1,products!$A$1:$D$1,0))</f>
        <v>L</v>
      </c>
      <c r="L90" t="str">
        <f t="shared" si="7"/>
        <v>Light</v>
      </c>
      <c r="M90">
        <f>INDEX(products!$A$1:$I$49,MATCH(orders!$D90,products!$A$1:$A$49,0),MATCH(orders!M$1,products!$A$1:$D$1,0))</f>
        <v>1</v>
      </c>
      <c r="N90">
        <f>_xlfn.XLOOKUP(D90,products!$A$2:$A$49,products!$E$2:$E$49)</f>
        <v>11.95</v>
      </c>
      <c r="O90">
        <f>_xlfn.XLOOKUP(D90,products!$A$2:$A$49,products!$H$2:$H$49)</f>
        <v>11.232999999999999</v>
      </c>
      <c r="P90">
        <f t="shared" si="8"/>
        <v>35.849999999999994</v>
      </c>
      <c r="Q90">
        <f t="shared" si="9"/>
        <v>33.698999999999998</v>
      </c>
      <c r="R90">
        <f t="shared" si="10"/>
        <v>2.1509999999999962</v>
      </c>
      <c r="S90" s="4">
        <f t="shared" si="11"/>
        <v>5.9999999999999908E-2</v>
      </c>
      <c r="T90" t="str">
        <f>_xlfn.XLOOKUP(C90,customers!$A$1:$A$1001,customers!$I$1:$I$1001,,0)</f>
        <v>No</v>
      </c>
    </row>
    <row r="91" spans="1:20"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INDEX(products!$A$1:$I$49,MATCH(orders!$D91,products!$A$1:$A$49,0),MATCH(orders!I$1,products!$A$1:$D$1,0))</f>
        <v>Ara</v>
      </c>
      <c r="J91" t="str">
        <f t="shared" si="6"/>
        <v>Arabica</v>
      </c>
      <c r="K91" t="str">
        <f>INDEX(products!$A$1:$I$49,MATCH(orders!$D91,products!$A$1:$A$49,0),MATCH(orders!K$1,products!$A$1:$D$1,0))</f>
        <v>L</v>
      </c>
      <c r="L91" t="str">
        <f t="shared" si="7"/>
        <v>Light</v>
      </c>
      <c r="M91">
        <f>INDEX(products!$A$1:$I$49,MATCH(orders!$D91,products!$A$1:$A$49,0),MATCH(orders!M$1,products!$A$1:$D$1,0))</f>
        <v>1</v>
      </c>
      <c r="N91">
        <f>_xlfn.XLOOKUP(D91,products!$A$2:$A$49,products!$E$2:$E$49)</f>
        <v>12.95</v>
      </c>
      <c r="O91">
        <f>_xlfn.XLOOKUP(D91,products!$A$2:$A$49,products!$H$2:$H$49)</f>
        <v>11.7845</v>
      </c>
      <c r="P91">
        <f t="shared" si="8"/>
        <v>77.699999999999989</v>
      </c>
      <c r="Q91">
        <f t="shared" si="9"/>
        <v>70.706999999999994</v>
      </c>
      <c r="R91">
        <f t="shared" si="10"/>
        <v>6.992999999999995</v>
      </c>
      <c r="S91" s="4">
        <f t="shared" si="11"/>
        <v>8.9999999999999955E-2</v>
      </c>
      <c r="T91" t="str">
        <f>_xlfn.XLOOKUP(C91,customers!$A$1:$A$1001,customers!$I$1:$I$1001,,0)</f>
        <v>No</v>
      </c>
    </row>
    <row r="92" spans="1:20"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v>
      </c>
      <c r="H92" s="2" t="str">
        <f>_xlfn.XLOOKUP(C92,customers!$A$1:$A$1001,customers!$G$1:$G$1001,,0)</f>
        <v>Ireland</v>
      </c>
      <c r="I92" t="str">
        <f>INDEX(products!$A$1:$I$49,MATCH(orders!$D92,products!$A$1:$A$49,0),MATCH(orders!I$1,products!$A$1:$D$1,0))</f>
        <v>Ara</v>
      </c>
      <c r="J92" t="str">
        <f t="shared" si="6"/>
        <v>Arabica</v>
      </c>
      <c r="K92" t="str">
        <f>INDEX(products!$A$1:$I$49,MATCH(orders!$D92,products!$A$1:$A$49,0),MATCH(orders!K$1,products!$A$1:$D$1,0))</f>
        <v>L</v>
      </c>
      <c r="L92" t="str">
        <f t="shared" si="7"/>
        <v>Light</v>
      </c>
      <c r="M92">
        <f>INDEX(products!$A$1:$I$49,MATCH(orders!$D92,products!$A$1:$A$49,0),MATCH(orders!M$1,products!$A$1:$D$1,0))</f>
        <v>1</v>
      </c>
      <c r="N92">
        <f>_xlfn.XLOOKUP(D92,products!$A$2:$A$49,products!$E$2:$E$49)</f>
        <v>12.95</v>
      </c>
      <c r="O92">
        <f>_xlfn.XLOOKUP(D92,products!$A$2:$A$49,products!$H$2:$H$49)</f>
        <v>11.7845</v>
      </c>
      <c r="P92">
        <f t="shared" si="8"/>
        <v>51.8</v>
      </c>
      <c r="Q92">
        <f t="shared" si="9"/>
        <v>47.137999999999998</v>
      </c>
      <c r="R92">
        <f t="shared" si="10"/>
        <v>4.661999999999999</v>
      </c>
      <c r="S92" s="4">
        <f t="shared" si="11"/>
        <v>8.9999999999999983E-2</v>
      </c>
      <c r="T92" t="str">
        <f>_xlfn.XLOOKUP(C92,customers!$A$1:$A$1001,customers!$I$1:$I$1001,,0)</f>
        <v>Yes</v>
      </c>
    </row>
    <row r="93" spans="1:20"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INDEX(products!$A$1:$I$49,MATCH(orders!$D93,products!$A$1:$A$49,0),MATCH(orders!I$1,products!$A$1:$D$1,0))</f>
        <v>Ara</v>
      </c>
      <c r="J93" t="str">
        <f t="shared" si="6"/>
        <v>Arabica</v>
      </c>
      <c r="K93" t="str">
        <f>INDEX(products!$A$1:$I$49,MATCH(orders!$D93,products!$A$1:$A$49,0),MATCH(orders!K$1,products!$A$1:$D$1,0))</f>
        <v>M</v>
      </c>
      <c r="L93" t="str">
        <f t="shared" si="7"/>
        <v>Medium</v>
      </c>
      <c r="M93">
        <f>INDEX(products!$A$1:$I$49,MATCH(orders!$D93,products!$A$1:$A$49,0),MATCH(orders!M$1,products!$A$1:$D$1,0))</f>
        <v>2.5</v>
      </c>
      <c r="N93">
        <f>_xlfn.XLOOKUP(D93,products!$A$2:$A$49,products!$E$2:$E$49)</f>
        <v>25.874999999999996</v>
      </c>
      <c r="O93">
        <f>_xlfn.XLOOKUP(D93,products!$A$2:$A$49,products!$H$2:$H$49)</f>
        <v>23.546249999999997</v>
      </c>
      <c r="P93">
        <f t="shared" si="8"/>
        <v>103.49999999999999</v>
      </c>
      <c r="Q93">
        <f t="shared" si="9"/>
        <v>94.184999999999988</v>
      </c>
      <c r="R93">
        <f t="shared" si="10"/>
        <v>9.3149999999999977</v>
      </c>
      <c r="S93" s="4">
        <f t="shared" si="11"/>
        <v>0.09</v>
      </c>
      <c r="T93" t="str">
        <f>_xlfn.XLOOKUP(C93,customers!$A$1:$A$1001,customers!$I$1:$I$1001,,0)</f>
        <v>No</v>
      </c>
    </row>
    <row r="94" spans="1:20"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v>
      </c>
      <c r="H94" s="2" t="str">
        <f>_xlfn.XLOOKUP(C94,customers!$A$1:$A$1001,customers!$G$1:$G$1001,,0)</f>
        <v>United States</v>
      </c>
      <c r="I94" t="str">
        <f>INDEX(products!$A$1:$I$49,MATCH(orders!$D94,products!$A$1:$A$49,0),MATCH(orders!I$1,products!$A$1:$D$1,0))</f>
        <v>Exc</v>
      </c>
      <c r="J94" t="str">
        <f t="shared" si="6"/>
        <v>Excelsa</v>
      </c>
      <c r="K94" t="str">
        <f>INDEX(products!$A$1:$I$49,MATCH(orders!$D94,products!$A$1:$A$49,0),MATCH(orders!K$1,products!$A$1:$D$1,0))</f>
        <v>L</v>
      </c>
      <c r="L94" t="str">
        <f t="shared" si="7"/>
        <v>Light</v>
      </c>
      <c r="M94">
        <f>INDEX(products!$A$1:$I$49,MATCH(orders!$D94,products!$A$1:$A$49,0),MATCH(orders!M$1,products!$A$1:$D$1,0))</f>
        <v>1</v>
      </c>
      <c r="N94">
        <f>_xlfn.XLOOKUP(D94,products!$A$2:$A$49,products!$E$2:$E$49)</f>
        <v>14.85</v>
      </c>
      <c r="O94">
        <f>_xlfn.XLOOKUP(D94,products!$A$2:$A$49,products!$H$2:$H$49)</f>
        <v>13.2165</v>
      </c>
      <c r="P94">
        <f t="shared" si="8"/>
        <v>44.55</v>
      </c>
      <c r="Q94">
        <f t="shared" si="9"/>
        <v>39.649500000000003</v>
      </c>
      <c r="R94">
        <f t="shared" si="10"/>
        <v>4.9004999999999939</v>
      </c>
      <c r="S94" s="4">
        <f t="shared" si="11"/>
        <v>0.10999999999999988</v>
      </c>
      <c r="T94" t="str">
        <f>_xlfn.XLOOKUP(C94,customers!$A$1:$A$1001,customers!$I$1:$I$1001,,0)</f>
        <v>Yes</v>
      </c>
    </row>
    <row r="95" spans="1:20"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INDEX(products!$A$1:$I$49,MATCH(orders!$D95,products!$A$1:$A$49,0),MATCH(orders!I$1,products!$A$1:$D$1,0))</f>
        <v>Exc</v>
      </c>
      <c r="J95" t="str">
        <f t="shared" si="6"/>
        <v>Excelsa</v>
      </c>
      <c r="K95" t="str">
        <f>INDEX(products!$A$1:$I$49,MATCH(orders!$D95,products!$A$1:$A$49,0),MATCH(orders!K$1,products!$A$1:$D$1,0))</f>
        <v>L</v>
      </c>
      <c r="L95" t="str">
        <f t="shared" si="7"/>
        <v>Light</v>
      </c>
      <c r="M95">
        <f>INDEX(products!$A$1:$I$49,MATCH(orders!$D95,products!$A$1:$A$49,0),MATCH(orders!M$1,products!$A$1:$D$1,0))</f>
        <v>0.5</v>
      </c>
      <c r="N95">
        <f>_xlfn.XLOOKUP(D95,products!$A$2:$A$49,products!$E$2:$E$49)</f>
        <v>8.91</v>
      </c>
      <c r="O95">
        <f>_xlfn.XLOOKUP(D95,products!$A$2:$A$49,products!$H$2:$H$49)</f>
        <v>7.9298999999999999</v>
      </c>
      <c r="P95">
        <f t="shared" si="8"/>
        <v>35.64</v>
      </c>
      <c r="Q95">
        <f t="shared" si="9"/>
        <v>31.7196</v>
      </c>
      <c r="R95">
        <f t="shared" si="10"/>
        <v>3.9204000000000008</v>
      </c>
      <c r="S95" s="4">
        <f t="shared" si="11"/>
        <v>0.11000000000000001</v>
      </c>
      <c r="T95" t="str">
        <f>_xlfn.XLOOKUP(C95,customers!$A$1:$A$1001,customers!$I$1:$I$1001,,0)</f>
        <v>Yes</v>
      </c>
    </row>
    <row r="96" spans="1:20"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v>
      </c>
      <c r="H96" s="2" t="str">
        <f>_xlfn.XLOOKUP(C96,customers!$A$1:$A$1001,customers!$G$1:$G$1001,,0)</f>
        <v>Ireland</v>
      </c>
      <c r="I96" t="str">
        <f>INDEX(products!$A$1:$I$49,MATCH(orders!$D96,products!$A$1:$A$49,0),MATCH(orders!I$1,products!$A$1:$D$1,0))</f>
        <v>Ara</v>
      </c>
      <c r="J96" t="str">
        <f t="shared" si="6"/>
        <v>Arabica</v>
      </c>
      <c r="K96" t="str">
        <f>INDEX(products!$A$1:$I$49,MATCH(orders!$D96,products!$A$1:$A$49,0),MATCH(orders!K$1,products!$A$1:$D$1,0))</f>
        <v>D</v>
      </c>
      <c r="L96" t="str">
        <f t="shared" si="7"/>
        <v>Dark</v>
      </c>
      <c r="M96">
        <f>INDEX(products!$A$1:$I$49,MATCH(orders!$D96,products!$A$1:$A$49,0),MATCH(orders!M$1,products!$A$1:$D$1,0))</f>
        <v>0.2</v>
      </c>
      <c r="N96">
        <f>_xlfn.XLOOKUP(D96,products!$A$2:$A$49,products!$E$2:$E$49)</f>
        <v>2.9849999999999999</v>
      </c>
      <c r="O96">
        <f>_xlfn.XLOOKUP(D96,products!$A$2:$A$49,products!$H$2:$H$49)</f>
        <v>2.7163499999999998</v>
      </c>
      <c r="P96">
        <f t="shared" si="8"/>
        <v>17.91</v>
      </c>
      <c r="Q96">
        <f t="shared" si="9"/>
        <v>16.298099999999998</v>
      </c>
      <c r="R96">
        <f t="shared" si="10"/>
        <v>1.6119000000000021</v>
      </c>
      <c r="S96" s="4">
        <f t="shared" si="11"/>
        <v>9.0000000000000122E-2</v>
      </c>
      <c r="T96" t="str">
        <f>_xlfn.XLOOKUP(C96,customers!$A$1:$A$1001,customers!$I$1:$I$1001,,0)</f>
        <v>Yes</v>
      </c>
    </row>
    <row r="97" spans="1:20"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INDEX(products!$A$1:$I$49,MATCH(orders!$D97,products!$A$1:$A$49,0),MATCH(orders!I$1,products!$A$1:$D$1,0))</f>
        <v>Ara</v>
      </c>
      <c r="J97" t="str">
        <f t="shared" si="6"/>
        <v>Arabica</v>
      </c>
      <c r="K97" t="str">
        <f>INDEX(products!$A$1:$I$49,MATCH(orders!$D97,products!$A$1:$A$49,0),MATCH(orders!K$1,products!$A$1:$D$1,0))</f>
        <v>M</v>
      </c>
      <c r="L97" t="str">
        <f t="shared" si="7"/>
        <v>Medium</v>
      </c>
      <c r="M97">
        <f>INDEX(products!$A$1:$I$49,MATCH(orders!$D97,products!$A$1:$A$49,0),MATCH(orders!M$1,products!$A$1:$D$1,0))</f>
        <v>2.5</v>
      </c>
      <c r="N97">
        <f>_xlfn.XLOOKUP(D97,products!$A$2:$A$49,products!$E$2:$E$49)</f>
        <v>25.874999999999996</v>
      </c>
      <c r="O97">
        <f>_xlfn.XLOOKUP(D97,products!$A$2:$A$49,products!$H$2:$H$49)</f>
        <v>23.546249999999997</v>
      </c>
      <c r="P97">
        <f t="shared" si="8"/>
        <v>155.24999999999997</v>
      </c>
      <c r="Q97">
        <f t="shared" si="9"/>
        <v>141.27749999999997</v>
      </c>
      <c r="R97">
        <f t="shared" si="10"/>
        <v>13.972499999999997</v>
      </c>
      <c r="S97" s="4">
        <f t="shared" si="11"/>
        <v>0.09</v>
      </c>
      <c r="T97" t="str">
        <f>_xlfn.XLOOKUP(C97,customers!$A$1:$A$1001,customers!$I$1:$I$1001,,0)</f>
        <v>No</v>
      </c>
    </row>
    <row r="98" spans="1:20"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INDEX(products!$A$1:$I$49,MATCH(orders!$D98,products!$A$1:$A$49,0),MATCH(orders!I$1,products!$A$1:$D$1,0))</f>
        <v>Ara</v>
      </c>
      <c r="J98" t="str">
        <f t="shared" si="6"/>
        <v>Arabica</v>
      </c>
      <c r="K98" t="str">
        <f>INDEX(products!$A$1:$I$49,MATCH(orders!$D98,products!$A$1:$A$49,0),MATCH(orders!K$1,products!$A$1:$D$1,0))</f>
        <v>D</v>
      </c>
      <c r="L98" t="str">
        <f t="shared" si="7"/>
        <v>Dark</v>
      </c>
      <c r="M98">
        <f>INDEX(products!$A$1:$I$49,MATCH(orders!$D98,products!$A$1:$A$49,0),MATCH(orders!M$1,products!$A$1:$D$1,0))</f>
        <v>0.2</v>
      </c>
      <c r="N98">
        <f>_xlfn.XLOOKUP(D98,products!$A$2:$A$49,products!$E$2:$E$49)</f>
        <v>2.9849999999999999</v>
      </c>
      <c r="O98">
        <f>_xlfn.XLOOKUP(D98,products!$A$2:$A$49,products!$H$2:$H$49)</f>
        <v>2.7163499999999998</v>
      </c>
      <c r="P98">
        <f t="shared" si="8"/>
        <v>5.97</v>
      </c>
      <c r="Q98">
        <f t="shared" si="9"/>
        <v>5.4326999999999996</v>
      </c>
      <c r="R98">
        <f t="shared" si="10"/>
        <v>0.53730000000000011</v>
      </c>
      <c r="S98" s="4">
        <f t="shared" si="11"/>
        <v>9.0000000000000024E-2</v>
      </c>
      <c r="T98" t="str">
        <f>_xlfn.XLOOKUP(C98,customers!$A$1:$A$1001,customers!$I$1:$I$1001,,0)</f>
        <v>No</v>
      </c>
    </row>
    <row r="99" spans="1:20"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INDEX(products!$A$1:$I$49,MATCH(orders!$D99,products!$A$1:$A$49,0),MATCH(orders!I$1,products!$A$1:$D$1,0))</f>
        <v>Ara</v>
      </c>
      <c r="J99" t="str">
        <f t="shared" si="6"/>
        <v>Arabica</v>
      </c>
      <c r="K99" t="str">
        <f>INDEX(products!$A$1:$I$49,MATCH(orders!$D99,products!$A$1:$A$49,0),MATCH(orders!K$1,products!$A$1:$D$1,0))</f>
        <v>M</v>
      </c>
      <c r="L99" t="str">
        <f t="shared" si="7"/>
        <v>Medium</v>
      </c>
      <c r="M99">
        <f>INDEX(products!$A$1:$I$49,MATCH(orders!$D99,products!$A$1:$A$49,0),MATCH(orders!M$1,products!$A$1:$D$1,0))</f>
        <v>0.5</v>
      </c>
      <c r="N99">
        <f>_xlfn.XLOOKUP(D99,products!$A$2:$A$49,products!$E$2:$E$49)</f>
        <v>6.75</v>
      </c>
      <c r="O99">
        <f>_xlfn.XLOOKUP(D99,products!$A$2:$A$49,products!$H$2:$H$49)</f>
        <v>6.1425000000000001</v>
      </c>
      <c r="P99">
        <f t="shared" si="8"/>
        <v>13.5</v>
      </c>
      <c r="Q99">
        <f t="shared" si="9"/>
        <v>12.285</v>
      </c>
      <c r="R99">
        <f t="shared" si="10"/>
        <v>1.2149999999999999</v>
      </c>
      <c r="S99" s="4">
        <f t="shared" si="11"/>
        <v>8.9999999999999983E-2</v>
      </c>
      <c r="T99" t="str">
        <f>_xlfn.XLOOKUP(C99,customers!$A$1:$A$1001,customers!$I$1:$I$1001,,0)</f>
        <v>No</v>
      </c>
    </row>
    <row r="100" spans="1:20"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v>
      </c>
      <c r="H100" s="2" t="str">
        <f>_xlfn.XLOOKUP(C100,customers!$A$1:$A$1001,customers!$G$1:$G$1001,,0)</f>
        <v>Ireland</v>
      </c>
      <c r="I100" t="str">
        <f>INDEX(products!$A$1:$I$49,MATCH(orders!$D100,products!$A$1:$A$49,0),MATCH(orders!I$1,products!$A$1:$D$1,0))</f>
        <v>Ara</v>
      </c>
      <c r="J100" t="str">
        <f t="shared" si="6"/>
        <v>Arabica</v>
      </c>
      <c r="K100" t="str">
        <f>INDEX(products!$A$1:$I$49,MATCH(orders!$D100,products!$A$1:$A$49,0),MATCH(orders!K$1,products!$A$1:$D$1,0))</f>
        <v>D</v>
      </c>
      <c r="L100" t="str">
        <f t="shared" si="7"/>
        <v>Dark</v>
      </c>
      <c r="M100">
        <f>INDEX(products!$A$1:$I$49,MATCH(orders!$D100,products!$A$1:$A$49,0),MATCH(orders!M$1,products!$A$1:$D$1,0))</f>
        <v>0.2</v>
      </c>
      <c r="N100">
        <f>_xlfn.XLOOKUP(D100,products!$A$2:$A$49,products!$E$2:$E$49)</f>
        <v>2.9849999999999999</v>
      </c>
      <c r="O100">
        <f>_xlfn.XLOOKUP(D100,products!$A$2:$A$49,products!$H$2:$H$49)</f>
        <v>2.7163499999999998</v>
      </c>
      <c r="P100">
        <f t="shared" si="8"/>
        <v>2.9849999999999999</v>
      </c>
      <c r="Q100">
        <f t="shared" si="9"/>
        <v>2.7163499999999998</v>
      </c>
      <c r="R100">
        <f t="shared" si="10"/>
        <v>0.26865000000000006</v>
      </c>
      <c r="S100" s="4">
        <f t="shared" si="11"/>
        <v>9.0000000000000024E-2</v>
      </c>
      <c r="T100" t="str">
        <f>_xlfn.XLOOKUP(C100,customers!$A$1:$A$1001,customers!$I$1:$I$1001,,0)</f>
        <v>No</v>
      </c>
    </row>
    <row r="101" spans="1:20"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v>
      </c>
      <c r="H101" s="2" t="str">
        <f>_xlfn.XLOOKUP(C101,customers!$A$1:$A$1001,customers!$G$1:$G$1001,,0)</f>
        <v>United States</v>
      </c>
      <c r="I101" t="str">
        <f>INDEX(products!$A$1:$I$49,MATCH(orders!$D101,products!$A$1:$A$49,0),MATCH(orders!I$1,products!$A$1:$D$1,0))</f>
        <v>Lib</v>
      </c>
      <c r="J101" t="str">
        <f t="shared" si="6"/>
        <v>Liberica</v>
      </c>
      <c r="K101" t="str">
        <f>INDEX(products!$A$1:$I$49,MATCH(orders!$D101,products!$A$1:$A$49,0),MATCH(orders!K$1,products!$A$1:$D$1,0))</f>
        <v>M</v>
      </c>
      <c r="L101" t="str">
        <f t="shared" si="7"/>
        <v>Medium</v>
      </c>
      <c r="M101">
        <f>INDEX(products!$A$1:$I$49,MATCH(orders!$D101,products!$A$1:$A$49,0),MATCH(orders!M$1,products!$A$1:$D$1,0))</f>
        <v>0.2</v>
      </c>
      <c r="N101">
        <f>_xlfn.XLOOKUP(D101,products!$A$2:$A$49,products!$E$2:$E$49)</f>
        <v>4.3650000000000002</v>
      </c>
      <c r="O101">
        <f>_xlfn.XLOOKUP(D101,products!$A$2:$A$49,products!$H$2:$H$49)</f>
        <v>3.7975500000000002</v>
      </c>
      <c r="P101">
        <f t="shared" si="8"/>
        <v>13.095000000000001</v>
      </c>
      <c r="Q101">
        <f t="shared" si="9"/>
        <v>11.39265</v>
      </c>
      <c r="R101">
        <f t="shared" si="10"/>
        <v>1.7023500000000009</v>
      </c>
      <c r="S101" s="4">
        <f t="shared" si="11"/>
        <v>0.13000000000000006</v>
      </c>
      <c r="T101" t="str">
        <f>_xlfn.XLOOKUP(C101,customers!$A$1:$A$1001,customers!$I$1:$I$1001,,0)</f>
        <v>Yes</v>
      </c>
    </row>
    <row r="102" spans="1:20"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v>
      </c>
      <c r="H102" s="2" t="str">
        <f>_xlfn.XLOOKUP(C102,customers!$A$1:$A$1001,customers!$G$1:$G$1001,,0)</f>
        <v>United States</v>
      </c>
      <c r="I102" t="str">
        <f>INDEX(products!$A$1:$I$49,MATCH(orders!$D102,products!$A$1:$A$49,0),MATCH(orders!I$1,products!$A$1:$D$1,0))</f>
        <v>Ara</v>
      </c>
      <c r="J102" t="str">
        <f t="shared" si="6"/>
        <v>Arabica</v>
      </c>
      <c r="K102" t="str">
        <f>INDEX(products!$A$1:$I$49,MATCH(orders!$D102,products!$A$1:$A$49,0),MATCH(orders!K$1,products!$A$1:$D$1,0))</f>
        <v>L</v>
      </c>
      <c r="L102" t="str">
        <f t="shared" si="7"/>
        <v>Light</v>
      </c>
      <c r="M102">
        <f>INDEX(products!$A$1:$I$49,MATCH(orders!$D102,products!$A$1:$A$49,0),MATCH(orders!M$1,products!$A$1:$D$1,0))</f>
        <v>0.2</v>
      </c>
      <c r="N102">
        <f>_xlfn.XLOOKUP(D102,products!$A$2:$A$49,products!$E$2:$E$49)</f>
        <v>3.8849999999999998</v>
      </c>
      <c r="O102">
        <f>_xlfn.XLOOKUP(D102,products!$A$2:$A$49,products!$H$2:$H$49)</f>
        <v>3.5353499999999998</v>
      </c>
      <c r="P102">
        <f t="shared" si="8"/>
        <v>7.77</v>
      </c>
      <c r="Q102">
        <f t="shared" si="9"/>
        <v>7.0706999999999995</v>
      </c>
      <c r="R102">
        <f t="shared" si="10"/>
        <v>0.69930000000000003</v>
      </c>
      <c r="S102" s="4">
        <f t="shared" si="11"/>
        <v>9.0000000000000011E-2</v>
      </c>
      <c r="T102" t="str">
        <f>_xlfn.XLOOKUP(C102,customers!$A$1:$A$1001,customers!$I$1:$I$1001,,0)</f>
        <v>Yes</v>
      </c>
    </row>
    <row r="103" spans="1:20"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INDEX(products!$A$1:$I$49,MATCH(orders!$D103,products!$A$1:$A$49,0),MATCH(orders!I$1,products!$A$1:$D$1,0))</f>
        <v>Lib</v>
      </c>
      <c r="J103" t="str">
        <f t="shared" si="6"/>
        <v>Liberica</v>
      </c>
      <c r="K103" t="str">
        <f>INDEX(products!$A$1:$I$49,MATCH(orders!$D103,products!$A$1:$A$49,0),MATCH(orders!K$1,products!$A$1:$D$1,0))</f>
        <v>D</v>
      </c>
      <c r="L103" t="str">
        <f t="shared" si="7"/>
        <v>Dark</v>
      </c>
      <c r="M103">
        <f>INDEX(products!$A$1:$I$49,MATCH(orders!$D103,products!$A$1:$A$49,0),MATCH(orders!M$1,products!$A$1:$D$1,0))</f>
        <v>2.5</v>
      </c>
      <c r="N103">
        <f>_xlfn.XLOOKUP(D103,products!$A$2:$A$49,products!$E$2:$E$49)</f>
        <v>29.784999999999997</v>
      </c>
      <c r="O103">
        <f>_xlfn.XLOOKUP(D103,products!$A$2:$A$49,products!$H$2:$H$49)</f>
        <v>25.912949999999995</v>
      </c>
      <c r="P103">
        <f t="shared" si="8"/>
        <v>148.92499999999998</v>
      </c>
      <c r="Q103">
        <f t="shared" si="9"/>
        <v>129.56474999999998</v>
      </c>
      <c r="R103">
        <f t="shared" si="10"/>
        <v>19.360250000000008</v>
      </c>
      <c r="S103" s="4">
        <f t="shared" si="11"/>
        <v>0.13000000000000006</v>
      </c>
      <c r="T103" t="str">
        <f>_xlfn.XLOOKUP(C103,customers!$A$1:$A$1001,customers!$I$1:$I$1001,,0)</f>
        <v>Yes</v>
      </c>
    </row>
    <row r="104" spans="1:20"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INDEX(products!$A$1:$I$49,MATCH(orders!$D104,products!$A$1:$A$49,0),MATCH(orders!I$1,products!$A$1:$D$1,0))</f>
        <v>Lib</v>
      </c>
      <c r="J104" t="str">
        <f t="shared" si="6"/>
        <v>Liberica</v>
      </c>
      <c r="K104" t="str">
        <f>INDEX(products!$A$1:$I$49,MATCH(orders!$D104,products!$A$1:$A$49,0),MATCH(orders!K$1,products!$A$1:$D$1,0))</f>
        <v>D</v>
      </c>
      <c r="L104" t="str">
        <f t="shared" si="7"/>
        <v>Dark</v>
      </c>
      <c r="M104">
        <f>INDEX(products!$A$1:$I$49,MATCH(orders!$D104,products!$A$1:$A$49,0),MATCH(orders!M$1,products!$A$1:$D$1,0))</f>
        <v>1</v>
      </c>
      <c r="N104">
        <f>_xlfn.XLOOKUP(D104,products!$A$2:$A$49,products!$E$2:$E$49)</f>
        <v>12.95</v>
      </c>
      <c r="O104">
        <f>_xlfn.XLOOKUP(D104,products!$A$2:$A$49,products!$H$2:$H$49)</f>
        <v>11.266499999999999</v>
      </c>
      <c r="P104">
        <f t="shared" si="8"/>
        <v>38.849999999999994</v>
      </c>
      <c r="Q104">
        <f t="shared" si="9"/>
        <v>33.799499999999995</v>
      </c>
      <c r="R104">
        <f t="shared" si="10"/>
        <v>5.0504999999999995</v>
      </c>
      <c r="S104" s="4">
        <f t="shared" si="11"/>
        <v>0.13</v>
      </c>
      <c r="T104" t="str">
        <f>_xlfn.XLOOKUP(C104,customers!$A$1:$A$1001,customers!$I$1:$I$1001,,0)</f>
        <v>Yes</v>
      </c>
    </row>
    <row r="105" spans="1:20"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INDEX(products!$A$1:$I$49,MATCH(orders!$D105,products!$A$1:$A$49,0),MATCH(orders!I$1,products!$A$1:$D$1,0))</f>
        <v>Rob</v>
      </c>
      <c r="J105" t="str">
        <f t="shared" si="6"/>
        <v>Robusta</v>
      </c>
      <c r="K105" t="str">
        <f>INDEX(products!$A$1:$I$49,MATCH(orders!$D105,products!$A$1:$A$49,0),MATCH(orders!K$1,products!$A$1:$D$1,0))</f>
        <v>M</v>
      </c>
      <c r="L105" t="str">
        <f t="shared" si="7"/>
        <v>Medium</v>
      </c>
      <c r="M105">
        <f>INDEX(products!$A$1:$I$49,MATCH(orders!$D105,products!$A$1:$A$49,0),MATCH(orders!M$1,products!$A$1:$D$1,0))</f>
        <v>0.2</v>
      </c>
      <c r="N105">
        <f>_xlfn.XLOOKUP(D105,products!$A$2:$A$49,products!$E$2:$E$49)</f>
        <v>2.9849999999999999</v>
      </c>
      <c r="O105">
        <f>_xlfn.XLOOKUP(D105,products!$A$2:$A$49,products!$H$2:$H$49)</f>
        <v>2.8058999999999998</v>
      </c>
      <c r="P105">
        <f t="shared" si="8"/>
        <v>11.94</v>
      </c>
      <c r="Q105">
        <f t="shared" si="9"/>
        <v>11.223599999999999</v>
      </c>
      <c r="R105">
        <f t="shared" si="10"/>
        <v>0.71640000000000015</v>
      </c>
      <c r="S105" s="4">
        <f t="shared" si="11"/>
        <v>6.0000000000000012E-2</v>
      </c>
      <c r="T105" t="str">
        <f>_xlfn.XLOOKUP(C105,customers!$A$1:$A$1001,customers!$I$1:$I$1001,,0)</f>
        <v>No</v>
      </c>
    </row>
    <row r="106" spans="1:20"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INDEX(products!$A$1:$I$49,MATCH(orders!$D106,products!$A$1:$A$49,0),MATCH(orders!I$1,products!$A$1:$D$1,0))</f>
        <v>Lib</v>
      </c>
      <c r="J106" t="str">
        <f t="shared" si="6"/>
        <v>Liberica</v>
      </c>
      <c r="K106" t="str">
        <f>INDEX(products!$A$1:$I$49,MATCH(orders!$D106,products!$A$1:$A$49,0),MATCH(orders!K$1,products!$A$1:$D$1,0))</f>
        <v>M</v>
      </c>
      <c r="L106" t="str">
        <f t="shared" si="7"/>
        <v>Medium</v>
      </c>
      <c r="M106">
        <f>INDEX(products!$A$1:$I$49,MATCH(orders!$D106,products!$A$1:$A$49,0),MATCH(orders!M$1,products!$A$1:$D$1,0))</f>
        <v>1</v>
      </c>
      <c r="N106">
        <f>_xlfn.XLOOKUP(D106,products!$A$2:$A$49,products!$E$2:$E$49)</f>
        <v>14.55</v>
      </c>
      <c r="O106">
        <f>_xlfn.XLOOKUP(D106,products!$A$2:$A$49,products!$H$2:$H$49)</f>
        <v>12.6585</v>
      </c>
      <c r="P106">
        <f t="shared" si="8"/>
        <v>87.300000000000011</v>
      </c>
      <c r="Q106">
        <f t="shared" si="9"/>
        <v>75.950999999999993</v>
      </c>
      <c r="R106">
        <f t="shared" si="10"/>
        <v>11.349000000000018</v>
      </c>
      <c r="S106" s="4">
        <f t="shared" si="11"/>
        <v>0.1300000000000002</v>
      </c>
      <c r="T106" t="str">
        <f>_xlfn.XLOOKUP(C106,customers!$A$1:$A$1001,customers!$I$1:$I$1001,,0)</f>
        <v>No</v>
      </c>
    </row>
    <row r="107" spans="1:20"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INDEX(products!$A$1:$I$49,MATCH(orders!$D107,products!$A$1:$A$49,0),MATCH(orders!I$1,products!$A$1:$D$1,0))</f>
        <v>Ara</v>
      </c>
      <c r="J107" t="str">
        <f t="shared" si="6"/>
        <v>Arabica</v>
      </c>
      <c r="K107" t="str">
        <f>INDEX(products!$A$1:$I$49,MATCH(orders!$D107,products!$A$1:$A$49,0),MATCH(orders!K$1,products!$A$1:$D$1,0))</f>
        <v>M</v>
      </c>
      <c r="L107" t="str">
        <f t="shared" si="7"/>
        <v>Medium</v>
      </c>
      <c r="M107">
        <f>INDEX(products!$A$1:$I$49,MATCH(orders!$D107,products!$A$1:$A$49,0),MATCH(orders!M$1,products!$A$1:$D$1,0))</f>
        <v>0.5</v>
      </c>
      <c r="N107">
        <f>_xlfn.XLOOKUP(D107,products!$A$2:$A$49,products!$E$2:$E$49)</f>
        <v>6.75</v>
      </c>
      <c r="O107">
        <f>_xlfn.XLOOKUP(D107,products!$A$2:$A$49,products!$H$2:$H$49)</f>
        <v>6.1425000000000001</v>
      </c>
      <c r="P107">
        <f t="shared" si="8"/>
        <v>40.5</v>
      </c>
      <c r="Q107">
        <f t="shared" si="9"/>
        <v>36.855000000000004</v>
      </c>
      <c r="R107">
        <f t="shared" si="10"/>
        <v>3.644999999999996</v>
      </c>
      <c r="S107" s="4">
        <f t="shared" si="11"/>
        <v>8.99999999999999E-2</v>
      </c>
      <c r="T107" t="str">
        <f>_xlfn.XLOOKUP(C107,customers!$A$1:$A$1001,customers!$I$1:$I$1001,,0)</f>
        <v>Yes</v>
      </c>
    </row>
    <row r="108" spans="1:20"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INDEX(products!$A$1:$I$49,MATCH(orders!$D108,products!$A$1:$A$49,0),MATCH(orders!I$1,products!$A$1:$D$1,0))</f>
        <v>Exc</v>
      </c>
      <c r="J108" t="str">
        <f t="shared" si="6"/>
        <v>Excelsa</v>
      </c>
      <c r="K108" t="str">
        <f>INDEX(products!$A$1:$I$49,MATCH(orders!$D108,products!$A$1:$A$49,0),MATCH(orders!K$1,products!$A$1:$D$1,0))</f>
        <v>D</v>
      </c>
      <c r="L108" t="str">
        <f t="shared" si="7"/>
        <v>Dark</v>
      </c>
      <c r="M108">
        <f>INDEX(products!$A$1:$I$49,MATCH(orders!$D108,products!$A$1:$A$49,0),MATCH(orders!M$1,products!$A$1:$D$1,0))</f>
        <v>1</v>
      </c>
      <c r="N108">
        <f>_xlfn.XLOOKUP(D108,products!$A$2:$A$49,products!$E$2:$E$49)</f>
        <v>12.15</v>
      </c>
      <c r="O108">
        <f>_xlfn.XLOOKUP(D108,products!$A$2:$A$49,products!$H$2:$H$49)</f>
        <v>10.813500000000001</v>
      </c>
      <c r="P108">
        <f t="shared" si="8"/>
        <v>24.3</v>
      </c>
      <c r="Q108">
        <f t="shared" si="9"/>
        <v>21.627000000000002</v>
      </c>
      <c r="R108">
        <f t="shared" si="10"/>
        <v>2.6729999999999983</v>
      </c>
      <c r="S108" s="4">
        <f t="shared" si="11"/>
        <v>0.10999999999999993</v>
      </c>
      <c r="T108" t="str">
        <f>_xlfn.XLOOKUP(C108,customers!$A$1:$A$1001,customers!$I$1:$I$1001,,0)</f>
        <v>No</v>
      </c>
    </row>
    <row r="109" spans="1:20"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INDEX(products!$A$1:$I$49,MATCH(orders!$D109,products!$A$1:$A$49,0),MATCH(orders!I$1,products!$A$1:$D$1,0))</f>
        <v>Rob</v>
      </c>
      <c r="J109" t="str">
        <f t="shared" si="6"/>
        <v>Robusta</v>
      </c>
      <c r="K109" t="str">
        <f>INDEX(products!$A$1:$I$49,MATCH(orders!$D109,products!$A$1:$A$49,0),MATCH(orders!K$1,products!$A$1:$D$1,0))</f>
        <v>M</v>
      </c>
      <c r="L109" t="str">
        <f t="shared" si="7"/>
        <v>Medium</v>
      </c>
      <c r="M109">
        <f>INDEX(products!$A$1:$I$49,MATCH(orders!$D109,products!$A$1:$A$49,0),MATCH(orders!M$1,products!$A$1:$D$1,0))</f>
        <v>0.5</v>
      </c>
      <c r="N109">
        <f>_xlfn.XLOOKUP(D109,products!$A$2:$A$49,products!$E$2:$E$49)</f>
        <v>5.97</v>
      </c>
      <c r="O109">
        <f>_xlfn.XLOOKUP(D109,products!$A$2:$A$49,products!$H$2:$H$49)</f>
        <v>5.6117999999999997</v>
      </c>
      <c r="P109">
        <f t="shared" si="8"/>
        <v>17.91</v>
      </c>
      <c r="Q109">
        <f t="shared" si="9"/>
        <v>16.8354</v>
      </c>
      <c r="R109">
        <f t="shared" si="10"/>
        <v>1.0746000000000002</v>
      </c>
      <c r="S109" s="4">
        <f t="shared" si="11"/>
        <v>6.0000000000000012E-2</v>
      </c>
      <c r="T109" t="str">
        <f>_xlfn.XLOOKUP(C109,customers!$A$1:$A$1001,customers!$I$1:$I$1001,,0)</f>
        <v>Yes</v>
      </c>
    </row>
    <row r="110" spans="1:20"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v>
      </c>
      <c r="H110" s="2" t="str">
        <f>_xlfn.XLOOKUP(C110,customers!$A$1:$A$1001,customers!$G$1:$G$1001,,0)</f>
        <v>United States</v>
      </c>
      <c r="I110" t="str">
        <f>INDEX(products!$A$1:$I$49,MATCH(orders!$D110,products!$A$1:$A$49,0),MATCH(orders!I$1,products!$A$1:$D$1,0))</f>
        <v>Ara</v>
      </c>
      <c r="J110" t="str">
        <f t="shared" si="6"/>
        <v>Arabica</v>
      </c>
      <c r="K110" t="str">
        <f>INDEX(products!$A$1:$I$49,MATCH(orders!$D110,products!$A$1:$A$49,0),MATCH(orders!K$1,products!$A$1:$D$1,0))</f>
        <v>M</v>
      </c>
      <c r="L110" t="str">
        <f t="shared" si="7"/>
        <v>Medium</v>
      </c>
      <c r="M110">
        <f>INDEX(products!$A$1:$I$49,MATCH(orders!$D110,products!$A$1:$A$49,0),MATCH(orders!M$1,products!$A$1:$D$1,0))</f>
        <v>0.5</v>
      </c>
      <c r="N110">
        <f>_xlfn.XLOOKUP(D110,products!$A$2:$A$49,products!$E$2:$E$49)</f>
        <v>6.75</v>
      </c>
      <c r="O110">
        <f>_xlfn.XLOOKUP(D110,products!$A$2:$A$49,products!$H$2:$H$49)</f>
        <v>6.1425000000000001</v>
      </c>
      <c r="P110">
        <f t="shared" si="8"/>
        <v>27</v>
      </c>
      <c r="Q110">
        <f t="shared" si="9"/>
        <v>24.57</v>
      </c>
      <c r="R110">
        <f t="shared" si="10"/>
        <v>2.4299999999999997</v>
      </c>
      <c r="S110" s="4">
        <f t="shared" si="11"/>
        <v>8.9999999999999983E-2</v>
      </c>
      <c r="T110" t="str">
        <f>_xlfn.XLOOKUP(C110,customers!$A$1:$A$1001,customers!$I$1:$I$1001,,0)</f>
        <v>No</v>
      </c>
    </row>
    <row r="111" spans="1:20"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INDEX(products!$A$1:$I$49,MATCH(orders!$D111,products!$A$1:$A$49,0),MATCH(orders!I$1,products!$A$1:$D$1,0))</f>
        <v>Lib</v>
      </c>
      <c r="J111" t="str">
        <f t="shared" si="6"/>
        <v>Liberica</v>
      </c>
      <c r="K111" t="str">
        <f>INDEX(products!$A$1:$I$49,MATCH(orders!$D111,products!$A$1:$A$49,0),MATCH(orders!K$1,products!$A$1:$D$1,0))</f>
        <v>D</v>
      </c>
      <c r="L111" t="str">
        <f t="shared" si="7"/>
        <v>Dark</v>
      </c>
      <c r="M111">
        <f>INDEX(products!$A$1:$I$49,MATCH(orders!$D111,products!$A$1:$A$49,0),MATCH(orders!M$1,products!$A$1:$D$1,0))</f>
        <v>0.5</v>
      </c>
      <c r="N111">
        <f>_xlfn.XLOOKUP(D111,products!$A$2:$A$49,products!$E$2:$E$49)</f>
        <v>7.77</v>
      </c>
      <c r="O111">
        <f>_xlfn.XLOOKUP(D111,products!$A$2:$A$49,products!$H$2:$H$49)</f>
        <v>6.7599</v>
      </c>
      <c r="P111">
        <f t="shared" si="8"/>
        <v>7.77</v>
      </c>
      <c r="Q111">
        <f t="shared" si="9"/>
        <v>6.7599</v>
      </c>
      <c r="R111">
        <f t="shared" si="10"/>
        <v>1.0100999999999996</v>
      </c>
      <c r="S111" s="4">
        <f t="shared" si="11"/>
        <v>0.12999999999999995</v>
      </c>
      <c r="T111" t="str">
        <f>_xlfn.XLOOKUP(C111,customers!$A$1:$A$1001,customers!$I$1:$I$1001,,0)</f>
        <v>Yes</v>
      </c>
    </row>
    <row r="112" spans="1:20"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INDEX(products!$A$1:$I$49,MATCH(orders!$D112,products!$A$1:$A$49,0),MATCH(orders!I$1,products!$A$1:$D$1,0))</f>
        <v>Exc</v>
      </c>
      <c r="J112" t="str">
        <f t="shared" si="6"/>
        <v>Excelsa</v>
      </c>
      <c r="K112" t="str">
        <f>INDEX(products!$A$1:$I$49,MATCH(orders!$D112,products!$A$1:$A$49,0),MATCH(orders!K$1,products!$A$1:$D$1,0))</f>
        <v>L</v>
      </c>
      <c r="L112" t="str">
        <f t="shared" si="7"/>
        <v>Light</v>
      </c>
      <c r="M112">
        <f>INDEX(products!$A$1:$I$49,MATCH(orders!$D112,products!$A$1:$A$49,0),MATCH(orders!M$1,products!$A$1:$D$1,0))</f>
        <v>0.2</v>
      </c>
      <c r="N112">
        <f>_xlfn.XLOOKUP(D112,products!$A$2:$A$49,products!$E$2:$E$49)</f>
        <v>4.4550000000000001</v>
      </c>
      <c r="O112">
        <f>_xlfn.XLOOKUP(D112,products!$A$2:$A$49,products!$H$2:$H$49)</f>
        <v>3.96495</v>
      </c>
      <c r="P112">
        <f t="shared" si="8"/>
        <v>13.365</v>
      </c>
      <c r="Q112">
        <f t="shared" si="9"/>
        <v>11.89485</v>
      </c>
      <c r="R112">
        <f t="shared" si="10"/>
        <v>1.4701500000000003</v>
      </c>
      <c r="S112" s="4">
        <f t="shared" si="11"/>
        <v>0.11000000000000001</v>
      </c>
      <c r="T112" t="str">
        <f>_xlfn.XLOOKUP(C112,customers!$A$1:$A$1001,customers!$I$1:$I$1001,,0)</f>
        <v>Yes</v>
      </c>
    </row>
    <row r="113" spans="1:20"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INDEX(products!$A$1:$I$49,MATCH(orders!$D113,products!$A$1:$A$49,0),MATCH(orders!I$1,products!$A$1:$D$1,0))</f>
        <v>Rob</v>
      </c>
      <c r="J113" t="str">
        <f t="shared" si="6"/>
        <v>Robusta</v>
      </c>
      <c r="K113" t="str">
        <f>INDEX(products!$A$1:$I$49,MATCH(orders!$D113,products!$A$1:$A$49,0),MATCH(orders!K$1,products!$A$1:$D$1,0))</f>
        <v>D</v>
      </c>
      <c r="L113" t="str">
        <f t="shared" si="7"/>
        <v>Dark</v>
      </c>
      <c r="M113">
        <f>INDEX(products!$A$1:$I$49,MATCH(orders!$D113,products!$A$1:$A$49,0),MATCH(orders!M$1,products!$A$1:$D$1,0))</f>
        <v>0.5</v>
      </c>
      <c r="N113">
        <f>_xlfn.XLOOKUP(D113,products!$A$2:$A$49,products!$E$2:$E$49)</f>
        <v>5.3699999999999992</v>
      </c>
      <c r="O113">
        <f>_xlfn.XLOOKUP(D113,products!$A$2:$A$49,products!$H$2:$H$49)</f>
        <v>5.0477999999999996</v>
      </c>
      <c r="P113">
        <f t="shared" si="8"/>
        <v>26.849999999999994</v>
      </c>
      <c r="Q113">
        <f t="shared" si="9"/>
        <v>25.238999999999997</v>
      </c>
      <c r="R113">
        <f t="shared" si="10"/>
        <v>1.6109999999999971</v>
      </c>
      <c r="S113" s="4">
        <f t="shared" si="11"/>
        <v>5.9999999999999908E-2</v>
      </c>
      <c r="T113" t="str">
        <f>_xlfn.XLOOKUP(C113,customers!$A$1:$A$1001,customers!$I$1:$I$1001,,0)</f>
        <v>No</v>
      </c>
    </row>
    <row r="114" spans="1:20"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INDEX(products!$A$1:$I$49,MATCH(orders!$D114,products!$A$1:$A$49,0),MATCH(orders!I$1,products!$A$1:$D$1,0))</f>
        <v>Ara</v>
      </c>
      <c r="J114" t="str">
        <f t="shared" si="6"/>
        <v>Arabica</v>
      </c>
      <c r="K114" t="str">
        <f>INDEX(products!$A$1:$I$49,MATCH(orders!$D114,products!$A$1:$A$49,0),MATCH(orders!K$1,products!$A$1:$D$1,0))</f>
        <v>M</v>
      </c>
      <c r="L114" t="str">
        <f t="shared" si="7"/>
        <v>Medium</v>
      </c>
      <c r="M114">
        <f>INDEX(products!$A$1:$I$49,MATCH(orders!$D114,products!$A$1:$A$49,0),MATCH(orders!M$1,products!$A$1:$D$1,0))</f>
        <v>1</v>
      </c>
      <c r="N114">
        <f>_xlfn.XLOOKUP(D114,products!$A$2:$A$49,products!$E$2:$E$49)</f>
        <v>11.25</v>
      </c>
      <c r="O114">
        <f>_xlfn.XLOOKUP(D114,products!$A$2:$A$49,products!$H$2:$H$49)</f>
        <v>10.237500000000001</v>
      </c>
      <c r="P114">
        <f t="shared" si="8"/>
        <v>11.25</v>
      </c>
      <c r="Q114">
        <f t="shared" si="9"/>
        <v>10.237500000000001</v>
      </c>
      <c r="R114">
        <f t="shared" si="10"/>
        <v>1.0124999999999993</v>
      </c>
      <c r="S114" s="4">
        <f t="shared" si="11"/>
        <v>8.9999999999999941E-2</v>
      </c>
      <c r="T114" t="str">
        <f>_xlfn.XLOOKUP(C114,customers!$A$1:$A$1001,customers!$I$1:$I$1001,,0)</f>
        <v>No</v>
      </c>
    </row>
    <row r="115" spans="1:20"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INDEX(products!$A$1:$I$49,MATCH(orders!$D115,products!$A$1:$A$49,0),MATCH(orders!I$1,products!$A$1:$D$1,0))</f>
        <v>Lib</v>
      </c>
      <c r="J115" t="str">
        <f t="shared" si="6"/>
        <v>Liberica</v>
      </c>
      <c r="K115" t="str">
        <f>INDEX(products!$A$1:$I$49,MATCH(orders!$D115,products!$A$1:$A$49,0),MATCH(orders!K$1,products!$A$1:$D$1,0))</f>
        <v>M</v>
      </c>
      <c r="L115" t="str">
        <f t="shared" si="7"/>
        <v>Medium</v>
      </c>
      <c r="M115">
        <f>INDEX(products!$A$1:$I$49,MATCH(orders!$D115,products!$A$1:$A$49,0),MATCH(orders!M$1,products!$A$1:$D$1,0))</f>
        <v>1</v>
      </c>
      <c r="N115">
        <f>_xlfn.XLOOKUP(D115,products!$A$2:$A$49,products!$E$2:$E$49)</f>
        <v>14.55</v>
      </c>
      <c r="O115">
        <f>_xlfn.XLOOKUP(D115,products!$A$2:$A$49,products!$H$2:$H$49)</f>
        <v>12.6585</v>
      </c>
      <c r="P115">
        <f t="shared" si="8"/>
        <v>14.55</v>
      </c>
      <c r="Q115">
        <f t="shared" si="9"/>
        <v>12.6585</v>
      </c>
      <c r="R115">
        <f t="shared" si="10"/>
        <v>1.8915000000000006</v>
      </c>
      <c r="S115" s="4">
        <f t="shared" si="11"/>
        <v>0.13000000000000003</v>
      </c>
      <c r="T115" t="str">
        <f>_xlfn.XLOOKUP(C115,customers!$A$1:$A$1001,customers!$I$1:$I$1001,,0)</f>
        <v>No</v>
      </c>
    </row>
    <row r="116" spans="1:20"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v>
      </c>
      <c r="H116" s="2" t="str">
        <f>_xlfn.XLOOKUP(C116,customers!$A$1:$A$1001,customers!$G$1:$G$1001,,0)</f>
        <v>United States</v>
      </c>
      <c r="I116" t="str">
        <f>INDEX(products!$A$1:$I$49,MATCH(orders!$D116,products!$A$1:$A$49,0),MATCH(orders!I$1,products!$A$1:$D$1,0))</f>
        <v>Rob</v>
      </c>
      <c r="J116" t="str">
        <f t="shared" si="6"/>
        <v>Robusta</v>
      </c>
      <c r="K116" t="str">
        <f>INDEX(products!$A$1:$I$49,MATCH(orders!$D116,products!$A$1:$A$49,0),MATCH(orders!K$1,products!$A$1:$D$1,0))</f>
        <v>L</v>
      </c>
      <c r="L116" t="str">
        <f t="shared" si="7"/>
        <v>Light</v>
      </c>
      <c r="M116">
        <f>INDEX(products!$A$1:$I$49,MATCH(orders!$D116,products!$A$1:$A$49,0),MATCH(orders!M$1,products!$A$1:$D$1,0))</f>
        <v>0.2</v>
      </c>
      <c r="N116">
        <f>_xlfn.XLOOKUP(D116,products!$A$2:$A$49,products!$E$2:$E$49)</f>
        <v>3.5849999999999995</v>
      </c>
      <c r="O116">
        <f>_xlfn.XLOOKUP(D116,products!$A$2:$A$49,products!$H$2:$H$49)</f>
        <v>3.3698999999999995</v>
      </c>
      <c r="P116">
        <f t="shared" si="8"/>
        <v>14.339999999999998</v>
      </c>
      <c r="Q116">
        <f t="shared" si="9"/>
        <v>13.479599999999998</v>
      </c>
      <c r="R116">
        <f t="shared" si="10"/>
        <v>0.86040000000000028</v>
      </c>
      <c r="S116" s="4">
        <f t="shared" si="11"/>
        <v>6.0000000000000026E-2</v>
      </c>
      <c r="T116" t="str">
        <f>_xlfn.XLOOKUP(C116,customers!$A$1:$A$1001,customers!$I$1:$I$1001,,0)</f>
        <v>No</v>
      </c>
    </row>
    <row r="117" spans="1:20"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INDEX(products!$A$1:$I$49,MATCH(orders!$D117,products!$A$1:$A$49,0),MATCH(orders!I$1,products!$A$1:$D$1,0))</f>
        <v>Lib</v>
      </c>
      <c r="J117" t="str">
        <f t="shared" si="6"/>
        <v>Liberica</v>
      </c>
      <c r="K117" t="str">
        <f>INDEX(products!$A$1:$I$49,MATCH(orders!$D117,products!$A$1:$A$49,0),MATCH(orders!K$1,products!$A$1:$D$1,0))</f>
        <v>L</v>
      </c>
      <c r="L117" t="str">
        <f t="shared" si="7"/>
        <v>Light</v>
      </c>
      <c r="M117">
        <f>INDEX(products!$A$1:$I$49,MATCH(orders!$D117,products!$A$1:$A$49,0),MATCH(orders!M$1,products!$A$1:$D$1,0))</f>
        <v>1</v>
      </c>
      <c r="N117">
        <f>_xlfn.XLOOKUP(D117,products!$A$2:$A$49,products!$E$2:$E$49)</f>
        <v>15.85</v>
      </c>
      <c r="O117">
        <f>_xlfn.XLOOKUP(D117,products!$A$2:$A$49,products!$H$2:$H$49)</f>
        <v>13.7895</v>
      </c>
      <c r="P117">
        <f t="shared" si="8"/>
        <v>15.85</v>
      </c>
      <c r="Q117">
        <f t="shared" si="9"/>
        <v>13.7895</v>
      </c>
      <c r="R117">
        <f t="shared" si="10"/>
        <v>2.0604999999999993</v>
      </c>
      <c r="S117" s="4">
        <f t="shared" si="11"/>
        <v>0.12999999999999995</v>
      </c>
      <c r="T117" t="str">
        <f>_xlfn.XLOOKUP(C117,customers!$A$1:$A$1001,customers!$I$1:$I$1001,,0)</f>
        <v>No</v>
      </c>
    </row>
    <row r="118" spans="1:20"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INDEX(products!$A$1:$I$49,MATCH(orders!$D118,products!$A$1:$A$49,0),MATCH(orders!I$1,products!$A$1:$D$1,0))</f>
        <v>Lib</v>
      </c>
      <c r="J118" t="str">
        <f t="shared" si="6"/>
        <v>Liberica</v>
      </c>
      <c r="K118" t="str">
        <f>INDEX(products!$A$1:$I$49,MATCH(orders!$D118,products!$A$1:$A$49,0),MATCH(orders!K$1,products!$A$1:$D$1,0))</f>
        <v>L</v>
      </c>
      <c r="L118" t="str">
        <f t="shared" si="7"/>
        <v>Light</v>
      </c>
      <c r="M118">
        <f>INDEX(products!$A$1:$I$49,MATCH(orders!$D118,products!$A$1:$A$49,0),MATCH(orders!M$1,products!$A$1:$D$1,0))</f>
        <v>0.2</v>
      </c>
      <c r="N118">
        <f>_xlfn.XLOOKUP(D118,products!$A$2:$A$49,products!$E$2:$E$49)</f>
        <v>4.7549999999999999</v>
      </c>
      <c r="O118">
        <f>_xlfn.XLOOKUP(D118,products!$A$2:$A$49,products!$H$2:$H$49)</f>
        <v>4.1368499999999999</v>
      </c>
      <c r="P118">
        <f t="shared" si="8"/>
        <v>19.02</v>
      </c>
      <c r="Q118">
        <f t="shared" si="9"/>
        <v>16.5474</v>
      </c>
      <c r="R118">
        <f t="shared" si="10"/>
        <v>2.4725999999999999</v>
      </c>
      <c r="S118" s="4">
        <f t="shared" si="11"/>
        <v>0.13</v>
      </c>
      <c r="T118" t="str">
        <f>_xlfn.XLOOKUP(C118,customers!$A$1:$A$1001,customers!$I$1:$I$1001,,0)</f>
        <v>Yes</v>
      </c>
    </row>
    <row r="119" spans="1:20"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INDEX(products!$A$1:$I$49,MATCH(orders!$D119,products!$A$1:$A$49,0),MATCH(orders!I$1,products!$A$1:$D$1,0))</f>
        <v>Lib</v>
      </c>
      <c r="J119" t="str">
        <f t="shared" si="6"/>
        <v>Liberica</v>
      </c>
      <c r="K119" t="str">
        <f>INDEX(products!$A$1:$I$49,MATCH(orders!$D119,products!$A$1:$A$49,0),MATCH(orders!K$1,products!$A$1:$D$1,0))</f>
        <v>L</v>
      </c>
      <c r="L119" t="str">
        <f t="shared" si="7"/>
        <v>Light</v>
      </c>
      <c r="M119">
        <f>INDEX(products!$A$1:$I$49,MATCH(orders!$D119,products!$A$1:$A$49,0),MATCH(orders!M$1,products!$A$1:$D$1,0))</f>
        <v>0.5</v>
      </c>
      <c r="N119">
        <f>_xlfn.XLOOKUP(D119,products!$A$2:$A$49,products!$E$2:$E$49)</f>
        <v>9.51</v>
      </c>
      <c r="O119">
        <f>_xlfn.XLOOKUP(D119,products!$A$2:$A$49,products!$H$2:$H$49)</f>
        <v>8.2736999999999998</v>
      </c>
      <c r="P119">
        <f t="shared" si="8"/>
        <v>38.04</v>
      </c>
      <c r="Q119">
        <f t="shared" si="9"/>
        <v>33.094799999999999</v>
      </c>
      <c r="R119">
        <f t="shared" si="10"/>
        <v>4.9451999999999998</v>
      </c>
      <c r="S119" s="4">
        <f t="shared" si="11"/>
        <v>0.13</v>
      </c>
      <c r="T119" t="str">
        <f>_xlfn.XLOOKUP(C119,customers!$A$1:$A$1001,customers!$I$1:$I$1001,,0)</f>
        <v>No</v>
      </c>
    </row>
    <row r="120" spans="1:20"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INDEX(products!$A$1:$I$49,MATCH(orders!$D120,products!$A$1:$A$49,0),MATCH(orders!I$1,products!$A$1:$D$1,0))</f>
        <v>Exc</v>
      </c>
      <c r="J120" t="str">
        <f t="shared" si="6"/>
        <v>Excelsa</v>
      </c>
      <c r="K120" t="str">
        <f>INDEX(products!$A$1:$I$49,MATCH(orders!$D120,products!$A$1:$A$49,0),MATCH(orders!K$1,products!$A$1:$D$1,0))</f>
        <v>D</v>
      </c>
      <c r="L120" t="str">
        <f t="shared" si="7"/>
        <v>Dark</v>
      </c>
      <c r="M120">
        <f>INDEX(products!$A$1:$I$49,MATCH(orders!$D120,products!$A$1:$A$49,0),MATCH(orders!M$1,products!$A$1:$D$1,0))</f>
        <v>0.5</v>
      </c>
      <c r="N120">
        <f>_xlfn.XLOOKUP(D120,products!$A$2:$A$49,products!$E$2:$E$49)</f>
        <v>7.29</v>
      </c>
      <c r="O120">
        <f>_xlfn.XLOOKUP(D120,products!$A$2:$A$49,products!$H$2:$H$49)</f>
        <v>6.4881000000000002</v>
      </c>
      <c r="P120">
        <f t="shared" si="8"/>
        <v>21.87</v>
      </c>
      <c r="Q120">
        <f t="shared" si="9"/>
        <v>19.464300000000001</v>
      </c>
      <c r="R120">
        <f t="shared" si="10"/>
        <v>2.4056999999999995</v>
      </c>
      <c r="S120" s="4">
        <f t="shared" si="11"/>
        <v>0.10999999999999997</v>
      </c>
      <c r="T120" t="str">
        <f>_xlfn.XLOOKUP(C120,customers!$A$1:$A$1001,customers!$I$1:$I$1001,,0)</f>
        <v>Yes</v>
      </c>
    </row>
    <row r="121" spans="1:20"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INDEX(products!$A$1:$I$49,MATCH(orders!$D121,products!$A$1:$A$49,0),MATCH(orders!I$1,products!$A$1:$D$1,0))</f>
        <v>Exc</v>
      </c>
      <c r="J121" t="str">
        <f t="shared" si="6"/>
        <v>Excelsa</v>
      </c>
      <c r="K121" t="str">
        <f>INDEX(products!$A$1:$I$49,MATCH(orders!$D121,products!$A$1:$A$49,0),MATCH(orders!K$1,products!$A$1:$D$1,0))</f>
        <v>M</v>
      </c>
      <c r="L121" t="str">
        <f t="shared" si="7"/>
        <v>Medium</v>
      </c>
      <c r="M121">
        <f>INDEX(products!$A$1:$I$49,MATCH(orders!$D121,products!$A$1:$A$49,0),MATCH(orders!M$1,products!$A$1:$D$1,0))</f>
        <v>0.2</v>
      </c>
      <c r="N121">
        <f>_xlfn.XLOOKUP(D121,products!$A$2:$A$49,products!$E$2:$E$49)</f>
        <v>4.125</v>
      </c>
      <c r="O121">
        <f>_xlfn.XLOOKUP(D121,products!$A$2:$A$49,products!$H$2:$H$49)</f>
        <v>3.6712500000000001</v>
      </c>
      <c r="P121">
        <f t="shared" si="8"/>
        <v>4.125</v>
      </c>
      <c r="Q121">
        <f t="shared" si="9"/>
        <v>3.6712500000000001</v>
      </c>
      <c r="R121">
        <f t="shared" si="10"/>
        <v>0.45374999999999988</v>
      </c>
      <c r="S121" s="4">
        <f t="shared" si="11"/>
        <v>0.10999999999999997</v>
      </c>
      <c r="T121" t="str">
        <f>_xlfn.XLOOKUP(C121,customers!$A$1:$A$1001,customers!$I$1:$I$1001,,0)</f>
        <v>No</v>
      </c>
    </row>
    <row r="122" spans="1:20"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INDEX(products!$A$1:$I$49,MATCH(orders!$D122,products!$A$1:$A$49,0),MATCH(orders!I$1,products!$A$1:$D$1,0))</f>
        <v>Ara</v>
      </c>
      <c r="J122" t="str">
        <f t="shared" si="6"/>
        <v>Arabica</v>
      </c>
      <c r="K122" t="str">
        <f>INDEX(products!$A$1:$I$49,MATCH(orders!$D122,products!$A$1:$A$49,0),MATCH(orders!K$1,products!$A$1:$D$1,0))</f>
        <v>L</v>
      </c>
      <c r="L122" t="str">
        <f t="shared" si="7"/>
        <v>Light</v>
      </c>
      <c r="M122">
        <f>INDEX(products!$A$1:$I$49,MATCH(orders!$D122,products!$A$1:$A$49,0),MATCH(orders!M$1,products!$A$1:$D$1,0))</f>
        <v>0.2</v>
      </c>
      <c r="N122">
        <f>_xlfn.XLOOKUP(D122,products!$A$2:$A$49,products!$E$2:$E$49)</f>
        <v>3.8849999999999998</v>
      </c>
      <c r="O122">
        <f>_xlfn.XLOOKUP(D122,products!$A$2:$A$49,products!$H$2:$H$49)</f>
        <v>3.5353499999999998</v>
      </c>
      <c r="P122">
        <f t="shared" si="8"/>
        <v>3.8849999999999998</v>
      </c>
      <c r="Q122">
        <f t="shared" si="9"/>
        <v>3.5353499999999998</v>
      </c>
      <c r="R122">
        <f t="shared" si="10"/>
        <v>0.34965000000000002</v>
      </c>
      <c r="S122" s="4">
        <f t="shared" si="11"/>
        <v>9.0000000000000011E-2</v>
      </c>
      <c r="T122" t="str">
        <f>_xlfn.XLOOKUP(C122,customers!$A$1:$A$1001,customers!$I$1:$I$1001,,0)</f>
        <v>No</v>
      </c>
    </row>
    <row r="123" spans="1:20"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INDEX(products!$A$1:$I$49,MATCH(orders!$D123,products!$A$1:$A$49,0),MATCH(orders!I$1,products!$A$1:$D$1,0))</f>
        <v>Exc</v>
      </c>
      <c r="J123" t="str">
        <f t="shared" si="6"/>
        <v>Excelsa</v>
      </c>
      <c r="K123" t="str">
        <f>INDEX(products!$A$1:$I$49,MATCH(orders!$D123,products!$A$1:$A$49,0),MATCH(orders!K$1,products!$A$1:$D$1,0))</f>
        <v>M</v>
      </c>
      <c r="L123" t="str">
        <f t="shared" si="7"/>
        <v>Medium</v>
      </c>
      <c r="M123">
        <f>INDEX(products!$A$1:$I$49,MATCH(orders!$D123,products!$A$1:$A$49,0),MATCH(orders!M$1,products!$A$1:$D$1,0))</f>
        <v>1</v>
      </c>
      <c r="N123">
        <f>_xlfn.XLOOKUP(D123,products!$A$2:$A$49,products!$E$2:$E$49)</f>
        <v>13.75</v>
      </c>
      <c r="O123">
        <f>_xlfn.XLOOKUP(D123,products!$A$2:$A$49,products!$H$2:$H$49)</f>
        <v>12.237500000000001</v>
      </c>
      <c r="P123">
        <f t="shared" si="8"/>
        <v>68.75</v>
      </c>
      <c r="Q123">
        <f t="shared" si="9"/>
        <v>61.1875</v>
      </c>
      <c r="R123">
        <f t="shared" si="10"/>
        <v>7.5625</v>
      </c>
      <c r="S123" s="4">
        <f t="shared" si="11"/>
        <v>0.11</v>
      </c>
      <c r="T123" t="str">
        <f>_xlfn.XLOOKUP(C123,customers!$A$1:$A$1001,customers!$I$1:$I$1001,,0)</f>
        <v>No</v>
      </c>
    </row>
    <row r="124" spans="1:20"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INDEX(products!$A$1:$I$49,MATCH(orders!$D124,products!$A$1:$A$49,0),MATCH(orders!I$1,products!$A$1:$D$1,0))</f>
        <v>Ara</v>
      </c>
      <c r="J124" t="str">
        <f t="shared" si="6"/>
        <v>Arabica</v>
      </c>
      <c r="K124" t="str">
        <f>INDEX(products!$A$1:$I$49,MATCH(orders!$D124,products!$A$1:$A$49,0),MATCH(orders!K$1,products!$A$1:$D$1,0))</f>
        <v>D</v>
      </c>
      <c r="L124" t="str">
        <f t="shared" si="7"/>
        <v>Dark</v>
      </c>
      <c r="M124">
        <f>INDEX(products!$A$1:$I$49,MATCH(orders!$D124,products!$A$1:$A$49,0),MATCH(orders!M$1,products!$A$1:$D$1,0))</f>
        <v>0.5</v>
      </c>
      <c r="N124">
        <f>_xlfn.XLOOKUP(D124,products!$A$2:$A$49,products!$E$2:$E$49)</f>
        <v>5.97</v>
      </c>
      <c r="O124">
        <f>_xlfn.XLOOKUP(D124,products!$A$2:$A$49,products!$H$2:$H$49)</f>
        <v>5.4326999999999996</v>
      </c>
      <c r="P124">
        <f t="shared" si="8"/>
        <v>23.88</v>
      </c>
      <c r="Q124">
        <f t="shared" si="9"/>
        <v>21.730799999999999</v>
      </c>
      <c r="R124">
        <f t="shared" si="10"/>
        <v>2.1492000000000004</v>
      </c>
      <c r="S124" s="4">
        <f t="shared" si="11"/>
        <v>9.0000000000000024E-2</v>
      </c>
      <c r="T124" t="str">
        <f>_xlfn.XLOOKUP(C124,customers!$A$1:$A$1001,customers!$I$1:$I$1001,,0)</f>
        <v>Yes</v>
      </c>
    </row>
    <row r="125" spans="1:20"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INDEX(products!$A$1:$I$49,MATCH(orders!$D125,products!$A$1:$A$49,0),MATCH(orders!I$1,products!$A$1:$D$1,0))</f>
        <v>Lib</v>
      </c>
      <c r="J125" t="str">
        <f t="shared" si="6"/>
        <v>Liberica</v>
      </c>
      <c r="K125" t="str">
        <f>INDEX(products!$A$1:$I$49,MATCH(orders!$D125,products!$A$1:$A$49,0),MATCH(orders!K$1,products!$A$1:$D$1,0))</f>
        <v>L</v>
      </c>
      <c r="L125" t="str">
        <f t="shared" si="7"/>
        <v>Light</v>
      </c>
      <c r="M125">
        <f>INDEX(products!$A$1:$I$49,MATCH(orders!$D125,products!$A$1:$A$49,0),MATCH(orders!M$1,products!$A$1:$D$1,0))</f>
        <v>2.5</v>
      </c>
      <c r="N125">
        <f>_xlfn.XLOOKUP(D125,products!$A$2:$A$49,products!$E$2:$E$49)</f>
        <v>36.454999999999998</v>
      </c>
      <c r="O125">
        <f>_xlfn.XLOOKUP(D125,products!$A$2:$A$49,products!$H$2:$H$49)</f>
        <v>31.71585</v>
      </c>
      <c r="P125">
        <f t="shared" si="8"/>
        <v>145.82</v>
      </c>
      <c r="Q125">
        <f t="shared" si="9"/>
        <v>126.8634</v>
      </c>
      <c r="R125">
        <f t="shared" si="10"/>
        <v>18.956599999999995</v>
      </c>
      <c r="S125" s="4">
        <f t="shared" si="11"/>
        <v>0.12999999999999998</v>
      </c>
      <c r="T125" t="str">
        <f>_xlfn.XLOOKUP(C125,customers!$A$1:$A$1001,customers!$I$1:$I$1001,,0)</f>
        <v>No</v>
      </c>
    </row>
    <row r="126" spans="1:20"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INDEX(products!$A$1:$I$49,MATCH(orders!$D126,products!$A$1:$A$49,0),MATCH(orders!I$1,products!$A$1:$D$1,0))</f>
        <v>Lib</v>
      </c>
      <c r="J126" t="str">
        <f t="shared" si="6"/>
        <v>Liberica</v>
      </c>
      <c r="K126" t="str">
        <f>INDEX(products!$A$1:$I$49,MATCH(orders!$D126,products!$A$1:$A$49,0),MATCH(orders!K$1,products!$A$1:$D$1,0))</f>
        <v>M</v>
      </c>
      <c r="L126" t="str">
        <f t="shared" si="7"/>
        <v>Medium</v>
      </c>
      <c r="M126">
        <f>INDEX(products!$A$1:$I$49,MATCH(orders!$D126,products!$A$1:$A$49,0),MATCH(orders!M$1,products!$A$1:$D$1,0))</f>
        <v>0.2</v>
      </c>
      <c r="N126">
        <f>_xlfn.XLOOKUP(D126,products!$A$2:$A$49,products!$E$2:$E$49)</f>
        <v>4.3650000000000002</v>
      </c>
      <c r="O126">
        <f>_xlfn.XLOOKUP(D126,products!$A$2:$A$49,products!$H$2:$H$49)</f>
        <v>3.7975500000000002</v>
      </c>
      <c r="P126">
        <f t="shared" si="8"/>
        <v>21.825000000000003</v>
      </c>
      <c r="Q126">
        <f t="shared" si="9"/>
        <v>18.987750000000002</v>
      </c>
      <c r="R126">
        <f t="shared" si="10"/>
        <v>2.8372500000000009</v>
      </c>
      <c r="S126" s="4">
        <f t="shared" si="11"/>
        <v>0.13000000000000003</v>
      </c>
      <c r="T126" t="str">
        <f>_xlfn.XLOOKUP(C126,customers!$A$1:$A$1001,customers!$I$1:$I$1001,,0)</f>
        <v>Yes</v>
      </c>
    </row>
    <row r="127" spans="1:20"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INDEX(products!$A$1:$I$49,MATCH(orders!$D127,products!$A$1:$A$49,0),MATCH(orders!I$1,products!$A$1:$D$1,0))</f>
        <v>Lib</v>
      </c>
      <c r="J127" t="str">
        <f t="shared" si="6"/>
        <v>Liberica</v>
      </c>
      <c r="K127" t="str">
        <f>INDEX(products!$A$1:$I$49,MATCH(orders!$D127,products!$A$1:$A$49,0),MATCH(orders!K$1,products!$A$1:$D$1,0))</f>
        <v>M</v>
      </c>
      <c r="L127" t="str">
        <f t="shared" si="7"/>
        <v>Medium</v>
      </c>
      <c r="M127">
        <f>INDEX(products!$A$1:$I$49,MATCH(orders!$D127,products!$A$1:$A$49,0),MATCH(orders!M$1,products!$A$1:$D$1,0))</f>
        <v>0.5</v>
      </c>
      <c r="N127">
        <f>_xlfn.XLOOKUP(D127,products!$A$2:$A$49,products!$E$2:$E$49)</f>
        <v>8.73</v>
      </c>
      <c r="O127">
        <f>_xlfn.XLOOKUP(D127,products!$A$2:$A$49,products!$H$2:$H$49)</f>
        <v>7.5951000000000004</v>
      </c>
      <c r="P127">
        <f t="shared" si="8"/>
        <v>26.19</v>
      </c>
      <c r="Q127">
        <f t="shared" si="9"/>
        <v>22.785299999999999</v>
      </c>
      <c r="R127">
        <f t="shared" si="10"/>
        <v>3.4047000000000018</v>
      </c>
      <c r="S127" s="4">
        <f t="shared" si="11"/>
        <v>0.13000000000000006</v>
      </c>
      <c r="T127" t="str">
        <f>_xlfn.XLOOKUP(C127,customers!$A$1:$A$1001,customers!$I$1:$I$1001,,0)</f>
        <v>Yes</v>
      </c>
    </row>
    <row r="128" spans="1:20"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INDEX(products!$A$1:$I$49,MATCH(orders!$D128,products!$A$1:$A$49,0),MATCH(orders!I$1,products!$A$1:$D$1,0))</f>
        <v>Ara</v>
      </c>
      <c r="J128" t="str">
        <f t="shared" si="6"/>
        <v>Arabica</v>
      </c>
      <c r="K128" t="str">
        <f>INDEX(products!$A$1:$I$49,MATCH(orders!$D128,products!$A$1:$A$49,0),MATCH(orders!K$1,products!$A$1:$D$1,0))</f>
        <v>M</v>
      </c>
      <c r="L128" t="str">
        <f t="shared" si="7"/>
        <v>Medium</v>
      </c>
      <c r="M128">
        <f>INDEX(products!$A$1:$I$49,MATCH(orders!$D128,products!$A$1:$A$49,0),MATCH(orders!M$1,products!$A$1:$D$1,0))</f>
        <v>1</v>
      </c>
      <c r="N128">
        <f>_xlfn.XLOOKUP(D128,products!$A$2:$A$49,products!$E$2:$E$49)</f>
        <v>11.25</v>
      </c>
      <c r="O128">
        <f>_xlfn.XLOOKUP(D128,products!$A$2:$A$49,products!$H$2:$H$49)</f>
        <v>10.237500000000001</v>
      </c>
      <c r="P128">
        <f t="shared" si="8"/>
        <v>11.25</v>
      </c>
      <c r="Q128">
        <f t="shared" si="9"/>
        <v>10.237500000000001</v>
      </c>
      <c r="R128">
        <f t="shared" si="10"/>
        <v>1.0124999999999993</v>
      </c>
      <c r="S128" s="4">
        <f t="shared" si="11"/>
        <v>8.9999999999999941E-2</v>
      </c>
      <c r="T128" t="str">
        <f>_xlfn.XLOOKUP(C128,customers!$A$1:$A$1001,customers!$I$1:$I$1001,,0)</f>
        <v>No</v>
      </c>
    </row>
    <row r="129" spans="1:20"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INDEX(products!$A$1:$I$49,MATCH(orders!$D129,products!$A$1:$A$49,0),MATCH(orders!I$1,products!$A$1:$D$1,0))</f>
        <v>Lib</v>
      </c>
      <c r="J129" t="str">
        <f t="shared" si="6"/>
        <v>Liberica</v>
      </c>
      <c r="K129" t="str">
        <f>INDEX(products!$A$1:$I$49,MATCH(orders!$D129,products!$A$1:$A$49,0),MATCH(orders!K$1,products!$A$1:$D$1,0))</f>
        <v>D</v>
      </c>
      <c r="L129" t="str">
        <f t="shared" si="7"/>
        <v>Dark</v>
      </c>
      <c r="M129">
        <f>INDEX(products!$A$1:$I$49,MATCH(orders!$D129,products!$A$1:$A$49,0),MATCH(orders!M$1,products!$A$1:$D$1,0))</f>
        <v>1</v>
      </c>
      <c r="N129">
        <f>_xlfn.XLOOKUP(D129,products!$A$2:$A$49,products!$E$2:$E$49)</f>
        <v>12.95</v>
      </c>
      <c r="O129">
        <f>_xlfn.XLOOKUP(D129,products!$A$2:$A$49,products!$H$2:$H$49)</f>
        <v>11.266499999999999</v>
      </c>
      <c r="P129">
        <f t="shared" si="8"/>
        <v>77.699999999999989</v>
      </c>
      <c r="Q129">
        <f t="shared" si="9"/>
        <v>67.59899999999999</v>
      </c>
      <c r="R129">
        <f t="shared" si="10"/>
        <v>10.100999999999999</v>
      </c>
      <c r="S129" s="4">
        <f t="shared" si="11"/>
        <v>0.13</v>
      </c>
      <c r="T129" t="str">
        <f>_xlfn.XLOOKUP(C129,customers!$A$1:$A$1001,customers!$I$1:$I$1001,,0)</f>
        <v>No</v>
      </c>
    </row>
    <row r="130" spans="1:20"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INDEX(products!$A$1:$I$49,MATCH(orders!$D130,products!$A$1:$A$49,0),MATCH(orders!I$1,products!$A$1:$D$1,0))</f>
        <v>Ara</v>
      </c>
      <c r="J130" t="str">
        <f t="shared" si="6"/>
        <v>Arabica</v>
      </c>
      <c r="K130" t="str">
        <f>INDEX(products!$A$1:$I$49,MATCH(orders!$D130,products!$A$1:$A$49,0),MATCH(orders!K$1,products!$A$1:$D$1,0))</f>
        <v>M</v>
      </c>
      <c r="L130" t="str">
        <f t="shared" si="7"/>
        <v>Medium</v>
      </c>
      <c r="M130">
        <f>INDEX(products!$A$1:$I$49,MATCH(orders!$D130,products!$A$1:$A$49,0),MATCH(orders!M$1,products!$A$1:$D$1,0))</f>
        <v>0.5</v>
      </c>
      <c r="N130">
        <f>_xlfn.XLOOKUP(D130,products!$A$2:$A$49,products!$E$2:$E$49)</f>
        <v>6.75</v>
      </c>
      <c r="O130">
        <f>_xlfn.XLOOKUP(D130,products!$A$2:$A$49,products!$H$2:$H$49)</f>
        <v>6.1425000000000001</v>
      </c>
      <c r="P130">
        <f t="shared" si="8"/>
        <v>6.75</v>
      </c>
      <c r="Q130">
        <f t="shared" si="9"/>
        <v>6.1425000000000001</v>
      </c>
      <c r="R130">
        <f t="shared" si="10"/>
        <v>0.60749999999999993</v>
      </c>
      <c r="S130" s="4">
        <f t="shared" si="11"/>
        <v>8.9999999999999983E-2</v>
      </c>
      <c r="T130" t="str">
        <f>_xlfn.XLOOKUP(C130,customers!$A$1:$A$1001,customers!$I$1:$I$1001,,0)</f>
        <v>No</v>
      </c>
    </row>
    <row r="131" spans="1:20"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INDEX(products!$A$1:$I$49,MATCH(orders!$D131,products!$A$1:$A$49,0),MATCH(orders!I$1,products!$A$1:$D$1,0))</f>
        <v>Exc</v>
      </c>
      <c r="J131" t="str">
        <f t="shared" ref="J131:J194" si="12">IF(I131="Rob","Robusta",IF(I131="Exc","Excelsa",IF(I131="Ara","Arabica",IF(I131="Lib","Liberica",""))))</f>
        <v>Excelsa</v>
      </c>
      <c r="K131" t="str">
        <f>INDEX(products!$A$1:$I$49,MATCH(orders!$D131,products!$A$1:$A$49,0),MATCH(orders!K$1,products!$A$1:$D$1,0))</f>
        <v>D</v>
      </c>
      <c r="L131" t="str">
        <f t="shared" ref="L131:L194" si="13">IF(K131="M","Medium",IF(K131="L","Light",IF(K131="D","Dark","")))</f>
        <v>Dark</v>
      </c>
      <c r="M131">
        <f>INDEX(products!$A$1:$I$49,MATCH(orders!$D131,products!$A$1:$A$49,0),MATCH(orders!M$1,products!$A$1:$D$1,0))</f>
        <v>1</v>
      </c>
      <c r="N131">
        <f>_xlfn.XLOOKUP(D131,products!$A$2:$A$49,products!$E$2:$E$49)</f>
        <v>12.15</v>
      </c>
      <c r="O131">
        <f>_xlfn.XLOOKUP(D131,products!$A$2:$A$49,products!$H$2:$H$49)</f>
        <v>10.813500000000001</v>
      </c>
      <c r="P131">
        <f t="shared" ref="P131:P194" si="14">N131*E131</f>
        <v>12.15</v>
      </c>
      <c r="Q131">
        <f t="shared" ref="Q131:Q194" si="15">O131*E131</f>
        <v>10.813500000000001</v>
      </c>
      <c r="R131">
        <f t="shared" ref="R131:R194" si="16">P131-Q131</f>
        <v>1.3364999999999991</v>
      </c>
      <c r="S131" s="4">
        <f t="shared" ref="S131:S194" si="17">R131/P131</f>
        <v>0.10999999999999993</v>
      </c>
      <c r="T131" t="str">
        <f>_xlfn.XLOOKUP(C131,customers!$A$1:$A$1001,customers!$I$1:$I$1001,,0)</f>
        <v>Yes</v>
      </c>
    </row>
    <row r="132" spans="1:20"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v>
      </c>
      <c r="H132" s="2" t="str">
        <f>_xlfn.XLOOKUP(C132,customers!$A$1:$A$1001,customers!$G$1:$G$1001,,0)</f>
        <v>Ireland</v>
      </c>
      <c r="I132" t="str">
        <f>INDEX(products!$A$1:$I$49,MATCH(orders!$D132,products!$A$1:$A$49,0),MATCH(orders!I$1,products!$A$1:$D$1,0))</f>
        <v>Ara</v>
      </c>
      <c r="J132" t="str">
        <f t="shared" si="12"/>
        <v>Arabica</v>
      </c>
      <c r="K132" t="str">
        <f>INDEX(products!$A$1:$I$49,MATCH(orders!$D132,products!$A$1:$A$49,0),MATCH(orders!K$1,products!$A$1:$D$1,0))</f>
        <v>L</v>
      </c>
      <c r="L132" t="str">
        <f t="shared" si="13"/>
        <v>Light</v>
      </c>
      <c r="M132">
        <f>INDEX(products!$A$1:$I$49,MATCH(orders!$D132,products!$A$1:$A$49,0),MATCH(orders!M$1,products!$A$1:$D$1,0))</f>
        <v>2.5</v>
      </c>
      <c r="N132">
        <f>_xlfn.XLOOKUP(D132,products!$A$2:$A$49,products!$E$2:$E$49)</f>
        <v>29.784999999999997</v>
      </c>
      <c r="O132">
        <f>_xlfn.XLOOKUP(D132,products!$A$2:$A$49,products!$H$2:$H$49)</f>
        <v>27.104349999999997</v>
      </c>
      <c r="P132">
        <f t="shared" si="14"/>
        <v>148.92499999999998</v>
      </c>
      <c r="Q132">
        <f t="shared" si="15"/>
        <v>135.52175</v>
      </c>
      <c r="R132">
        <f t="shared" si="16"/>
        <v>13.403249999999986</v>
      </c>
      <c r="S132" s="4">
        <f t="shared" si="17"/>
        <v>8.9999999999999913E-2</v>
      </c>
      <c r="T132" t="str">
        <f>_xlfn.XLOOKUP(C132,customers!$A$1:$A$1001,customers!$I$1:$I$1001,,0)</f>
        <v>Yes</v>
      </c>
    </row>
    <row r="133" spans="1:20"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INDEX(products!$A$1:$I$49,MATCH(orders!$D133,products!$A$1:$A$49,0),MATCH(orders!I$1,products!$A$1:$D$1,0))</f>
        <v>Exc</v>
      </c>
      <c r="J133" t="str">
        <f t="shared" si="12"/>
        <v>Excelsa</v>
      </c>
      <c r="K133" t="str">
        <f>INDEX(products!$A$1:$I$49,MATCH(orders!$D133,products!$A$1:$A$49,0),MATCH(orders!K$1,products!$A$1:$D$1,0))</f>
        <v>D</v>
      </c>
      <c r="L133" t="str">
        <f t="shared" si="13"/>
        <v>Dark</v>
      </c>
      <c r="M133">
        <f>INDEX(products!$A$1:$I$49,MATCH(orders!$D133,products!$A$1:$A$49,0),MATCH(orders!M$1,products!$A$1:$D$1,0))</f>
        <v>0.5</v>
      </c>
      <c r="N133">
        <f>_xlfn.XLOOKUP(D133,products!$A$2:$A$49,products!$E$2:$E$49)</f>
        <v>7.29</v>
      </c>
      <c r="O133">
        <f>_xlfn.XLOOKUP(D133,products!$A$2:$A$49,products!$H$2:$H$49)</f>
        <v>6.4881000000000002</v>
      </c>
      <c r="P133">
        <f t="shared" si="14"/>
        <v>14.58</v>
      </c>
      <c r="Q133">
        <f t="shared" si="15"/>
        <v>12.9762</v>
      </c>
      <c r="R133">
        <f t="shared" si="16"/>
        <v>1.6037999999999997</v>
      </c>
      <c r="S133" s="4">
        <f t="shared" si="17"/>
        <v>0.10999999999999997</v>
      </c>
      <c r="T133" t="str">
        <f>_xlfn.XLOOKUP(C133,customers!$A$1:$A$1001,customers!$I$1:$I$1001,,0)</f>
        <v>Yes</v>
      </c>
    </row>
    <row r="134" spans="1:20"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INDEX(products!$A$1:$I$49,MATCH(orders!$D134,products!$A$1:$A$49,0),MATCH(orders!I$1,products!$A$1:$D$1,0))</f>
        <v>Ara</v>
      </c>
      <c r="J134" t="str">
        <f t="shared" si="12"/>
        <v>Arabica</v>
      </c>
      <c r="K134" t="str">
        <f>INDEX(products!$A$1:$I$49,MATCH(orders!$D134,products!$A$1:$A$49,0),MATCH(orders!K$1,products!$A$1:$D$1,0))</f>
        <v>L</v>
      </c>
      <c r="L134" t="str">
        <f t="shared" si="13"/>
        <v>Light</v>
      </c>
      <c r="M134">
        <f>INDEX(products!$A$1:$I$49,MATCH(orders!$D134,products!$A$1:$A$49,0),MATCH(orders!M$1,products!$A$1:$D$1,0))</f>
        <v>2.5</v>
      </c>
      <c r="N134">
        <f>_xlfn.XLOOKUP(D134,products!$A$2:$A$49,products!$E$2:$E$49)</f>
        <v>29.784999999999997</v>
      </c>
      <c r="O134">
        <f>_xlfn.XLOOKUP(D134,products!$A$2:$A$49,products!$H$2:$H$49)</f>
        <v>27.104349999999997</v>
      </c>
      <c r="P134">
        <f t="shared" si="14"/>
        <v>148.92499999999998</v>
      </c>
      <c r="Q134">
        <f t="shared" si="15"/>
        <v>135.52175</v>
      </c>
      <c r="R134">
        <f t="shared" si="16"/>
        <v>13.403249999999986</v>
      </c>
      <c r="S134" s="4">
        <f t="shared" si="17"/>
        <v>8.9999999999999913E-2</v>
      </c>
      <c r="T134" t="str">
        <f>_xlfn.XLOOKUP(C134,customers!$A$1:$A$1001,customers!$I$1:$I$1001,,0)</f>
        <v>Yes</v>
      </c>
    </row>
    <row r="135" spans="1:20"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INDEX(products!$A$1:$I$49,MATCH(orders!$D135,products!$A$1:$A$49,0),MATCH(orders!I$1,products!$A$1:$D$1,0))</f>
        <v>Lib</v>
      </c>
      <c r="J135" t="str">
        <f t="shared" si="12"/>
        <v>Liberica</v>
      </c>
      <c r="K135" t="str">
        <f>INDEX(products!$A$1:$I$49,MATCH(orders!$D135,products!$A$1:$A$49,0),MATCH(orders!K$1,products!$A$1:$D$1,0))</f>
        <v>D</v>
      </c>
      <c r="L135" t="str">
        <f t="shared" si="13"/>
        <v>Dark</v>
      </c>
      <c r="M135">
        <f>INDEX(products!$A$1:$I$49,MATCH(orders!$D135,products!$A$1:$A$49,0),MATCH(orders!M$1,products!$A$1:$D$1,0))</f>
        <v>1</v>
      </c>
      <c r="N135">
        <f>_xlfn.XLOOKUP(D135,products!$A$2:$A$49,products!$E$2:$E$49)</f>
        <v>12.95</v>
      </c>
      <c r="O135">
        <f>_xlfn.XLOOKUP(D135,products!$A$2:$A$49,products!$H$2:$H$49)</f>
        <v>11.266499999999999</v>
      </c>
      <c r="P135">
        <f t="shared" si="14"/>
        <v>12.95</v>
      </c>
      <c r="Q135">
        <f t="shared" si="15"/>
        <v>11.266499999999999</v>
      </c>
      <c r="R135">
        <f t="shared" si="16"/>
        <v>1.6835000000000004</v>
      </c>
      <c r="S135" s="4">
        <f t="shared" si="17"/>
        <v>0.13000000000000003</v>
      </c>
      <c r="T135" t="str">
        <f>_xlfn.XLOOKUP(C135,customers!$A$1:$A$1001,customers!$I$1:$I$1001,,0)</f>
        <v>No</v>
      </c>
    </row>
    <row r="136" spans="1:20"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v>
      </c>
      <c r="H136" s="2" t="str">
        <f>_xlfn.XLOOKUP(C136,customers!$A$1:$A$1001,customers!$G$1:$G$1001,,0)</f>
        <v>United States</v>
      </c>
      <c r="I136" t="str">
        <f>INDEX(products!$A$1:$I$49,MATCH(orders!$D136,products!$A$1:$A$49,0),MATCH(orders!I$1,products!$A$1:$D$1,0))</f>
        <v>Exc</v>
      </c>
      <c r="J136" t="str">
        <f t="shared" si="12"/>
        <v>Excelsa</v>
      </c>
      <c r="K136" t="str">
        <f>INDEX(products!$A$1:$I$49,MATCH(orders!$D136,products!$A$1:$A$49,0),MATCH(orders!K$1,products!$A$1:$D$1,0))</f>
        <v>M</v>
      </c>
      <c r="L136" t="str">
        <f t="shared" si="13"/>
        <v>Medium</v>
      </c>
      <c r="M136">
        <f>INDEX(products!$A$1:$I$49,MATCH(orders!$D136,products!$A$1:$A$49,0),MATCH(orders!M$1,products!$A$1:$D$1,0))</f>
        <v>2.5</v>
      </c>
      <c r="N136">
        <f>_xlfn.XLOOKUP(D136,products!$A$2:$A$49,products!$E$2:$E$49)</f>
        <v>31.624999999999996</v>
      </c>
      <c r="O136">
        <f>_xlfn.XLOOKUP(D136,products!$A$2:$A$49,products!$H$2:$H$49)</f>
        <v>28.146249999999995</v>
      </c>
      <c r="P136">
        <f t="shared" si="14"/>
        <v>94.874999999999986</v>
      </c>
      <c r="Q136">
        <f t="shared" si="15"/>
        <v>84.438749999999985</v>
      </c>
      <c r="R136">
        <f t="shared" si="16"/>
        <v>10.436250000000001</v>
      </c>
      <c r="S136" s="4">
        <f t="shared" si="17"/>
        <v>0.11000000000000003</v>
      </c>
      <c r="T136" t="str">
        <f>_xlfn.XLOOKUP(C136,customers!$A$1:$A$1001,customers!$I$1:$I$1001,,0)</f>
        <v>Yes</v>
      </c>
    </row>
    <row r="137" spans="1:20"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INDEX(products!$A$1:$I$49,MATCH(orders!$D137,products!$A$1:$A$49,0),MATCH(orders!I$1,products!$A$1:$D$1,0))</f>
        <v>Ara</v>
      </c>
      <c r="J137" t="str">
        <f t="shared" si="12"/>
        <v>Arabica</v>
      </c>
      <c r="K137" t="str">
        <f>INDEX(products!$A$1:$I$49,MATCH(orders!$D137,products!$A$1:$A$49,0),MATCH(orders!K$1,products!$A$1:$D$1,0))</f>
        <v>L</v>
      </c>
      <c r="L137" t="str">
        <f t="shared" si="13"/>
        <v>Light</v>
      </c>
      <c r="M137">
        <f>INDEX(products!$A$1:$I$49,MATCH(orders!$D137,products!$A$1:$A$49,0),MATCH(orders!M$1,products!$A$1:$D$1,0))</f>
        <v>0.5</v>
      </c>
      <c r="N137">
        <f>_xlfn.XLOOKUP(D137,products!$A$2:$A$49,products!$E$2:$E$49)</f>
        <v>7.77</v>
      </c>
      <c r="O137">
        <f>_xlfn.XLOOKUP(D137,products!$A$2:$A$49,products!$H$2:$H$49)</f>
        <v>7.0706999999999995</v>
      </c>
      <c r="P137">
        <f t="shared" si="14"/>
        <v>38.849999999999994</v>
      </c>
      <c r="Q137">
        <f t="shared" si="15"/>
        <v>35.353499999999997</v>
      </c>
      <c r="R137">
        <f t="shared" si="16"/>
        <v>3.4964999999999975</v>
      </c>
      <c r="S137" s="4">
        <f t="shared" si="17"/>
        <v>8.9999999999999955E-2</v>
      </c>
      <c r="T137" t="str">
        <f>_xlfn.XLOOKUP(C137,customers!$A$1:$A$1001,customers!$I$1:$I$1001,,0)</f>
        <v>Yes</v>
      </c>
    </row>
    <row r="138" spans="1:20"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INDEX(products!$A$1:$I$49,MATCH(orders!$D138,products!$A$1:$A$49,0),MATCH(orders!I$1,products!$A$1:$D$1,0))</f>
        <v>Ara</v>
      </c>
      <c r="J138" t="str">
        <f t="shared" si="12"/>
        <v>Arabica</v>
      </c>
      <c r="K138" t="str">
        <f>INDEX(products!$A$1:$I$49,MATCH(orders!$D138,products!$A$1:$A$49,0),MATCH(orders!K$1,products!$A$1:$D$1,0))</f>
        <v>D</v>
      </c>
      <c r="L138" t="str">
        <f t="shared" si="13"/>
        <v>Dark</v>
      </c>
      <c r="M138">
        <f>INDEX(products!$A$1:$I$49,MATCH(orders!$D138,products!$A$1:$A$49,0),MATCH(orders!M$1,products!$A$1:$D$1,0))</f>
        <v>0.2</v>
      </c>
      <c r="N138">
        <f>_xlfn.XLOOKUP(D138,products!$A$2:$A$49,products!$E$2:$E$49)</f>
        <v>2.9849999999999999</v>
      </c>
      <c r="O138">
        <f>_xlfn.XLOOKUP(D138,products!$A$2:$A$49,products!$H$2:$H$49)</f>
        <v>2.7163499999999998</v>
      </c>
      <c r="P138">
        <f t="shared" si="14"/>
        <v>11.94</v>
      </c>
      <c r="Q138">
        <f t="shared" si="15"/>
        <v>10.865399999999999</v>
      </c>
      <c r="R138">
        <f t="shared" si="16"/>
        <v>1.0746000000000002</v>
      </c>
      <c r="S138" s="4">
        <f t="shared" si="17"/>
        <v>9.0000000000000024E-2</v>
      </c>
      <c r="T138" t="str">
        <f>_xlfn.XLOOKUP(C138,customers!$A$1:$A$1001,customers!$I$1:$I$1001,,0)</f>
        <v>No</v>
      </c>
    </row>
    <row r="139" spans="1:20"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v>
      </c>
      <c r="H139" s="2" t="str">
        <f>_xlfn.XLOOKUP(C139,customers!$A$1:$A$1001,customers!$G$1:$G$1001,,0)</f>
        <v>Ireland</v>
      </c>
      <c r="I139" t="str">
        <f>INDEX(products!$A$1:$I$49,MATCH(orders!$D139,products!$A$1:$A$49,0),MATCH(orders!I$1,products!$A$1:$D$1,0))</f>
        <v>Exc</v>
      </c>
      <c r="J139" t="str">
        <f t="shared" si="12"/>
        <v>Excelsa</v>
      </c>
      <c r="K139" t="str">
        <f>INDEX(products!$A$1:$I$49,MATCH(orders!$D139,products!$A$1:$A$49,0),MATCH(orders!K$1,products!$A$1:$D$1,0))</f>
        <v>L</v>
      </c>
      <c r="L139" t="str">
        <f t="shared" si="13"/>
        <v>Light</v>
      </c>
      <c r="M139">
        <f>INDEX(products!$A$1:$I$49,MATCH(orders!$D139,products!$A$1:$A$49,0),MATCH(orders!M$1,products!$A$1:$D$1,0))</f>
        <v>2.5</v>
      </c>
      <c r="N139">
        <f>_xlfn.XLOOKUP(D139,products!$A$2:$A$49,products!$E$2:$E$49)</f>
        <v>34.154999999999994</v>
      </c>
      <c r="O139">
        <f>_xlfn.XLOOKUP(D139,products!$A$2:$A$49,products!$H$2:$H$49)</f>
        <v>30.397949999999994</v>
      </c>
      <c r="P139">
        <f t="shared" si="14"/>
        <v>102.46499999999997</v>
      </c>
      <c r="Q139">
        <f t="shared" si="15"/>
        <v>91.193849999999983</v>
      </c>
      <c r="R139">
        <f t="shared" si="16"/>
        <v>11.271149999999992</v>
      </c>
      <c r="S139" s="4">
        <f t="shared" si="17"/>
        <v>0.10999999999999995</v>
      </c>
      <c r="T139" t="str">
        <f>_xlfn.XLOOKUP(C139,customers!$A$1:$A$1001,customers!$I$1:$I$1001,,0)</f>
        <v>No</v>
      </c>
    </row>
    <row r="140" spans="1:20"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v>
      </c>
      <c r="H140" s="2" t="str">
        <f>_xlfn.XLOOKUP(C140,customers!$A$1:$A$1001,customers!$G$1:$G$1001,,0)</f>
        <v>United States</v>
      </c>
      <c r="I140" t="str">
        <f>INDEX(products!$A$1:$I$49,MATCH(orders!$D140,products!$A$1:$A$49,0),MATCH(orders!I$1,products!$A$1:$D$1,0))</f>
        <v>Exc</v>
      </c>
      <c r="J140" t="str">
        <f t="shared" si="12"/>
        <v>Excelsa</v>
      </c>
      <c r="K140" t="str">
        <f>INDEX(products!$A$1:$I$49,MATCH(orders!$D140,products!$A$1:$A$49,0),MATCH(orders!K$1,products!$A$1:$D$1,0))</f>
        <v>D</v>
      </c>
      <c r="L140" t="str">
        <f t="shared" si="13"/>
        <v>Dark</v>
      </c>
      <c r="M140">
        <f>INDEX(products!$A$1:$I$49,MATCH(orders!$D140,products!$A$1:$A$49,0),MATCH(orders!M$1,products!$A$1:$D$1,0))</f>
        <v>1</v>
      </c>
      <c r="N140">
        <f>_xlfn.XLOOKUP(D140,products!$A$2:$A$49,products!$E$2:$E$49)</f>
        <v>12.15</v>
      </c>
      <c r="O140">
        <f>_xlfn.XLOOKUP(D140,products!$A$2:$A$49,products!$H$2:$H$49)</f>
        <v>10.813500000000001</v>
      </c>
      <c r="P140">
        <f t="shared" si="14"/>
        <v>48.6</v>
      </c>
      <c r="Q140">
        <f t="shared" si="15"/>
        <v>43.254000000000005</v>
      </c>
      <c r="R140">
        <f t="shared" si="16"/>
        <v>5.3459999999999965</v>
      </c>
      <c r="S140" s="4">
        <f t="shared" si="17"/>
        <v>0.10999999999999993</v>
      </c>
      <c r="T140" t="str">
        <f>_xlfn.XLOOKUP(C140,customers!$A$1:$A$1001,customers!$I$1:$I$1001,,0)</f>
        <v>No</v>
      </c>
    </row>
    <row r="141" spans="1:20"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v>
      </c>
      <c r="H141" s="2" t="str">
        <f>_xlfn.XLOOKUP(C141,customers!$A$1:$A$1001,customers!$G$1:$G$1001,,0)</f>
        <v>United States</v>
      </c>
      <c r="I141" t="str">
        <f>INDEX(products!$A$1:$I$49,MATCH(orders!$D141,products!$A$1:$A$49,0),MATCH(orders!I$1,products!$A$1:$D$1,0))</f>
        <v>Lib</v>
      </c>
      <c r="J141" t="str">
        <f t="shared" si="12"/>
        <v>Liberica</v>
      </c>
      <c r="K141" t="str">
        <f>INDEX(products!$A$1:$I$49,MATCH(orders!$D141,products!$A$1:$A$49,0),MATCH(orders!K$1,products!$A$1:$D$1,0))</f>
        <v>D</v>
      </c>
      <c r="L141" t="str">
        <f t="shared" si="13"/>
        <v>Dark</v>
      </c>
      <c r="M141">
        <f>INDEX(products!$A$1:$I$49,MATCH(orders!$D141,products!$A$1:$A$49,0),MATCH(orders!M$1,products!$A$1:$D$1,0))</f>
        <v>1</v>
      </c>
      <c r="N141">
        <f>_xlfn.XLOOKUP(D141,products!$A$2:$A$49,products!$E$2:$E$49)</f>
        <v>12.95</v>
      </c>
      <c r="O141">
        <f>_xlfn.XLOOKUP(D141,products!$A$2:$A$49,products!$H$2:$H$49)</f>
        <v>11.266499999999999</v>
      </c>
      <c r="P141">
        <f t="shared" si="14"/>
        <v>77.699999999999989</v>
      </c>
      <c r="Q141">
        <f t="shared" si="15"/>
        <v>67.59899999999999</v>
      </c>
      <c r="R141">
        <f t="shared" si="16"/>
        <v>10.100999999999999</v>
      </c>
      <c r="S141" s="4">
        <f t="shared" si="17"/>
        <v>0.13</v>
      </c>
      <c r="T141" t="str">
        <f>_xlfn.XLOOKUP(C141,customers!$A$1:$A$1001,customers!$I$1:$I$1001,,0)</f>
        <v>Yes</v>
      </c>
    </row>
    <row r="142" spans="1:20"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INDEX(products!$A$1:$I$49,MATCH(orders!$D142,products!$A$1:$A$49,0),MATCH(orders!I$1,products!$A$1:$D$1,0))</f>
        <v>Lib</v>
      </c>
      <c r="J142" t="str">
        <f t="shared" si="12"/>
        <v>Liberica</v>
      </c>
      <c r="K142" t="str">
        <f>INDEX(products!$A$1:$I$49,MATCH(orders!$D142,products!$A$1:$A$49,0),MATCH(orders!K$1,products!$A$1:$D$1,0))</f>
        <v>D</v>
      </c>
      <c r="L142" t="str">
        <f t="shared" si="13"/>
        <v>Dark</v>
      </c>
      <c r="M142">
        <f>INDEX(products!$A$1:$I$49,MATCH(orders!$D142,products!$A$1:$A$49,0),MATCH(orders!M$1,products!$A$1:$D$1,0))</f>
        <v>2.5</v>
      </c>
      <c r="N142">
        <f>_xlfn.XLOOKUP(D142,products!$A$2:$A$49,products!$E$2:$E$49)</f>
        <v>29.784999999999997</v>
      </c>
      <c r="O142">
        <f>_xlfn.XLOOKUP(D142,products!$A$2:$A$49,products!$H$2:$H$49)</f>
        <v>25.912949999999995</v>
      </c>
      <c r="P142">
        <f t="shared" si="14"/>
        <v>29.784999999999997</v>
      </c>
      <c r="Q142">
        <f t="shared" si="15"/>
        <v>25.912949999999995</v>
      </c>
      <c r="R142">
        <f t="shared" si="16"/>
        <v>3.8720500000000015</v>
      </c>
      <c r="S142" s="4">
        <f t="shared" si="17"/>
        <v>0.13000000000000006</v>
      </c>
      <c r="T142" t="str">
        <f>_xlfn.XLOOKUP(C142,customers!$A$1:$A$1001,customers!$I$1:$I$1001,,0)</f>
        <v>Yes</v>
      </c>
    </row>
    <row r="143" spans="1:20"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INDEX(products!$A$1:$I$49,MATCH(orders!$D143,products!$A$1:$A$49,0),MATCH(orders!I$1,products!$A$1:$D$1,0))</f>
        <v>Ara</v>
      </c>
      <c r="J143" t="str">
        <f t="shared" si="12"/>
        <v>Arabica</v>
      </c>
      <c r="K143" t="str">
        <f>INDEX(products!$A$1:$I$49,MATCH(orders!$D143,products!$A$1:$A$49,0),MATCH(orders!K$1,products!$A$1:$D$1,0))</f>
        <v>L</v>
      </c>
      <c r="L143" t="str">
        <f t="shared" si="13"/>
        <v>Light</v>
      </c>
      <c r="M143">
        <f>INDEX(products!$A$1:$I$49,MATCH(orders!$D143,products!$A$1:$A$49,0),MATCH(orders!M$1,products!$A$1:$D$1,0))</f>
        <v>0.2</v>
      </c>
      <c r="N143">
        <f>_xlfn.XLOOKUP(D143,products!$A$2:$A$49,products!$E$2:$E$49)</f>
        <v>3.8849999999999998</v>
      </c>
      <c r="O143">
        <f>_xlfn.XLOOKUP(D143,products!$A$2:$A$49,products!$H$2:$H$49)</f>
        <v>3.5353499999999998</v>
      </c>
      <c r="P143">
        <f t="shared" si="14"/>
        <v>15.54</v>
      </c>
      <c r="Q143">
        <f t="shared" si="15"/>
        <v>14.141399999999999</v>
      </c>
      <c r="R143">
        <f t="shared" si="16"/>
        <v>1.3986000000000001</v>
      </c>
      <c r="S143" s="4">
        <f t="shared" si="17"/>
        <v>9.0000000000000011E-2</v>
      </c>
      <c r="T143" t="str">
        <f>_xlfn.XLOOKUP(C143,customers!$A$1:$A$1001,customers!$I$1:$I$1001,,0)</f>
        <v>Yes</v>
      </c>
    </row>
    <row r="144" spans="1:20"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v>
      </c>
      <c r="H144" s="2" t="str">
        <f>_xlfn.XLOOKUP(C144,customers!$A$1:$A$1001,customers!$G$1:$G$1001,,0)</f>
        <v>Ireland</v>
      </c>
      <c r="I144" t="str">
        <f>INDEX(products!$A$1:$I$49,MATCH(orders!$D144,products!$A$1:$A$49,0),MATCH(orders!I$1,products!$A$1:$D$1,0))</f>
        <v>Exc</v>
      </c>
      <c r="J144" t="str">
        <f t="shared" si="12"/>
        <v>Excelsa</v>
      </c>
      <c r="K144" t="str">
        <f>INDEX(products!$A$1:$I$49,MATCH(orders!$D144,products!$A$1:$A$49,0),MATCH(orders!K$1,products!$A$1:$D$1,0))</f>
        <v>L</v>
      </c>
      <c r="L144" t="str">
        <f t="shared" si="13"/>
        <v>Light</v>
      </c>
      <c r="M144">
        <f>INDEX(products!$A$1:$I$49,MATCH(orders!$D144,products!$A$1:$A$49,0),MATCH(orders!M$1,products!$A$1:$D$1,0))</f>
        <v>2.5</v>
      </c>
      <c r="N144">
        <f>_xlfn.XLOOKUP(D144,products!$A$2:$A$49,products!$E$2:$E$49)</f>
        <v>34.154999999999994</v>
      </c>
      <c r="O144">
        <f>_xlfn.XLOOKUP(D144,products!$A$2:$A$49,products!$H$2:$H$49)</f>
        <v>30.397949999999994</v>
      </c>
      <c r="P144">
        <f t="shared" si="14"/>
        <v>136.61999999999998</v>
      </c>
      <c r="Q144">
        <f t="shared" si="15"/>
        <v>121.59179999999998</v>
      </c>
      <c r="R144">
        <f t="shared" si="16"/>
        <v>15.028199999999998</v>
      </c>
      <c r="S144" s="4">
        <f t="shared" si="17"/>
        <v>0.11</v>
      </c>
      <c r="T144" t="str">
        <f>_xlfn.XLOOKUP(C144,customers!$A$1:$A$1001,customers!$I$1:$I$1001,,0)</f>
        <v>Yes</v>
      </c>
    </row>
    <row r="145" spans="1:20"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INDEX(products!$A$1:$I$49,MATCH(orders!$D145,products!$A$1:$A$49,0),MATCH(orders!I$1,products!$A$1:$D$1,0))</f>
        <v>Lib</v>
      </c>
      <c r="J145" t="str">
        <f t="shared" si="12"/>
        <v>Liberica</v>
      </c>
      <c r="K145" t="str">
        <f>INDEX(products!$A$1:$I$49,MATCH(orders!$D145,products!$A$1:$A$49,0),MATCH(orders!K$1,products!$A$1:$D$1,0))</f>
        <v>M</v>
      </c>
      <c r="L145" t="str">
        <f t="shared" si="13"/>
        <v>Medium</v>
      </c>
      <c r="M145">
        <f>INDEX(products!$A$1:$I$49,MATCH(orders!$D145,products!$A$1:$A$49,0),MATCH(orders!M$1,products!$A$1:$D$1,0))</f>
        <v>0.5</v>
      </c>
      <c r="N145">
        <f>_xlfn.XLOOKUP(D145,products!$A$2:$A$49,products!$E$2:$E$49)</f>
        <v>8.73</v>
      </c>
      <c r="O145">
        <f>_xlfn.XLOOKUP(D145,products!$A$2:$A$49,products!$H$2:$H$49)</f>
        <v>7.5951000000000004</v>
      </c>
      <c r="P145">
        <f t="shared" si="14"/>
        <v>17.46</v>
      </c>
      <c r="Q145">
        <f t="shared" si="15"/>
        <v>15.190200000000001</v>
      </c>
      <c r="R145">
        <f t="shared" si="16"/>
        <v>2.2698</v>
      </c>
      <c r="S145" s="4">
        <f t="shared" si="17"/>
        <v>0.13</v>
      </c>
      <c r="T145" t="str">
        <f>_xlfn.XLOOKUP(C145,customers!$A$1:$A$1001,customers!$I$1:$I$1001,,0)</f>
        <v>No</v>
      </c>
    </row>
    <row r="146" spans="1:20"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INDEX(products!$A$1:$I$49,MATCH(orders!$D146,products!$A$1:$A$49,0),MATCH(orders!I$1,products!$A$1:$D$1,0))</f>
        <v>Exc</v>
      </c>
      <c r="J146" t="str">
        <f t="shared" si="12"/>
        <v>Excelsa</v>
      </c>
      <c r="K146" t="str">
        <f>INDEX(products!$A$1:$I$49,MATCH(orders!$D146,products!$A$1:$A$49,0),MATCH(orders!K$1,products!$A$1:$D$1,0))</f>
        <v>L</v>
      </c>
      <c r="L146" t="str">
        <f t="shared" si="13"/>
        <v>Light</v>
      </c>
      <c r="M146">
        <f>INDEX(products!$A$1:$I$49,MATCH(orders!$D146,products!$A$1:$A$49,0),MATCH(orders!M$1,products!$A$1:$D$1,0))</f>
        <v>2.5</v>
      </c>
      <c r="N146">
        <f>_xlfn.XLOOKUP(D146,products!$A$2:$A$49,products!$E$2:$E$49)</f>
        <v>34.154999999999994</v>
      </c>
      <c r="O146">
        <f>_xlfn.XLOOKUP(D146,products!$A$2:$A$49,products!$H$2:$H$49)</f>
        <v>30.397949999999994</v>
      </c>
      <c r="P146">
        <f t="shared" si="14"/>
        <v>68.309999999999988</v>
      </c>
      <c r="Q146">
        <f t="shared" si="15"/>
        <v>60.795899999999989</v>
      </c>
      <c r="R146">
        <f t="shared" si="16"/>
        <v>7.5140999999999991</v>
      </c>
      <c r="S146" s="4">
        <f t="shared" si="17"/>
        <v>0.11</v>
      </c>
      <c r="T146" t="str">
        <f>_xlfn.XLOOKUP(C146,customers!$A$1:$A$1001,customers!$I$1:$I$1001,,0)</f>
        <v>Yes</v>
      </c>
    </row>
    <row r="147" spans="1:20"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INDEX(products!$A$1:$I$49,MATCH(orders!$D147,products!$A$1:$A$49,0),MATCH(orders!I$1,products!$A$1:$D$1,0))</f>
        <v>Lib</v>
      </c>
      <c r="J147" t="str">
        <f t="shared" si="12"/>
        <v>Liberica</v>
      </c>
      <c r="K147" t="str">
        <f>INDEX(products!$A$1:$I$49,MATCH(orders!$D147,products!$A$1:$A$49,0),MATCH(orders!K$1,products!$A$1:$D$1,0))</f>
        <v>M</v>
      </c>
      <c r="L147" t="str">
        <f t="shared" si="13"/>
        <v>Medium</v>
      </c>
      <c r="M147">
        <f>INDEX(products!$A$1:$I$49,MATCH(orders!$D147,products!$A$1:$A$49,0),MATCH(orders!M$1,products!$A$1:$D$1,0))</f>
        <v>0.2</v>
      </c>
      <c r="N147">
        <f>_xlfn.XLOOKUP(D147,products!$A$2:$A$49,products!$E$2:$E$49)</f>
        <v>4.3650000000000002</v>
      </c>
      <c r="O147">
        <f>_xlfn.XLOOKUP(D147,products!$A$2:$A$49,products!$H$2:$H$49)</f>
        <v>3.7975500000000002</v>
      </c>
      <c r="P147">
        <f t="shared" si="14"/>
        <v>17.46</v>
      </c>
      <c r="Q147">
        <f t="shared" si="15"/>
        <v>15.190200000000001</v>
      </c>
      <c r="R147">
        <f t="shared" si="16"/>
        <v>2.2698</v>
      </c>
      <c r="S147" s="4">
        <f t="shared" si="17"/>
        <v>0.13</v>
      </c>
      <c r="T147" t="str">
        <f>_xlfn.XLOOKUP(C147,customers!$A$1:$A$1001,customers!$I$1:$I$1001,,0)</f>
        <v>No</v>
      </c>
    </row>
    <row r="148" spans="1:20"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INDEX(products!$A$1:$I$49,MATCH(orders!$D148,products!$A$1:$A$49,0),MATCH(orders!I$1,products!$A$1:$D$1,0))</f>
        <v>Lib</v>
      </c>
      <c r="J148" t="str">
        <f t="shared" si="12"/>
        <v>Liberica</v>
      </c>
      <c r="K148" t="str">
        <f>INDEX(products!$A$1:$I$49,MATCH(orders!$D148,products!$A$1:$A$49,0),MATCH(orders!K$1,products!$A$1:$D$1,0))</f>
        <v>M</v>
      </c>
      <c r="L148" t="str">
        <f t="shared" si="13"/>
        <v>Medium</v>
      </c>
      <c r="M148">
        <f>INDEX(products!$A$1:$I$49,MATCH(orders!$D148,products!$A$1:$A$49,0),MATCH(orders!M$1,products!$A$1:$D$1,0))</f>
        <v>1</v>
      </c>
      <c r="N148">
        <f>_xlfn.XLOOKUP(D148,products!$A$2:$A$49,products!$E$2:$E$49)</f>
        <v>14.55</v>
      </c>
      <c r="O148">
        <f>_xlfn.XLOOKUP(D148,products!$A$2:$A$49,products!$H$2:$H$49)</f>
        <v>12.6585</v>
      </c>
      <c r="P148">
        <f t="shared" si="14"/>
        <v>43.650000000000006</v>
      </c>
      <c r="Q148">
        <f t="shared" si="15"/>
        <v>37.975499999999997</v>
      </c>
      <c r="R148">
        <f t="shared" si="16"/>
        <v>5.674500000000009</v>
      </c>
      <c r="S148" s="4">
        <f t="shared" si="17"/>
        <v>0.1300000000000002</v>
      </c>
      <c r="T148" t="str">
        <f>_xlfn.XLOOKUP(C148,customers!$A$1:$A$1001,customers!$I$1:$I$1001,,0)</f>
        <v>No</v>
      </c>
    </row>
    <row r="149" spans="1:20"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INDEX(products!$A$1:$I$49,MATCH(orders!$D149,products!$A$1:$A$49,0),MATCH(orders!I$1,products!$A$1:$D$1,0))</f>
        <v>Exc</v>
      </c>
      <c r="J149" t="str">
        <f t="shared" si="12"/>
        <v>Excelsa</v>
      </c>
      <c r="K149" t="str">
        <f>INDEX(products!$A$1:$I$49,MATCH(orders!$D149,products!$A$1:$A$49,0),MATCH(orders!K$1,products!$A$1:$D$1,0))</f>
        <v>M</v>
      </c>
      <c r="L149" t="str">
        <f t="shared" si="13"/>
        <v>Medium</v>
      </c>
      <c r="M149">
        <f>INDEX(products!$A$1:$I$49,MATCH(orders!$D149,products!$A$1:$A$49,0),MATCH(orders!M$1,products!$A$1:$D$1,0))</f>
        <v>1</v>
      </c>
      <c r="N149">
        <f>_xlfn.XLOOKUP(D149,products!$A$2:$A$49,products!$E$2:$E$49)</f>
        <v>13.75</v>
      </c>
      <c r="O149">
        <f>_xlfn.XLOOKUP(D149,products!$A$2:$A$49,products!$H$2:$H$49)</f>
        <v>12.237500000000001</v>
      </c>
      <c r="P149">
        <f t="shared" si="14"/>
        <v>27.5</v>
      </c>
      <c r="Q149">
        <f t="shared" si="15"/>
        <v>24.475000000000001</v>
      </c>
      <c r="R149">
        <f t="shared" si="16"/>
        <v>3.0249999999999986</v>
      </c>
      <c r="S149" s="4">
        <f t="shared" si="17"/>
        <v>0.10999999999999995</v>
      </c>
      <c r="T149" t="str">
        <f>_xlfn.XLOOKUP(C149,customers!$A$1:$A$1001,customers!$I$1:$I$1001,,0)</f>
        <v>No</v>
      </c>
    </row>
    <row r="150" spans="1:20"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INDEX(products!$A$1:$I$49,MATCH(orders!$D150,products!$A$1:$A$49,0),MATCH(orders!I$1,products!$A$1:$D$1,0))</f>
        <v>Exc</v>
      </c>
      <c r="J150" t="str">
        <f t="shared" si="12"/>
        <v>Excelsa</v>
      </c>
      <c r="K150" t="str">
        <f>INDEX(products!$A$1:$I$49,MATCH(orders!$D150,products!$A$1:$A$49,0),MATCH(orders!K$1,products!$A$1:$D$1,0))</f>
        <v>D</v>
      </c>
      <c r="L150" t="str">
        <f t="shared" si="13"/>
        <v>Dark</v>
      </c>
      <c r="M150">
        <f>INDEX(products!$A$1:$I$49,MATCH(orders!$D150,products!$A$1:$A$49,0),MATCH(orders!M$1,products!$A$1:$D$1,0))</f>
        <v>0.2</v>
      </c>
      <c r="N150">
        <f>_xlfn.XLOOKUP(D150,products!$A$2:$A$49,products!$E$2:$E$49)</f>
        <v>3.645</v>
      </c>
      <c r="O150">
        <f>_xlfn.XLOOKUP(D150,products!$A$2:$A$49,products!$H$2:$H$49)</f>
        <v>3.2440500000000001</v>
      </c>
      <c r="P150">
        <f t="shared" si="14"/>
        <v>18.225000000000001</v>
      </c>
      <c r="Q150">
        <f t="shared" si="15"/>
        <v>16.22025</v>
      </c>
      <c r="R150">
        <f t="shared" si="16"/>
        <v>2.0047500000000014</v>
      </c>
      <c r="S150" s="4">
        <f t="shared" si="17"/>
        <v>0.11000000000000007</v>
      </c>
      <c r="T150" t="str">
        <f>_xlfn.XLOOKUP(C150,customers!$A$1:$A$1001,customers!$I$1:$I$1001,,0)</f>
        <v>Yes</v>
      </c>
    </row>
    <row r="151" spans="1:20"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v>
      </c>
      <c r="H151" s="2" t="str">
        <f>_xlfn.XLOOKUP(C151,customers!$A$1:$A$1001,customers!$G$1:$G$1001,,0)</f>
        <v>United States</v>
      </c>
      <c r="I151" t="str">
        <f>INDEX(products!$A$1:$I$49,MATCH(orders!$D151,products!$A$1:$A$49,0),MATCH(orders!I$1,products!$A$1:$D$1,0))</f>
        <v>Ara</v>
      </c>
      <c r="J151" t="str">
        <f t="shared" si="12"/>
        <v>Arabica</v>
      </c>
      <c r="K151" t="str">
        <f>INDEX(products!$A$1:$I$49,MATCH(orders!$D151,products!$A$1:$A$49,0),MATCH(orders!K$1,products!$A$1:$D$1,0))</f>
        <v>M</v>
      </c>
      <c r="L151" t="str">
        <f t="shared" si="13"/>
        <v>Medium</v>
      </c>
      <c r="M151">
        <f>INDEX(products!$A$1:$I$49,MATCH(orders!$D151,products!$A$1:$A$49,0),MATCH(orders!M$1,products!$A$1:$D$1,0))</f>
        <v>2.5</v>
      </c>
      <c r="N151">
        <f>_xlfn.XLOOKUP(D151,products!$A$2:$A$49,products!$E$2:$E$49)</f>
        <v>25.874999999999996</v>
      </c>
      <c r="O151">
        <f>_xlfn.XLOOKUP(D151,products!$A$2:$A$49,products!$H$2:$H$49)</f>
        <v>23.546249999999997</v>
      </c>
      <c r="P151">
        <f t="shared" si="14"/>
        <v>51.749999999999993</v>
      </c>
      <c r="Q151">
        <f t="shared" si="15"/>
        <v>47.092499999999994</v>
      </c>
      <c r="R151">
        <f t="shared" si="16"/>
        <v>4.6574999999999989</v>
      </c>
      <c r="S151" s="4">
        <f t="shared" si="17"/>
        <v>0.09</v>
      </c>
      <c r="T151" t="str">
        <f>_xlfn.XLOOKUP(C151,customers!$A$1:$A$1001,customers!$I$1:$I$1001,,0)</f>
        <v>Yes</v>
      </c>
    </row>
    <row r="152" spans="1:20"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INDEX(products!$A$1:$I$49,MATCH(orders!$D152,products!$A$1:$A$49,0),MATCH(orders!I$1,products!$A$1:$D$1,0))</f>
        <v>Lib</v>
      </c>
      <c r="J152" t="str">
        <f t="shared" si="12"/>
        <v>Liberica</v>
      </c>
      <c r="K152" t="str">
        <f>INDEX(products!$A$1:$I$49,MATCH(orders!$D152,products!$A$1:$A$49,0),MATCH(orders!K$1,products!$A$1:$D$1,0))</f>
        <v>D</v>
      </c>
      <c r="L152" t="str">
        <f t="shared" si="13"/>
        <v>Dark</v>
      </c>
      <c r="M152">
        <f>INDEX(products!$A$1:$I$49,MATCH(orders!$D152,products!$A$1:$A$49,0),MATCH(orders!M$1,products!$A$1:$D$1,0))</f>
        <v>1</v>
      </c>
      <c r="N152">
        <f>_xlfn.XLOOKUP(D152,products!$A$2:$A$49,products!$E$2:$E$49)</f>
        <v>12.95</v>
      </c>
      <c r="O152">
        <f>_xlfn.XLOOKUP(D152,products!$A$2:$A$49,products!$H$2:$H$49)</f>
        <v>11.266499999999999</v>
      </c>
      <c r="P152">
        <f t="shared" si="14"/>
        <v>12.95</v>
      </c>
      <c r="Q152">
        <f t="shared" si="15"/>
        <v>11.266499999999999</v>
      </c>
      <c r="R152">
        <f t="shared" si="16"/>
        <v>1.6835000000000004</v>
      </c>
      <c r="S152" s="4">
        <f t="shared" si="17"/>
        <v>0.13000000000000003</v>
      </c>
      <c r="T152" t="str">
        <f>_xlfn.XLOOKUP(C152,customers!$A$1:$A$1001,customers!$I$1:$I$1001,,0)</f>
        <v>Yes</v>
      </c>
    </row>
    <row r="153" spans="1:20"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v>
      </c>
      <c r="H153" s="2" t="str">
        <f>_xlfn.XLOOKUP(C153,customers!$A$1:$A$1001,customers!$G$1:$G$1001,,0)</f>
        <v>United States</v>
      </c>
      <c r="I153" t="str">
        <f>INDEX(products!$A$1:$I$49,MATCH(orders!$D153,products!$A$1:$A$49,0),MATCH(orders!I$1,products!$A$1:$D$1,0))</f>
        <v>Ara</v>
      </c>
      <c r="J153" t="str">
        <f t="shared" si="12"/>
        <v>Arabica</v>
      </c>
      <c r="K153" t="str">
        <f>INDEX(products!$A$1:$I$49,MATCH(orders!$D153,products!$A$1:$A$49,0),MATCH(orders!K$1,products!$A$1:$D$1,0))</f>
        <v>M</v>
      </c>
      <c r="L153" t="str">
        <f t="shared" si="13"/>
        <v>Medium</v>
      </c>
      <c r="M153">
        <f>INDEX(products!$A$1:$I$49,MATCH(orders!$D153,products!$A$1:$A$49,0),MATCH(orders!M$1,products!$A$1:$D$1,0))</f>
        <v>1</v>
      </c>
      <c r="N153">
        <f>_xlfn.XLOOKUP(D153,products!$A$2:$A$49,products!$E$2:$E$49)</f>
        <v>11.25</v>
      </c>
      <c r="O153">
        <f>_xlfn.XLOOKUP(D153,products!$A$2:$A$49,products!$H$2:$H$49)</f>
        <v>10.237500000000001</v>
      </c>
      <c r="P153">
        <f t="shared" si="14"/>
        <v>33.75</v>
      </c>
      <c r="Q153">
        <f t="shared" si="15"/>
        <v>30.712500000000002</v>
      </c>
      <c r="R153">
        <f t="shared" si="16"/>
        <v>3.0374999999999979</v>
      </c>
      <c r="S153" s="4">
        <f t="shared" si="17"/>
        <v>8.9999999999999941E-2</v>
      </c>
      <c r="T153" t="str">
        <f>_xlfn.XLOOKUP(C153,customers!$A$1:$A$1001,customers!$I$1:$I$1001,,0)</f>
        <v>Yes</v>
      </c>
    </row>
    <row r="154" spans="1:20"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INDEX(products!$A$1:$I$49,MATCH(orders!$D154,products!$A$1:$A$49,0),MATCH(orders!I$1,products!$A$1:$D$1,0))</f>
        <v>Rob</v>
      </c>
      <c r="J154" t="str">
        <f t="shared" si="12"/>
        <v>Robusta</v>
      </c>
      <c r="K154" t="str">
        <f>INDEX(products!$A$1:$I$49,MATCH(orders!$D154,products!$A$1:$A$49,0),MATCH(orders!K$1,products!$A$1:$D$1,0))</f>
        <v>M</v>
      </c>
      <c r="L154" t="str">
        <f t="shared" si="13"/>
        <v>Medium</v>
      </c>
      <c r="M154">
        <f>INDEX(products!$A$1:$I$49,MATCH(orders!$D154,products!$A$1:$A$49,0),MATCH(orders!M$1,products!$A$1:$D$1,0))</f>
        <v>2.5</v>
      </c>
      <c r="N154">
        <f>_xlfn.XLOOKUP(D154,products!$A$2:$A$49,products!$E$2:$E$49)</f>
        <v>22.884999999999998</v>
      </c>
      <c r="O154">
        <f>_xlfn.XLOOKUP(D154,products!$A$2:$A$49,products!$H$2:$H$49)</f>
        <v>21.511899999999997</v>
      </c>
      <c r="P154">
        <f t="shared" si="14"/>
        <v>68.655000000000001</v>
      </c>
      <c r="Q154">
        <f t="shared" si="15"/>
        <v>64.535699999999991</v>
      </c>
      <c r="R154">
        <f t="shared" si="16"/>
        <v>4.1193000000000097</v>
      </c>
      <c r="S154" s="4">
        <f t="shared" si="17"/>
        <v>6.0000000000000143E-2</v>
      </c>
      <c r="T154" t="str">
        <f>_xlfn.XLOOKUP(C154,customers!$A$1:$A$1001,customers!$I$1:$I$1001,,0)</f>
        <v>Yes</v>
      </c>
    </row>
    <row r="155" spans="1:20"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v>
      </c>
      <c r="H155" s="2" t="str">
        <f>_xlfn.XLOOKUP(C155,customers!$A$1:$A$1001,customers!$G$1:$G$1001,,0)</f>
        <v>United States</v>
      </c>
      <c r="I155" t="str">
        <f>INDEX(products!$A$1:$I$49,MATCH(orders!$D155,products!$A$1:$A$49,0),MATCH(orders!I$1,products!$A$1:$D$1,0))</f>
        <v>Rob</v>
      </c>
      <c r="J155" t="str">
        <f t="shared" si="12"/>
        <v>Robusta</v>
      </c>
      <c r="K155" t="str">
        <f>INDEX(products!$A$1:$I$49,MATCH(orders!$D155,products!$A$1:$A$49,0),MATCH(orders!K$1,products!$A$1:$D$1,0))</f>
        <v>D</v>
      </c>
      <c r="L155" t="str">
        <f t="shared" si="13"/>
        <v>Dark</v>
      </c>
      <c r="M155">
        <f>INDEX(products!$A$1:$I$49,MATCH(orders!$D155,products!$A$1:$A$49,0),MATCH(orders!M$1,products!$A$1:$D$1,0))</f>
        <v>0.2</v>
      </c>
      <c r="N155">
        <f>_xlfn.XLOOKUP(D155,products!$A$2:$A$49,products!$E$2:$E$49)</f>
        <v>2.6849999999999996</v>
      </c>
      <c r="O155">
        <f>_xlfn.XLOOKUP(D155,products!$A$2:$A$49,products!$H$2:$H$49)</f>
        <v>2.5238999999999998</v>
      </c>
      <c r="P155">
        <f t="shared" si="14"/>
        <v>2.6849999999999996</v>
      </c>
      <c r="Q155">
        <f t="shared" si="15"/>
        <v>2.5238999999999998</v>
      </c>
      <c r="R155">
        <f t="shared" si="16"/>
        <v>0.1610999999999998</v>
      </c>
      <c r="S155" s="4">
        <f t="shared" si="17"/>
        <v>5.9999999999999935E-2</v>
      </c>
      <c r="T155" t="str">
        <f>_xlfn.XLOOKUP(C155,customers!$A$1:$A$1001,customers!$I$1:$I$1001,,0)</f>
        <v>No</v>
      </c>
    </row>
    <row r="156" spans="1:20"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INDEX(products!$A$1:$I$49,MATCH(orders!$D156,products!$A$1:$A$49,0),MATCH(orders!I$1,products!$A$1:$D$1,0))</f>
        <v>Ara</v>
      </c>
      <c r="J156" t="str">
        <f t="shared" si="12"/>
        <v>Arabica</v>
      </c>
      <c r="K156" t="str">
        <f>INDEX(products!$A$1:$I$49,MATCH(orders!$D156,products!$A$1:$A$49,0),MATCH(orders!K$1,products!$A$1:$D$1,0))</f>
        <v>D</v>
      </c>
      <c r="L156" t="str">
        <f t="shared" si="13"/>
        <v>Dark</v>
      </c>
      <c r="M156">
        <f>INDEX(products!$A$1:$I$49,MATCH(orders!$D156,products!$A$1:$A$49,0),MATCH(orders!M$1,products!$A$1:$D$1,0))</f>
        <v>2.5</v>
      </c>
      <c r="N156">
        <f>_xlfn.XLOOKUP(D156,products!$A$2:$A$49,products!$E$2:$E$49)</f>
        <v>22.884999999999998</v>
      </c>
      <c r="O156">
        <f>_xlfn.XLOOKUP(D156,products!$A$2:$A$49,products!$H$2:$H$49)</f>
        <v>20.82535</v>
      </c>
      <c r="P156">
        <f t="shared" si="14"/>
        <v>114.42499999999998</v>
      </c>
      <c r="Q156">
        <f t="shared" si="15"/>
        <v>104.12675</v>
      </c>
      <c r="R156">
        <f t="shared" si="16"/>
        <v>10.298249999999982</v>
      </c>
      <c r="S156" s="4">
        <f t="shared" si="17"/>
        <v>8.9999999999999858E-2</v>
      </c>
      <c r="T156" t="str">
        <f>_xlfn.XLOOKUP(C156,customers!$A$1:$A$1001,customers!$I$1:$I$1001,,0)</f>
        <v>No</v>
      </c>
    </row>
    <row r="157" spans="1:20"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INDEX(products!$A$1:$I$49,MATCH(orders!$D157,products!$A$1:$A$49,0),MATCH(orders!I$1,products!$A$1:$D$1,0))</f>
        <v>Ara</v>
      </c>
      <c r="J157" t="str">
        <f t="shared" si="12"/>
        <v>Arabica</v>
      </c>
      <c r="K157" t="str">
        <f>INDEX(products!$A$1:$I$49,MATCH(orders!$D157,products!$A$1:$A$49,0),MATCH(orders!K$1,products!$A$1:$D$1,0))</f>
        <v>M</v>
      </c>
      <c r="L157" t="str">
        <f t="shared" si="13"/>
        <v>Medium</v>
      </c>
      <c r="M157">
        <f>INDEX(products!$A$1:$I$49,MATCH(orders!$D157,products!$A$1:$A$49,0),MATCH(orders!M$1,products!$A$1:$D$1,0))</f>
        <v>2.5</v>
      </c>
      <c r="N157">
        <f>_xlfn.XLOOKUP(D157,products!$A$2:$A$49,products!$E$2:$E$49)</f>
        <v>25.874999999999996</v>
      </c>
      <c r="O157">
        <f>_xlfn.XLOOKUP(D157,products!$A$2:$A$49,products!$H$2:$H$49)</f>
        <v>23.546249999999997</v>
      </c>
      <c r="P157">
        <f t="shared" si="14"/>
        <v>155.24999999999997</v>
      </c>
      <c r="Q157">
        <f t="shared" si="15"/>
        <v>141.27749999999997</v>
      </c>
      <c r="R157">
        <f t="shared" si="16"/>
        <v>13.972499999999997</v>
      </c>
      <c r="S157" s="4">
        <f t="shared" si="17"/>
        <v>0.09</v>
      </c>
      <c r="T157" t="str">
        <f>_xlfn.XLOOKUP(C157,customers!$A$1:$A$1001,customers!$I$1:$I$1001,,0)</f>
        <v>Yes</v>
      </c>
    </row>
    <row r="158" spans="1:20"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INDEX(products!$A$1:$I$49,MATCH(orders!$D158,products!$A$1:$A$49,0),MATCH(orders!I$1,products!$A$1:$D$1,0))</f>
        <v>Ara</v>
      </c>
      <c r="J158" t="str">
        <f t="shared" si="12"/>
        <v>Arabica</v>
      </c>
      <c r="K158" t="str">
        <f>INDEX(products!$A$1:$I$49,MATCH(orders!$D158,products!$A$1:$A$49,0),MATCH(orders!K$1,products!$A$1:$D$1,0))</f>
        <v>M</v>
      </c>
      <c r="L158" t="str">
        <f t="shared" si="13"/>
        <v>Medium</v>
      </c>
      <c r="M158">
        <f>INDEX(products!$A$1:$I$49,MATCH(orders!$D158,products!$A$1:$A$49,0),MATCH(orders!M$1,products!$A$1:$D$1,0))</f>
        <v>2.5</v>
      </c>
      <c r="N158">
        <f>_xlfn.XLOOKUP(D158,products!$A$2:$A$49,products!$E$2:$E$49)</f>
        <v>25.874999999999996</v>
      </c>
      <c r="O158">
        <f>_xlfn.XLOOKUP(D158,products!$A$2:$A$49,products!$H$2:$H$49)</f>
        <v>23.546249999999997</v>
      </c>
      <c r="P158">
        <f t="shared" si="14"/>
        <v>77.624999999999986</v>
      </c>
      <c r="Q158">
        <f t="shared" si="15"/>
        <v>70.638749999999987</v>
      </c>
      <c r="R158">
        <f t="shared" si="16"/>
        <v>6.9862499999999983</v>
      </c>
      <c r="S158" s="4">
        <f t="shared" si="17"/>
        <v>0.09</v>
      </c>
      <c r="T158" t="str">
        <f>_xlfn.XLOOKUP(C158,customers!$A$1:$A$1001,customers!$I$1:$I$1001,,0)</f>
        <v>Yes</v>
      </c>
    </row>
    <row r="159" spans="1:20"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INDEX(products!$A$1:$I$49,MATCH(orders!$D159,products!$A$1:$A$49,0),MATCH(orders!I$1,products!$A$1:$D$1,0))</f>
        <v>Rob</v>
      </c>
      <c r="J159" t="str">
        <f t="shared" si="12"/>
        <v>Robusta</v>
      </c>
      <c r="K159" t="str">
        <f>INDEX(products!$A$1:$I$49,MATCH(orders!$D159,products!$A$1:$A$49,0),MATCH(orders!K$1,products!$A$1:$D$1,0))</f>
        <v>D</v>
      </c>
      <c r="L159" t="str">
        <f t="shared" si="13"/>
        <v>Dark</v>
      </c>
      <c r="M159">
        <f>INDEX(products!$A$1:$I$49,MATCH(orders!$D159,products!$A$1:$A$49,0),MATCH(orders!M$1,products!$A$1:$D$1,0))</f>
        <v>2.5</v>
      </c>
      <c r="N159">
        <f>_xlfn.XLOOKUP(D159,products!$A$2:$A$49,products!$E$2:$E$49)</f>
        <v>20.584999999999997</v>
      </c>
      <c r="O159">
        <f>_xlfn.XLOOKUP(D159,products!$A$2:$A$49,products!$H$2:$H$49)</f>
        <v>19.349899999999998</v>
      </c>
      <c r="P159">
        <f t="shared" si="14"/>
        <v>61.754999999999995</v>
      </c>
      <c r="Q159">
        <f t="shared" si="15"/>
        <v>58.049699999999994</v>
      </c>
      <c r="R159">
        <f t="shared" si="16"/>
        <v>3.7053000000000011</v>
      </c>
      <c r="S159" s="4">
        <f t="shared" si="17"/>
        <v>6.0000000000000026E-2</v>
      </c>
      <c r="T159" t="str">
        <f>_xlfn.XLOOKUP(C159,customers!$A$1:$A$1001,customers!$I$1:$I$1001,,0)</f>
        <v>No</v>
      </c>
    </row>
    <row r="160" spans="1:20"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v>
      </c>
      <c r="H160" s="2" t="str">
        <f>_xlfn.XLOOKUP(C160,customers!$A$1:$A$1001,customers!$G$1:$G$1001,,0)</f>
        <v>United States</v>
      </c>
      <c r="I160" t="str">
        <f>INDEX(products!$A$1:$I$49,MATCH(orders!$D160,products!$A$1:$A$49,0),MATCH(orders!I$1,products!$A$1:$D$1,0))</f>
        <v>Rob</v>
      </c>
      <c r="J160" t="str">
        <f t="shared" si="12"/>
        <v>Robusta</v>
      </c>
      <c r="K160" t="str">
        <f>INDEX(products!$A$1:$I$49,MATCH(orders!$D160,products!$A$1:$A$49,0),MATCH(orders!K$1,products!$A$1:$D$1,0))</f>
        <v>D</v>
      </c>
      <c r="L160" t="str">
        <f t="shared" si="13"/>
        <v>Dark</v>
      </c>
      <c r="M160">
        <f>INDEX(products!$A$1:$I$49,MATCH(orders!$D160,products!$A$1:$A$49,0),MATCH(orders!M$1,products!$A$1:$D$1,0))</f>
        <v>2.5</v>
      </c>
      <c r="N160">
        <f>_xlfn.XLOOKUP(D160,products!$A$2:$A$49,products!$E$2:$E$49)</f>
        <v>20.584999999999997</v>
      </c>
      <c r="O160">
        <f>_xlfn.XLOOKUP(D160,products!$A$2:$A$49,products!$H$2:$H$49)</f>
        <v>19.349899999999998</v>
      </c>
      <c r="P160">
        <f t="shared" si="14"/>
        <v>123.50999999999999</v>
      </c>
      <c r="Q160">
        <f t="shared" si="15"/>
        <v>116.09939999999999</v>
      </c>
      <c r="R160">
        <f t="shared" si="16"/>
        <v>7.4106000000000023</v>
      </c>
      <c r="S160" s="4">
        <f t="shared" si="17"/>
        <v>6.0000000000000026E-2</v>
      </c>
      <c r="T160" t="str">
        <f>_xlfn.XLOOKUP(C160,customers!$A$1:$A$1001,customers!$I$1:$I$1001,,0)</f>
        <v>Yes</v>
      </c>
    </row>
    <row r="161" spans="1:20"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v>
      </c>
      <c r="H161" s="2" t="str">
        <f>_xlfn.XLOOKUP(C161,customers!$A$1:$A$1001,customers!$G$1:$G$1001,,0)</f>
        <v>United States</v>
      </c>
      <c r="I161" t="str">
        <f>INDEX(products!$A$1:$I$49,MATCH(orders!$D161,products!$A$1:$A$49,0),MATCH(orders!I$1,products!$A$1:$D$1,0))</f>
        <v>Lib</v>
      </c>
      <c r="J161" t="str">
        <f t="shared" si="12"/>
        <v>Liberica</v>
      </c>
      <c r="K161" t="str">
        <f>INDEX(products!$A$1:$I$49,MATCH(orders!$D161,products!$A$1:$A$49,0),MATCH(orders!K$1,products!$A$1:$D$1,0))</f>
        <v>L</v>
      </c>
      <c r="L161" t="str">
        <f t="shared" si="13"/>
        <v>Light</v>
      </c>
      <c r="M161">
        <f>INDEX(products!$A$1:$I$49,MATCH(orders!$D161,products!$A$1:$A$49,0),MATCH(orders!M$1,products!$A$1:$D$1,0))</f>
        <v>2.5</v>
      </c>
      <c r="N161">
        <f>_xlfn.XLOOKUP(D161,products!$A$2:$A$49,products!$E$2:$E$49)</f>
        <v>36.454999999999998</v>
      </c>
      <c r="O161">
        <f>_xlfn.XLOOKUP(D161,products!$A$2:$A$49,products!$H$2:$H$49)</f>
        <v>31.71585</v>
      </c>
      <c r="P161">
        <f t="shared" si="14"/>
        <v>218.73</v>
      </c>
      <c r="Q161">
        <f t="shared" si="15"/>
        <v>190.29509999999999</v>
      </c>
      <c r="R161">
        <f t="shared" si="16"/>
        <v>28.434899999999999</v>
      </c>
      <c r="S161" s="4">
        <f t="shared" si="17"/>
        <v>0.13</v>
      </c>
      <c r="T161" t="str">
        <f>_xlfn.XLOOKUP(C161,customers!$A$1:$A$1001,customers!$I$1:$I$1001,,0)</f>
        <v>No</v>
      </c>
    </row>
    <row r="162" spans="1:20"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INDEX(products!$A$1:$I$49,MATCH(orders!$D162,products!$A$1:$A$49,0),MATCH(orders!I$1,products!$A$1:$D$1,0))</f>
        <v>Exc</v>
      </c>
      <c r="J162" t="str">
        <f t="shared" si="12"/>
        <v>Excelsa</v>
      </c>
      <c r="K162" t="str">
        <f>INDEX(products!$A$1:$I$49,MATCH(orders!$D162,products!$A$1:$A$49,0),MATCH(orders!K$1,products!$A$1:$D$1,0))</f>
        <v>M</v>
      </c>
      <c r="L162" t="str">
        <f t="shared" si="13"/>
        <v>Medium</v>
      </c>
      <c r="M162">
        <f>INDEX(products!$A$1:$I$49,MATCH(orders!$D162,products!$A$1:$A$49,0),MATCH(orders!M$1,products!$A$1:$D$1,0))</f>
        <v>0.5</v>
      </c>
      <c r="N162">
        <f>_xlfn.XLOOKUP(D162,products!$A$2:$A$49,products!$E$2:$E$49)</f>
        <v>8.25</v>
      </c>
      <c r="O162">
        <f>_xlfn.XLOOKUP(D162,products!$A$2:$A$49,products!$H$2:$H$49)</f>
        <v>7.3425000000000002</v>
      </c>
      <c r="P162">
        <f t="shared" si="14"/>
        <v>33</v>
      </c>
      <c r="Q162">
        <f t="shared" si="15"/>
        <v>29.37</v>
      </c>
      <c r="R162">
        <f t="shared" si="16"/>
        <v>3.629999999999999</v>
      </c>
      <c r="S162" s="4">
        <f t="shared" si="17"/>
        <v>0.10999999999999997</v>
      </c>
      <c r="T162" t="str">
        <f>_xlfn.XLOOKUP(C162,customers!$A$1:$A$1001,customers!$I$1:$I$1001,,0)</f>
        <v>No</v>
      </c>
    </row>
    <row r="163" spans="1:20"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INDEX(products!$A$1:$I$49,MATCH(orders!$D163,products!$A$1:$A$49,0),MATCH(orders!I$1,products!$A$1:$D$1,0))</f>
        <v>Ara</v>
      </c>
      <c r="J163" t="str">
        <f t="shared" si="12"/>
        <v>Arabica</v>
      </c>
      <c r="K163" t="str">
        <f>INDEX(products!$A$1:$I$49,MATCH(orders!$D163,products!$A$1:$A$49,0),MATCH(orders!K$1,products!$A$1:$D$1,0))</f>
        <v>L</v>
      </c>
      <c r="L163" t="str">
        <f t="shared" si="13"/>
        <v>Light</v>
      </c>
      <c r="M163">
        <f>INDEX(products!$A$1:$I$49,MATCH(orders!$D163,products!$A$1:$A$49,0),MATCH(orders!M$1,products!$A$1:$D$1,0))</f>
        <v>0.5</v>
      </c>
      <c r="N163">
        <f>_xlfn.XLOOKUP(D163,products!$A$2:$A$49,products!$E$2:$E$49)</f>
        <v>7.77</v>
      </c>
      <c r="O163">
        <f>_xlfn.XLOOKUP(D163,products!$A$2:$A$49,products!$H$2:$H$49)</f>
        <v>7.0706999999999995</v>
      </c>
      <c r="P163">
        <f t="shared" si="14"/>
        <v>23.31</v>
      </c>
      <c r="Q163">
        <f t="shared" si="15"/>
        <v>21.2121</v>
      </c>
      <c r="R163">
        <f t="shared" si="16"/>
        <v>2.0978999999999992</v>
      </c>
      <c r="S163" s="4">
        <f t="shared" si="17"/>
        <v>8.9999999999999969E-2</v>
      </c>
      <c r="T163" t="str">
        <f>_xlfn.XLOOKUP(C163,customers!$A$1:$A$1001,customers!$I$1:$I$1001,,0)</f>
        <v>No</v>
      </c>
    </row>
    <row r="164" spans="1:20"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INDEX(products!$A$1:$I$49,MATCH(orders!$D164,products!$A$1:$A$49,0),MATCH(orders!I$1,products!$A$1:$D$1,0))</f>
        <v>Exc</v>
      </c>
      <c r="J164" t="str">
        <f t="shared" si="12"/>
        <v>Excelsa</v>
      </c>
      <c r="K164" t="str">
        <f>INDEX(products!$A$1:$I$49,MATCH(orders!$D164,products!$A$1:$A$49,0),MATCH(orders!K$1,products!$A$1:$D$1,0))</f>
        <v>D</v>
      </c>
      <c r="L164" t="str">
        <f t="shared" si="13"/>
        <v>Dark</v>
      </c>
      <c r="M164">
        <f>INDEX(products!$A$1:$I$49,MATCH(orders!$D164,products!$A$1:$A$49,0),MATCH(orders!M$1,products!$A$1:$D$1,0))</f>
        <v>0.5</v>
      </c>
      <c r="N164">
        <f>_xlfn.XLOOKUP(D164,products!$A$2:$A$49,products!$E$2:$E$49)</f>
        <v>7.29</v>
      </c>
      <c r="O164">
        <f>_xlfn.XLOOKUP(D164,products!$A$2:$A$49,products!$H$2:$H$49)</f>
        <v>6.4881000000000002</v>
      </c>
      <c r="P164">
        <f t="shared" si="14"/>
        <v>21.87</v>
      </c>
      <c r="Q164">
        <f t="shared" si="15"/>
        <v>19.464300000000001</v>
      </c>
      <c r="R164">
        <f t="shared" si="16"/>
        <v>2.4056999999999995</v>
      </c>
      <c r="S164" s="4">
        <f t="shared" si="17"/>
        <v>0.10999999999999997</v>
      </c>
      <c r="T164" t="str">
        <f>_xlfn.XLOOKUP(C164,customers!$A$1:$A$1001,customers!$I$1:$I$1001,,0)</f>
        <v>Yes</v>
      </c>
    </row>
    <row r="165" spans="1:20"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INDEX(products!$A$1:$I$49,MATCH(orders!$D165,products!$A$1:$A$49,0),MATCH(orders!I$1,products!$A$1:$D$1,0))</f>
        <v>Rob</v>
      </c>
      <c r="J165" t="str">
        <f t="shared" si="12"/>
        <v>Robusta</v>
      </c>
      <c r="K165" t="str">
        <f>INDEX(products!$A$1:$I$49,MATCH(orders!$D165,products!$A$1:$A$49,0),MATCH(orders!K$1,products!$A$1:$D$1,0))</f>
        <v>D</v>
      </c>
      <c r="L165" t="str">
        <f t="shared" si="13"/>
        <v>Dark</v>
      </c>
      <c r="M165">
        <f>INDEX(products!$A$1:$I$49,MATCH(orders!$D165,products!$A$1:$A$49,0),MATCH(orders!M$1,products!$A$1:$D$1,0))</f>
        <v>0.2</v>
      </c>
      <c r="N165">
        <f>_xlfn.XLOOKUP(D165,products!$A$2:$A$49,products!$E$2:$E$49)</f>
        <v>2.6849999999999996</v>
      </c>
      <c r="O165">
        <f>_xlfn.XLOOKUP(D165,products!$A$2:$A$49,products!$H$2:$H$49)</f>
        <v>2.5238999999999998</v>
      </c>
      <c r="P165">
        <f t="shared" si="14"/>
        <v>16.11</v>
      </c>
      <c r="Q165">
        <f t="shared" si="15"/>
        <v>15.1434</v>
      </c>
      <c r="R165">
        <f t="shared" si="16"/>
        <v>0.96659999999999968</v>
      </c>
      <c r="S165" s="4">
        <f t="shared" si="17"/>
        <v>5.9999999999999984E-2</v>
      </c>
      <c r="T165" t="str">
        <f>_xlfn.XLOOKUP(C165,customers!$A$1:$A$1001,customers!$I$1:$I$1001,,0)</f>
        <v>No</v>
      </c>
    </row>
    <row r="166" spans="1:20"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INDEX(products!$A$1:$I$49,MATCH(orders!$D166,products!$A$1:$A$49,0),MATCH(orders!I$1,products!$A$1:$D$1,0))</f>
        <v>Exc</v>
      </c>
      <c r="J166" t="str">
        <f t="shared" si="12"/>
        <v>Excelsa</v>
      </c>
      <c r="K166" t="str">
        <f>INDEX(products!$A$1:$I$49,MATCH(orders!$D166,products!$A$1:$A$49,0),MATCH(orders!K$1,products!$A$1:$D$1,0))</f>
        <v>D</v>
      </c>
      <c r="L166" t="str">
        <f t="shared" si="13"/>
        <v>Dark</v>
      </c>
      <c r="M166">
        <f>INDEX(products!$A$1:$I$49,MATCH(orders!$D166,products!$A$1:$A$49,0),MATCH(orders!M$1,products!$A$1:$D$1,0))</f>
        <v>0.5</v>
      </c>
      <c r="N166">
        <f>_xlfn.XLOOKUP(D166,products!$A$2:$A$49,products!$E$2:$E$49)</f>
        <v>7.29</v>
      </c>
      <c r="O166">
        <f>_xlfn.XLOOKUP(D166,products!$A$2:$A$49,products!$H$2:$H$49)</f>
        <v>6.4881000000000002</v>
      </c>
      <c r="P166">
        <f t="shared" si="14"/>
        <v>29.16</v>
      </c>
      <c r="Q166">
        <f t="shared" si="15"/>
        <v>25.952400000000001</v>
      </c>
      <c r="R166">
        <f t="shared" si="16"/>
        <v>3.2075999999999993</v>
      </c>
      <c r="S166" s="4">
        <f t="shared" si="17"/>
        <v>0.10999999999999997</v>
      </c>
      <c r="T166" t="str">
        <f>_xlfn.XLOOKUP(C166,customers!$A$1:$A$1001,customers!$I$1:$I$1001,,0)</f>
        <v>No</v>
      </c>
    </row>
    <row r="167" spans="1:20"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v>
      </c>
      <c r="H167" s="2" t="str">
        <f>_xlfn.XLOOKUP(C167,customers!$A$1:$A$1001,customers!$G$1:$G$1001,,0)</f>
        <v>United States</v>
      </c>
      <c r="I167" t="str">
        <f>INDEX(products!$A$1:$I$49,MATCH(orders!$D167,products!$A$1:$A$49,0),MATCH(orders!I$1,products!$A$1:$D$1,0))</f>
        <v>Rob</v>
      </c>
      <c r="J167" t="str">
        <f t="shared" si="12"/>
        <v>Robusta</v>
      </c>
      <c r="K167" t="str">
        <f>INDEX(products!$A$1:$I$49,MATCH(orders!$D167,products!$A$1:$A$49,0),MATCH(orders!K$1,products!$A$1:$D$1,0))</f>
        <v>D</v>
      </c>
      <c r="L167" t="str">
        <f t="shared" si="13"/>
        <v>Dark</v>
      </c>
      <c r="M167">
        <f>INDEX(products!$A$1:$I$49,MATCH(orders!$D167,products!$A$1:$A$49,0),MATCH(orders!M$1,products!$A$1:$D$1,0))</f>
        <v>1</v>
      </c>
      <c r="N167">
        <f>_xlfn.XLOOKUP(D167,products!$A$2:$A$49,products!$E$2:$E$49)</f>
        <v>8.9499999999999993</v>
      </c>
      <c r="O167">
        <f>_xlfn.XLOOKUP(D167,products!$A$2:$A$49,products!$H$2:$H$49)</f>
        <v>8.4130000000000003</v>
      </c>
      <c r="P167">
        <f t="shared" si="14"/>
        <v>53.699999999999996</v>
      </c>
      <c r="Q167">
        <f t="shared" si="15"/>
        <v>50.478000000000002</v>
      </c>
      <c r="R167">
        <f t="shared" si="16"/>
        <v>3.2219999999999942</v>
      </c>
      <c r="S167" s="4">
        <f t="shared" si="17"/>
        <v>5.9999999999999894E-2</v>
      </c>
      <c r="T167" t="str">
        <f>_xlfn.XLOOKUP(C167,customers!$A$1:$A$1001,customers!$I$1:$I$1001,,0)</f>
        <v>Yes</v>
      </c>
    </row>
    <row r="168" spans="1:20"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v>
      </c>
      <c r="H168" s="2" t="str">
        <f>_xlfn.XLOOKUP(C168,customers!$A$1:$A$1001,customers!$G$1:$G$1001,,0)</f>
        <v>United States</v>
      </c>
      <c r="I168" t="str">
        <f>INDEX(products!$A$1:$I$49,MATCH(orders!$D168,products!$A$1:$A$49,0),MATCH(orders!I$1,products!$A$1:$D$1,0))</f>
        <v>Rob</v>
      </c>
      <c r="J168" t="str">
        <f t="shared" si="12"/>
        <v>Robusta</v>
      </c>
      <c r="K168" t="str">
        <f>INDEX(products!$A$1:$I$49,MATCH(orders!$D168,products!$A$1:$A$49,0),MATCH(orders!K$1,products!$A$1:$D$1,0))</f>
        <v>D</v>
      </c>
      <c r="L168" t="str">
        <f t="shared" si="13"/>
        <v>Dark</v>
      </c>
      <c r="M168">
        <f>INDEX(products!$A$1:$I$49,MATCH(orders!$D168,products!$A$1:$A$49,0),MATCH(orders!M$1,products!$A$1:$D$1,0))</f>
        <v>0.5</v>
      </c>
      <c r="N168">
        <f>_xlfn.XLOOKUP(D168,products!$A$2:$A$49,products!$E$2:$E$49)</f>
        <v>5.3699999999999992</v>
      </c>
      <c r="O168">
        <f>_xlfn.XLOOKUP(D168,products!$A$2:$A$49,products!$H$2:$H$49)</f>
        <v>5.0477999999999996</v>
      </c>
      <c r="P168">
        <f t="shared" si="14"/>
        <v>26.849999999999994</v>
      </c>
      <c r="Q168">
        <f t="shared" si="15"/>
        <v>25.238999999999997</v>
      </c>
      <c r="R168">
        <f t="shared" si="16"/>
        <v>1.6109999999999971</v>
      </c>
      <c r="S168" s="4">
        <f t="shared" si="17"/>
        <v>5.9999999999999908E-2</v>
      </c>
      <c r="T168" t="str">
        <f>_xlfn.XLOOKUP(C168,customers!$A$1:$A$1001,customers!$I$1:$I$1001,,0)</f>
        <v>Yes</v>
      </c>
    </row>
    <row r="169" spans="1:20"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INDEX(products!$A$1:$I$49,MATCH(orders!$D169,products!$A$1:$A$49,0),MATCH(orders!I$1,products!$A$1:$D$1,0))</f>
        <v>Exc</v>
      </c>
      <c r="J169" t="str">
        <f t="shared" si="12"/>
        <v>Excelsa</v>
      </c>
      <c r="K169" t="str">
        <f>INDEX(products!$A$1:$I$49,MATCH(orders!$D169,products!$A$1:$A$49,0),MATCH(orders!K$1,products!$A$1:$D$1,0))</f>
        <v>M</v>
      </c>
      <c r="L169" t="str">
        <f t="shared" si="13"/>
        <v>Medium</v>
      </c>
      <c r="M169">
        <f>INDEX(products!$A$1:$I$49,MATCH(orders!$D169,products!$A$1:$A$49,0),MATCH(orders!M$1,products!$A$1:$D$1,0))</f>
        <v>0.5</v>
      </c>
      <c r="N169">
        <f>_xlfn.XLOOKUP(D169,products!$A$2:$A$49,products!$E$2:$E$49)</f>
        <v>8.25</v>
      </c>
      <c r="O169">
        <f>_xlfn.XLOOKUP(D169,products!$A$2:$A$49,products!$H$2:$H$49)</f>
        <v>7.3425000000000002</v>
      </c>
      <c r="P169">
        <f t="shared" si="14"/>
        <v>41.25</v>
      </c>
      <c r="Q169">
        <f t="shared" si="15"/>
        <v>36.712499999999999</v>
      </c>
      <c r="R169">
        <f t="shared" si="16"/>
        <v>4.5375000000000014</v>
      </c>
      <c r="S169" s="4">
        <f t="shared" si="17"/>
        <v>0.11000000000000003</v>
      </c>
      <c r="T169" t="str">
        <f>_xlfn.XLOOKUP(C169,customers!$A$1:$A$1001,customers!$I$1:$I$1001,,0)</f>
        <v>Yes</v>
      </c>
    </row>
    <row r="170" spans="1:20"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v>
      </c>
      <c r="H170" s="2" t="str">
        <f>_xlfn.XLOOKUP(C170,customers!$A$1:$A$1001,customers!$G$1:$G$1001,,0)</f>
        <v>Ireland</v>
      </c>
      <c r="I170" t="str">
        <f>INDEX(products!$A$1:$I$49,MATCH(orders!$D170,products!$A$1:$A$49,0),MATCH(orders!I$1,products!$A$1:$D$1,0))</f>
        <v>Ara</v>
      </c>
      <c r="J170" t="str">
        <f t="shared" si="12"/>
        <v>Arabica</v>
      </c>
      <c r="K170" t="str">
        <f>INDEX(products!$A$1:$I$49,MATCH(orders!$D170,products!$A$1:$A$49,0),MATCH(orders!K$1,products!$A$1:$D$1,0))</f>
        <v>M</v>
      </c>
      <c r="L170" t="str">
        <f t="shared" si="13"/>
        <v>Medium</v>
      </c>
      <c r="M170">
        <f>INDEX(products!$A$1:$I$49,MATCH(orders!$D170,products!$A$1:$A$49,0),MATCH(orders!M$1,products!$A$1:$D$1,0))</f>
        <v>0.5</v>
      </c>
      <c r="N170">
        <f>_xlfn.XLOOKUP(D170,products!$A$2:$A$49,products!$E$2:$E$49)</f>
        <v>6.75</v>
      </c>
      <c r="O170">
        <f>_xlfn.XLOOKUP(D170,products!$A$2:$A$49,products!$H$2:$H$49)</f>
        <v>6.1425000000000001</v>
      </c>
      <c r="P170">
        <f t="shared" si="14"/>
        <v>40.5</v>
      </c>
      <c r="Q170">
        <f t="shared" si="15"/>
        <v>36.855000000000004</v>
      </c>
      <c r="R170">
        <f t="shared" si="16"/>
        <v>3.644999999999996</v>
      </c>
      <c r="S170" s="4">
        <f t="shared" si="17"/>
        <v>8.99999999999999E-2</v>
      </c>
      <c r="T170" t="str">
        <f>_xlfn.XLOOKUP(C170,customers!$A$1:$A$1001,customers!$I$1:$I$1001,,0)</f>
        <v>No</v>
      </c>
    </row>
    <row r="171" spans="1:20"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INDEX(products!$A$1:$I$49,MATCH(orders!$D171,products!$A$1:$A$49,0),MATCH(orders!I$1,products!$A$1:$D$1,0))</f>
        <v>Rob</v>
      </c>
      <c r="J171" t="str">
        <f t="shared" si="12"/>
        <v>Robusta</v>
      </c>
      <c r="K171" t="str">
        <f>INDEX(products!$A$1:$I$49,MATCH(orders!$D171,products!$A$1:$A$49,0),MATCH(orders!K$1,products!$A$1:$D$1,0))</f>
        <v>D</v>
      </c>
      <c r="L171" t="str">
        <f t="shared" si="13"/>
        <v>Dark</v>
      </c>
      <c r="M171">
        <f>INDEX(products!$A$1:$I$49,MATCH(orders!$D171,products!$A$1:$A$49,0),MATCH(orders!M$1,products!$A$1:$D$1,0))</f>
        <v>1</v>
      </c>
      <c r="N171">
        <f>_xlfn.XLOOKUP(D171,products!$A$2:$A$49,products!$E$2:$E$49)</f>
        <v>8.9499999999999993</v>
      </c>
      <c r="O171">
        <f>_xlfn.XLOOKUP(D171,products!$A$2:$A$49,products!$H$2:$H$49)</f>
        <v>8.4130000000000003</v>
      </c>
      <c r="P171">
        <f t="shared" si="14"/>
        <v>17.899999999999999</v>
      </c>
      <c r="Q171">
        <f t="shared" si="15"/>
        <v>16.826000000000001</v>
      </c>
      <c r="R171">
        <f t="shared" si="16"/>
        <v>1.0739999999999981</v>
      </c>
      <c r="S171" s="4">
        <f t="shared" si="17"/>
        <v>5.9999999999999894E-2</v>
      </c>
      <c r="T171" t="str">
        <f>_xlfn.XLOOKUP(C171,customers!$A$1:$A$1001,customers!$I$1:$I$1001,,0)</f>
        <v>No</v>
      </c>
    </row>
    <row r="172" spans="1:20"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INDEX(products!$A$1:$I$49,MATCH(orders!$D172,products!$A$1:$A$49,0),MATCH(orders!I$1,products!$A$1:$D$1,0))</f>
        <v>Exc</v>
      </c>
      <c r="J172" t="str">
        <f t="shared" si="12"/>
        <v>Excelsa</v>
      </c>
      <c r="K172" t="str">
        <f>INDEX(products!$A$1:$I$49,MATCH(orders!$D172,products!$A$1:$A$49,0),MATCH(orders!K$1,products!$A$1:$D$1,0))</f>
        <v>L</v>
      </c>
      <c r="L172" t="str">
        <f t="shared" si="13"/>
        <v>Light</v>
      </c>
      <c r="M172">
        <f>INDEX(products!$A$1:$I$49,MATCH(orders!$D172,products!$A$1:$A$49,0),MATCH(orders!M$1,products!$A$1:$D$1,0))</f>
        <v>2.5</v>
      </c>
      <c r="N172">
        <f>_xlfn.XLOOKUP(D172,products!$A$2:$A$49,products!$E$2:$E$49)</f>
        <v>34.154999999999994</v>
      </c>
      <c r="O172">
        <f>_xlfn.XLOOKUP(D172,products!$A$2:$A$49,products!$H$2:$H$49)</f>
        <v>30.397949999999994</v>
      </c>
      <c r="P172">
        <f t="shared" si="14"/>
        <v>68.309999999999988</v>
      </c>
      <c r="Q172">
        <f t="shared" si="15"/>
        <v>60.795899999999989</v>
      </c>
      <c r="R172">
        <f t="shared" si="16"/>
        <v>7.5140999999999991</v>
      </c>
      <c r="S172" s="4">
        <f t="shared" si="17"/>
        <v>0.11</v>
      </c>
      <c r="T172" t="str">
        <f>_xlfn.XLOOKUP(C172,customers!$A$1:$A$1001,customers!$I$1:$I$1001,,0)</f>
        <v>No</v>
      </c>
    </row>
    <row r="173" spans="1:20"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INDEX(products!$A$1:$I$49,MATCH(orders!$D173,products!$A$1:$A$49,0),MATCH(orders!I$1,products!$A$1:$D$1,0))</f>
        <v>Exc</v>
      </c>
      <c r="J173" t="str">
        <f t="shared" si="12"/>
        <v>Excelsa</v>
      </c>
      <c r="K173" t="str">
        <f>INDEX(products!$A$1:$I$49,MATCH(orders!$D173,products!$A$1:$A$49,0),MATCH(orders!K$1,products!$A$1:$D$1,0))</f>
        <v>M</v>
      </c>
      <c r="L173" t="str">
        <f t="shared" si="13"/>
        <v>Medium</v>
      </c>
      <c r="M173">
        <f>INDEX(products!$A$1:$I$49,MATCH(orders!$D173,products!$A$1:$A$49,0),MATCH(orders!M$1,products!$A$1:$D$1,0))</f>
        <v>2.5</v>
      </c>
      <c r="N173">
        <f>_xlfn.XLOOKUP(D173,products!$A$2:$A$49,products!$E$2:$E$49)</f>
        <v>31.624999999999996</v>
      </c>
      <c r="O173">
        <f>_xlfn.XLOOKUP(D173,products!$A$2:$A$49,products!$H$2:$H$49)</f>
        <v>28.146249999999995</v>
      </c>
      <c r="P173">
        <f t="shared" si="14"/>
        <v>63.249999999999993</v>
      </c>
      <c r="Q173">
        <f t="shared" si="15"/>
        <v>56.29249999999999</v>
      </c>
      <c r="R173">
        <f t="shared" si="16"/>
        <v>6.9575000000000031</v>
      </c>
      <c r="S173" s="4">
        <f t="shared" si="17"/>
        <v>0.11000000000000006</v>
      </c>
      <c r="T173" t="str">
        <f>_xlfn.XLOOKUP(C173,customers!$A$1:$A$1001,customers!$I$1:$I$1001,,0)</f>
        <v>Yes</v>
      </c>
    </row>
    <row r="174" spans="1:20"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INDEX(products!$A$1:$I$49,MATCH(orders!$D174,products!$A$1:$A$49,0),MATCH(orders!I$1,products!$A$1:$D$1,0))</f>
        <v>Exc</v>
      </c>
      <c r="J174" t="str">
        <f t="shared" si="12"/>
        <v>Excelsa</v>
      </c>
      <c r="K174" t="str">
        <f>INDEX(products!$A$1:$I$49,MATCH(orders!$D174,products!$A$1:$A$49,0),MATCH(orders!K$1,products!$A$1:$D$1,0))</f>
        <v>D</v>
      </c>
      <c r="L174" t="str">
        <f t="shared" si="13"/>
        <v>Dark</v>
      </c>
      <c r="M174">
        <f>INDEX(products!$A$1:$I$49,MATCH(orders!$D174,products!$A$1:$A$49,0),MATCH(orders!M$1,products!$A$1:$D$1,0))</f>
        <v>0.5</v>
      </c>
      <c r="N174">
        <f>_xlfn.XLOOKUP(D174,products!$A$2:$A$49,products!$E$2:$E$49)</f>
        <v>7.29</v>
      </c>
      <c r="O174">
        <f>_xlfn.XLOOKUP(D174,products!$A$2:$A$49,products!$H$2:$H$49)</f>
        <v>6.4881000000000002</v>
      </c>
      <c r="P174">
        <f t="shared" si="14"/>
        <v>21.87</v>
      </c>
      <c r="Q174">
        <f t="shared" si="15"/>
        <v>19.464300000000001</v>
      </c>
      <c r="R174">
        <f t="shared" si="16"/>
        <v>2.4056999999999995</v>
      </c>
      <c r="S174" s="4">
        <f t="shared" si="17"/>
        <v>0.10999999999999997</v>
      </c>
      <c r="T174" t="str">
        <f>_xlfn.XLOOKUP(C174,customers!$A$1:$A$1001,customers!$I$1:$I$1001,,0)</f>
        <v>No</v>
      </c>
    </row>
    <row r="175" spans="1:20"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INDEX(products!$A$1:$I$49,MATCH(orders!$D175,products!$A$1:$A$49,0),MATCH(orders!I$1,products!$A$1:$D$1,0))</f>
        <v>Rob</v>
      </c>
      <c r="J175" t="str">
        <f t="shared" si="12"/>
        <v>Robusta</v>
      </c>
      <c r="K175" t="str">
        <f>INDEX(products!$A$1:$I$49,MATCH(orders!$D175,products!$A$1:$A$49,0),MATCH(orders!K$1,products!$A$1:$D$1,0))</f>
        <v>M</v>
      </c>
      <c r="L175" t="str">
        <f t="shared" si="13"/>
        <v>Medium</v>
      </c>
      <c r="M175">
        <f>INDEX(products!$A$1:$I$49,MATCH(orders!$D175,products!$A$1:$A$49,0),MATCH(orders!M$1,products!$A$1:$D$1,0))</f>
        <v>2.5</v>
      </c>
      <c r="N175">
        <f>_xlfn.XLOOKUP(D175,products!$A$2:$A$49,products!$E$2:$E$49)</f>
        <v>22.884999999999998</v>
      </c>
      <c r="O175">
        <f>_xlfn.XLOOKUP(D175,products!$A$2:$A$49,products!$H$2:$H$49)</f>
        <v>21.511899999999997</v>
      </c>
      <c r="P175">
        <f t="shared" si="14"/>
        <v>91.539999999999992</v>
      </c>
      <c r="Q175">
        <f t="shared" si="15"/>
        <v>86.047599999999989</v>
      </c>
      <c r="R175">
        <f t="shared" si="16"/>
        <v>5.4924000000000035</v>
      </c>
      <c r="S175" s="4">
        <f t="shared" si="17"/>
        <v>6.0000000000000046E-2</v>
      </c>
      <c r="T175" t="str">
        <f>_xlfn.XLOOKUP(C175,customers!$A$1:$A$1001,customers!$I$1:$I$1001,,0)</f>
        <v>No</v>
      </c>
    </row>
    <row r="176" spans="1:20"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v>
      </c>
      <c r="H176" s="2" t="str">
        <f>_xlfn.XLOOKUP(C176,customers!$A$1:$A$1001,customers!$G$1:$G$1001,,0)</f>
        <v>United States</v>
      </c>
      <c r="I176" t="str">
        <f>INDEX(products!$A$1:$I$49,MATCH(orders!$D176,products!$A$1:$A$49,0),MATCH(orders!I$1,products!$A$1:$D$1,0))</f>
        <v>Exc</v>
      </c>
      <c r="J176" t="str">
        <f t="shared" si="12"/>
        <v>Excelsa</v>
      </c>
      <c r="K176" t="str">
        <f>INDEX(products!$A$1:$I$49,MATCH(orders!$D176,products!$A$1:$A$49,0),MATCH(orders!K$1,products!$A$1:$D$1,0))</f>
        <v>L</v>
      </c>
      <c r="L176" t="str">
        <f t="shared" si="13"/>
        <v>Light</v>
      </c>
      <c r="M176">
        <f>INDEX(products!$A$1:$I$49,MATCH(orders!$D176,products!$A$1:$A$49,0),MATCH(orders!M$1,products!$A$1:$D$1,0))</f>
        <v>2.5</v>
      </c>
      <c r="N176">
        <f>_xlfn.XLOOKUP(D176,products!$A$2:$A$49,products!$E$2:$E$49)</f>
        <v>34.154999999999994</v>
      </c>
      <c r="O176">
        <f>_xlfn.XLOOKUP(D176,products!$A$2:$A$49,products!$H$2:$H$49)</f>
        <v>30.397949999999994</v>
      </c>
      <c r="P176">
        <f t="shared" si="14"/>
        <v>204.92999999999995</v>
      </c>
      <c r="Q176">
        <f t="shared" si="15"/>
        <v>182.38769999999997</v>
      </c>
      <c r="R176">
        <f t="shared" si="16"/>
        <v>22.542299999999983</v>
      </c>
      <c r="S176" s="4">
        <f t="shared" si="17"/>
        <v>0.10999999999999995</v>
      </c>
      <c r="T176" t="str">
        <f>_xlfn.XLOOKUP(C176,customers!$A$1:$A$1001,customers!$I$1:$I$1001,,0)</f>
        <v>Yes</v>
      </c>
    </row>
    <row r="177" spans="1:20"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INDEX(products!$A$1:$I$49,MATCH(orders!$D177,products!$A$1:$A$49,0),MATCH(orders!I$1,products!$A$1:$D$1,0))</f>
        <v>Exc</v>
      </c>
      <c r="J177" t="str">
        <f t="shared" si="12"/>
        <v>Excelsa</v>
      </c>
      <c r="K177" t="str">
        <f>INDEX(products!$A$1:$I$49,MATCH(orders!$D177,products!$A$1:$A$49,0),MATCH(orders!K$1,products!$A$1:$D$1,0))</f>
        <v>M</v>
      </c>
      <c r="L177" t="str">
        <f t="shared" si="13"/>
        <v>Medium</v>
      </c>
      <c r="M177">
        <f>INDEX(products!$A$1:$I$49,MATCH(orders!$D177,products!$A$1:$A$49,0),MATCH(orders!M$1,products!$A$1:$D$1,0))</f>
        <v>2.5</v>
      </c>
      <c r="N177">
        <f>_xlfn.XLOOKUP(D177,products!$A$2:$A$49,products!$E$2:$E$49)</f>
        <v>31.624999999999996</v>
      </c>
      <c r="O177">
        <f>_xlfn.XLOOKUP(D177,products!$A$2:$A$49,products!$H$2:$H$49)</f>
        <v>28.146249999999995</v>
      </c>
      <c r="P177">
        <f t="shared" si="14"/>
        <v>63.249999999999993</v>
      </c>
      <c r="Q177">
        <f t="shared" si="15"/>
        <v>56.29249999999999</v>
      </c>
      <c r="R177">
        <f t="shared" si="16"/>
        <v>6.9575000000000031</v>
      </c>
      <c r="S177" s="4">
        <f t="shared" si="17"/>
        <v>0.11000000000000006</v>
      </c>
      <c r="T177" t="str">
        <f>_xlfn.XLOOKUP(C177,customers!$A$1:$A$1001,customers!$I$1:$I$1001,,0)</f>
        <v>Yes</v>
      </c>
    </row>
    <row r="178" spans="1:20"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INDEX(products!$A$1:$I$49,MATCH(orders!$D178,products!$A$1:$A$49,0),MATCH(orders!I$1,products!$A$1:$D$1,0))</f>
        <v>Exc</v>
      </c>
      <c r="J178" t="str">
        <f t="shared" si="12"/>
        <v>Excelsa</v>
      </c>
      <c r="K178" t="str">
        <f>INDEX(products!$A$1:$I$49,MATCH(orders!$D178,products!$A$1:$A$49,0),MATCH(orders!K$1,products!$A$1:$D$1,0))</f>
        <v>L</v>
      </c>
      <c r="L178" t="str">
        <f t="shared" si="13"/>
        <v>Light</v>
      </c>
      <c r="M178">
        <f>INDEX(products!$A$1:$I$49,MATCH(orders!$D178,products!$A$1:$A$49,0),MATCH(orders!M$1,products!$A$1:$D$1,0))</f>
        <v>2.5</v>
      </c>
      <c r="N178">
        <f>_xlfn.XLOOKUP(D178,products!$A$2:$A$49,products!$E$2:$E$49)</f>
        <v>34.154999999999994</v>
      </c>
      <c r="O178">
        <f>_xlfn.XLOOKUP(D178,products!$A$2:$A$49,products!$H$2:$H$49)</f>
        <v>30.397949999999994</v>
      </c>
      <c r="P178">
        <f t="shared" si="14"/>
        <v>34.154999999999994</v>
      </c>
      <c r="Q178">
        <f t="shared" si="15"/>
        <v>30.397949999999994</v>
      </c>
      <c r="R178">
        <f t="shared" si="16"/>
        <v>3.7570499999999996</v>
      </c>
      <c r="S178" s="4">
        <f t="shared" si="17"/>
        <v>0.11</v>
      </c>
      <c r="T178" t="str">
        <f>_xlfn.XLOOKUP(C178,customers!$A$1:$A$1001,customers!$I$1:$I$1001,,0)</f>
        <v>Yes</v>
      </c>
    </row>
    <row r="179" spans="1:20"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INDEX(products!$A$1:$I$49,MATCH(orders!$D179,products!$A$1:$A$49,0),MATCH(orders!I$1,products!$A$1:$D$1,0))</f>
        <v>Rob</v>
      </c>
      <c r="J179" t="str">
        <f t="shared" si="12"/>
        <v>Robusta</v>
      </c>
      <c r="K179" t="str">
        <f>INDEX(products!$A$1:$I$49,MATCH(orders!$D179,products!$A$1:$A$49,0),MATCH(orders!K$1,products!$A$1:$D$1,0))</f>
        <v>L</v>
      </c>
      <c r="L179" t="str">
        <f t="shared" si="13"/>
        <v>Light</v>
      </c>
      <c r="M179">
        <f>INDEX(products!$A$1:$I$49,MATCH(orders!$D179,products!$A$1:$A$49,0),MATCH(orders!M$1,products!$A$1:$D$1,0))</f>
        <v>2.5</v>
      </c>
      <c r="N179">
        <f>_xlfn.XLOOKUP(D179,products!$A$2:$A$49,products!$E$2:$E$49)</f>
        <v>27.484999999999996</v>
      </c>
      <c r="O179">
        <f>_xlfn.XLOOKUP(D179,products!$A$2:$A$49,products!$H$2:$H$49)</f>
        <v>25.835899999999995</v>
      </c>
      <c r="P179">
        <f t="shared" si="14"/>
        <v>109.93999999999998</v>
      </c>
      <c r="Q179">
        <f t="shared" si="15"/>
        <v>103.34359999999998</v>
      </c>
      <c r="R179">
        <f t="shared" si="16"/>
        <v>6.5964000000000027</v>
      </c>
      <c r="S179" s="4">
        <f t="shared" si="17"/>
        <v>6.0000000000000032E-2</v>
      </c>
      <c r="T179" t="str">
        <f>_xlfn.XLOOKUP(C179,customers!$A$1:$A$1001,customers!$I$1:$I$1001,,0)</f>
        <v>Yes</v>
      </c>
    </row>
    <row r="180" spans="1:20"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INDEX(products!$A$1:$I$49,MATCH(orders!$D180,products!$A$1:$A$49,0),MATCH(orders!I$1,products!$A$1:$D$1,0))</f>
        <v>Ara</v>
      </c>
      <c r="J180" t="str">
        <f t="shared" si="12"/>
        <v>Arabica</v>
      </c>
      <c r="K180" t="str">
        <f>INDEX(products!$A$1:$I$49,MATCH(orders!$D180,products!$A$1:$A$49,0),MATCH(orders!K$1,products!$A$1:$D$1,0))</f>
        <v>L</v>
      </c>
      <c r="L180" t="str">
        <f t="shared" si="13"/>
        <v>Light</v>
      </c>
      <c r="M180">
        <f>INDEX(products!$A$1:$I$49,MATCH(orders!$D180,products!$A$1:$A$49,0),MATCH(orders!M$1,products!$A$1:$D$1,0))</f>
        <v>1</v>
      </c>
      <c r="N180">
        <f>_xlfn.XLOOKUP(D180,products!$A$2:$A$49,products!$E$2:$E$49)</f>
        <v>12.95</v>
      </c>
      <c r="O180">
        <f>_xlfn.XLOOKUP(D180,products!$A$2:$A$49,products!$H$2:$H$49)</f>
        <v>11.7845</v>
      </c>
      <c r="P180">
        <f t="shared" si="14"/>
        <v>25.9</v>
      </c>
      <c r="Q180">
        <f t="shared" si="15"/>
        <v>23.568999999999999</v>
      </c>
      <c r="R180">
        <f t="shared" si="16"/>
        <v>2.3309999999999995</v>
      </c>
      <c r="S180" s="4">
        <f t="shared" si="17"/>
        <v>8.9999999999999983E-2</v>
      </c>
      <c r="T180" t="str">
        <f>_xlfn.XLOOKUP(C180,customers!$A$1:$A$1001,customers!$I$1:$I$1001,,0)</f>
        <v>No</v>
      </c>
    </row>
    <row r="181" spans="1:20"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v>
      </c>
      <c r="H181" s="2" t="str">
        <f>_xlfn.XLOOKUP(C181,customers!$A$1:$A$1001,customers!$G$1:$G$1001,,0)</f>
        <v>Ireland</v>
      </c>
      <c r="I181" t="str">
        <f>INDEX(products!$A$1:$I$49,MATCH(orders!$D181,products!$A$1:$A$49,0),MATCH(orders!I$1,products!$A$1:$D$1,0))</f>
        <v>Ara</v>
      </c>
      <c r="J181" t="str">
        <f t="shared" si="12"/>
        <v>Arabica</v>
      </c>
      <c r="K181" t="str">
        <f>INDEX(products!$A$1:$I$49,MATCH(orders!$D181,products!$A$1:$A$49,0),MATCH(orders!K$1,products!$A$1:$D$1,0))</f>
        <v>D</v>
      </c>
      <c r="L181" t="str">
        <f t="shared" si="13"/>
        <v>Dark</v>
      </c>
      <c r="M181">
        <f>INDEX(products!$A$1:$I$49,MATCH(orders!$D181,products!$A$1:$A$49,0),MATCH(orders!M$1,products!$A$1:$D$1,0))</f>
        <v>0.2</v>
      </c>
      <c r="N181">
        <f>_xlfn.XLOOKUP(D181,products!$A$2:$A$49,products!$E$2:$E$49)</f>
        <v>2.9849999999999999</v>
      </c>
      <c r="O181">
        <f>_xlfn.XLOOKUP(D181,products!$A$2:$A$49,products!$H$2:$H$49)</f>
        <v>2.7163499999999998</v>
      </c>
      <c r="P181">
        <f t="shared" si="14"/>
        <v>2.9849999999999999</v>
      </c>
      <c r="Q181">
        <f t="shared" si="15"/>
        <v>2.7163499999999998</v>
      </c>
      <c r="R181">
        <f t="shared" si="16"/>
        <v>0.26865000000000006</v>
      </c>
      <c r="S181" s="4">
        <f t="shared" si="17"/>
        <v>9.0000000000000024E-2</v>
      </c>
      <c r="T181" t="str">
        <f>_xlfn.XLOOKUP(C181,customers!$A$1:$A$1001,customers!$I$1:$I$1001,,0)</f>
        <v>No</v>
      </c>
    </row>
    <row r="182" spans="1:20"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INDEX(products!$A$1:$I$49,MATCH(orders!$D182,products!$A$1:$A$49,0),MATCH(orders!I$1,products!$A$1:$D$1,0))</f>
        <v>Exc</v>
      </c>
      <c r="J182" t="str">
        <f t="shared" si="12"/>
        <v>Excelsa</v>
      </c>
      <c r="K182" t="str">
        <f>INDEX(products!$A$1:$I$49,MATCH(orders!$D182,products!$A$1:$A$49,0),MATCH(orders!K$1,products!$A$1:$D$1,0))</f>
        <v>L</v>
      </c>
      <c r="L182" t="str">
        <f t="shared" si="13"/>
        <v>Light</v>
      </c>
      <c r="M182">
        <f>INDEX(products!$A$1:$I$49,MATCH(orders!$D182,products!$A$1:$A$49,0),MATCH(orders!M$1,products!$A$1:$D$1,0))</f>
        <v>0.2</v>
      </c>
      <c r="N182">
        <f>_xlfn.XLOOKUP(D182,products!$A$2:$A$49,products!$E$2:$E$49)</f>
        <v>4.4550000000000001</v>
      </c>
      <c r="O182">
        <f>_xlfn.XLOOKUP(D182,products!$A$2:$A$49,products!$H$2:$H$49)</f>
        <v>3.96495</v>
      </c>
      <c r="P182">
        <f t="shared" si="14"/>
        <v>22.274999999999999</v>
      </c>
      <c r="Q182">
        <f t="shared" si="15"/>
        <v>19.824750000000002</v>
      </c>
      <c r="R182">
        <f t="shared" si="16"/>
        <v>2.4502499999999969</v>
      </c>
      <c r="S182" s="4">
        <f t="shared" si="17"/>
        <v>0.10999999999999988</v>
      </c>
      <c r="T182" t="str">
        <f>_xlfn.XLOOKUP(C182,customers!$A$1:$A$1001,customers!$I$1:$I$1001,,0)</f>
        <v>No</v>
      </c>
    </row>
    <row r="183" spans="1:20"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INDEX(products!$A$1:$I$49,MATCH(orders!$D183,products!$A$1:$A$49,0),MATCH(orders!I$1,products!$A$1:$D$1,0))</f>
        <v>Ara</v>
      </c>
      <c r="J183" t="str">
        <f t="shared" si="12"/>
        <v>Arabica</v>
      </c>
      <c r="K183" t="str">
        <f>INDEX(products!$A$1:$I$49,MATCH(orders!$D183,products!$A$1:$A$49,0),MATCH(orders!K$1,products!$A$1:$D$1,0))</f>
        <v>D</v>
      </c>
      <c r="L183" t="str">
        <f t="shared" si="13"/>
        <v>Dark</v>
      </c>
      <c r="M183">
        <f>INDEX(products!$A$1:$I$49,MATCH(orders!$D183,products!$A$1:$A$49,0),MATCH(orders!M$1,products!$A$1:$D$1,0))</f>
        <v>0.5</v>
      </c>
      <c r="N183">
        <f>_xlfn.XLOOKUP(D183,products!$A$2:$A$49,products!$E$2:$E$49)</f>
        <v>5.97</v>
      </c>
      <c r="O183">
        <f>_xlfn.XLOOKUP(D183,products!$A$2:$A$49,products!$H$2:$H$49)</f>
        <v>5.4326999999999996</v>
      </c>
      <c r="P183">
        <f t="shared" si="14"/>
        <v>29.849999999999998</v>
      </c>
      <c r="Q183">
        <f t="shared" si="15"/>
        <v>27.163499999999999</v>
      </c>
      <c r="R183">
        <f t="shared" si="16"/>
        <v>2.6864999999999988</v>
      </c>
      <c r="S183" s="4">
        <f t="shared" si="17"/>
        <v>8.9999999999999969E-2</v>
      </c>
      <c r="T183" t="str">
        <f>_xlfn.XLOOKUP(C183,customers!$A$1:$A$1001,customers!$I$1:$I$1001,,0)</f>
        <v>No</v>
      </c>
    </row>
    <row r="184" spans="1:20"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INDEX(products!$A$1:$I$49,MATCH(orders!$D184,products!$A$1:$A$49,0),MATCH(orders!I$1,products!$A$1:$D$1,0))</f>
        <v>Rob</v>
      </c>
      <c r="J184" t="str">
        <f t="shared" si="12"/>
        <v>Robusta</v>
      </c>
      <c r="K184" t="str">
        <f>INDEX(products!$A$1:$I$49,MATCH(orders!$D184,products!$A$1:$A$49,0),MATCH(orders!K$1,products!$A$1:$D$1,0))</f>
        <v>D</v>
      </c>
      <c r="L184" t="str">
        <f t="shared" si="13"/>
        <v>Dark</v>
      </c>
      <c r="M184">
        <f>INDEX(products!$A$1:$I$49,MATCH(orders!$D184,products!$A$1:$A$49,0),MATCH(orders!M$1,products!$A$1:$D$1,0))</f>
        <v>0.5</v>
      </c>
      <c r="N184">
        <f>_xlfn.XLOOKUP(D184,products!$A$2:$A$49,products!$E$2:$E$49)</f>
        <v>5.3699999999999992</v>
      </c>
      <c r="O184">
        <f>_xlfn.XLOOKUP(D184,products!$A$2:$A$49,products!$H$2:$H$49)</f>
        <v>5.0477999999999996</v>
      </c>
      <c r="P184">
        <f t="shared" si="14"/>
        <v>32.22</v>
      </c>
      <c r="Q184">
        <f t="shared" si="15"/>
        <v>30.286799999999999</v>
      </c>
      <c r="R184">
        <f t="shared" si="16"/>
        <v>1.9331999999999994</v>
      </c>
      <c r="S184" s="4">
        <f t="shared" si="17"/>
        <v>5.9999999999999984E-2</v>
      </c>
      <c r="T184" t="str">
        <f>_xlfn.XLOOKUP(C184,customers!$A$1:$A$1001,customers!$I$1:$I$1001,,0)</f>
        <v>No</v>
      </c>
    </row>
    <row r="185" spans="1:20"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INDEX(products!$A$1:$I$49,MATCH(orders!$D185,products!$A$1:$A$49,0),MATCH(orders!I$1,products!$A$1:$D$1,0))</f>
        <v>Exc</v>
      </c>
      <c r="J185" t="str">
        <f t="shared" si="12"/>
        <v>Excelsa</v>
      </c>
      <c r="K185" t="str">
        <f>INDEX(products!$A$1:$I$49,MATCH(orders!$D185,products!$A$1:$A$49,0),MATCH(orders!K$1,products!$A$1:$D$1,0))</f>
        <v>M</v>
      </c>
      <c r="L185" t="str">
        <f t="shared" si="13"/>
        <v>Medium</v>
      </c>
      <c r="M185">
        <f>INDEX(products!$A$1:$I$49,MATCH(orders!$D185,products!$A$1:$A$49,0),MATCH(orders!M$1,products!$A$1:$D$1,0))</f>
        <v>0.2</v>
      </c>
      <c r="N185">
        <f>_xlfn.XLOOKUP(D185,products!$A$2:$A$49,products!$E$2:$E$49)</f>
        <v>4.125</v>
      </c>
      <c r="O185">
        <f>_xlfn.XLOOKUP(D185,products!$A$2:$A$49,products!$H$2:$H$49)</f>
        <v>3.6712500000000001</v>
      </c>
      <c r="P185">
        <f t="shared" si="14"/>
        <v>8.25</v>
      </c>
      <c r="Q185">
        <f t="shared" si="15"/>
        <v>7.3425000000000002</v>
      </c>
      <c r="R185">
        <f t="shared" si="16"/>
        <v>0.90749999999999975</v>
      </c>
      <c r="S185" s="4">
        <f t="shared" si="17"/>
        <v>0.10999999999999997</v>
      </c>
      <c r="T185" t="str">
        <f>_xlfn.XLOOKUP(C185,customers!$A$1:$A$1001,customers!$I$1:$I$1001,,0)</f>
        <v>No</v>
      </c>
    </row>
    <row r="186" spans="1:20"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INDEX(products!$A$1:$I$49,MATCH(orders!$D186,products!$A$1:$A$49,0),MATCH(orders!I$1,products!$A$1:$D$1,0))</f>
        <v>Ara</v>
      </c>
      <c r="J186" t="str">
        <f t="shared" si="12"/>
        <v>Arabica</v>
      </c>
      <c r="K186" t="str">
        <f>INDEX(products!$A$1:$I$49,MATCH(orders!$D186,products!$A$1:$A$49,0),MATCH(orders!K$1,products!$A$1:$D$1,0))</f>
        <v>L</v>
      </c>
      <c r="L186" t="str">
        <f t="shared" si="13"/>
        <v>Light</v>
      </c>
      <c r="M186">
        <f>INDEX(products!$A$1:$I$49,MATCH(orders!$D186,products!$A$1:$A$49,0),MATCH(orders!M$1,products!$A$1:$D$1,0))</f>
        <v>0.5</v>
      </c>
      <c r="N186">
        <f>_xlfn.XLOOKUP(D186,products!$A$2:$A$49,products!$E$2:$E$49)</f>
        <v>7.77</v>
      </c>
      <c r="O186">
        <f>_xlfn.XLOOKUP(D186,products!$A$2:$A$49,products!$H$2:$H$49)</f>
        <v>7.0706999999999995</v>
      </c>
      <c r="P186">
        <f t="shared" si="14"/>
        <v>31.08</v>
      </c>
      <c r="Q186">
        <f t="shared" si="15"/>
        <v>28.282799999999998</v>
      </c>
      <c r="R186">
        <f t="shared" si="16"/>
        <v>2.7972000000000001</v>
      </c>
      <c r="S186" s="4">
        <f t="shared" si="17"/>
        <v>9.0000000000000011E-2</v>
      </c>
      <c r="T186" t="str">
        <f>_xlfn.XLOOKUP(C186,customers!$A$1:$A$1001,customers!$I$1:$I$1001,,0)</f>
        <v>No</v>
      </c>
    </row>
    <row r="187" spans="1:20"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INDEX(products!$A$1:$I$49,MATCH(orders!$D187,products!$A$1:$A$49,0),MATCH(orders!I$1,products!$A$1:$D$1,0))</f>
        <v>Exc</v>
      </c>
      <c r="J187" t="str">
        <f t="shared" si="12"/>
        <v>Excelsa</v>
      </c>
      <c r="K187" t="str">
        <f>INDEX(products!$A$1:$I$49,MATCH(orders!$D187,products!$A$1:$A$49,0),MATCH(orders!K$1,products!$A$1:$D$1,0))</f>
        <v>D</v>
      </c>
      <c r="L187" t="str">
        <f t="shared" si="13"/>
        <v>Dark</v>
      </c>
      <c r="M187">
        <f>INDEX(products!$A$1:$I$49,MATCH(orders!$D187,products!$A$1:$A$49,0),MATCH(orders!M$1,products!$A$1:$D$1,0))</f>
        <v>0.5</v>
      </c>
      <c r="N187">
        <f>_xlfn.XLOOKUP(D187,products!$A$2:$A$49,products!$E$2:$E$49)</f>
        <v>7.29</v>
      </c>
      <c r="O187">
        <f>_xlfn.XLOOKUP(D187,products!$A$2:$A$49,products!$H$2:$H$49)</f>
        <v>6.4881000000000002</v>
      </c>
      <c r="P187">
        <f t="shared" si="14"/>
        <v>36.450000000000003</v>
      </c>
      <c r="Q187">
        <f t="shared" si="15"/>
        <v>32.4405</v>
      </c>
      <c r="R187">
        <f t="shared" si="16"/>
        <v>4.0095000000000027</v>
      </c>
      <c r="S187" s="4">
        <f t="shared" si="17"/>
        <v>0.11000000000000007</v>
      </c>
      <c r="T187" t="str">
        <f>_xlfn.XLOOKUP(C187,customers!$A$1:$A$1001,customers!$I$1:$I$1001,,0)</f>
        <v>Yes</v>
      </c>
    </row>
    <row r="188" spans="1:20"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INDEX(products!$A$1:$I$49,MATCH(orders!$D188,products!$A$1:$A$49,0),MATCH(orders!I$1,products!$A$1:$D$1,0))</f>
        <v>Rob</v>
      </c>
      <c r="J188" t="str">
        <f t="shared" si="12"/>
        <v>Robusta</v>
      </c>
      <c r="K188" t="str">
        <f>INDEX(products!$A$1:$I$49,MATCH(orders!$D188,products!$A$1:$A$49,0),MATCH(orders!K$1,products!$A$1:$D$1,0))</f>
        <v>M</v>
      </c>
      <c r="L188" t="str">
        <f t="shared" si="13"/>
        <v>Medium</v>
      </c>
      <c r="M188">
        <f>INDEX(products!$A$1:$I$49,MATCH(orders!$D188,products!$A$1:$A$49,0),MATCH(orders!M$1,products!$A$1:$D$1,0))</f>
        <v>2.5</v>
      </c>
      <c r="N188">
        <f>_xlfn.XLOOKUP(D188,products!$A$2:$A$49,products!$E$2:$E$49)</f>
        <v>22.884999999999998</v>
      </c>
      <c r="O188">
        <f>_xlfn.XLOOKUP(D188,products!$A$2:$A$49,products!$H$2:$H$49)</f>
        <v>21.511899999999997</v>
      </c>
      <c r="P188">
        <f t="shared" si="14"/>
        <v>68.655000000000001</v>
      </c>
      <c r="Q188">
        <f t="shared" si="15"/>
        <v>64.535699999999991</v>
      </c>
      <c r="R188">
        <f t="shared" si="16"/>
        <v>4.1193000000000097</v>
      </c>
      <c r="S188" s="4">
        <f t="shared" si="17"/>
        <v>6.0000000000000143E-2</v>
      </c>
      <c r="T188" t="str">
        <f>_xlfn.XLOOKUP(C188,customers!$A$1:$A$1001,customers!$I$1:$I$1001,,0)</f>
        <v>No</v>
      </c>
    </row>
    <row r="189" spans="1:20"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INDEX(products!$A$1:$I$49,MATCH(orders!$D189,products!$A$1:$A$49,0),MATCH(orders!I$1,products!$A$1:$D$1,0))</f>
        <v>Lib</v>
      </c>
      <c r="J189" t="str">
        <f t="shared" si="12"/>
        <v>Liberica</v>
      </c>
      <c r="K189" t="str">
        <f>INDEX(products!$A$1:$I$49,MATCH(orders!$D189,products!$A$1:$A$49,0),MATCH(orders!K$1,products!$A$1:$D$1,0))</f>
        <v>M</v>
      </c>
      <c r="L189" t="str">
        <f t="shared" si="13"/>
        <v>Medium</v>
      </c>
      <c r="M189">
        <f>INDEX(products!$A$1:$I$49,MATCH(orders!$D189,products!$A$1:$A$49,0),MATCH(orders!M$1,products!$A$1:$D$1,0))</f>
        <v>0.5</v>
      </c>
      <c r="N189">
        <f>_xlfn.XLOOKUP(D189,products!$A$2:$A$49,products!$E$2:$E$49)</f>
        <v>8.73</v>
      </c>
      <c r="O189">
        <f>_xlfn.XLOOKUP(D189,products!$A$2:$A$49,products!$H$2:$H$49)</f>
        <v>7.5951000000000004</v>
      </c>
      <c r="P189">
        <f t="shared" si="14"/>
        <v>43.650000000000006</v>
      </c>
      <c r="Q189">
        <f t="shared" si="15"/>
        <v>37.975500000000004</v>
      </c>
      <c r="R189">
        <f t="shared" si="16"/>
        <v>5.6745000000000019</v>
      </c>
      <c r="S189" s="4">
        <f t="shared" si="17"/>
        <v>0.13000000000000003</v>
      </c>
      <c r="T189" t="str">
        <f>_xlfn.XLOOKUP(C189,customers!$A$1:$A$1001,customers!$I$1:$I$1001,,0)</f>
        <v>Yes</v>
      </c>
    </row>
    <row r="190" spans="1:20"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INDEX(products!$A$1:$I$49,MATCH(orders!$D190,products!$A$1:$A$49,0),MATCH(orders!I$1,products!$A$1:$D$1,0))</f>
        <v>Exc</v>
      </c>
      <c r="J190" t="str">
        <f t="shared" si="12"/>
        <v>Excelsa</v>
      </c>
      <c r="K190" t="str">
        <f>INDEX(products!$A$1:$I$49,MATCH(orders!$D190,products!$A$1:$A$49,0),MATCH(orders!K$1,products!$A$1:$D$1,0))</f>
        <v>L</v>
      </c>
      <c r="L190" t="str">
        <f t="shared" si="13"/>
        <v>Light</v>
      </c>
      <c r="M190">
        <f>INDEX(products!$A$1:$I$49,MATCH(orders!$D190,products!$A$1:$A$49,0),MATCH(orders!M$1,products!$A$1:$D$1,0))</f>
        <v>0.2</v>
      </c>
      <c r="N190">
        <f>_xlfn.XLOOKUP(D190,products!$A$2:$A$49,products!$E$2:$E$49)</f>
        <v>4.4550000000000001</v>
      </c>
      <c r="O190">
        <f>_xlfn.XLOOKUP(D190,products!$A$2:$A$49,products!$H$2:$H$49)</f>
        <v>3.96495</v>
      </c>
      <c r="P190">
        <f t="shared" si="14"/>
        <v>4.4550000000000001</v>
      </c>
      <c r="Q190">
        <f t="shared" si="15"/>
        <v>3.96495</v>
      </c>
      <c r="R190">
        <f t="shared" si="16"/>
        <v>0.4900500000000001</v>
      </c>
      <c r="S190" s="4">
        <f t="shared" si="17"/>
        <v>0.11000000000000001</v>
      </c>
      <c r="T190" t="str">
        <f>_xlfn.XLOOKUP(C190,customers!$A$1:$A$1001,customers!$I$1:$I$1001,,0)</f>
        <v>Yes</v>
      </c>
    </row>
    <row r="191" spans="1:20"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INDEX(products!$A$1:$I$49,MATCH(orders!$D191,products!$A$1:$A$49,0),MATCH(orders!I$1,products!$A$1:$D$1,0))</f>
        <v>Lib</v>
      </c>
      <c r="J191" t="str">
        <f t="shared" si="12"/>
        <v>Liberica</v>
      </c>
      <c r="K191" t="str">
        <f>INDEX(products!$A$1:$I$49,MATCH(orders!$D191,products!$A$1:$A$49,0),MATCH(orders!K$1,products!$A$1:$D$1,0))</f>
        <v>M</v>
      </c>
      <c r="L191" t="str">
        <f t="shared" si="13"/>
        <v>Medium</v>
      </c>
      <c r="M191">
        <f>INDEX(products!$A$1:$I$49,MATCH(orders!$D191,products!$A$1:$A$49,0),MATCH(orders!M$1,products!$A$1:$D$1,0))</f>
        <v>1</v>
      </c>
      <c r="N191">
        <f>_xlfn.XLOOKUP(D191,products!$A$2:$A$49,products!$E$2:$E$49)</f>
        <v>14.55</v>
      </c>
      <c r="O191">
        <f>_xlfn.XLOOKUP(D191,products!$A$2:$A$49,products!$H$2:$H$49)</f>
        <v>12.6585</v>
      </c>
      <c r="P191">
        <f t="shared" si="14"/>
        <v>43.650000000000006</v>
      </c>
      <c r="Q191">
        <f t="shared" si="15"/>
        <v>37.975499999999997</v>
      </c>
      <c r="R191">
        <f t="shared" si="16"/>
        <v>5.674500000000009</v>
      </c>
      <c r="S191" s="4">
        <f t="shared" si="17"/>
        <v>0.1300000000000002</v>
      </c>
      <c r="T191" t="str">
        <f>_xlfn.XLOOKUP(C191,customers!$A$1:$A$1001,customers!$I$1:$I$1001,,0)</f>
        <v>Yes</v>
      </c>
    </row>
    <row r="192" spans="1:20"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INDEX(products!$A$1:$I$49,MATCH(orders!$D192,products!$A$1:$A$49,0),MATCH(orders!I$1,products!$A$1:$D$1,0))</f>
        <v>Lib</v>
      </c>
      <c r="J192" t="str">
        <f t="shared" si="12"/>
        <v>Liberica</v>
      </c>
      <c r="K192" t="str">
        <f>INDEX(products!$A$1:$I$49,MATCH(orders!$D192,products!$A$1:$A$49,0),MATCH(orders!K$1,products!$A$1:$D$1,0))</f>
        <v>M</v>
      </c>
      <c r="L192" t="str">
        <f t="shared" si="13"/>
        <v>Medium</v>
      </c>
      <c r="M192">
        <f>INDEX(products!$A$1:$I$49,MATCH(orders!$D192,products!$A$1:$A$49,0),MATCH(orders!M$1,products!$A$1:$D$1,0))</f>
        <v>2.5</v>
      </c>
      <c r="N192">
        <f>_xlfn.XLOOKUP(D192,products!$A$2:$A$49,products!$E$2:$E$49)</f>
        <v>33.464999999999996</v>
      </c>
      <c r="O192">
        <f>_xlfn.XLOOKUP(D192,products!$A$2:$A$49,products!$H$2:$H$49)</f>
        <v>29.114549999999998</v>
      </c>
      <c r="P192">
        <f t="shared" si="14"/>
        <v>33.464999999999996</v>
      </c>
      <c r="Q192">
        <f t="shared" si="15"/>
        <v>29.114549999999998</v>
      </c>
      <c r="R192">
        <f t="shared" si="16"/>
        <v>4.3504499999999986</v>
      </c>
      <c r="S192" s="4">
        <f t="shared" si="17"/>
        <v>0.12999999999999998</v>
      </c>
      <c r="T192" t="str">
        <f>_xlfn.XLOOKUP(C192,customers!$A$1:$A$1001,customers!$I$1:$I$1001,,0)</f>
        <v>Yes</v>
      </c>
    </row>
    <row r="193" spans="1:20"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INDEX(products!$A$1:$I$49,MATCH(orders!$D193,products!$A$1:$A$49,0),MATCH(orders!I$1,products!$A$1:$D$1,0))</f>
        <v>Lib</v>
      </c>
      <c r="J193" t="str">
        <f t="shared" si="12"/>
        <v>Liberica</v>
      </c>
      <c r="K193" t="str">
        <f>INDEX(products!$A$1:$I$49,MATCH(orders!$D193,products!$A$1:$A$49,0),MATCH(orders!K$1,products!$A$1:$D$1,0))</f>
        <v>D</v>
      </c>
      <c r="L193" t="str">
        <f t="shared" si="13"/>
        <v>Dark</v>
      </c>
      <c r="M193">
        <f>INDEX(products!$A$1:$I$49,MATCH(orders!$D193,products!$A$1:$A$49,0),MATCH(orders!M$1,products!$A$1:$D$1,0))</f>
        <v>0.2</v>
      </c>
      <c r="N193">
        <f>_xlfn.XLOOKUP(D193,products!$A$2:$A$49,products!$E$2:$E$49)</f>
        <v>3.8849999999999998</v>
      </c>
      <c r="O193">
        <f>_xlfn.XLOOKUP(D193,products!$A$2:$A$49,products!$H$2:$H$49)</f>
        <v>3.37995</v>
      </c>
      <c r="P193">
        <f t="shared" si="14"/>
        <v>19.424999999999997</v>
      </c>
      <c r="Q193">
        <f t="shared" si="15"/>
        <v>16.899750000000001</v>
      </c>
      <c r="R193">
        <f t="shared" si="16"/>
        <v>2.5252499999999962</v>
      </c>
      <c r="S193" s="4">
        <f t="shared" si="17"/>
        <v>0.12999999999999984</v>
      </c>
      <c r="T193" t="str">
        <f>_xlfn.XLOOKUP(C193,customers!$A$1:$A$1001,customers!$I$1:$I$1001,,0)</f>
        <v>Yes</v>
      </c>
    </row>
    <row r="194" spans="1:20"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INDEX(products!$A$1:$I$49,MATCH(orders!$D194,products!$A$1:$A$49,0),MATCH(orders!I$1,products!$A$1:$D$1,0))</f>
        <v>Exc</v>
      </c>
      <c r="J194" t="str">
        <f t="shared" si="12"/>
        <v>Excelsa</v>
      </c>
      <c r="K194" t="str">
        <f>INDEX(products!$A$1:$I$49,MATCH(orders!$D194,products!$A$1:$A$49,0),MATCH(orders!K$1,products!$A$1:$D$1,0))</f>
        <v>D</v>
      </c>
      <c r="L194" t="str">
        <f t="shared" si="13"/>
        <v>Dark</v>
      </c>
      <c r="M194">
        <f>INDEX(products!$A$1:$I$49,MATCH(orders!$D194,products!$A$1:$A$49,0),MATCH(orders!M$1,products!$A$1:$D$1,0))</f>
        <v>1</v>
      </c>
      <c r="N194">
        <f>_xlfn.XLOOKUP(D194,products!$A$2:$A$49,products!$E$2:$E$49)</f>
        <v>12.15</v>
      </c>
      <c r="O194">
        <f>_xlfn.XLOOKUP(D194,products!$A$2:$A$49,products!$H$2:$H$49)</f>
        <v>10.813500000000001</v>
      </c>
      <c r="P194">
        <f t="shared" si="14"/>
        <v>72.900000000000006</v>
      </c>
      <c r="Q194">
        <f t="shared" si="15"/>
        <v>64.881</v>
      </c>
      <c r="R194">
        <f t="shared" si="16"/>
        <v>8.0190000000000055</v>
      </c>
      <c r="S194" s="4">
        <f t="shared" si="17"/>
        <v>0.11000000000000007</v>
      </c>
      <c r="T194" t="str">
        <f>_xlfn.XLOOKUP(C194,customers!$A$1:$A$1001,customers!$I$1:$I$1001,,0)</f>
        <v>Yes</v>
      </c>
    </row>
    <row r="195" spans="1:20"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v>
      </c>
      <c r="H195" s="2" t="str">
        <f>_xlfn.XLOOKUP(C195,customers!$A$1:$A$1001,customers!$G$1:$G$1001,,0)</f>
        <v>United States</v>
      </c>
      <c r="I195" t="str">
        <f>INDEX(products!$A$1:$I$49,MATCH(orders!$D195,products!$A$1:$A$49,0),MATCH(orders!I$1,products!$A$1:$D$1,0))</f>
        <v>Exc</v>
      </c>
      <c r="J195" t="str">
        <f t="shared" ref="J195:J258" si="18">IF(I195="Rob","Robusta",IF(I195="Exc","Excelsa",IF(I195="Ara","Arabica",IF(I195="Lib","Liberica",""))))</f>
        <v>Excelsa</v>
      </c>
      <c r="K195" t="str">
        <f>INDEX(products!$A$1:$I$49,MATCH(orders!$D195,products!$A$1:$A$49,0),MATCH(orders!K$1,products!$A$1:$D$1,0))</f>
        <v>L</v>
      </c>
      <c r="L195" t="str">
        <f t="shared" ref="L195:L258" si="19">IF(K195="M","Medium",IF(K195="L","Light",IF(K195="D","Dark","")))</f>
        <v>Light</v>
      </c>
      <c r="M195">
        <f>INDEX(products!$A$1:$I$49,MATCH(orders!$D195,products!$A$1:$A$49,0),MATCH(orders!M$1,products!$A$1:$D$1,0))</f>
        <v>1</v>
      </c>
      <c r="N195">
        <f>_xlfn.XLOOKUP(D195,products!$A$2:$A$49,products!$E$2:$E$49)</f>
        <v>14.85</v>
      </c>
      <c r="O195">
        <f>_xlfn.XLOOKUP(D195,products!$A$2:$A$49,products!$H$2:$H$49)</f>
        <v>13.2165</v>
      </c>
      <c r="P195">
        <f t="shared" ref="P195:P258" si="20">N195*E195</f>
        <v>44.55</v>
      </c>
      <c r="Q195">
        <f t="shared" ref="Q195:Q258" si="21">O195*E195</f>
        <v>39.649500000000003</v>
      </c>
      <c r="R195">
        <f t="shared" ref="R195:R258" si="22">P195-Q195</f>
        <v>4.9004999999999939</v>
      </c>
      <c r="S195" s="4">
        <f t="shared" ref="S195:S258" si="23">R195/P195</f>
        <v>0.10999999999999988</v>
      </c>
      <c r="T195" t="str">
        <f>_xlfn.XLOOKUP(C195,customers!$A$1:$A$1001,customers!$I$1:$I$1001,,0)</f>
        <v>No</v>
      </c>
    </row>
    <row r="196" spans="1:20"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INDEX(products!$A$1:$I$49,MATCH(orders!$D196,products!$A$1:$A$49,0),MATCH(orders!I$1,products!$A$1:$D$1,0))</f>
        <v>Exc</v>
      </c>
      <c r="J196" t="str">
        <f t="shared" si="18"/>
        <v>Excelsa</v>
      </c>
      <c r="K196" t="str">
        <f>INDEX(products!$A$1:$I$49,MATCH(orders!$D196,products!$A$1:$A$49,0),MATCH(orders!K$1,products!$A$1:$D$1,0))</f>
        <v>D</v>
      </c>
      <c r="L196" t="str">
        <f t="shared" si="19"/>
        <v>Dark</v>
      </c>
      <c r="M196">
        <f>INDEX(products!$A$1:$I$49,MATCH(orders!$D196,products!$A$1:$A$49,0),MATCH(orders!M$1,products!$A$1:$D$1,0))</f>
        <v>0.5</v>
      </c>
      <c r="N196">
        <f>_xlfn.XLOOKUP(D196,products!$A$2:$A$49,products!$E$2:$E$49)</f>
        <v>7.29</v>
      </c>
      <c r="O196">
        <f>_xlfn.XLOOKUP(D196,products!$A$2:$A$49,products!$H$2:$H$49)</f>
        <v>6.4881000000000002</v>
      </c>
      <c r="P196">
        <f t="shared" si="20"/>
        <v>36.450000000000003</v>
      </c>
      <c r="Q196">
        <f t="shared" si="21"/>
        <v>32.4405</v>
      </c>
      <c r="R196">
        <f t="shared" si="22"/>
        <v>4.0095000000000027</v>
      </c>
      <c r="S196" s="4">
        <f t="shared" si="23"/>
        <v>0.11000000000000007</v>
      </c>
      <c r="T196" t="str">
        <f>_xlfn.XLOOKUP(C196,customers!$A$1:$A$1001,customers!$I$1:$I$1001,,0)</f>
        <v>No</v>
      </c>
    </row>
    <row r="197" spans="1:20"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INDEX(products!$A$1:$I$49,MATCH(orders!$D197,products!$A$1:$A$49,0),MATCH(orders!I$1,products!$A$1:$D$1,0))</f>
        <v>Ara</v>
      </c>
      <c r="J197" t="str">
        <f t="shared" si="18"/>
        <v>Arabica</v>
      </c>
      <c r="K197" t="str">
        <f>INDEX(products!$A$1:$I$49,MATCH(orders!$D197,products!$A$1:$A$49,0),MATCH(orders!K$1,products!$A$1:$D$1,0))</f>
        <v>L</v>
      </c>
      <c r="L197" t="str">
        <f t="shared" si="19"/>
        <v>Light</v>
      </c>
      <c r="M197">
        <f>INDEX(products!$A$1:$I$49,MATCH(orders!$D197,products!$A$1:$A$49,0),MATCH(orders!M$1,products!$A$1:$D$1,0))</f>
        <v>1</v>
      </c>
      <c r="N197">
        <f>_xlfn.XLOOKUP(D197,products!$A$2:$A$49,products!$E$2:$E$49)</f>
        <v>12.95</v>
      </c>
      <c r="O197">
        <f>_xlfn.XLOOKUP(D197,products!$A$2:$A$49,products!$H$2:$H$49)</f>
        <v>11.7845</v>
      </c>
      <c r="P197">
        <f t="shared" si="20"/>
        <v>38.849999999999994</v>
      </c>
      <c r="Q197">
        <f t="shared" si="21"/>
        <v>35.353499999999997</v>
      </c>
      <c r="R197">
        <f t="shared" si="22"/>
        <v>3.4964999999999975</v>
      </c>
      <c r="S197" s="4">
        <f t="shared" si="23"/>
        <v>8.9999999999999955E-2</v>
      </c>
      <c r="T197" t="str">
        <f>_xlfn.XLOOKUP(C197,customers!$A$1:$A$1001,customers!$I$1:$I$1001,,0)</f>
        <v>No</v>
      </c>
    </row>
    <row r="198" spans="1:20"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INDEX(products!$A$1:$I$49,MATCH(orders!$D198,products!$A$1:$A$49,0),MATCH(orders!I$1,products!$A$1:$D$1,0))</f>
        <v>Exc</v>
      </c>
      <c r="J198" t="str">
        <f t="shared" si="18"/>
        <v>Excelsa</v>
      </c>
      <c r="K198" t="str">
        <f>INDEX(products!$A$1:$I$49,MATCH(orders!$D198,products!$A$1:$A$49,0),MATCH(orders!K$1,products!$A$1:$D$1,0))</f>
        <v>L</v>
      </c>
      <c r="L198" t="str">
        <f t="shared" si="19"/>
        <v>Light</v>
      </c>
      <c r="M198">
        <f>INDEX(products!$A$1:$I$49,MATCH(orders!$D198,products!$A$1:$A$49,0),MATCH(orders!M$1,products!$A$1:$D$1,0))</f>
        <v>0.5</v>
      </c>
      <c r="N198">
        <f>_xlfn.XLOOKUP(D198,products!$A$2:$A$49,products!$E$2:$E$49)</f>
        <v>8.91</v>
      </c>
      <c r="O198">
        <f>_xlfn.XLOOKUP(D198,products!$A$2:$A$49,products!$H$2:$H$49)</f>
        <v>7.9298999999999999</v>
      </c>
      <c r="P198">
        <f t="shared" si="20"/>
        <v>53.46</v>
      </c>
      <c r="Q198">
        <f t="shared" si="21"/>
        <v>47.5794</v>
      </c>
      <c r="R198">
        <f t="shared" si="22"/>
        <v>5.8806000000000012</v>
      </c>
      <c r="S198" s="4">
        <f t="shared" si="23"/>
        <v>0.11000000000000001</v>
      </c>
      <c r="T198" t="str">
        <f>_xlfn.XLOOKUP(C198,customers!$A$1:$A$1001,customers!$I$1:$I$1001,,0)</f>
        <v>No</v>
      </c>
    </row>
    <row r="199" spans="1:20"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INDEX(products!$A$1:$I$49,MATCH(orders!$D199,products!$A$1:$A$49,0),MATCH(orders!I$1,products!$A$1:$D$1,0))</f>
        <v>Lib</v>
      </c>
      <c r="J199" t="str">
        <f t="shared" si="18"/>
        <v>Liberica</v>
      </c>
      <c r="K199" t="str">
        <f>INDEX(products!$A$1:$I$49,MATCH(orders!$D199,products!$A$1:$A$49,0),MATCH(orders!K$1,products!$A$1:$D$1,0))</f>
        <v>D</v>
      </c>
      <c r="L199" t="str">
        <f t="shared" si="19"/>
        <v>Dark</v>
      </c>
      <c r="M199">
        <f>INDEX(products!$A$1:$I$49,MATCH(orders!$D199,products!$A$1:$A$49,0),MATCH(orders!M$1,products!$A$1:$D$1,0))</f>
        <v>2.5</v>
      </c>
      <c r="N199">
        <f>_xlfn.XLOOKUP(D199,products!$A$2:$A$49,products!$E$2:$E$49)</f>
        <v>29.784999999999997</v>
      </c>
      <c r="O199">
        <f>_xlfn.XLOOKUP(D199,products!$A$2:$A$49,products!$H$2:$H$49)</f>
        <v>25.912949999999995</v>
      </c>
      <c r="P199">
        <f t="shared" si="20"/>
        <v>59.569999999999993</v>
      </c>
      <c r="Q199">
        <f t="shared" si="21"/>
        <v>51.82589999999999</v>
      </c>
      <c r="R199">
        <f t="shared" si="22"/>
        <v>7.7441000000000031</v>
      </c>
      <c r="S199" s="4">
        <f t="shared" si="23"/>
        <v>0.13000000000000006</v>
      </c>
      <c r="T199" t="str">
        <f>_xlfn.XLOOKUP(C199,customers!$A$1:$A$1001,customers!$I$1:$I$1001,,0)</f>
        <v>No</v>
      </c>
    </row>
    <row r="200" spans="1:20"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INDEX(products!$A$1:$I$49,MATCH(orders!$D200,products!$A$1:$A$49,0),MATCH(orders!I$1,products!$A$1:$D$1,0))</f>
        <v>Lib</v>
      </c>
      <c r="J200" t="str">
        <f t="shared" si="18"/>
        <v>Liberica</v>
      </c>
      <c r="K200" t="str">
        <f>INDEX(products!$A$1:$I$49,MATCH(orders!$D200,products!$A$1:$A$49,0),MATCH(orders!K$1,products!$A$1:$D$1,0))</f>
        <v>D</v>
      </c>
      <c r="L200" t="str">
        <f t="shared" si="19"/>
        <v>Dark</v>
      </c>
      <c r="M200">
        <f>INDEX(products!$A$1:$I$49,MATCH(orders!$D200,products!$A$1:$A$49,0),MATCH(orders!M$1,products!$A$1:$D$1,0))</f>
        <v>2.5</v>
      </c>
      <c r="N200">
        <f>_xlfn.XLOOKUP(D200,products!$A$2:$A$49,products!$E$2:$E$49)</f>
        <v>29.784999999999997</v>
      </c>
      <c r="O200">
        <f>_xlfn.XLOOKUP(D200,products!$A$2:$A$49,products!$H$2:$H$49)</f>
        <v>25.912949999999995</v>
      </c>
      <c r="P200">
        <f t="shared" si="20"/>
        <v>89.35499999999999</v>
      </c>
      <c r="Q200">
        <f t="shared" si="21"/>
        <v>77.738849999999985</v>
      </c>
      <c r="R200">
        <f t="shared" si="22"/>
        <v>11.616150000000005</v>
      </c>
      <c r="S200" s="4">
        <f t="shared" si="23"/>
        <v>0.13000000000000006</v>
      </c>
      <c r="T200" t="str">
        <f>_xlfn.XLOOKUP(C200,customers!$A$1:$A$1001,customers!$I$1:$I$1001,,0)</f>
        <v>No</v>
      </c>
    </row>
    <row r="201" spans="1:20"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INDEX(products!$A$1:$I$49,MATCH(orders!$D201,products!$A$1:$A$49,0),MATCH(orders!I$1,products!$A$1:$D$1,0))</f>
        <v>Lib</v>
      </c>
      <c r="J201" t="str">
        <f t="shared" si="18"/>
        <v>Liberica</v>
      </c>
      <c r="K201" t="str">
        <f>INDEX(products!$A$1:$I$49,MATCH(orders!$D201,products!$A$1:$A$49,0),MATCH(orders!K$1,products!$A$1:$D$1,0))</f>
        <v>L</v>
      </c>
      <c r="L201" t="str">
        <f t="shared" si="19"/>
        <v>Light</v>
      </c>
      <c r="M201">
        <f>INDEX(products!$A$1:$I$49,MATCH(orders!$D201,products!$A$1:$A$49,0),MATCH(orders!M$1,products!$A$1:$D$1,0))</f>
        <v>0.5</v>
      </c>
      <c r="N201">
        <f>_xlfn.XLOOKUP(D201,products!$A$2:$A$49,products!$E$2:$E$49)</f>
        <v>9.51</v>
      </c>
      <c r="O201">
        <f>_xlfn.XLOOKUP(D201,products!$A$2:$A$49,products!$H$2:$H$49)</f>
        <v>8.2736999999999998</v>
      </c>
      <c r="P201">
        <f t="shared" si="20"/>
        <v>38.04</v>
      </c>
      <c r="Q201">
        <f t="shared" si="21"/>
        <v>33.094799999999999</v>
      </c>
      <c r="R201">
        <f t="shared" si="22"/>
        <v>4.9451999999999998</v>
      </c>
      <c r="S201" s="4">
        <f t="shared" si="23"/>
        <v>0.13</v>
      </c>
      <c r="T201" t="str">
        <f>_xlfn.XLOOKUP(C201,customers!$A$1:$A$1001,customers!$I$1:$I$1001,,0)</f>
        <v>No</v>
      </c>
    </row>
    <row r="202" spans="1:20"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INDEX(products!$A$1:$I$49,MATCH(orders!$D202,products!$A$1:$A$49,0),MATCH(orders!I$1,products!$A$1:$D$1,0))</f>
        <v>Exc</v>
      </c>
      <c r="J202" t="str">
        <f t="shared" si="18"/>
        <v>Excelsa</v>
      </c>
      <c r="K202" t="str">
        <f>INDEX(products!$A$1:$I$49,MATCH(orders!$D202,products!$A$1:$A$49,0),MATCH(orders!K$1,products!$A$1:$D$1,0))</f>
        <v>M</v>
      </c>
      <c r="L202" t="str">
        <f t="shared" si="19"/>
        <v>Medium</v>
      </c>
      <c r="M202">
        <f>INDEX(products!$A$1:$I$49,MATCH(orders!$D202,products!$A$1:$A$49,0),MATCH(orders!M$1,products!$A$1:$D$1,0))</f>
        <v>1</v>
      </c>
      <c r="N202">
        <f>_xlfn.XLOOKUP(D202,products!$A$2:$A$49,products!$E$2:$E$49)</f>
        <v>13.75</v>
      </c>
      <c r="O202">
        <f>_xlfn.XLOOKUP(D202,products!$A$2:$A$49,products!$H$2:$H$49)</f>
        <v>12.237500000000001</v>
      </c>
      <c r="P202">
        <f t="shared" si="20"/>
        <v>41.25</v>
      </c>
      <c r="Q202">
        <f t="shared" si="21"/>
        <v>36.712500000000006</v>
      </c>
      <c r="R202">
        <f t="shared" si="22"/>
        <v>4.5374999999999943</v>
      </c>
      <c r="S202" s="4">
        <f t="shared" si="23"/>
        <v>0.10999999999999986</v>
      </c>
      <c r="T202" t="str">
        <f>_xlfn.XLOOKUP(C202,customers!$A$1:$A$1001,customers!$I$1:$I$1001,,0)</f>
        <v>No</v>
      </c>
    </row>
    <row r="203" spans="1:20"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v>
      </c>
      <c r="H203" s="2" t="str">
        <f>_xlfn.XLOOKUP(C203,customers!$A$1:$A$1001,customers!$G$1:$G$1001,,0)</f>
        <v>United States</v>
      </c>
      <c r="I203" t="str">
        <f>INDEX(products!$A$1:$I$49,MATCH(orders!$D203,products!$A$1:$A$49,0),MATCH(orders!I$1,products!$A$1:$D$1,0))</f>
        <v>Lib</v>
      </c>
      <c r="J203" t="str">
        <f t="shared" si="18"/>
        <v>Liberica</v>
      </c>
      <c r="K203" t="str">
        <f>INDEX(products!$A$1:$I$49,MATCH(orders!$D203,products!$A$1:$A$49,0),MATCH(orders!K$1,products!$A$1:$D$1,0))</f>
        <v>L</v>
      </c>
      <c r="L203" t="str">
        <f t="shared" si="19"/>
        <v>Light</v>
      </c>
      <c r="M203">
        <f>INDEX(products!$A$1:$I$49,MATCH(orders!$D203,products!$A$1:$A$49,0),MATCH(orders!M$1,products!$A$1:$D$1,0))</f>
        <v>0.5</v>
      </c>
      <c r="N203">
        <f>_xlfn.XLOOKUP(D203,products!$A$2:$A$49,products!$E$2:$E$49)</f>
        <v>9.51</v>
      </c>
      <c r="O203">
        <f>_xlfn.XLOOKUP(D203,products!$A$2:$A$49,products!$H$2:$H$49)</f>
        <v>8.2736999999999998</v>
      </c>
      <c r="P203">
        <f t="shared" si="20"/>
        <v>57.06</v>
      </c>
      <c r="Q203">
        <f t="shared" si="21"/>
        <v>49.642200000000003</v>
      </c>
      <c r="R203">
        <f t="shared" si="22"/>
        <v>7.4177999999999997</v>
      </c>
      <c r="S203" s="4">
        <f t="shared" si="23"/>
        <v>0.12999999999999998</v>
      </c>
      <c r="T203" t="str">
        <f>_xlfn.XLOOKUP(C203,customers!$A$1:$A$1001,customers!$I$1:$I$1001,,0)</f>
        <v>No</v>
      </c>
    </row>
    <row r="204" spans="1:20"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INDEX(products!$A$1:$I$49,MATCH(orders!$D204,products!$A$1:$A$49,0),MATCH(orders!I$1,products!$A$1:$D$1,0))</f>
        <v>Lib</v>
      </c>
      <c r="J204" t="str">
        <f t="shared" si="18"/>
        <v>Liberica</v>
      </c>
      <c r="K204" t="str">
        <f>INDEX(products!$A$1:$I$49,MATCH(orders!$D204,products!$A$1:$A$49,0),MATCH(orders!K$1,products!$A$1:$D$1,0))</f>
        <v>D</v>
      </c>
      <c r="L204" t="str">
        <f t="shared" si="19"/>
        <v>Dark</v>
      </c>
      <c r="M204">
        <f>INDEX(products!$A$1:$I$49,MATCH(orders!$D204,products!$A$1:$A$49,0),MATCH(orders!M$1,products!$A$1:$D$1,0))</f>
        <v>2.5</v>
      </c>
      <c r="N204">
        <f>_xlfn.XLOOKUP(D204,products!$A$2:$A$49,products!$E$2:$E$49)</f>
        <v>29.784999999999997</v>
      </c>
      <c r="O204">
        <f>_xlfn.XLOOKUP(D204,products!$A$2:$A$49,products!$H$2:$H$49)</f>
        <v>25.912949999999995</v>
      </c>
      <c r="P204">
        <f t="shared" si="20"/>
        <v>178.70999999999998</v>
      </c>
      <c r="Q204">
        <f t="shared" si="21"/>
        <v>155.47769999999997</v>
      </c>
      <c r="R204">
        <f t="shared" si="22"/>
        <v>23.232300000000009</v>
      </c>
      <c r="S204" s="4">
        <f t="shared" si="23"/>
        <v>0.13000000000000006</v>
      </c>
      <c r="T204" t="str">
        <f>_xlfn.XLOOKUP(C204,customers!$A$1:$A$1001,customers!$I$1:$I$1001,,0)</f>
        <v>Yes</v>
      </c>
    </row>
    <row r="205" spans="1:20"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INDEX(products!$A$1:$I$49,MATCH(orders!$D205,products!$A$1:$A$49,0),MATCH(orders!I$1,products!$A$1:$D$1,0))</f>
        <v>Lib</v>
      </c>
      <c r="J205" t="str">
        <f t="shared" si="18"/>
        <v>Liberica</v>
      </c>
      <c r="K205" t="str">
        <f>INDEX(products!$A$1:$I$49,MATCH(orders!$D205,products!$A$1:$A$49,0),MATCH(orders!K$1,products!$A$1:$D$1,0))</f>
        <v>L</v>
      </c>
      <c r="L205" t="str">
        <f t="shared" si="19"/>
        <v>Light</v>
      </c>
      <c r="M205">
        <f>INDEX(products!$A$1:$I$49,MATCH(orders!$D205,products!$A$1:$A$49,0),MATCH(orders!M$1,products!$A$1:$D$1,0))</f>
        <v>0.2</v>
      </c>
      <c r="N205">
        <f>_xlfn.XLOOKUP(D205,products!$A$2:$A$49,products!$E$2:$E$49)</f>
        <v>4.7549999999999999</v>
      </c>
      <c r="O205">
        <f>_xlfn.XLOOKUP(D205,products!$A$2:$A$49,products!$H$2:$H$49)</f>
        <v>4.1368499999999999</v>
      </c>
      <c r="P205">
        <f t="shared" si="20"/>
        <v>4.7549999999999999</v>
      </c>
      <c r="Q205">
        <f t="shared" si="21"/>
        <v>4.1368499999999999</v>
      </c>
      <c r="R205">
        <f t="shared" si="22"/>
        <v>0.61814999999999998</v>
      </c>
      <c r="S205" s="4">
        <f t="shared" si="23"/>
        <v>0.13</v>
      </c>
      <c r="T205" t="str">
        <f>_xlfn.XLOOKUP(C205,customers!$A$1:$A$1001,customers!$I$1:$I$1001,,0)</f>
        <v>No</v>
      </c>
    </row>
    <row r="206" spans="1:20"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v>
      </c>
      <c r="H206" s="2" t="str">
        <f>_xlfn.XLOOKUP(C206,customers!$A$1:$A$1001,customers!$G$1:$G$1001,,0)</f>
        <v>United States</v>
      </c>
      <c r="I206" t="str">
        <f>INDEX(products!$A$1:$I$49,MATCH(orders!$D206,products!$A$1:$A$49,0),MATCH(orders!I$1,products!$A$1:$D$1,0))</f>
        <v>Exc</v>
      </c>
      <c r="J206" t="str">
        <f t="shared" si="18"/>
        <v>Excelsa</v>
      </c>
      <c r="K206" t="str">
        <f>INDEX(products!$A$1:$I$49,MATCH(orders!$D206,products!$A$1:$A$49,0),MATCH(orders!K$1,products!$A$1:$D$1,0))</f>
        <v>M</v>
      </c>
      <c r="L206" t="str">
        <f t="shared" si="19"/>
        <v>Medium</v>
      </c>
      <c r="M206">
        <f>INDEX(products!$A$1:$I$49,MATCH(orders!$D206,products!$A$1:$A$49,0),MATCH(orders!M$1,products!$A$1:$D$1,0))</f>
        <v>1</v>
      </c>
      <c r="N206">
        <f>_xlfn.XLOOKUP(D206,products!$A$2:$A$49,products!$E$2:$E$49)</f>
        <v>13.75</v>
      </c>
      <c r="O206">
        <f>_xlfn.XLOOKUP(D206,products!$A$2:$A$49,products!$H$2:$H$49)</f>
        <v>12.237500000000001</v>
      </c>
      <c r="P206">
        <f t="shared" si="20"/>
        <v>82.5</v>
      </c>
      <c r="Q206">
        <f t="shared" si="21"/>
        <v>73.425000000000011</v>
      </c>
      <c r="R206">
        <f t="shared" si="22"/>
        <v>9.0749999999999886</v>
      </c>
      <c r="S206" s="4">
        <f t="shared" si="23"/>
        <v>0.10999999999999986</v>
      </c>
      <c r="T206" t="str">
        <f>_xlfn.XLOOKUP(C206,customers!$A$1:$A$1001,customers!$I$1:$I$1001,,0)</f>
        <v>No</v>
      </c>
    </row>
    <row r="207" spans="1:20"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v>
      </c>
      <c r="H207" s="2" t="str">
        <f>_xlfn.XLOOKUP(C207,customers!$A$1:$A$1001,customers!$G$1:$G$1001,,0)</f>
        <v>United States</v>
      </c>
      <c r="I207" t="str">
        <f>INDEX(products!$A$1:$I$49,MATCH(orders!$D207,products!$A$1:$A$49,0),MATCH(orders!I$1,products!$A$1:$D$1,0))</f>
        <v>Rob</v>
      </c>
      <c r="J207" t="str">
        <f t="shared" si="18"/>
        <v>Robusta</v>
      </c>
      <c r="K207" t="str">
        <f>INDEX(products!$A$1:$I$49,MATCH(orders!$D207,products!$A$1:$A$49,0),MATCH(orders!K$1,products!$A$1:$D$1,0))</f>
        <v>D</v>
      </c>
      <c r="L207" t="str">
        <f t="shared" si="19"/>
        <v>Dark</v>
      </c>
      <c r="M207">
        <f>INDEX(products!$A$1:$I$49,MATCH(orders!$D207,products!$A$1:$A$49,0),MATCH(orders!M$1,products!$A$1:$D$1,0))</f>
        <v>0.2</v>
      </c>
      <c r="N207">
        <f>_xlfn.XLOOKUP(D207,products!$A$2:$A$49,products!$E$2:$E$49)</f>
        <v>2.6849999999999996</v>
      </c>
      <c r="O207">
        <f>_xlfn.XLOOKUP(D207,products!$A$2:$A$49,products!$H$2:$H$49)</f>
        <v>2.5238999999999998</v>
      </c>
      <c r="P207">
        <f t="shared" si="20"/>
        <v>8.0549999999999997</v>
      </c>
      <c r="Q207">
        <f t="shared" si="21"/>
        <v>7.5716999999999999</v>
      </c>
      <c r="R207">
        <f t="shared" si="22"/>
        <v>0.48329999999999984</v>
      </c>
      <c r="S207" s="4">
        <f t="shared" si="23"/>
        <v>5.9999999999999984E-2</v>
      </c>
      <c r="T207" t="str">
        <f>_xlfn.XLOOKUP(C207,customers!$A$1:$A$1001,customers!$I$1:$I$1001,,0)</f>
        <v>Yes</v>
      </c>
    </row>
    <row r="208" spans="1:20"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INDEX(products!$A$1:$I$49,MATCH(orders!$D208,products!$A$1:$A$49,0),MATCH(orders!I$1,products!$A$1:$D$1,0))</f>
        <v>Ara</v>
      </c>
      <c r="J208" t="str">
        <f t="shared" si="18"/>
        <v>Arabica</v>
      </c>
      <c r="K208" t="str">
        <f>INDEX(products!$A$1:$I$49,MATCH(orders!$D208,products!$A$1:$A$49,0),MATCH(orders!K$1,products!$A$1:$D$1,0))</f>
        <v>M</v>
      </c>
      <c r="L208" t="str">
        <f t="shared" si="19"/>
        <v>Medium</v>
      </c>
      <c r="M208">
        <f>INDEX(products!$A$1:$I$49,MATCH(orders!$D208,products!$A$1:$A$49,0),MATCH(orders!M$1,products!$A$1:$D$1,0))</f>
        <v>1</v>
      </c>
      <c r="N208">
        <f>_xlfn.XLOOKUP(D208,products!$A$2:$A$49,products!$E$2:$E$49)</f>
        <v>11.25</v>
      </c>
      <c r="O208">
        <f>_xlfn.XLOOKUP(D208,products!$A$2:$A$49,products!$H$2:$H$49)</f>
        <v>10.237500000000001</v>
      </c>
      <c r="P208">
        <f t="shared" si="20"/>
        <v>22.5</v>
      </c>
      <c r="Q208">
        <f t="shared" si="21"/>
        <v>20.475000000000001</v>
      </c>
      <c r="R208">
        <f t="shared" si="22"/>
        <v>2.0249999999999986</v>
      </c>
      <c r="S208" s="4">
        <f t="shared" si="23"/>
        <v>8.9999999999999941E-2</v>
      </c>
      <c r="T208" t="str">
        <f>_xlfn.XLOOKUP(C208,customers!$A$1:$A$1001,customers!$I$1:$I$1001,,0)</f>
        <v>No</v>
      </c>
    </row>
    <row r="209" spans="1:20"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INDEX(products!$A$1:$I$49,MATCH(orders!$D209,products!$A$1:$A$49,0),MATCH(orders!I$1,products!$A$1:$D$1,0))</f>
        <v>Ara</v>
      </c>
      <c r="J209" t="str">
        <f t="shared" si="18"/>
        <v>Arabica</v>
      </c>
      <c r="K209" t="str">
        <f>INDEX(products!$A$1:$I$49,MATCH(orders!$D209,products!$A$1:$A$49,0),MATCH(orders!K$1,products!$A$1:$D$1,0))</f>
        <v>M</v>
      </c>
      <c r="L209" t="str">
        <f t="shared" si="19"/>
        <v>Medium</v>
      </c>
      <c r="M209">
        <f>INDEX(products!$A$1:$I$49,MATCH(orders!$D209,products!$A$1:$A$49,0),MATCH(orders!M$1,products!$A$1:$D$1,0))</f>
        <v>0.5</v>
      </c>
      <c r="N209">
        <f>_xlfn.XLOOKUP(D209,products!$A$2:$A$49,products!$E$2:$E$49)</f>
        <v>6.75</v>
      </c>
      <c r="O209">
        <f>_xlfn.XLOOKUP(D209,products!$A$2:$A$49,products!$H$2:$H$49)</f>
        <v>6.1425000000000001</v>
      </c>
      <c r="P209">
        <f t="shared" si="20"/>
        <v>40.5</v>
      </c>
      <c r="Q209">
        <f t="shared" si="21"/>
        <v>36.855000000000004</v>
      </c>
      <c r="R209">
        <f t="shared" si="22"/>
        <v>3.644999999999996</v>
      </c>
      <c r="S209" s="4">
        <f t="shared" si="23"/>
        <v>8.99999999999999E-2</v>
      </c>
      <c r="T209" t="str">
        <f>_xlfn.XLOOKUP(C209,customers!$A$1:$A$1001,customers!$I$1:$I$1001,,0)</f>
        <v>Yes</v>
      </c>
    </row>
    <row r="210" spans="1:20"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INDEX(products!$A$1:$I$49,MATCH(orders!$D210,products!$A$1:$A$49,0),MATCH(orders!I$1,products!$A$1:$D$1,0))</f>
        <v>Exc</v>
      </c>
      <c r="J210" t="str">
        <f t="shared" si="18"/>
        <v>Excelsa</v>
      </c>
      <c r="K210" t="str">
        <f>INDEX(products!$A$1:$I$49,MATCH(orders!$D210,products!$A$1:$A$49,0),MATCH(orders!K$1,products!$A$1:$D$1,0))</f>
        <v>D</v>
      </c>
      <c r="L210" t="str">
        <f t="shared" si="19"/>
        <v>Dark</v>
      </c>
      <c r="M210">
        <f>INDEX(products!$A$1:$I$49,MATCH(orders!$D210,products!$A$1:$A$49,0),MATCH(orders!M$1,products!$A$1:$D$1,0))</f>
        <v>0.5</v>
      </c>
      <c r="N210">
        <f>_xlfn.XLOOKUP(D210,products!$A$2:$A$49,products!$E$2:$E$49)</f>
        <v>7.29</v>
      </c>
      <c r="O210">
        <f>_xlfn.XLOOKUP(D210,products!$A$2:$A$49,products!$H$2:$H$49)</f>
        <v>6.4881000000000002</v>
      </c>
      <c r="P210">
        <f t="shared" si="20"/>
        <v>29.16</v>
      </c>
      <c r="Q210">
        <f t="shared" si="21"/>
        <v>25.952400000000001</v>
      </c>
      <c r="R210">
        <f t="shared" si="22"/>
        <v>3.2075999999999993</v>
      </c>
      <c r="S210" s="4">
        <f t="shared" si="23"/>
        <v>0.10999999999999997</v>
      </c>
      <c r="T210" t="str">
        <f>_xlfn.XLOOKUP(C210,customers!$A$1:$A$1001,customers!$I$1:$I$1001,,0)</f>
        <v>Yes</v>
      </c>
    </row>
    <row r="211" spans="1:20"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INDEX(products!$A$1:$I$49,MATCH(orders!$D211,products!$A$1:$A$49,0),MATCH(orders!I$1,products!$A$1:$D$1,0))</f>
        <v>Ara</v>
      </c>
      <c r="J211" t="str">
        <f t="shared" si="18"/>
        <v>Arabica</v>
      </c>
      <c r="K211" t="str">
        <f>INDEX(products!$A$1:$I$49,MATCH(orders!$D211,products!$A$1:$A$49,0),MATCH(orders!K$1,products!$A$1:$D$1,0))</f>
        <v>M</v>
      </c>
      <c r="L211" t="str">
        <f t="shared" si="19"/>
        <v>Medium</v>
      </c>
      <c r="M211">
        <f>INDEX(products!$A$1:$I$49,MATCH(orders!$D211,products!$A$1:$A$49,0),MATCH(orders!M$1,products!$A$1:$D$1,0))</f>
        <v>0.5</v>
      </c>
      <c r="N211">
        <f>_xlfn.XLOOKUP(D211,products!$A$2:$A$49,products!$E$2:$E$49)</f>
        <v>6.75</v>
      </c>
      <c r="O211">
        <f>_xlfn.XLOOKUP(D211,products!$A$2:$A$49,products!$H$2:$H$49)</f>
        <v>6.1425000000000001</v>
      </c>
      <c r="P211">
        <f t="shared" si="20"/>
        <v>6.75</v>
      </c>
      <c r="Q211">
        <f t="shared" si="21"/>
        <v>6.1425000000000001</v>
      </c>
      <c r="R211">
        <f t="shared" si="22"/>
        <v>0.60749999999999993</v>
      </c>
      <c r="S211" s="4">
        <f t="shared" si="23"/>
        <v>8.9999999999999983E-2</v>
      </c>
      <c r="T211" t="str">
        <f>_xlfn.XLOOKUP(C211,customers!$A$1:$A$1001,customers!$I$1:$I$1001,,0)</f>
        <v>No</v>
      </c>
    </row>
    <row r="212" spans="1:20"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INDEX(products!$A$1:$I$49,MATCH(orders!$D212,products!$A$1:$A$49,0),MATCH(orders!I$1,products!$A$1:$D$1,0))</f>
        <v>Lib</v>
      </c>
      <c r="J212" t="str">
        <f t="shared" si="18"/>
        <v>Liberica</v>
      </c>
      <c r="K212" t="str">
        <f>INDEX(products!$A$1:$I$49,MATCH(orders!$D212,products!$A$1:$A$49,0),MATCH(orders!K$1,products!$A$1:$D$1,0))</f>
        <v>D</v>
      </c>
      <c r="L212" t="str">
        <f t="shared" si="19"/>
        <v>Dark</v>
      </c>
      <c r="M212">
        <f>INDEX(products!$A$1:$I$49,MATCH(orders!$D212,products!$A$1:$A$49,0),MATCH(orders!M$1,products!$A$1:$D$1,0))</f>
        <v>1</v>
      </c>
      <c r="N212">
        <f>_xlfn.XLOOKUP(D212,products!$A$2:$A$49,products!$E$2:$E$49)</f>
        <v>12.95</v>
      </c>
      <c r="O212">
        <f>_xlfn.XLOOKUP(D212,products!$A$2:$A$49,products!$H$2:$H$49)</f>
        <v>11.266499999999999</v>
      </c>
      <c r="P212">
        <f t="shared" si="20"/>
        <v>51.8</v>
      </c>
      <c r="Q212">
        <f t="shared" si="21"/>
        <v>45.065999999999995</v>
      </c>
      <c r="R212">
        <f t="shared" si="22"/>
        <v>6.7340000000000018</v>
      </c>
      <c r="S212" s="4">
        <f t="shared" si="23"/>
        <v>0.13000000000000003</v>
      </c>
      <c r="T212" t="str">
        <f>_xlfn.XLOOKUP(C212,customers!$A$1:$A$1001,customers!$I$1:$I$1001,,0)</f>
        <v>Yes</v>
      </c>
    </row>
    <row r="213" spans="1:20"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INDEX(products!$A$1:$I$49,MATCH(orders!$D213,products!$A$1:$A$49,0),MATCH(orders!I$1,products!$A$1:$D$1,0))</f>
        <v>Exc</v>
      </c>
      <c r="J213" t="str">
        <f t="shared" si="18"/>
        <v>Excelsa</v>
      </c>
      <c r="K213" t="str">
        <f>INDEX(products!$A$1:$I$49,MATCH(orders!$D213,products!$A$1:$A$49,0),MATCH(orders!K$1,products!$A$1:$D$1,0))</f>
        <v>L</v>
      </c>
      <c r="L213" t="str">
        <f t="shared" si="19"/>
        <v>Light</v>
      </c>
      <c r="M213">
        <f>INDEX(products!$A$1:$I$49,MATCH(orders!$D213,products!$A$1:$A$49,0),MATCH(orders!M$1,products!$A$1:$D$1,0))</f>
        <v>0.5</v>
      </c>
      <c r="N213">
        <f>_xlfn.XLOOKUP(D213,products!$A$2:$A$49,products!$E$2:$E$49)</f>
        <v>8.91</v>
      </c>
      <c r="O213">
        <f>_xlfn.XLOOKUP(D213,products!$A$2:$A$49,products!$H$2:$H$49)</f>
        <v>7.9298999999999999</v>
      </c>
      <c r="P213">
        <f t="shared" si="20"/>
        <v>53.46</v>
      </c>
      <c r="Q213">
        <f t="shared" si="21"/>
        <v>47.5794</v>
      </c>
      <c r="R213">
        <f t="shared" si="22"/>
        <v>5.8806000000000012</v>
      </c>
      <c r="S213" s="4">
        <f t="shared" si="23"/>
        <v>0.11000000000000001</v>
      </c>
      <c r="T213" t="str">
        <f>_xlfn.XLOOKUP(C213,customers!$A$1:$A$1001,customers!$I$1:$I$1001,,0)</f>
        <v>No</v>
      </c>
    </row>
    <row r="214" spans="1:20"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INDEX(products!$A$1:$I$49,MATCH(orders!$D214,products!$A$1:$A$49,0),MATCH(orders!I$1,products!$A$1:$D$1,0))</f>
        <v>Exc</v>
      </c>
      <c r="J214" t="str">
        <f t="shared" si="18"/>
        <v>Excelsa</v>
      </c>
      <c r="K214" t="str">
        <f>INDEX(products!$A$1:$I$49,MATCH(orders!$D214,products!$A$1:$A$49,0),MATCH(orders!K$1,products!$A$1:$D$1,0))</f>
        <v>D</v>
      </c>
      <c r="L214" t="str">
        <f t="shared" si="19"/>
        <v>Dark</v>
      </c>
      <c r="M214">
        <f>INDEX(products!$A$1:$I$49,MATCH(orders!$D214,products!$A$1:$A$49,0),MATCH(orders!M$1,products!$A$1:$D$1,0))</f>
        <v>0.2</v>
      </c>
      <c r="N214">
        <f>_xlfn.XLOOKUP(D214,products!$A$2:$A$49,products!$E$2:$E$49)</f>
        <v>3.645</v>
      </c>
      <c r="O214">
        <f>_xlfn.XLOOKUP(D214,products!$A$2:$A$49,products!$H$2:$H$49)</f>
        <v>3.2440500000000001</v>
      </c>
      <c r="P214">
        <f t="shared" si="20"/>
        <v>14.58</v>
      </c>
      <c r="Q214">
        <f t="shared" si="21"/>
        <v>12.9762</v>
      </c>
      <c r="R214">
        <f t="shared" si="22"/>
        <v>1.6037999999999997</v>
      </c>
      <c r="S214" s="4">
        <f t="shared" si="23"/>
        <v>0.10999999999999997</v>
      </c>
      <c r="T214" t="str">
        <f>_xlfn.XLOOKUP(C214,customers!$A$1:$A$1001,customers!$I$1:$I$1001,,0)</f>
        <v>Yes</v>
      </c>
    </row>
    <row r="215" spans="1:20"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INDEX(products!$A$1:$I$49,MATCH(orders!$D215,products!$A$1:$A$49,0),MATCH(orders!I$1,products!$A$1:$D$1,0))</f>
        <v>Rob</v>
      </c>
      <c r="J215" t="str">
        <f t="shared" si="18"/>
        <v>Robusta</v>
      </c>
      <c r="K215" t="str">
        <f>INDEX(products!$A$1:$I$49,MATCH(orders!$D215,products!$A$1:$A$49,0),MATCH(orders!K$1,products!$A$1:$D$1,0))</f>
        <v>D</v>
      </c>
      <c r="L215" t="str">
        <f t="shared" si="19"/>
        <v>Dark</v>
      </c>
      <c r="M215">
        <f>INDEX(products!$A$1:$I$49,MATCH(orders!$D215,products!$A$1:$A$49,0),MATCH(orders!M$1,products!$A$1:$D$1,0))</f>
        <v>2.5</v>
      </c>
      <c r="N215">
        <f>_xlfn.XLOOKUP(D215,products!$A$2:$A$49,products!$E$2:$E$49)</f>
        <v>20.584999999999997</v>
      </c>
      <c r="O215">
        <f>_xlfn.XLOOKUP(D215,products!$A$2:$A$49,products!$H$2:$H$49)</f>
        <v>19.349899999999998</v>
      </c>
      <c r="P215">
        <f t="shared" si="20"/>
        <v>20.584999999999997</v>
      </c>
      <c r="Q215">
        <f t="shared" si="21"/>
        <v>19.349899999999998</v>
      </c>
      <c r="R215">
        <f t="shared" si="22"/>
        <v>1.2350999999999992</v>
      </c>
      <c r="S215" s="4">
        <f t="shared" si="23"/>
        <v>5.999999999999997E-2</v>
      </c>
      <c r="T215" t="str">
        <f>_xlfn.XLOOKUP(C215,customers!$A$1:$A$1001,customers!$I$1:$I$1001,,0)</f>
        <v>No</v>
      </c>
    </row>
    <row r="216" spans="1:20"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INDEX(products!$A$1:$I$49,MATCH(orders!$D216,products!$A$1:$A$49,0),MATCH(orders!I$1,products!$A$1:$D$1,0))</f>
        <v>Lib</v>
      </c>
      <c r="J216" t="str">
        <f t="shared" si="18"/>
        <v>Liberica</v>
      </c>
      <c r="K216" t="str">
        <f>INDEX(products!$A$1:$I$49,MATCH(orders!$D216,products!$A$1:$A$49,0),MATCH(orders!K$1,products!$A$1:$D$1,0))</f>
        <v>L</v>
      </c>
      <c r="L216" t="str">
        <f t="shared" si="19"/>
        <v>Light</v>
      </c>
      <c r="M216">
        <f>INDEX(products!$A$1:$I$49,MATCH(orders!$D216,products!$A$1:$A$49,0),MATCH(orders!M$1,products!$A$1:$D$1,0))</f>
        <v>1</v>
      </c>
      <c r="N216">
        <f>_xlfn.XLOOKUP(D216,products!$A$2:$A$49,products!$E$2:$E$49)</f>
        <v>15.85</v>
      </c>
      <c r="O216">
        <f>_xlfn.XLOOKUP(D216,products!$A$2:$A$49,products!$H$2:$H$49)</f>
        <v>13.7895</v>
      </c>
      <c r="P216">
        <f t="shared" si="20"/>
        <v>31.7</v>
      </c>
      <c r="Q216">
        <f t="shared" si="21"/>
        <v>27.579000000000001</v>
      </c>
      <c r="R216">
        <f t="shared" si="22"/>
        <v>4.1209999999999987</v>
      </c>
      <c r="S216" s="4">
        <f t="shared" si="23"/>
        <v>0.12999999999999995</v>
      </c>
      <c r="T216" t="str">
        <f>_xlfn.XLOOKUP(C216,customers!$A$1:$A$1001,customers!$I$1:$I$1001,,0)</f>
        <v>No</v>
      </c>
    </row>
    <row r="217" spans="1:20"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INDEX(products!$A$1:$I$49,MATCH(orders!$D217,products!$A$1:$A$49,0),MATCH(orders!I$1,products!$A$1:$D$1,0))</f>
        <v>Lib</v>
      </c>
      <c r="J217" t="str">
        <f t="shared" si="18"/>
        <v>Liberica</v>
      </c>
      <c r="K217" t="str">
        <f>INDEX(products!$A$1:$I$49,MATCH(orders!$D217,products!$A$1:$A$49,0),MATCH(orders!K$1,products!$A$1:$D$1,0))</f>
        <v>D</v>
      </c>
      <c r="L217" t="str">
        <f t="shared" si="19"/>
        <v>Dark</v>
      </c>
      <c r="M217">
        <f>INDEX(products!$A$1:$I$49,MATCH(orders!$D217,products!$A$1:$A$49,0),MATCH(orders!M$1,products!$A$1:$D$1,0))</f>
        <v>0.2</v>
      </c>
      <c r="N217">
        <f>_xlfn.XLOOKUP(D217,products!$A$2:$A$49,products!$E$2:$E$49)</f>
        <v>3.8849999999999998</v>
      </c>
      <c r="O217">
        <f>_xlfn.XLOOKUP(D217,products!$A$2:$A$49,products!$H$2:$H$49)</f>
        <v>3.37995</v>
      </c>
      <c r="P217">
        <f t="shared" si="20"/>
        <v>23.31</v>
      </c>
      <c r="Q217">
        <f t="shared" si="21"/>
        <v>20.279699999999998</v>
      </c>
      <c r="R217">
        <f t="shared" si="22"/>
        <v>3.0303000000000004</v>
      </c>
      <c r="S217" s="4">
        <f t="shared" si="23"/>
        <v>0.13000000000000003</v>
      </c>
      <c r="T217" t="str">
        <f>_xlfn.XLOOKUP(C217,customers!$A$1:$A$1001,customers!$I$1:$I$1001,,0)</f>
        <v>No</v>
      </c>
    </row>
    <row r="218" spans="1:20"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INDEX(products!$A$1:$I$49,MATCH(orders!$D218,products!$A$1:$A$49,0),MATCH(orders!I$1,products!$A$1:$D$1,0))</f>
        <v>Lib</v>
      </c>
      <c r="J218" t="str">
        <f t="shared" si="18"/>
        <v>Liberica</v>
      </c>
      <c r="K218" t="str">
        <f>INDEX(products!$A$1:$I$49,MATCH(orders!$D218,products!$A$1:$A$49,0),MATCH(orders!K$1,products!$A$1:$D$1,0))</f>
        <v>M</v>
      </c>
      <c r="L218" t="str">
        <f t="shared" si="19"/>
        <v>Medium</v>
      </c>
      <c r="M218">
        <f>INDEX(products!$A$1:$I$49,MATCH(orders!$D218,products!$A$1:$A$49,0),MATCH(orders!M$1,products!$A$1:$D$1,0))</f>
        <v>1</v>
      </c>
      <c r="N218">
        <f>_xlfn.XLOOKUP(D218,products!$A$2:$A$49,products!$E$2:$E$49)</f>
        <v>14.55</v>
      </c>
      <c r="O218">
        <f>_xlfn.XLOOKUP(D218,products!$A$2:$A$49,products!$H$2:$H$49)</f>
        <v>12.6585</v>
      </c>
      <c r="P218">
        <f t="shared" si="20"/>
        <v>58.2</v>
      </c>
      <c r="Q218">
        <f t="shared" si="21"/>
        <v>50.634</v>
      </c>
      <c r="R218">
        <f t="shared" si="22"/>
        <v>7.5660000000000025</v>
      </c>
      <c r="S218" s="4">
        <f t="shared" si="23"/>
        <v>0.13000000000000003</v>
      </c>
      <c r="T218" t="str">
        <f>_xlfn.XLOOKUP(C218,customers!$A$1:$A$1001,customers!$I$1:$I$1001,,0)</f>
        <v>Yes</v>
      </c>
    </row>
    <row r="219" spans="1:20"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INDEX(products!$A$1:$I$49,MATCH(orders!$D219,products!$A$1:$A$49,0),MATCH(orders!I$1,products!$A$1:$D$1,0))</f>
        <v>Exc</v>
      </c>
      <c r="J219" t="str">
        <f t="shared" si="18"/>
        <v>Excelsa</v>
      </c>
      <c r="K219" t="str">
        <f>INDEX(products!$A$1:$I$49,MATCH(orders!$D219,products!$A$1:$A$49,0),MATCH(orders!K$1,products!$A$1:$D$1,0))</f>
        <v>L</v>
      </c>
      <c r="L219" t="str">
        <f t="shared" si="19"/>
        <v>Light</v>
      </c>
      <c r="M219">
        <f>INDEX(products!$A$1:$I$49,MATCH(orders!$D219,products!$A$1:$A$49,0),MATCH(orders!M$1,products!$A$1:$D$1,0))</f>
        <v>0.5</v>
      </c>
      <c r="N219">
        <f>_xlfn.XLOOKUP(D219,products!$A$2:$A$49,products!$E$2:$E$49)</f>
        <v>8.91</v>
      </c>
      <c r="O219">
        <f>_xlfn.XLOOKUP(D219,products!$A$2:$A$49,products!$H$2:$H$49)</f>
        <v>7.9298999999999999</v>
      </c>
      <c r="P219">
        <f t="shared" si="20"/>
        <v>35.64</v>
      </c>
      <c r="Q219">
        <f t="shared" si="21"/>
        <v>31.7196</v>
      </c>
      <c r="R219">
        <f t="shared" si="22"/>
        <v>3.9204000000000008</v>
      </c>
      <c r="S219" s="4">
        <f t="shared" si="23"/>
        <v>0.11000000000000001</v>
      </c>
      <c r="T219" t="str">
        <f>_xlfn.XLOOKUP(C219,customers!$A$1:$A$1001,customers!$I$1:$I$1001,,0)</f>
        <v>No</v>
      </c>
    </row>
    <row r="220" spans="1:20"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INDEX(products!$A$1:$I$49,MATCH(orders!$D220,products!$A$1:$A$49,0),MATCH(orders!I$1,products!$A$1:$D$1,0))</f>
        <v>Ara</v>
      </c>
      <c r="J220" t="str">
        <f t="shared" si="18"/>
        <v>Arabica</v>
      </c>
      <c r="K220" t="str">
        <f>INDEX(products!$A$1:$I$49,MATCH(orders!$D220,products!$A$1:$A$49,0),MATCH(orders!K$1,products!$A$1:$D$1,0))</f>
        <v>M</v>
      </c>
      <c r="L220" t="str">
        <f t="shared" si="19"/>
        <v>Medium</v>
      </c>
      <c r="M220">
        <f>INDEX(products!$A$1:$I$49,MATCH(orders!$D220,products!$A$1:$A$49,0),MATCH(orders!M$1,products!$A$1:$D$1,0))</f>
        <v>1</v>
      </c>
      <c r="N220">
        <f>_xlfn.XLOOKUP(D220,products!$A$2:$A$49,products!$E$2:$E$49)</f>
        <v>11.25</v>
      </c>
      <c r="O220">
        <f>_xlfn.XLOOKUP(D220,products!$A$2:$A$49,products!$H$2:$H$49)</f>
        <v>10.237500000000001</v>
      </c>
      <c r="P220">
        <f t="shared" si="20"/>
        <v>56.25</v>
      </c>
      <c r="Q220">
        <f t="shared" si="21"/>
        <v>51.1875</v>
      </c>
      <c r="R220">
        <f t="shared" si="22"/>
        <v>5.0625</v>
      </c>
      <c r="S220" s="4">
        <f t="shared" si="23"/>
        <v>0.09</v>
      </c>
      <c r="T220" t="str">
        <f>_xlfn.XLOOKUP(C220,customers!$A$1:$A$1001,customers!$I$1:$I$1001,,0)</f>
        <v>Yes</v>
      </c>
    </row>
    <row r="221" spans="1:20"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INDEX(products!$A$1:$I$49,MATCH(orders!$D221,products!$A$1:$A$49,0),MATCH(orders!I$1,products!$A$1:$D$1,0))</f>
        <v>Rob</v>
      </c>
      <c r="J221" t="str">
        <f t="shared" si="18"/>
        <v>Robusta</v>
      </c>
      <c r="K221" t="str">
        <f>INDEX(products!$A$1:$I$49,MATCH(orders!$D221,products!$A$1:$A$49,0),MATCH(orders!K$1,products!$A$1:$D$1,0))</f>
        <v>L</v>
      </c>
      <c r="L221" t="str">
        <f t="shared" si="19"/>
        <v>Light</v>
      </c>
      <c r="M221">
        <f>INDEX(products!$A$1:$I$49,MATCH(orders!$D221,products!$A$1:$A$49,0),MATCH(orders!M$1,products!$A$1:$D$1,0))</f>
        <v>0.2</v>
      </c>
      <c r="N221">
        <f>_xlfn.XLOOKUP(D221,products!$A$2:$A$49,products!$E$2:$E$49)</f>
        <v>3.5849999999999995</v>
      </c>
      <c r="O221">
        <f>_xlfn.XLOOKUP(D221,products!$A$2:$A$49,products!$H$2:$H$49)</f>
        <v>3.3698999999999995</v>
      </c>
      <c r="P221">
        <f t="shared" si="20"/>
        <v>10.754999999999999</v>
      </c>
      <c r="Q221">
        <f t="shared" si="21"/>
        <v>10.109699999999998</v>
      </c>
      <c r="R221">
        <f t="shared" si="22"/>
        <v>0.64530000000000065</v>
      </c>
      <c r="S221" s="4">
        <f t="shared" si="23"/>
        <v>6.0000000000000067E-2</v>
      </c>
      <c r="T221" t="str">
        <f>_xlfn.XLOOKUP(C221,customers!$A$1:$A$1001,customers!$I$1:$I$1001,,0)</f>
        <v>No</v>
      </c>
    </row>
    <row r="222" spans="1:20"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INDEX(products!$A$1:$I$49,MATCH(orders!$D222,products!$A$1:$A$49,0),MATCH(orders!I$1,products!$A$1:$D$1,0))</f>
        <v>Rob</v>
      </c>
      <c r="J222" t="str">
        <f t="shared" si="18"/>
        <v>Robusta</v>
      </c>
      <c r="K222" t="str">
        <f>INDEX(products!$A$1:$I$49,MATCH(orders!$D222,products!$A$1:$A$49,0),MATCH(orders!K$1,products!$A$1:$D$1,0))</f>
        <v>M</v>
      </c>
      <c r="L222" t="str">
        <f t="shared" si="19"/>
        <v>Medium</v>
      </c>
      <c r="M222">
        <f>INDEX(products!$A$1:$I$49,MATCH(orders!$D222,products!$A$1:$A$49,0),MATCH(orders!M$1,products!$A$1:$D$1,0))</f>
        <v>0.2</v>
      </c>
      <c r="N222">
        <f>_xlfn.XLOOKUP(D222,products!$A$2:$A$49,products!$E$2:$E$49)</f>
        <v>2.9849999999999999</v>
      </c>
      <c r="O222">
        <f>_xlfn.XLOOKUP(D222,products!$A$2:$A$49,products!$H$2:$H$49)</f>
        <v>2.8058999999999998</v>
      </c>
      <c r="P222">
        <f t="shared" si="20"/>
        <v>14.924999999999999</v>
      </c>
      <c r="Q222">
        <f t="shared" si="21"/>
        <v>14.029499999999999</v>
      </c>
      <c r="R222">
        <f t="shared" si="22"/>
        <v>0.89550000000000018</v>
      </c>
      <c r="S222" s="4">
        <f t="shared" si="23"/>
        <v>6.0000000000000019E-2</v>
      </c>
      <c r="T222" t="str">
        <f>_xlfn.XLOOKUP(C222,customers!$A$1:$A$1001,customers!$I$1:$I$1001,,0)</f>
        <v>No</v>
      </c>
    </row>
    <row r="223" spans="1:20"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INDEX(products!$A$1:$I$49,MATCH(orders!$D223,products!$A$1:$A$49,0),MATCH(orders!I$1,products!$A$1:$D$1,0))</f>
        <v>Ara</v>
      </c>
      <c r="J223" t="str">
        <f t="shared" si="18"/>
        <v>Arabica</v>
      </c>
      <c r="K223" t="str">
        <f>INDEX(products!$A$1:$I$49,MATCH(orders!$D223,products!$A$1:$A$49,0),MATCH(orders!K$1,products!$A$1:$D$1,0))</f>
        <v>L</v>
      </c>
      <c r="L223" t="str">
        <f t="shared" si="19"/>
        <v>Light</v>
      </c>
      <c r="M223">
        <f>INDEX(products!$A$1:$I$49,MATCH(orders!$D223,products!$A$1:$A$49,0),MATCH(orders!M$1,products!$A$1:$D$1,0))</f>
        <v>1</v>
      </c>
      <c r="N223">
        <f>_xlfn.XLOOKUP(D223,products!$A$2:$A$49,products!$E$2:$E$49)</f>
        <v>12.95</v>
      </c>
      <c r="O223">
        <f>_xlfn.XLOOKUP(D223,products!$A$2:$A$49,products!$H$2:$H$49)</f>
        <v>11.7845</v>
      </c>
      <c r="P223">
        <f t="shared" si="20"/>
        <v>77.699999999999989</v>
      </c>
      <c r="Q223">
        <f t="shared" si="21"/>
        <v>70.706999999999994</v>
      </c>
      <c r="R223">
        <f t="shared" si="22"/>
        <v>6.992999999999995</v>
      </c>
      <c r="S223" s="4">
        <f t="shared" si="23"/>
        <v>8.9999999999999955E-2</v>
      </c>
      <c r="T223" t="str">
        <f>_xlfn.XLOOKUP(C223,customers!$A$1:$A$1001,customers!$I$1:$I$1001,,0)</f>
        <v>Yes</v>
      </c>
    </row>
    <row r="224" spans="1:20"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INDEX(products!$A$1:$I$49,MATCH(orders!$D224,products!$A$1:$A$49,0),MATCH(orders!I$1,products!$A$1:$D$1,0))</f>
        <v>Lib</v>
      </c>
      <c r="J224" t="str">
        <f t="shared" si="18"/>
        <v>Liberica</v>
      </c>
      <c r="K224" t="str">
        <f>INDEX(products!$A$1:$I$49,MATCH(orders!$D224,products!$A$1:$A$49,0),MATCH(orders!K$1,products!$A$1:$D$1,0))</f>
        <v>D</v>
      </c>
      <c r="L224" t="str">
        <f t="shared" si="19"/>
        <v>Dark</v>
      </c>
      <c r="M224">
        <f>INDEX(products!$A$1:$I$49,MATCH(orders!$D224,products!$A$1:$A$49,0),MATCH(orders!M$1,products!$A$1:$D$1,0))</f>
        <v>0.5</v>
      </c>
      <c r="N224">
        <f>_xlfn.XLOOKUP(D224,products!$A$2:$A$49,products!$E$2:$E$49)</f>
        <v>7.77</v>
      </c>
      <c r="O224">
        <f>_xlfn.XLOOKUP(D224,products!$A$2:$A$49,products!$H$2:$H$49)</f>
        <v>6.7599</v>
      </c>
      <c r="P224">
        <f t="shared" si="20"/>
        <v>23.31</v>
      </c>
      <c r="Q224">
        <f t="shared" si="21"/>
        <v>20.279699999999998</v>
      </c>
      <c r="R224">
        <f t="shared" si="22"/>
        <v>3.0303000000000004</v>
      </c>
      <c r="S224" s="4">
        <f t="shared" si="23"/>
        <v>0.13000000000000003</v>
      </c>
      <c r="T224" t="str">
        <f>_xlfn.XLOOKUP(C224,customers!$A$1:$A$1001,customers!$I$1:$I$1001,,0)</f>
        <v>No</v>
      </c>
    </row>
    <row r="225" spans="1:20"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v>
      </c>
      <c r="H225" s="2" t="str">
        <f>_xlfn.XLOOKUP(C225,customers!$A$1:$A$1001,customers!$G$1:$G$1001,,0)</f>
        <v>United States</v>
      </c>
      <c r="I225" t="str">
        <f>INDEX(products!$A$1:$I$49,MATCH(orders!$D225,products!$A$1:$A$49,0),MATCH(orders!I$1,products!$A$1:$D$1,0))</f>
        <v>Exc</v>
      </c>
      <c r="J225" t="str">
        <f t="shared" si="18"/>
        <v>Excelsa</v>
      </c>
      <c r="K225" t="str">
        <f>INDEX(products!$A$1:$I$49,MATCH(orders!$D225,products!$A$1:$A$49,0),MATCH(orders!K$1,products!$A$1:$D$1,0))</f>
        <v>L</v>
      </c>
      <c r="L225" t="str">
        <f t="shared" si="19"/>
        <v>Light</v>
      </c>
      <c r="M225">
        <f>INDEX(products!$A$1:$I$49,MATCH(orders!$D225,products!$A$1:$A$49,0),MATCH(orders!M$1,products!$A$1:$D$1,0))</f>
        <v>1</v>
      </c>
      <c r="N225">
        <f>_xlfn.XLOOKUP(D225,products!$A$2:$A$49,products!$E$2:$E$49)</f>
        <v>14.85</v>
      </c>
      <c r="O225">
        <f>_xlfn.XLOOKUP(D225,products!$A$2:$A$49,products!$H$2:$H$49)</f>
        <v>13.2165</v>
      </c>
      <c r="P225">
        <f t="shared" si="20"/>
        <v>59.4</v>
      </c>
      <c r="Q225">
        <f t="shared" si="21"/>
        <v>52.866</v>
      </c>
      <c r="R225">
        <f t="shared" si="22"/>
        <v>6.5339999999999989</v>
      </c>
      <c r="S225" s="4">
        <f t="shared" si="23"/>
        <v>0.10999999999999999</v>
      </c>
      <c r="T225" t="str">
        <f>_xlfn.XLOOKUP(C225,customers!$A$1:$A$1001,customers!$I$1:$I$1001,,0)</f>
        <v>Yes</v>
      </c>
    </row>
    <row r="226" spans="1:20"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INDEX(products!$A$1:$I$49,MATCH(orders!$D226,products!$A$1:$A$49,0),MATCH(orders!I$1,products!$A$1:$D$1,0))</f>
        <v>Lib</v>
      </c>
      <c r="J226" t="str">
        <f t="shared" si="18"/>
        <v>Liberica</v>
      </c>
      <c r="K226" t="str">
        <f>INDEX(products!$A$1:$I$49,MATCH(orders!$D226,products!$A$1:$A$49,0),MATCH(orders!K$1,products!$A$1:$D$1,0))</f>
        <v>D</v>
      </c>
      <c r="L226" t="str">
        <f t="shared" si="19"/>
        <v>Dark</v>
      </c>
      <c r="M226">
        <f>INDEX(products!$A$1:$I$49,MATCH(orders!$D226,products!$A$1:$A$49,0),MATCH(orders!M$1,products!$A$1:$D$1,0))</f>
        <v>2.5</v>
      </c>
      <c r="N226">
        <f>_xlfn.XLOOKUP(D226,products!$A$2:$A$49,products!$E$2:$E$49)</f>
        <v>29.784999999999997</v>
      </c>
      <c r="O226">
        <f>_xlfn.XLOOKUP(D226,products!$A$2:$A$49,products!$H$2:$H$49)</f>
        <v>25.912949999999995</v>
      </c>
      <c r="P226">
        <f t="shared" si="20"/>
        <v>119.13999999999999</v>
      </c>
      <c r="Q226">
        <f t="shared" si="21"/>
        <v>103.65179999999998</v>
      </c>
      <c r="R226">
        <f t="shared" si="22"/>
        <v>15.488200000000006</v>
      </c>
      <c r="S226" s="4">
        <f t="shared" si="23"/>
        <v>0.13000000000000006</v>
      </c>
      <c r="T226" t="str">
        <f>_xlfn.XLOOKUP(C226,customers!$A$1:$A$1001,customers!$I$1:$I$1001,,0)</f>
        <v>Yes</v>
      </c>
    </row>
    <row r="227" spans="1:20"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INDEX(products!$A$1:$I$49,MATCH(orders!$D227,products!$A$1:$A$49,0),MATCH(orders!I$1,products!$A$1:$D$1,0))</f>
        <v>Rob</v>
      </c>
      <c r="J227" t="str">
        <f t="shared" si="18"/>
        <v>Robusta</v>
      </c>
      <c r="K227" t="str">
        <f>INDEX(products!$A$1:$I$49,MATCH(orders!$D227,products!$A$1:$A$49,0),MATCH(orders!K$1,products!$A$1:$D$1,0))</f>
        <v>L</v>
      </c>
      <c r="L227" t="str">
        <f t="shared" si="19"/>
        <v>Light</v>
      </c>
      <c r="M227">
        <f>INDEX(products!$A$1:$I$49,MATCH(orders!$D227,products!$A$1:$A$49,0),MATCH(orders!M$1,products!$A$1:$D$1,0))</f>
        <v>0.2</v>
      </c>
      <c r="N227">
        <f>_xlfn.XLOOKUP(D227,products!$A$2:$A$49,products!$E$2:$E$49)</f>
        <v>3.5849999999999995</v>
      </c>
      <c r="O227">
        <f>_xlfn.XLOOKUP(D227,products!$A$2:$A$49,products!$H$2:$H$49)</f>
        <v>3.3698999999999995</v>
      </c>
      <c r="P227">
        <f t="shared" si="20"/>
        <v>14.339999999999998</v>
      </c>
      <c r="Q227">
        <f t="shared" si="21"/>
        <v>13.479599999999998</v>
      </c>
      <c r="R227">
        <f t="shared" si="22"/>
        <v>0.86040000000000028</v>
      </c>
      <c r="S227" s="4">
        <f t="shared" si="23"/>
        <v>6.0000000000000026E-2</v>
      </c>
      <c r="T227" t="str">
        <f>_xlfn.XLOOKUP(C227,customers!$A$1:$A$1001,customers!$I$1:$I$1001,,0)</f>
        <v>No</v>
      </c>
    </row>
    <row r="228" spans="1:20"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INDEX(products!$A$1:$I$49,MATCH(orders!$D228,products!$A$1:$A$49,0),MATCH(orders!I$1,products!$A$1:$D$1,0))</f>
        <v>Ara</v>
      </c>
      <c r="J228" t="str">
        <f t="shared" si="18"/>
        <v>Arabica</v>
      </c>
      <c r="K228" t="str">
        <f>INDEX(products!$A$1:$I$49,MATCH(orders!$D228,products!$A$1:$A$49,0),MATCH(orders!K$1,products!$A$1:$D$1,0))</f>
        <v>M</v>
      </c>
      <c r="L228" t="str">
        <f t="shared" si="19"/>
        <v>Medium</v>
      </c>
      <c r="M228">
        <f>INDEX(products!$A$1:$I$49,MATCH(orders!$D228,products!$A$1:$A$49,0),MATCH(orders!M$1,products!$A$1:$D$1,0))</f>
        <v>2.5</v>
      </c>
      <c r="N228">
        <f>_xlfn.XLOOKUP(D228,products!$A$2:$A$49,products!$E$2:$E$49)</f>
        <v>25.874999999999996</v>
      </c>
      <c r="O228">
        <f>_xlfn.XLOOKUP(D228,products!$A$2:$A$49,products!$H$2:$H$49)</f>
        <v>23.546249999999997</v>
      </c>
      <c r="P228">
        <f t="shared" si="20"/>
        <v>129.37499999999997</v>
      </c>
      <c r="Q228">
        <f t="shared" si="21"/>
        <v>117.73124999999999</v>
      </c>
      <c r="R228">
        <f t="shared" si="22"/>
        <v>11.643749999999983</v>
      </c>
      <c r="S228" s="4">
        <f t="shared" si="23"/>
        <v>8.9999999999999886E-2</v>
      </c>
      <c r="T228" t="str">
        <f>_xlfn.XLOOKUP(C228,customers!$A$1:$A$1001,customers!$I$1:$I$1001,,0)</f>
        <v>No</v>
      </c>
    </row>
    <row r="229" spans="1:20"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INDEX(products!$A$1:$I$49,MATCH(orders!$D229,products!$A$1:$A$49,0),MATCH(orders!I$1,products!$A$1:$D$1,0))</f>
        <v>Rob</v>
      </c>
      <c r="J229" t="str">
        <f t="shared" si="18"/>
        <v>Robusta</v>
      </c>
      <c r="K229" t="str">
        <f>INDEX(products!$A$1:$I$49,MATCH(orders!$D229,products!$A$1:$A$49,0),MATCH(orders!K$1,products!$A$1:$D$1,0))</f>
        <v>D</v>
      </c>
      <c r="L229" t="str">
        <f t="shared" si="19"/>
        <v>Dark</v>
      </c>
      <c r="M229">
        <f>INDEX(products!$A$1:$I$49,MATCH(orders!$D229,products!$A$1:$A$49,0),MATCH(orders!M$1,products!$A$1:$D$1,0))</f>
        <v>0.2</v>
      </c>
      <c r="N229">
        <f>_xlfn.XLOOKUP(D229,products!$A$2:$A$49,products!$E$2:$E$49)</f>
        <v>2.6849999999999996</v>
      </c>
      <c r="O229">
        <f>_xlfn.XLOOKUP(D229,products!$A$2:$A$49,products!$H$2:$H$49)</f>
        <v>2.5238999999999998</v>
      </c>
      <c r="P229">
        <f t="shared" si="20"/>
        <v>16.11</v>
      </c>
      <c r="Q229">
        <f t="shared" si="21"/>
        <v>15.1434</v>
      </c>
      <c r="R229">
        <f t="shared" si="22"/>
        <v>0.96659999999999968</v>
      </c>
      <c r="S229" s="4">
        <f t="shared" si="23"/>
        <v>5.9999999999999984E-2</v>
      </c>
      <c r="T229" t="str">
        <f>_xlfn.XLOOKUP(C229,customers!$A$1:$A$1001,customers!$I$1:$I$1001,,0)</f>
        <v>Yes</v>
      </c>
    </row>
    <row r="230" spans="1:20"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INDEX(products!$A$1:$I$49,MATCH(orders!$D230,products!$A$1:$A$49,0),MATCH(orders!I$1,products!$A$1:$D$1,0))</f>
        <v>Rob</v>
      </c>
      <c r="J230" t="str">
        <f t="shared" si="18"/>
        <v>Robusta</v>
      </c>
      <c r="K230" t="str">
        <f>INDEX(products!$A$1:$I$49,MATCH(orders!$D230,products!$A$1:$A$49,0),MATCH(orders!K$1,products!$A$1:$D$1,0))</f>
        <v>L</v>
      </c>
      <c r="L230" t="str">
        <f t="shared" si="19"/>
        <v>Light</v>
      </c>
      <c r="M230">
        <f>INDEX(products!$A$1:$I$49,MATCH(orders!$D230,products!$A$1:$A$49,0),MATCH(orders!M$1,products!$A$1:$D$1,0))</f>
        <v>0.2</v>
      </c>
      <c r="N230">
        <f>_xlfn.XLOOKUP(D230,products!$A$2:$A$49,products!$E$2:$E$49)</f>
        <v>3.5849999999999995</v>
      </c>
      <c r="O230">
        <f>_xlfn.XLOOKUP(D230,products!$A$2:$A$49,products!$H$2:$H$49)</f>
        <v>3.3698999999999995</v>
      </c>
      <c r="P230">
        <f t="shared" si="20"/>
        <v>17.924999999999997</v>
      </c>
      <c r="Q230">
        <f t="shared" si="21"/>
        <v>16.849499999999999</v>
      </c>
      <c r="R230">
        <f t="shared" si="22"/>
        <v>1.0754999999999981</v>
      </c>
      <c r="S230" s="4">
        <f t="shared" si="23"/>
        <v>5.9999999999999908E-2</v>
      </c>
      <c r="T230" t="str">
        <f>_xlfn.XLOOKUP(C230,customers!$A$1:$A$1001,customers!$I$1:$I$1001,,0)</f>
        <v>No</v>
      </c>
    </row>
    <row r="231" spans="1:20"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INDEX(products!$A$1:$I$49,MATCH(orders!$D231,products!$A$1:$A$49,0),MATCH(orders!I$1,products!$A$1:$D$1,0))</f>
        <v>Lib</v>
      </c>
      <c r="J231" t="str">
        <f t="shared" si="18"/>
        <v>Liberica</v>
      </c>
      <c r="K231" t="str">
        <f>INDEX(products!$A$1:$I$49,MATCH(orders!$D231,products!$A$1:$A$49,0),MATCH(orders!K$1,products!$A$1:$D$1,0))</f>
        <v>M</v>
      </c>
      <c r="L231" t="str">
        <f t="shared" si="19"/>
        <v>Medium</v>
      </c>
      <c r="M231">
        <f>INDEX(products!$A$1:$I$49,MATCH(orders!$D231,products!$A$1:$A$49,0),MATCH(orders!M$1,products!$A$1:$D$1,0))</f>
        <v>0.2</v>
      </c>
      <c r="N231">
        <f>_xlfn.XLOOKUP(D231,products!$A$2:$A$49,products!$E$2:$E$49)</f>
        <v>4.3650000000000002</v>
      </c>
      <c r="O231">
        <f>_xlfn.XLOOKUP(D231,products!$A$2:$A$49,products!$H$2:$H$49)</f>
        <v>3.7975500000000002</v>
      </c>
      <c r="P231">
        <f t="shared" si="20"/>
        <v>8.73</v>
      </c>
      <c r="Q231">
        <f t="shared" si="21"/>
        <v>7.5951000000000004</v>
      </c>
      <c r="R231">
        <f t="shared" si="22"/>
        <v>1.1349</v>
      </c>
      <c r="S231" s="4">
        <f t="shared" si="23"/>
        <v>0.13</v>
      </c>
      <c r="T231" t="str">
        <f>_xlfn.XLOOKUP(C231,customers!$A$1:$A$1001,customers!$I$1:$I$1001,,0)</f>
        <v>No</v>
      </c>
    </row>
    <row r="232" spans="1:20"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INDEX(products!$A$1:$I$49,MATCH(orders!$D232,products!$A$1:$A$49,0),MATCH(orders!I$1,products!$A$1:$D$1,0))</f>
        <v>Ara</v>
      </c>
      <c r="J232" t="str">
        <f t="shared" si="18"/>
        <v>Arabica</v>
      </c>
      <c r="K232" t="str">
        <f>INDEX(products!$A$1:$I$49,MATCH(orders!$D232,products!$A$1:$A$49,0),MATCH(orders!K$1,products!$A$1:$D$1,0))</f>
        <v>M</v>
      </c>
      <c r="L232" t="str">
        <f t="shared" si="19"/>
        <v>Medium</v>
      </c>
      <c r="M232">
        <f>INDEX(products!$A$1:$I$49,MATCH(orders!$D232,products!$A$1:$A$49,0),MATCH(orders!M$1,products!$A$1:$D$1,0))</f>
        <v>2.5</v>
      </c>
      <c r="N232">
        <f>_xlfn.XLOOKUP(D232,products!$A$2:$A$49,products!$E$2:$E$49)</f>
        <v>25.874999999999996</v>
      </c>
      <c r="O232">
        <f>_xlfn.XLOOKUP(D232,products!$A$2:$A$49,products!$H$2:$H$49)</f>
        <v>23.546249999999997</v>
      </c>
      <c r="P232">
        <f t="shared" si="20"/>
        <v>51.749999999999993</v>
      </c>
      <c r="Q232">
        <f t="shared" si="21"/>
        <v>47.092499999999994</v>
      </c>
      <c r="R232">
        <f t="shared" si="22"/>
        <v>4.6574999999999989</v>
      </c>
      <c r="S232" s="4">
        <f t="shared" si="23"/>
        <v>0.09</v>
      </c>
      <c r="T232" t="str">
        <f>_xlfn.XLOOKUP(C232,customers!$A$1:$A$1001,customers!$I$1:$I$1001,,0)</f>
        <v>No</v>
      </c>
    </row>
    <row r="233" spans="1:20"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v>
      </c>
      <c r="H233" s="2" t="str">
        <f>_xlfn.XLOOKUP(C233,customers!$A$1:$A$1001,customers!$G$1:$G$1001,,0)</f>
        <v>United States</v>
      </c>
      <c r="I233" t="str">
        <f>INDEX(products!$A$1:$I$49,MATCH(orders!$D233,products!$A$1:$A$49,0),MATCH(orders!I$1,products!$A$1:$D$1,0))</f>
        <v>Lib</v>
      </c>
      <c r="J233" t="str">
        <f t="shared" si="18"/>
        <v>Liberica</v>
      </c>
      <c r="K233" t="str">
        <f>INDEX(products!$A$1:$I$49,MATCH(orders!$D233,products!$A$1:$A$49,0),MATCH(orders!K$1,products!$A$1:$D$1,0))</f>
        <v>M</v>
      </c>
      <c r="L233" t="str">
        <f t="shared" si="19"/>
        <v>Medium</v>
      </c>
      <c r="M233">
        <f>INDEX(products!$A$1:$I$49,MATCH(orders!$D233,products!$A$1:$A$49,0),MATCH(orders!M$1,products!$A$1:$D$1,0))</f>
        <v>0.2</v>
      </c>
      <c r="N233">
        <f>_xlfn.XLOOKUP(D233,products!$A$2:$A$49,products!$E$2:$E$49)</f>
        <v>4.3650000000000002</v>
      </c>
      <c r="O233">
        <f>_xlfn.XLOOKUP(D233,products!$A$2:$A$49,products!$H$2:$H$49)</f>
        <v>3.7975500000000002</v>
      </c>
      <c r="P233">
        <f t="shared" si="20"/>
        <v>8.73</v>
      </c>
      <c r="Q233">
        <f t="shared" si="21"/>
        <v>7.5951000000000004</v>
      </c>
      <c r="R233">
        <f t="shared" si="22"/>
        <v>1.1349</v>
      </c>
      <c r="S233" s="4">
        <f t="shared" si="23"/>
        <v>0.13</v>
      </c>
      <c r="T233" t="str">
        <f>_xlfn.XLOOKUP(C233,customers!$A$1:$A$1001,customers!$I$1:$I$1001,,0)</f>
        <v>Yes</v>
      </c>
    </row>
    <row r="234" spans="1:20"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INDEX(products!$A$1:$I$49,MATCH(orders!$D234,products!$A$1:$A$49,0),MATCH(orders!I$1,products!$A$1:$D$1,0))</f>
        <v>Lib</v>
      </c>
      <c r="J234" t="str">
        <f t="shared" si="18"/>
        <v>Liberica</v>
      </c>
      <c r="K234" t="str">
        <f>INDEX(products!$A$1:$I$49,MATCH(orders!$D234,products!$A$1:$A$49,0),MATCH(orders!K$1,products!$A$1:$D$1,0))</f>
        <v>L</v>
      </c>
      <c r="L234" t="str">
        <f t="shared" si="19"/>
        <v>Light</v>
      </c>
      <c r="M234">
        <f>INDEX(products!$A$1:$I$49,MATCH(orders!$D234,products!$A$1:$A$49,0),MATCH(orders!M$1,products!$A$1:$D$1,0))</f>
        <v>0.2</v>
      </c>
      <c r="N234">
        <f>_xlfn.XLOOKUP(D234,products!$A$2:$A$49,products!$E$2:$E$49)</f>
        <v>4.7549999999999999</v>
      </c>
      <c r="O234">
        <f>_xlfn.XLOOKUP(D234,products!$A$2:$A$49,products!$H$2:$H$49)</f>
        <v>4.1368499999999999</v>
      </c>
      <c r="P234">
        <f t="shared" si="20"/>
        <v>23.774999999999999</v>
      </c>
      <c r="Q234">
        <f t="shared" si="21"/>
        <v>20.684249999999999</v>
      </c>
      <c r="R234">
        <f t="shared" si="22"/>
        <v>3.0907499999999999</v>
      </c>
      <c r="S234" s="4">
        <f t="shared" si="23"/>
        <v>0.13</v>
      </c>
      <c r="T234" t="str">
        <f>_xlfn.XLOOKUP(C234,customers!$A$1:$A$1001,customers!$I$1:$I$1001,,0)</f>
        <v>No</v>
      </c>
    </row>
    <row r="235" spans="1:20"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INDEX(products!$A$1:$I$49,MATCH(orders!$D235,products!$A$1:$A$49,0),MATCH(orders!I$1,products!$A$1:$D$1,0))</f>
        <v>Exc</v>
      </c>
      <c r="J235" t="str">
        <f t="shared" si="18"/>
        <v>Excelsa</v>
      </c>
      <c r="K235" t="str">
        <f>INDEX(products!$A$1:$I$49,MATCH(orders!$D235,products!$A$1:$A$49,0),MATCH(orders!K$1,products!$A$1:$D$1,0))</f>
        <v>M</v>
      </c>
      <c r="L235" t="str">
        <f t="shared" si="19"/>
        <v>Medium</v>
      </c>
      <c r="M235">
        <f>INDEX(products!$A$1:$I$49,MATCH(orders!$D235,products!$A$1:$A$49,0),MATCH(orders!M$1,products!$A$1:$D$1,0))</f>
        <v>0.2</v>
      </c>
      <c r="N235">
        <f>_xlfn.XLOOKUP(D235,products!$A$2:$A$49,products!$E$2:$E$49)</f>
        <v>4.125</v>
      </c>
      <c r="O235">
        <f>_xlfn.XLOOKUP(D235,products!$A$2:$A$49,products!$H$2:$H$49)</f>
        <v>3.6712500000000001</v>
      </c>
      <c r="P235">
        <f t="shared" si="20"/>
        <v>20.625</v>
      </c>
      <c r="Q235">
        <f t="shared" si="21"/>
        <v>18.356249999999999</v>
      </c>
      <c r="R235">
        <f t="shared" si="22"/>
        <v>2.2687500000000007</v>
      </c>
      <c r="S235" s="4">
        <f t="shared" si="23"/>
        <v>0.11000000000000003</v>
      </c>
      <c r="T235" t="str">
        <f>_xlfn.XLOOKUP(C235,customers!$A$1:$A$1001,customers!$I$1:$I$1001,,0)</f>
        <v>No</v>
      </c>
    </row>
    <row r="236" spans="1:20"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INDEX(products!$A$1:$I$49,MATCH(orders!$D236,products!$A$1:$A$49,0),MATCH(orders!I$1,products!$A$1:$D$1,0))</f>
        <v>Lib</v>
      </c>
      <c r="J236" t="str">
        <f t="shared" si="18"/>
        <v>Liberica</v>
      </c>
      <c r="K236" t="str">
        <f>INDEX(products!$A$1:$I$49,MATCH(orders!$D236,products!$A$1:$A$49,0),MATCH(orders!K$1,products!$A$1:$D$1,0))</f>
        <v>L</v>
      </c>
      <c r="L236" t="str">
        <f t="shared" si="19"/>
        <v>Light</v>
      </c>
      <c r="M236">
        <f>INDEX(products!$A$1:$I$49,MATCH(orders!$D236,products!$A$1:$A$49,0),MATCH(orders!M$1,products!$A$1:$D$1,0))</f>
        <v>2.5</v>
      </c>
      <c r="N236">
        <f>_xlfn.XLOOKUP(D236,products!$A$2:$A$49,products!$E$2:$E$49)</f>
        <v>36.454999999999998</v>
      </c>
      <c r="O236">
        <f>_xlfn.XLOOKUP(D236,products!$A$2:$A$49,products!$H$2:$H$49)</f>
        <v>31.71585</v>
      </c>
      <c r="P236">
        <f t="shared" si="20"/>
        <v>36.454999999999998</v>
      </c>
      <c r="Q236">
        <f t="shared" si="21"/>
        <v>31.71585</v>
      </c>
      <c r="R236">
        <f t="shared" si="22"/>
        <v>4.7391499999999986</v>
      </c>
      <c r="S236" s="4">
        <f t="shared" si="23"/>
        <v>0.12999999999999998</v>
      </c>
      <c r="T236" t="str">
        <f>_xlfn.XLOOKUP(C236,customers!$A$1:$A$1001,customers!$I$1:$I$1001,,0)</f>
        <v>No</v>
      </c>
    </row>
    <row r="237" spans="1:20"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v>
      </c>
      <c r="H237" s="2" t="str">
        <f>_xlfn.XLOOKUP(C237,customers!$A$1:$A$1001,customers!$G$1:$G$1001,,0)</f>
        <v>Ireland</v>
      </c>
      <c r="I237" t="str">
        <f>INDEX(products!$A$1:$I$49,MATCH(orders!$D237,products!$A$1:$A$49,0),MATCH(orders!I$1,products!$A$1:$D$1,0))</f>
        <v>Lib</v>
      </c>
      <c r="J237" t="str">
        <f t="shared" si="18"/>
        <v>Liberica</v>
      </c>
      <c r="K237" t="str">
        <f>INDEX(products!$A$1:$I$49,MATCH(orders!$D237,products!$A$1:$A$49,0),MATCH(orders!K$1,products!$A$1:$D$1,0))</f>
        <v>L</v>
      </c>
      <c r="L237" t="str">
        <f t="shared" si="19"/>
        <v>Light</v>
      </c>
      <c r="M237">
        <f>INDEX(products!$A$1:$I$49,MATCH(orders!$D237,products!$A$1:$A$49,0),MATCH(orders!M$1,products!$A$1:$D$1,0))</f>
        <v>2.5</v>
      </c>
      <c r="N237">
        <f>_xlfn.XLOOKUP(D237,products!$A$2:$A$49,products!$E$2:$E$49)</f>
        <v>36.454999999999998</v>
      </c>
      <c r="O237">
        <f>_xlfn.XLOOKUP(D237,products!$A$2:$A$49,products!$H$2:$H$49)</f>
        <v>31.71585</v>
      </c>
      <c r="P237">
        <f t="shared" si="20"/>
        <v>182.27499999999998</v>
      </c>
      <c r="Q237">
        <f t="shared" si="21"/>
        <v>158.57925</v>
      </c>
      <c r="R237">
        <f t="shared" si="22"/>
        <v>23.695749999999975</v>
      </c>
      <c r="S237" s="4">
        <f t="shared" si="23"/>
        <v>0.12999999999999989</v>
      </c>
      <c r="T237" t="str">
        <f>_xlfn.XLOOKUP(C237,customers!$A$1:$A$1001,customers!$I$1:$I$1001,,0)</f>
        <v>No</v>
      </c>
    </row>
    <row r="238" spans="1:20"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INDEX(products!$A$1:$I$49,MATCH(orders!$D238,products!$A$1:$A$49,0),MATCH(orders!I$1,products!$A$1:$D$1,0))</f>
        <v>Lib</v>
      </c>
      <c r="J238" t="str">
        <f t="shared" si="18"/>
        <v>Liberica</v>
      </c>
      <c r="K238" t="str">
        <f>INDEX(products!$A$1:$I$49,MATCH(orders!$D238,products!$A$1:$A$49,0),MATCH(orders!K$1,products!$A$1:$D$1,0))</f>
        <v>D</v>
      </c>
      <c r="L238" t="str">
        <f t="shared" si="19"/>
        <v>Dark</v>
      </c>
      <c r="M238">
        <f>INDEX(products!$A$1:$I$49,MATCH(orders!$D238,products!$A$1:$A$49,0),MATCH(orders!M$1,products!$A$1:$D$1,0))</f>
        <v>2.5</v>
      </c>
      <c r="N238">
        <f>_xlfn.XLOOKUP(D238,products!$A$2:$A$49,products!$E$2:$E$49)</f>
        <v>29.784999999999997</v>
      </c>
      <c r="O238">
        <f>_xlfn.XLOOKUP(D238,products!$A$2:$A$49,products!$H$2:$H$49)</f>
        <v>25.912949999999995</v>
      </c>
      <c r="P238">
        <f t="shared" si="20"/>
        <v>89.35499999999999</v>
      </c>
      <c r="Q238">
        <f t="shared" si="21"/>
        <v>77.738849999999985</v>
      </c>
      <c r="R238">
        <f t="shared" si="22"/>
        <v>11.616150000000005</v>
      </c>
      <c r="S238" s="4">
        <f t="shared" si="23"/>
        <v>0.13000000000000006</v>
      </c>
      <c r="T238" t="str">
        <f>_xlfn.XLOOKUP(C238,customers!$A$1:$A$1001,customers!$I$1:$I$1001,,0)</f>
        <v>No</v>
      </c>
    </row>
    <row r="239" spans="1:20"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v>
      </c>
      <c r="H239" s="2" t="str">
        <f>_xlfn.XLOOKUP(C239,customers!$A$1:$A$1001,customers!$G$1:$G$1001,,0)</f>
        <v>United States</v>
      </c>
      <c r="I239" t="str">
        <f>INDEX(products!$A$1:$I$49,MATCH(orders!$D239,products!$A$1:$A$49,0),MATCH(orders!I$1,products!$A$1:$D$1,0))</f>
        <v>Rob</v>
      </c>
      <c r="J239" t="str">
        <f t="shared" si="18"/>
        <v>Robusta</v>
      </c>
      <c r="K239" t="str">
        <f>INDEX(products!$A$1:$I$49,MATCH(orders!$D239,products!$A$1:$A$49,0),MATCH(orders!K$1,products!$A$1:$D$1,0))</f>
        <v>L</v>
      </c>
      <c r="L239" t="str">
        <f t="shared" si="19"/>
        <v>Light</v>
      </c>
      <c r="M239">
        <f>INDEX(products!$A$1:$I$49,MATCH(orders!$D239,products!$A$1:$A$49,0),MATCH(orders!M$1,products!$A$1:$D$1,0))</f>
        <v>0.2</v>
      </c>
      <c r="N239">
        <f>_xlfn.XLOOKUP(D239,products!$A$2:$A$49,products!$E$2:$E$49)</f>
        <v>3.5849999999999995</v>
      </c>
      <c r="O239">
        <f>_xlfn.XLOOKUP(D239,products!$A$2:$A$49,products!$H$2:$H$49)</f>
        <v>3.3698999999999995</v>
      </c>
      <c r="P239">
        <f t="shared" si="20"/>
        <v>3.5849999999999995</v>
      </c>
      <c r="Q239">
        <f t="shared" si="21"/>
        <v>3.3698999999999995</v>
      </c>
      <c r="R239">
        <f t="shared" si="22"/>
        <v>0.21510000000000007</v>
      </c>
      <c r="S239" s="4">
        <f t="shared" si="23"/>
        <v>6.0000000000000026E-2</v>
      </c>
      <c r="T239" t="str">
        <f>_xlfn.XLOOKUP(C239,customers!$A$1:$A$1001,customers!$I$1:$I$1001,,0)</f>
        <v>Yes</v>
      </c>
    </row>
    <row r="240" spans="1:20"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INDEX(products!$A$1:$I$49,MATCH(orders!$D240,products!$A$1:$A$49,0),MATCH(orders!I$1,products!$A$1:$D$1,0))</f>
        <v>Rob</v>
      </c>
      <c r="J240" t="str">
        <f t="shared" si="18"/>
        <v>Robusta</v>
      </c>
      <c r="K240" t="str">
        <f>INDEX(products!$A$1:$I$49,MATCH(orders!$D240,products!$A$1:$A$49,0),MATCH(orders!K$1,products!$A$1:$D$1,0))</f>
        <v>M</v>
      </c>
      <c r="L240" t="str">
        <f t="shared" si="19"/>
        <v>Medium</v>
      </c>
      <c r="M240">
        <f>INDEX(products!$A$1:$I$49,MATCH(orders!$D240,products!$A$1:$A$49,0),MATCH(orders!M$1,products!$A$1:$D$1,0))</f>
        <v>2.5</v>
      </c>
      <c r="N240">
        <f>_xlfn.XLOOKUP(D240,products!$A$2:$A$49,products!$E$2:$E$49)</f>
        <v>22.884999999999998</v>
      </c>
      <c r="O240">
        <f>_xlfn.XLOOKUP(D240,products!$A$2:$A$49,products!$H$2:$H$49)</f>
        <v>21.511899999999997</v>
      </c>
      <c r="P240">
        <f t="shared" si="20"/>
        <v>45.769999999999996</v>
      </c>
      <c r="Q240">
        <f t="shared" si="21"/>
        <v>43.023799999999994</v>
      </c>
      <c r="R240">
        <f t="shared" si="22"/>
        <v>2.7462000000000018</v>
      </c>
      <c r="S240" s="4">
        <f t="shared" si="23"/>
        <v>6.0000000000000046E-2</v>
      </c>
      <c r="T240" t="str">
        <f>_xlfn.XLOOKUP(C240,customers!$A$1:$A$1001,customers!$I$1:$I$1001,,0)</f>
        <v>Yes</v>
      </c>
    </row>
    <row r="241" spans="1:20"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INDEX(products!$A$1:$I$49,MATCH(orders!$D241,products!$A$1:$A$49,0),MATCH(orders!I$1,products!$A$1:$D$1,0))</f>
        <v>Exc</v>
      </c>
      <c r="J241" t="str">
        <f t="shared" si="18"/>
        <v>Excelsa</v>
      </c>
      <c r="K241" t="str">
        <f>INDEX(products!$A$1:$I$49,MATCH(orders!$D241,products!$A$1:$A$49,0),MATCH(orders!K$1,products!$A$1:$D$1,0))</f>
        <v>L</v>
      </c>
      <c r="L241" t="str">
        <f t="shared" si="19"/>
        <v>Light</v>
      </c>
      <c r="M241">
        <f>INDEX(products!$A$1:$I$49,MATCH(orders!$D241,products!$A$1:$A$49,0),MATCH(orders!M$1,products!$A$1:$D$1,0))</f>
        <v>1</v>
      </c>
      <c r="N241">
        <f>_xlfn.XLOOKUP(D241,products!$A$2:$A$49,products!$E$2:$E$49)</f>
        <v>14.85</v>
      </c>
      <c r="O241">
        <f>_xlfn.XLOOKUP(D241,products!$A$2:$A$49,products!$H$2:$H$49)</f>
        <v>13.2165</v>
      </c>
      <c r="P241">
        <f t="shared" si="20"/>
        <v>59.4</v>
      </c>
      <c r="Q241">
        <f t="shared" si="21"/>
        <v>52.866</v>
      </c>
      <c r="R241">
        <f t="shared" si="22"/>
        <v>6.5339999999999989</v>
      </c>
      <c r="S241" s="4">
        <f t="shared" si="23"/>
        <v>0.10999999999999999</v>
      </c>
      <c r="T241" t="str">
        <f>_xlfn.XLOOKUP(C241,customers!$A$1:$A$1001,customers!$I$1:$I$1001,,0)</f>
        <v>No</v>
      </c>
    </row>
    <row r="242" spans="1:20"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v>
      </c>
      <c r="H242" s="2" t="str">
        <f>_xlfn.XLOOKUP(C242,customers!$A$1:$A$1001,customers!$G$1:$G$1001,,0)</f>
        <v>United States</v>
      </c>
      <c r="I242" t="str">
        <f>INDEX(products!$A$1:$I$49,MATCH(orders!$D242,products!$A$1:$A$49,0),MATCH(orders!I$1,products!$A$1:$D$1,0))</f>
        <v>Ara</v>
      </c>
      <c r="J242" t="str">
        <f t="shared" si="18"/>
        <v>Arabica</v>
      </c>
      <c r="K242" t="str">
        <f>INDEX(products!$A$1:$I$49,MATCH(orders!$D242,products!$A$1:$A$49,0),MATCH(orders!K$1,products!$A$1:$D$1,0))</f>
        <v>M</v>
      </c>
      <c r="L242" t="str">
        <f t="shared" si="19"/>
        <v>Medium</v>
      </c>
      <c r="M242">
        <f>INDEX(products!$A$1:$I$49,MATCH(orders!$D242,products!$A$1:$A$49,0),MATCH(orders!M$1,products!$A$1:$D$1,0))</f>
        <v>2.5</v>
      </c>
      <c r="N242">
        <f>_xlfn.XLOOKUP(D242,products!$A$2:$A$49,products!$E$2:$E$49)</f>
        <v>25.874999999999996</v>
      </c>
      <c r="O242">
        <f>_xlfn.XLOOKUP(D242,products!$A$2:$A$49,products!$H$2:$H$49)</f>
        <v>23.546249999999997</v>
      </c>
      <c r="P242">
        <f t="shared" si="20"/>
        <v>155.24999999999997</v>
      </c>
      <c r="Q242">
        <f t="shared" si="21"/>
        <v>141.27749999999997</v>
      </c>
      <c r="R242">
        <f t="shared" si="22"/>
        <v>13.972499999999997</v>
      </c>
      <c r="S242" s="4">
        <f t="shared" si="23"/>
        <v>0.09</v>
      </c>
      <c r="T242" t="str">
        <f>_xlfn.XLOOKUP(C242,customers!$A$1:$A$1001,customers!$I$1:$I$1001,,0)</f>
        <v>Yes</v>
      </c>
    </row>
    <row r="243" spans="1:20"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v>
      </c>
      <c r="H243" s="2" t="str">
        <f>_xlfn.XLOOKUP(C243,customers!$A$1:$A$1001,customers!$G$1:$G$1001,,0)</f>
        <v>United States</v>
      </c>
      <c r="I243" t="str">
        <f>INDEX(products!$A$1:$I$49,MATCH(orders!$D243,products!$A$1:$A$49,0),MATCH(orders!I$1,products!$A$1:$D$1,0))</f>
        <v>Rob</v>
      </c>
      <c r="J243" t="str">
        <f t="shared" si="18"/>
        <v>Robusta</v>
      </c>
      <c r="K243" t="str">
        <f>INDEX(products!$A$1:$I$49,MATCH(orders!$D243,products!$A$1:$A$49,0),MATCH(orders!K$1,products!$A$1:$D$1,0))</f>
        <v>M</v>
      </c>
      <c r="L243" t="str">
        <f t="shared" si="19"/>
        <v>Medium</v>
      </c>
      <c r="M243">
        <f>INDEX(products!$A$1:$I$49,MATCH(orders!$D243,products!$A$1:$A$49,0),MATCH(orders!M$1,products!$A$1:$D$1,0))</f>
        <v>2.5</v>
      </c>
      <c r="N243">
        <f>_xlfn.XLOOKUP(D243,products!$A$2:$A$49,products!$E$2:$E$49)</f>
        <v>22.884999999999998</v>
      </c>
      <c r="O243">
        <f>_xlfn.XLOOKUP(D243,products!$A$2:$A$49,products!$H$2:$H$49)</f>
        <v>21.511899999999997</v>
      </c>
      <c r="P243">
        <f t="shared" si="20"/>
        <v>45.769999999999996</v>
      </c>
      <c r="Q243">
        <f t="shared" si="21"/>
        <v>43.023799999999994</v>
      </c>
      <c r="R243">
        <f t="shared" si="22"/>
        <v>2.7462000000000018</v>
      </c>
      <c r="S243" s="4">
        <f t="shared" si="23"/>
        <v>6.0000000000000046E-2</v>
      </c>
      <c r="T243" t="str">
        <f>_xlfn.XLOOKUP(C243,customers!$A$1:$A$1001,customers!$I$1:$I$1001,,0)</f>
        <v>No</v>
      </c>
    </row>
    <row r="244" spans="1:20"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INDEX(products!$A$1:$I$49,MATCH(orders!$D244,products!$A$1:$A$49,0),MATCH(orders!I$1,products!$A$1:$D$1,0))</f>
        <v>Exc</v>
      </c>
      <c r="J244" t="str">
        <f t="shared" si="18"/>
        <v>Excelsa</v>
      </c>
      <c r="K244" t="str">
        <f>INDEX(products!$A$1:$I$49,MATCH(orders!$D244,products!$A$1:$A$49,0),MATCH(orders!K$1,products!$A$1:$D$1,0))</f>
        <v>D</v>
      </c>
      <c r="L244" t="str">
        <f t="shared" si="19"/>
        <v>Dark</v>
      </c>
      <c r="M244">
        <f>INDEX(products!$A$1:$I$49,MATCH(orders!$D244,products!$A$1:$A$49,0),MATCH(orders!M$1,products!$A$1:$D$1,0))</f>
        <v>1</v>
      </c>
      <c r="N244">
        <f>_xlfn.XLOOKUP(D244,products!$A$2:$A$49,products!$E$2:$E$49)</f>
        <v>12.15</v>
      </c>
      <c r="O244">
        <f>_xlfn.XLOOKUP(D244,products!$A$2:$A$49,products!$H$2:$H$49)</f>
        <v>10.813500000000001</v>
      </c>
      <c r="P244">
        <f t="shared" si="20"/>
        <v>36.450000000000003</v>
      </c>
      <c r="Q244">
        <f t="shared" si="21"/>
        <v>32.4405</v>
      </c>
      <c r="R244">
        <f t="shared" si="22"/>
        <v>4.0095000000000027</v>
      </c>
      <c r="S244" s="4">
        <f t="shared" si="23"/>
        <v>0.11000000000000007</v>
      </c>
      <c r="T244" t="str">
        <f>_xlfn.XLOOKUP(C244,customers!$A$1:$A$1001,customers!$I$1:$I$1001,,0)</f>
        <v>Yes</v>
      </c>
    </row>
    <row r="245" spans="1:20"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INDEX(products!$A$1:$I$49,MATCH(orders!$D245,products!$A$1:$A$49,0),MATCH(orders!I$1,products!$A$1:$D$1,0))</f>
        <v>Exc</v>
      </c>
      <c r="J245" t="str">
        <f t="shared" si="18"/>
        <v>Excelsa</v>
      </c>
      <c r="K245" t="str">
        <f>INDEX(products!$A$1:$I$49,MATCH(orders!$D245,products!$A$1:$A$49,0),MATCH(orders!K$1,products!$A$1:$D$1,0))</f>
        <v>D</v>
      </c>
      <c r="L245" t="str">
        <f t="shared" si="19"/>
        <v>Dark</v>
      </c>
      <c r="M245">
        <f>INDEX(products!$A$1:$I$49,MATCH(orders!$D245,products!$A$1:$A$49,0),MATCH(orders!M$1,products!$A$1:$D$1,0))</f>
        <v>0.5</v>
      </c>
      <c r="N245">
        <f>_xlfn.XLOOKUP(D245,products!$A$2:$A$49,products!$E$2:$E$49)</f>
        <v>7.29</v>
      </c>
      <c r="O245">
        <f>_xlfn.XLOOKUP(D245,products!$A$2:$A$49,products!$H$2:$H$49)</f>
        <v>6.4881000000000002</v>
      </c>
      <c r="P245">
        <f t="shared" si="20"/>
        <v>29.16</v>
      </c>
      <c r="Q245">
        <f t="shared" si="21"/>
        <v>25.952400000000001</v>
      </c>
      <c r="R245">
        <f t="shared" si="22"/>
        <v>3.2075999999999993</v>
      </c>
      <c r="S245" s="4">
        <f t="shared" si="23"/>
        <v>0.10999999999999997</v>
      </c>
      <c r="T245" t="str">
        <f>_xlfn.XLOOKUP(C245,customers!$A$1:$A$1001,customers!$I$1:$I$1001,,0)</f>
        <v>Yes</v>
      </c>
    </row>
    <row r="246" spans="1:20"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INDEX(products!$A$1:$I$49,MATCH(orders!$D246,products!$A$1:$A$49,0),MATCH(orders!I$1,products!$A$1:$D$1,0))</f>
        <v>Lib</v>
      </c>
      <c r="J246" t="str">
        <f t="shared" si="18"/>
        <v>Liberica</v>
      </c>
      <c r="K246" t="str">
        <f>INDEX(products!$A$1:$I$49,MATCH(orders!$D246,products!$A$1:$A$49,0),MATCH(orders!K$1,products!$A$1:$D$1,0))</f>
        <v>M</v>
      </c>
      <c r="L246" t="str">
        <f t="shared" si="19"/>
        <v>Medium</v>
      </c>
      <c r="M246">
        <f>INDEX(products!$A$1:$I$49,MATCH(orders!$D246,products!$A$1:$A$49,0),MATCH(orders!M$1,products!$A$1:$D$1,0))</f>
        <v>2.5</v>
      </c>
      <c r="N246">
        <f>_xlfn.XLOOKUP(D246,products!$A$2:$A$49,products!$E$2:$E$49)</f>
        <v>33.464999999999996</v>
      </c>
      <c r="O246">
        <f>_xlfn.XLOOKUP(D246,products!$A$2:$A$49,products!$H$2:$H$49)</f>
        <v>29.114549999999998</v>
      </c>
      <c r="P246">
        <f t="shared" si="20"/>
        <v>133.85999999999999</v>
      </c>
      <c r="Q246">
        <f t="shared" si="21"/>
        <v>116.45819999999999</v>
      </c>
      <c r="R246">
        <f t="shared" si="22"/>
        <v>17.401799999999994</v>
      </c>
      <c r="S246" s="4">
        <f t="shared" si="23"/>
        <v>0.12999999999999998</v>
      </c>
      <c r="T246" t="str">
        <f>_xlfn.XLOOKUP(C246,customers!$A$1:$A$1001,customers!$I$1:$I$1001,,0)</f>
        <v>No</v>
      </c>
    </row>
    <row r="247" spans="1:20"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INDEX(products!$A$1:$I$49,MATCH(orders!$D247,products!$A$1:$A$49,0),MATCH(orders!I$1,products!$A$1:$D$1,0))</f>
        <v>Lib</v>
      </c>
      <c r="J247" t="str">
        <f t="shared" si="18"/>
        <v>Liberica</v>
      </c>
      <c r="K247" t="str">
        <f>INDEX(products!$A$1:$I$49,MATCH(orders!$D247,products!$A$1:$A$49,0),MATCH(orders!K$1,products!$A$1:$D$1,0))</f>
        <v>L</v>
      </c>
      <c r="L247" t="str">
        <f t="shared" si="19"/>
        <v>Light</v>
      </c>
      <c r="M247">
        <f>INDEX(products!$A$1:$I$49,MATCH(orders!$D247,products!$A$1:$A$49,0),MATCH(orders!M$1,products!$A$1:$D$1,0))</f>
        <v>0.2</v>
      </c>
      <c r="N247">
        <f>_xlfn.XLOOKUP(D247,products!$A$2:$A$49,products!$E$2:$E$49)</f>
        <v>4.7549999999999999</v>
      </c>
      <c r="O247">
        <f>_xlfn.XLOOKUP(D247,products!$A$2:$A$49,products!$H$2:$H$49)</f>
        <v>4.1368499999999999</v>
      </c>
      <c r="P247">
        <f t="shared" si="20"/>
        <v>23.774999999999999</v>
      </c>
      <c r="Q247">
        <f t="shared" si="21"/>
        <v>20.684249999999999</v>
      </c>
      <c r="R247">
        <f t="shared" si="22"/>
        <v>3.0907499999999999</v>
      </c>
      <c r="S247" s="4">
        <f t="shared" si="23"/>
        <v>0.13</v>
      </c>
      <c r="T247" t="str">
        <f>_xlfn.XLOOKUP(C247,customers!$A$1:$A$1001,customers!$I$1:$I$1001,,0)</f>
        <v>Yes</v>
      </c>
    </row>
    <row r="248" spans="1:20"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INDEX(products!$A$1:$I$49,MATCH(orders!$D248,products!$A$1:$A$49,0),MATCH(orders!I$1,products!$A$1:$D$1,0))</f>
        <v>Lib</v>
      </c>
      <c r="J248" t="str">
        <f t="shared" si="18"/>
        <v>Liberica</v>
      </c>
      <c r="K248" t="str">
        <f>INDEX(products!$A$1:$I$49,MATCH(orders!$D248,products!$A$1:$A$49,0),MATCH(orders!K$1,products!$A$1:$D$1,0))</f>
        <v>D</v>
      </c>
      <c r="L248" t="str">
        <f t="shared" si="19"/>
        <v>Dark</v>
      </c>
      <c r="M248">
        <f>INDEX(products!$A$1:$I$49,MATCH(orders!$D248,products!$A$1:$A$49,0),MATCH(orders!M$1,products!$A$1:$D$1,0))</f>
        <v>1</v>
      </c>
      <c r="N248">
        <f>_xlfn.XLOOKUP(D248,products!$A$2:$A$49,products!$E$2:$E$49)</f>
        <v>12.95</v>
      </c>
      <c r="O248">
        <f>_xlfn.XLOOKUP(D248,products!$A$2:$A$49,products!$H$2:$H$49)</f>
        <v>11.266499999999999</v>
      </c>
      <c r="P248">
        <f t="shared" si="20"/>
        <v>38.849999999999994</v>
      </c>
      <c r="Q248">
        <f t="shared" si="21"/>
        <v>33.799499999999995</v>
      </c>
      <c r="R248">
        <f t="shared" si="22"/>
        <v>5.0504999999999995</v>
      </c>
      <c r="S248" s="4">
        <f t="shared" si="23"/>
        <v>0.13</v>
      </c>
      <c r="T248" t="str">
        <f>_xlfn.XLOOKUP(C248,customers!$A$1:$A$1001,customers!$I$1:$I$1001,,0)</f>
        <v>No</v>
      </c>
    </row>
    <row r="249" spans="1:20"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v>
      </c>
      <c r="H249" s="2" t="str">
        <f>_xlfn.XLOOKUP(C249,customers!$A$1:$A$1001,customers!$G$1:$G$1001,,0)</f>
        <v>Ireland</v>
      </c>
      <c r="I249" t="str">
        <f>INDEX(products!$A$1:$I$49,MATCH(orders!$D249,products!$A$1:$A$49,0),MATCH(orders!I$1,products!$A$1:$D$1,0))</f>
        <v>Rob</v>
      </c>
      <c r="J249" t="str">
        <f t="shared" si="18"/>
        <v>Robusta</v>
      </c>
      <c r="K249" t="str">
        <f>INDEX(products!$A$1:$I$49,MATCH(orders!$D249,products!$A$1:$A$49,0),MATCH(orders!K$1,products!$A$1:$D$1,0))</f>
        <v>L</v>
      </c>
      <c r="L249" t="str">
        <f t="shared" si="19"/>
        <v>Light</v>
      </c>
      <c r="M249">
        <f>INDEX(products!$A$1:$I$49,MATCH(orders!$D249,products!$A$1:$A$49,0),MATCH(orders!M$1,products!$A$1:$D$1,0))</f>
        <v>0.2</v>
      </c>
      <c r="N249">
        <f>_xlfn.XLOOKUP(D249,products!$A$2:$A$49,products!$E$2:$E$49)</f>
        <v>3.5849999999999995</v>
      </c>
      <c r="O249">
        <f>_xlfn.XLOOKUP(D249,products!$A$2:$A$49,products!$H$2:$H$49)</f>
        <v>3.3698999999999995</v>
      </c>
      <c r="P249">
        <f t="shared" si="20"/>
        <v>21.509999999999998</v>
      </c>
      <c r="Q249">
        <f t="shared" si="21"/>
        <v>20.219399999999997</v>
      </c>
      <c r="R249">
        <f t="shared" si="22"/>
        <v>1.2906000000000013</v>
      </c>
      <c r="S249" s="4">
        <f t="shared" si="23"/>
        <v>6.0000000000000067E-2</v>
      </c>
      <c r="T249" t="str">
        <f>_xlfn.XLOOKUP(C249,customers!$A$1:$A$1001,customers!$I$1:$I$1001,,0)</f>
        <v>Yes</v>
      </c>
    </row>
    <row r="250" spans="1:20"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INDEX(products!$A$1:$I$49,MATCH(orders!$D250,products!$A$1:$A$49,0),MATCH(orders!I$1,products!$A$1:$D$1,0))</f>
        <v>Ara</v>
      </c>
      <c r="J250" t="str">
        <f t="shared" si="18"/>
        <v>Arabica</v>
      </c>
      <c r="K250" t="str">
        <f>INDEX(products!$A$1:$I$49,MATCH(orders!$D250,products!$A$1:$A$49,0),MATCH(orders!K$1,products!$A$1:$D$1,0))</f>
        <v>D</v>
      </c>
      <c r="L250" t="str">
        <f t="shared" si="19"/>
        <v>Dark</v>
      </c>
      <c r="M250">
        <f>INDEX(products!$A$1:$I$49,MATCH(orders!$D250,products!$A$1:$A$49,0),MATCH(orders!M$1,products!$A$1:$D$1,0))</f>
        <v>1</v>
      </c>
      <c r="N250">
        <f>_xlfn.XLOOKUP(D250,products!$A$2:$A$49,products!$E$2:$E$49)</f>
        <v>9.9499999999999993</v>
      </c>
      <c r="O250">
        <f>_xlfn.XLOOKUP(D250,products!$A$2:$A$49,products!$H$2:$H$49)</f>
        <v>9.0544999999999991</v>
      </c>
      <c r="P250">
        <f t="shared" si="20"/>
        <v>9.9499999999999993</v>
      </c>
      <c r="Q250">
        <f t="shared" si="21"/>
        <v>9.0544999999999991</v>
      </c>
      <c r="R250">
        <f t="shared" si="22"/>
        <v>0.89550000000000018</v>
      </c>
      <c r="S250" s="4">
        <f t="shared" si="23"/>
        <v>9.0000000000000024E-2</v>
      </c>
      <c r="T250" t="str">
        <f>_xlfn.XLOOKUP(C250,customers!$A$1:$A$1001,customers!$I$1:$I$1001,,0)</f>
        <v>Yes</v>
      </c>
    </row>
    <row r="251" spans="1:20"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INDEX(products!$A$1:$I$49,MATCH(orders!$D251,products!$A$1:$A$49,0),MATCH(orders!I$1,products!$A$1:$D$1,0))</f>
        <v>Lib</v>
      </c>
      <c r="J251" t="str">
        <f t="shared" si="18"/>
        <v>Liberica</v>
      </c>
      <c r="K251" t="str">
        <f>INDEX(products!$A$1:$I$49,MATCH(orders!$D251,products!$A$1:$A$49,0),MATCH(orders!K$1,products!$A$1:$D$1,0))</f>
        <v>L</v>
      </c>
      <c r="L251" t="str">
        <f t="shared" si="19"/>
        <v>Light</v>
      </c>
      <c r="M251">
        <f>INDEX(products!$A$1:$I$49,MATCH(orders!$D251,products!$A$1:$A$49,0),MATCH(orders!M$1,products!$A$1:$D$1,0))</f>
        <v>1</v>
      </c>
      <c r="N251">
        <f>_xlfn.XLOOKUP(D251,products!$A$2:$A$49,products!$E$2:$E$49)</f>
        <v>15.85</v>
      </c>
      <c r="O251">
        <f>_xlfn.XLOOKUP(D251,products!$A$2:$A$49,products!$H$2:$H$49)</f>
        <v>13.7895</v>
      </c>
      <c r="P251">
        <f t="shared" si="20"/>
        <v>15.85</v>
      </c>
      <c r="Q251">
        <f t="shared" si="21"/>
        <v>13.7895</v>
      </c>
      <c r="R251">
        <f t="shared" si="22"/>
        <v>2.0604999999999993</v>
      </c>
      <c r="S251" s="4">
        <f t="shared" si="23"/>
        <v>0.12999999999999995</v>
      </c>
      <c r="T251" t="str">
        <f>_xlfn.XLOOKUP(C251,customers!$A$1:$A$1001,customers!$I$1:$I$1001,,0)</f>
        <v>Yes</v>
      </c>
    </row>
    <row r="252" spans="1:20"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INDEX(products!$A$1:$I$49,MATCH(orders!$D252,products!$A$1:$A$49,0),MATCH(orders!I$1,products!$A$1:$D$1,0))</f>
        <v>Rob</v>
      </c>
      <c r="J252" t="str">
        <f t="shared" si="18"/>
        <v>Robusta</v>
      </c>
      <c r="K252" t="str">
        <f>INDEX(products!$A$1:$I$49,MATCH(orders!$D252,products!$A$1:$A$49,0),MATCH(orders!K$1,products!$A$1:$D$1,0))</f>
        <v>M</v>
      </c>
      <c r="L252" t="str">
        <f t="shared" si="19"/>
        <v>Medium</v>
      </c>
      <c r="M252">
        <f>INDEX(products!$A$1:$I$49,MATCH(orders!$D252,products!$A$1:$A$49,0),MATCH(orders!M$1,products!$A$1:$D$1,0))</f>
        <v>0.2</v>
      </c>
      <c r="N252">
        <f>_xlfn.XLOOKUP(D252,products!$A$2:$A$49,products!$E$2:$E$49)</f>
        <v>2.9849999999999999</v>
      </c>
      <c r="O252">
        <f>_xlfn.XLOOKUP(D252,products!$A$2:$A$49,products!$H$2:$H$49)</f>
        <v>2.8058999999999998</v>
      </c>
      <c r="P252">
        <f t="shared" si="20"/>
        <v>2.9849999999999999</v>
      </c>
      <c r="Q252">
        <f t="shared" si="21"/>
        <v>2.8058999999999998</v>
      </c>
      <c r="R252">
        <f t="shared" si="22"/>
        <v>0.17910000000000004</v>
      </c>
      <c r="S252" s="4">
        <f t="shared" si="23"/>
        <v>6.0000000000000012E-2</v>
      </c>
      <c r="T252" t="str">
        <f>_xlfn.XLOOKUP(C252,customers!$A$1:$A$1001,customers!$I$1:$I$1001,,0)</f>
        <v>Yes</v>
      </c>
    </row>
    <row r="253" spans="1:20"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INDEX(products!$A$1:$I$49,MATCH(orders!$D253,products!$A$1:$A$49,0),MATCH(orders!I$1,products!$A$1:$D$1,0))</f>
        <v>Exc</v>
      </c>
      <c r="J253" t="str">
        <f t="shared" si="18"/>
        <v>Excelsa</v>
      </c>
      <c r="K253" t="str">
        <f>INDEX(products!$A$1:$I$49,MATCH(orders!$D253,products!$A$1:$A$49,0),MATCH(orders!K$1,products!$A$1:$D$1,0))</f>
        <v>M</v>
      </c>
      <c r="L253" t="str">
        <f t="shared" si="19"/>
        <v>Medium</v>
      </c>
      <c r="M253">
        <f>INDEX(products!$A$1:$I$49,MATCH(orders!$D253,products!$A$1:$A$49,0),MATCH(orders!M$1,products!$A$1:$D$1,0))</f>
        <v>1</v>
      </c>
      <c r="N253">
        <f>_xlfn.XLOOKUP(D253,products!$A$2:$A$49,products!$E$2:$E$49)</f>
        <v>13.75</v>
      </c>
      <c r="O253">
        <f>_xlfn.XLOOKUP(D253,products!$A$2:$A$49,products!$H$2:$H$49)</f>
        <v>12.237500000000001</v>
      </c>
      <c r="P253">
        <f t="shared" si="20"/>
        <v>68.75</v>
      </c>
      <c r="Q253">
        <f t="shared" si="21"/>
        <v>61.1875</v>
      </c>
      <c r="R253">
        <f t="shared" si="22"/>
        <v>7.5625</v>
      </c>
      <c r="S253" s="4">
        <f t="shared" si="23"/>
        <v>0.11</v>
      </c>
      <c r="T253" t="str">
        <f>_xlfn.XLOOKUP(C253,customers!$A$1:$A$1001,customers!$I$1:$I$1001,,0)</f>
        <v>Yes</v>
      </c>
    </row>
    <row r="254" spans="1:20"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v>
      </c>
      <c r="H254" s="2" t="str">
        <f>_xlfn.XLOOKUP(C254,customers!$A$1:$A$1001,customers!$G$1:$G$1001,,0)</f>
        <v>United States</v>
      </c>
      <c r="I254" t="str">
        <f>INDEX(products!$A$1:$I$49,MATCH(orders!$D254,products!$A$1:$A$49,0),MATCH(orders!I$1,products!$A$1:$D$1,0))</f>
        <v>Ara</v>
      </c>
      <c r="J254" t="str">
        <f t="shared" si="18"/>
        <v>Arabica</v>
      </c>
      <c r="K254" t="str">
        <f>INDEX(products!$A$1:$I$49,MATCH(orders!$D254,products!$A$1:$A$49,0),MATCH(orders!K$1,products!$A$1:$D$1,0))</f>
        <v>D</v>
      </c>
      <c r="L254" t="str">
        <f t="shared" si="19"/>
        <v>Dark</v>
      </c>
      <c r="M254">
        <f>INDEX(products!$A$1:$I$49,MATCH(orders!$D254,products!$A$1:$A$49,0),MATCH(orders!M$1,products!$A$1:$D$1,0))</f>
        <v>1</v>
      </c>
      <c r="N254">
        <f>_xlfn.XLOOKUP(D254,products!$A$2:$A$49,products!$E$2:$E$49)</f>
        <v>9.9499999999999993</v>
      </c>
      <c r="O254">
        <f>_xlfn.XLOOKUP(D254,products!$A$2:$A$49,products!$H$2:$H$49)</f>
        <v>9.0544999999999991</v>
      </c>
      <c r="P254">
        <f t="shared" si="20"/>
        <v>29.849999999999998</v>
      </c>
      <c r="Q254">
        <f t="shared" si="21"/>
        <v>27.163499999999999</v>
      </c>
      <c r="R254">
        <f t="shared" si="22"/>
        <v>2.6864999999999988</v>
      </c>
      <c r="S254" s="4">
        <f t="shared" si="23"/>
        <v>8.9999999999999969E-2</v>
      </c>
      <c r="T254" t="str">
        <f>_xlfn.XLOOKUP(C254,customers!$A$1:$A$1001,customers!$I$1:$I$1001,,0)</f>
        <v>No</v>
      </c>
    </row>
    <row r="255" spans="1:20"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INDEX(products!$A$1:$I$49,MATCH(orders!$D255,products!$A$1:$A$49,0),MATCH(orders!I$1,products!$A$1:$D$1,0))</f>
        <v>Lib</v>
      </c>
      <c r="J255" t="str">
        <f t="shared" si="18"/>
        <v>Liberica</v>
      </c>
      <c r="K255" t="str">
        <f>INDEX(products!$A$1:$I$49,MATCH(orders!$D255,products!$A$1:$A$49,0),MATCH(orders!K$1,products!$A$1:$D$1,0))</f>
        <v>M</v>
      </c>
      <c r="L255" t="str">
        <f t="shared" si="19"/>
        <v>Medium</v>
      </c>
      <c r="M255">
        <f>INDEX(products!$A$1:$I$49,MATCH(orders!$D255,products!$A$1:$A$49,0),MATCH(orders!M$1,products!$A$1:$D$1,0))</f>
        <v>1</v>
      </c>
      <c r="N255">
        <f>_xlfn.XLOOKUP(D255,products!$A$2:$A$49,products!$E$2:$E$49)</f>
        <v>14.55</v>
      </c>
      <c r="O255">
        <f>_xlfn.XLOOKUP(D255,products!$A$2:$A$49,products!$H$2:$H$49)</f>
        <v>12.6585</v>
      </c>
      <c r="P255">
        <f t="shared" si="20"/>
        <v>58.2</v>
      </c>
      <c r="Q255">
        <f t="shared" si="21"/>
        <v>50.634</v>
      </c>
      <c r="R255">
        <f t="shared" si="22"/>
        <v>7.5660000000000025</v>
      </c>
      <c r="S255" s="4">
        <f t="shared" si="23"/>
        <v>0.13000000000000003</v>
      </c>
      <c r="T255" t="str">
        <f>_xlfn.XLOOKUP(C255,customers!$A$1:$A$1001,customers!$I$1:$I$1001,,0)</f>
        <v>No</v>
      </c>
    </row>
    <row r="256" spans="1:20"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INDEX(products!$A$1:$I$49,MATCH(orders!$D256,products!$A$1:$A$49,0),MATCH(orders!I$1,products!$A$1:$D$1,0))</f>
        <v>Rob</v>
      </c>
      <c r="J256" t="str">
        <f t="shared" si="18"/>
        <v>Robusta</v>
      </c>
      <c r="K256" t="str">
        <f>INDEX(products!$A$1:$I$49,MATCH(orders!$D256,products!$A$1:$A$49,0),MATCH(orders!K$1,products!$A$1:$D$1,0))</f>
        <v>L</v>
      </c>
      <c r="L256" t="str">
        <f t="shared" si="19"/>
        <v>Light</v>
      </c>
      <c r="M256">
        <f>INDEX(products!$A$1:$I$49,MATCH(orders!$D256,products!$A$1:$A$49,0),MATCH(orders!M$1,products!$A$1:$D$1,0))</f>
        <v>0.5</v>
      </c>
      <c r="N256">
        <f>_xlfn.XLOOKUP(D256,products!$A$2:$A$49,products!$E$2:$E$49)</f>
        <v>7.169999999999999</v>
      </c>
      <c r="O256">
        <f>_xlfn.XLOOKUP(D256,products!$A$2:$A$49,products!$H$2:$H$49)</f>
        <v>6.7397999999999989</v>
      </c>
      <c r="P256">
        <f t="shared" si="20"/>
        <v>28.679999999999996</v>
      </c>
      <c r="Q256">
        <f t="shared" si="21"/>
        <v>26.959199999999996</v>
      </c>
      <c r="R256">
        <f t="shared" si="22"/>
        <v>1.7208000000000006</v>
      </c>
      <c r="S256" s="4">
        <f t="shared" si="23"/>
        <v>6.0000000000000026E-2</v>
      </c>
      <c r="T256" t="str">
        <f>_xlfn.XLOOKUP(C256,customers!$A$1:$A$1001,customers!$I$1:$I$1001,,0)</f>
        <v>No</v>
      </c>
    </row>
    <row r="257" spans="1:20"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INDEX(products!$A$1:$I$49,MATCH(orders!$D257,products!$A$1:$A$49,0),MATCH(orders!I$1,products!$A$1:$D$1,0))</f>
        <v>Rob</v>
      </c>
      <c r="J257" t="str">
        <f t="shared" si="18"/>
        <v>Robusta</v>
      </c>
      <c r="K257" t="str">
        <f>INDEX(products!$A$1:$I$49,MATCH(orders!$D257,products!$A$1:$A$49,0),MATCH(orders!K$1,products!$A$1:$D$1,0))</f>
        <v>L</v>
      </c>
      <c r="L257" t="str">
        <f t="shared" si="19"/>
        <v>Light</v>
      </c>
      <c r="M257">
        <f>INDEX(products!$A$1:$I$49,MATCH(orders!$D257,products!$A$1:$A$49,0),MATCH(orders!M$1,products!$A$1:$D$1,0))</f>
        <v>0.5</v>
      </c>
      <c r="N257">
        <f>_xlfn.XLOOKUP(D257,products!$A$2:$A$49,products!$E$2:$E$49)</f>
        <v>7.169999999999999</v>
      </c>
      <c r="O257">
        <f>_xlfn.XLOOKUP(D257,products!$A$2:$A$49,products!$H$2:$H$49)</f>
        <v>6.7397999999999989</v>
      </c>
      <c r="P257">
        <f t="shared" si="20"/>
        <v>21.509999999999998</v>
      </c>
      <c r="Q257">
        <f t="shared" si="21"/>
        <v>20.219399999999997</v>
      </c>
      <c r="R257">
        <f t="shared" si="22"/>
        <v>1.2906000000000013</v>
      </c>
      <c r="S257" s="4">
        <f t="shared" si="23"/>
        <v>6.0000000000000067E-2</v>
      </c>
      <c r="T257" t="str">
        <f>_xlfn.XLOOKUP(C257,customers!$A$1:$A$1001,customers!$I$1:$I$1001,,0)</f>
        <v>No</v>
      </c>
    </row>
    <row r="258" spans="1:20"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INDEX(products!$A$1:$I$49,MATCH(orders!$D258,products!$A$1:$A$49,0),MATCH(orders!I$1,products!$A$1:$D$1,0))</f>
        <v>Lib</v>
      </c>
      <c r="J258" t="str">
        <f t="shared" si="18"/>
        <v>Liberica</v>
      </c>
      <c r="K258" t="str">
        <f>INDEX(products!$A$1:$I$49,MATCH(orders!$D258,products!$A$1:$A$49,0),MATCH(orders!K$1,products!$A$1:$D$1,0))</f>
        <v>M</v>
      </c>
      <c r="L258" t="str">
        <f t="shared" si="19"/>
        <v>Medium</v>
      </c>
      <c r="M258">
        <f>INDEX(products!$A$1:$I$49,MATCH(orders!$D258,products!$A$1:$A$49,0),MATCH(orders!M$1,products!$A$1:$D$1,0))</f>
        <v>0.5</v>
      </c>
      <c r="N258">
        <f>_xlfn.XLOOKUP(D258,products!$A$2:$A$49,products!$E$2:$E$49)</f>
        <v>8.73</v>
      </c>
      <c r="O258">
        <f>_xlfn.XLOOKUP(D258,products!$A$2:$A$49,products!$H$2:$H$49)</f>
        <v>7.5951000000000004</v>
      </c>
      <c r="P258">
        <f t="shared" si="20"/>
        <v>17.46</v>
      </c>
      <c r="Q258">
        <f t="shared" si="21"/>
        <v>15.190200000000001</v>
      </c>
      <c r="R258">
        <f t="shared" si="22"/>
        <v>2.2698</v>
      </c>
      <c r="S258" s="4">
        <f t="shared" si="23"/>
        <v>0.13</v>
      </c>
      <c r="T258" t="str">
        <f>_xlfn.XLOOKUP(C258,customers!$A$1:$A$1001,customers!$I$1:$I$1001,,0)</f>
        <v>Yes</v>
      </c>
    </row>
    <row r="259" spans="1:20"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INDEX(products!$A$1:$I$49,MATCH(orders!$D259,products!$A$1:$A$49,0),MATCH(orders!I$1,products!$A$1:$D$1,0))</f>
        <v>Exc</v>
      </c>
      <c r="J259" t="str">
        <f t="shared" ref="J259:J322" si="24">IF(I259="Rob","Robusta",IF(I259="Exc","Excelsa",IF(I259="Ara","Arabica",IF(I259="Lib","Liberica",""))))</f>
        <v>Excelsa</v>
      </c>
      <c r="K259" t="str">
        <f>INDEX(products!$A$1:$I$49,MATCH(orders!$D259,products!$A$1:$A$49,0),MATCH(orders!K$1,products!$A$1:$D$1,0))</f>
        <v>D</v>
      </c>
      <c r="L259" t="str">
        <f t="shared" ref="L259:L322" si="25">IF(K259="M","Medium",IF(K259="L","Light",IF(K259="D","Dark","")))</f>
        <v>Dark</v>
      </c>
      <c r="M259">
        <f>INDEX(products!$A$1:$I$49,MATCH(orders!$D259,products!$A$1:$A$49,0),MATCH(orders!M$1,products!$A$1:$D$1,0))</f>
        <v>2.5</v>
      </c>
      <c r="N259">
        <f>_xlfn.XLOOKUP(D259,products!$A$2:$A$49,products!$E$2:$E$49)</f>
        <v>27.945</v>
      </c>
      <c r="O259">
        <f>_xlfn.XLOOKUP(D259,products!$A$2:$A$49,products!$H$2:$H$49)</f>
        <v>24.87105</v>
      </c>
      <c r="P259">
        <f t="shared" ref="P259:P322" si="26">N259*E259</f>
        <v>27.945</v>
      </c>
      <c r="Q259">
        <f t="shared" ref="Q259:Q322" si="27">O259*E259</f>
        <v>24.87105</v>
      </c>
      <c r="R259">
        <f t="shared" ref="R259:R322" si="28">P259-Q259</f>
        <v>3.07395</v>
      </c>
      <c r="S259" s="4">
        <f t="shared" ref="S259:S322" si="29">R259/P259</f>
        <v>0.11</v>
      </c>
      <c r="T259" t="str">
        <f>_xlfn.XLOOKUP(C259,customers!$A$1:$A$1001,customers!$I$1:$I$1001,,0)</f>
        <v>Yes</v>
      </c>
    </row>
    <row r="260" spans="1:20"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INDEX(products!$A$1:$I$49,MATCH(orders!$D260,products!$A$1:$A$49,0),MATCH(orders!I$1,products!$A$1:$D$1,0))</f>
        <v>Exc</v>
      </c>
      <c r="J260" t="str">
        <f t="shared" si="24"/>
        <v>Excelsa</v>
      </c>
      <c r="K260" t="str">
        <f>INDEX(products!$A$1:$I$49,MATCH(orders!$D260,products!$A$1:$A$49,0),MATCH(orders!K$1,products!$A$1:$D$1,0))</f>
        <v>D</v>
      </c>
      <c r="L260" t="str">
        <f t="shared" si="25"/>
        <v>Dark</v>
      </c>
      <c r="M260">
        <f>INDEX(products!$A$1:$I$49,MATCH(orders!$D260,products!$A$1:$A$49,0),MATCH(orders!M$1,products!$A$1:$D$1,0))</f>
        <v>2.5</v>
      </c>
      <c r="N260">
        <f>_xlfn.XLOOKUP(D260,products!$A$2:$A$49,products!$E$2:$E$49)</f>
        <v>27.945</v>
      </c>
      <c r="O260">
        <f>_xlfn.XLOOKUP(D260,products!$A$2:$A$49,products!$H$2:$H$49)</f>
        <v>24.87105</v>
      </c>
      <c r="P260">
        <f t="shared" si="26"/>
        <v>139.72499999999999</v>
      </c>
      <c r="Q260">
        <f t="shared" si="27"/>
        <v>124.35525</v>
      </c>
      <c r="R260">
        <f t="shared" si="28"/>
        <v>15.369749999999996</v>
      </c>
      <c r="S260" s="4">
        <f t="shared" si="29"/>
        <v>0.10999999999999997</v>
      </c>
      <c r="T260" t="str">
        <f>_xlfn.XLOOKUP(C260,customers!$A$1:$A$1001,customers!$I$1:$I$1001,,0)</f>
        <v>No</v>
      </c>
    </row>
    <row r="261" spans="1:20"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INDEX(products!$A$1:$I$49,MATCH(orders!$D261,products!$A$1:$A$49,0),MATCH(orders!I$1,products!$A$1:$D$1,0))</f>
        <v>Rob</v>
      </c>
      <c r="J261" t="str">
        <f t="shared" si="24"/>
        <v>Robusta</v>
      </c>
      <c r="K261" t="str">
        <f>INDEX(products!$A$1:$I$49,MATCH(orders!$D261,products!$A$1:$A$49,0),MATCH(orders!K$1,products!$A$1:$D$1,0))</f>
        <v>M</v>
      </c>
      <c r="L261" t="str">
        <f t="shared" si="25"/>
        <v>Medium</v>
      </c>
      <c r="M261">
        <f>INDEX(products!$A$1:$I$49,MATCH(orders!$D261,products!$A$1:$A$49,0),MATCH(orders!M$1,products!$A$1:$D$1,0))</f>
        <v>0.2</v>
      </c>
      <c r="N261">
        <f>_xlfn.XLOOKUP(D261,products!$A$2:$A$49,products!$E$2:$E$49)</f>
        <v>2.9849999999999999</v>
      </c>
      <c r="O261">
        <f>_xlfn.XLOOKUP(D261,products!$A$2:$A$49,products!$H$2:$H$49)</f>
        <v>2.8058999999999998</v>
      </c>
      <c r="P261">
        <f t="shared" si="26"/>
        <v>5.97</v>
      </c>
      <c r="Q261">
        <f t="shared" si="27"/>
        <v>5.6117999999999997</v>
      </c>
      <c r="R261">
        <f t="shared" si="28"/>
        <v>0.35820000000000007</v>
      </c>
      <c r="S261" s="4">
        <f t="shared" si="29"/>
        <v>6.0000000000000012E-2</v>
      </c>
      <c r="T261" t="str">
        <f>_xlfn.XLOOKUP(C261,customers!$A$1:$A$1001,customers!$I$1:$I$1001,,0)</f>
        <v>No</v>
      </c>
    </row>
    <row r="262" spans="1:20"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INDEX(products!$A$1:$I$49,MATCH(orders!$D262,products!$A$1:$A$49,0),MATCH(orders!I$1,products!$A$1:$D$1,0))</f>
        <v>Rob</v>
      </c>
      <c r="J262" t="str">
        <f t="shared" si="24"/>
        <v>Robusta</v>
      </c>
      <c r="K262" t="str">
        <f>INDEX(products!$A$1:$I$49,MATCH(orders!$D262,products!$A$1:$A$49,0),MATCH(orders!K$1,products!$A$1:$D$1,0))</f>
        <v>L</v>
      </c>
      <c r="L262" t="str">
        <f t="shared" si="25"/>
        <v>Light</v>
      </c>
      <c r="M262">
        <f>INDEX(products!$A$1:$I$49,MATCH(orders!$D262,products!$A$1:$A$49,0),MATCH(orders!M$1,products!$A$1:$D$1,0))</f>
        <v>2.5</v>
      </c>
      <c r="N262">
        <f>_xlfn.XLOOKUP(D262,products!$A$2:$A$49,products!$E$2:$E$49)</f>
        <v>27.484999999999996</v>
      </c>
      <c r="O262">
        <f>_xlfn.XLOOKUP(D262,products!$A$2:$A$49,products!$H$2:$H$49)</f>
        <v>25.835899999999995</v>
      </c>
      <c r="P262">
        <f t="shared" si="26"/>
        <v>27.484999999999996</v>
      </c>
      <c r="Q262">
        <f t="shared" si="27"/>
        <v>25.835899999999995</v>
      </c>
      <c r="R262">
        <f t="shared" si="28"/>
        <v>1.6491000000000007</v>
      </c>
      <c r="S262" s="4">
        <f t="shared" si="29"/>
        <v>6.0000000000000032E-2</v>
      </c>
      <c r="T262" t="str">
        <f>_xlfn.XLOOKUP(C262,customers!$A$1:$A$1001,customers!$I$1:$I$1001,,0)</f>
        <v>Yes</v>
      </c>
    </row>
    <row r="263" spans="1:20"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INDEX(products!$A$1:$I$49,MATCH(orders!$D263,products!$A$1:$A$49,0),MATCH(orders!I$1,products!$A$1:$D$1,0))</f>
        <v>Rob</v>
      </c>
      <c r="J263" t="str">
        <f t="shared" si="24"/>
        <v>Robusta</v>
      </c>
      <c r="K263" t="str">
        <f>INDEX(products!$A$1:$I$49,MATCH(orders!$D263,products!$A$1:$A$49,0),MATCH(orders!K$1,products!$A$1:$D$1,0))</f>
        <v>L</v>
      </c>
      <c r="L263" t="str">
        <f t="shared" si="25"/>
        <v>Light</v>
      </c>
      <c r="M263">
        <f>INDEX(products!$A$1:$I$49,MATCH(orders!$D263,products!$A$1:$A$49,0),MATCH(orders!M$1,products!$A$1:$D$1,0))</f>
        <v>1</v>
      </c>
      <c r="N263">
        <f>_xlfn.XLOOKUP(D263,products!$A$2:$A$49,products!$E$2:$E$49)</f>
        <v>11.95</v>
      </c>
      <c r="O263">
        <f>_xlfn.XLOOKUP(D263,products!$A$2:$A$49,products!$H$2:$H$49)</f>
        <v>11.232999999999999</v>
      </c>
      <c r="P263">
        <f t="shared" si="26"/>
        <v>59.75</v>
      </c>
      <c r="Q263">
        <f t="shared" si="27"/>
        <v>56.164999999999992</v>
      </c>
      <c r="R263">
        <f t="shared" si="28"/>
        <v>3.585000000000008</v>
      </c>
      <c r="S263" s="4">
        <f t="shared" si="29"/>
        <v>6.0000000000000137E-2</v>
      </c>
      <c r="T263" t="str">
        <f>_xlfn.XLOOKUP(C263,customers!$A$1:$A$1001,customers!$I$1:$I$1001,,0)</f>
        <v>Yes</v>
      </c>
    </row>
    <row r="264" spans="1:20"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INDEX(products!$A$1:$I$49,MATCH(orders!$D264,products!$A$1:$A$49,0),MATCH(orders!I$1,products!$A$1:$D$1,0))</f>
        <v>Exc</v>
      </c>
      <c r="J264" t="str">
        <f t="shared" si="24"/>
        <v>Excelsa</v>
      </c>
      <c r="K264" t="str">
        <f>INDEX(products!$A$1:$I$49,MATCH(orders!$D264,products!$A$1:$A$49,0),MATCH(orders!K$1,products!$A$1:$D$1,0))</f>
        <v>M</v>
      </c>
      <c r="L264" t="str">
        <f t="shared" si="25"/>
        <v>Medium</v>
      </c>
      <c r="M264">
        <f>INDEX(products!$A$1:$I$49,MATCH(orders!$D264,products!$A$1:$A$49,0),MATCH(orders!M$1,products!$A$1:$D$1,0))</f>
        <v>1</v>
      </c>
      <c r="N264">
        <f>_xlfn.XLOOKUP(D264,products!$A$2:$A$49,products!$E$2:$E$49)</f>
        <v>13.75</v>
      </c>
      <c r="O264">
        <f>_xlfn.XLOOKUP(D264,products!$A$2:$A$49,products!$H$2:$H$49)</f>
        <v>12.237500000000001</v>
      </c>
      <c r="P264">
        <f t="shared" si="26"/>
        <v>41.25</v>
      </c>
      <c r="Q264">
        <f t="shared" si="27"/>
        <v>36.712500000000006</v>
      </c>
      <c r="R264">
        <f t="shared" si="28"/>
        <v>4.5374999999999943</v>
      </c>
      <c r="S264" s="4">
        <f t="shared" si="29"/>
        <v>0.10999999999999986</v>
      </c>
      <c r="T264" t="str">
        <f>_xlfn.XLOOKUP(C264,customers!$A$1:$A$1001,customers!$I$1:$I$1001,,0)</f>
        <v>No</v>
      </c>
    </row>
    <row r="265" spans="1:20"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v>
      </c>
      <c r="H265" s="2" t="str">
        <f>_xlfn.XLOOKUP(C265,customers!$A$1:$A$1001,customers!$G$1:$G$1001,,0)</f>
        <v>United States</v>
      </c>
      <c r="I265" t="str">
        <f>INDEX(products!$A$1:$I$49,MATCH(orders!$D265,products!$A$1:$A$49,0),MATCH(orders!I$1,products!$A$1:$D$1,0))</f>
        <v>Lib</v>
      </c>
      <c r="J265" t="str">
        <f t="shared" si="24"/>
        <v>Liberica</v>
      </c>
      <c r="K265" t="str">
        <f>INDEX(products!$A$1:$I$49,MATCH(orders!$D265,products!$A$1:$A$49,0),MATCH(orders!K$1,products!$A$1:$D$1,0))</f>
        <v>M</v>
      </c>
      <c r="L265" t="str">
        <f t="shared" si="25"/>
        <v>Medium</v>
      </c>
      <c r="M265">
        <f>INDEX(products!$A$1:$I$49,MATCH(orders!$D265,products!$A$1:$A$49,0),MATCH(orders!M$1,products!$A$1:$D$1,0))</f>
        <v>2.5</v>
      </c>
      <c r="N265">
        <f>_xlfn.XLOOKUP(D265,products!$A$2:$A$49,products!$E$2:$E$49)</f>
        <v>33.464999999999996</v>
      </c>
      <c r="O265">
        <f>_xlfn.XLOOKUP(D265,products!$A$2:$A$49,products!$H$2:$H$49)</f>
        <v>29.114549999999998</v>
      </c>
      <c r="P265">
        <f t="shared" si="26"/>
        <v>133.85999999999999</v>
      </c>
      <c r="Q265">
        <f t="shared" si="27"/>
        <v>116.45819999999999</v>
      </c>
      <c r="R265">
        <f t="shared" si="28"/>
        <v>17.401799999999994</v>
      </c>
      <c r="S265" s="4">
        <f t="shared" si="29"/>
        <v>0.12999999999999998</v>
      </c>
      <c r="T265" t="str">
        <f>_xlfn.XLOOKUP(C265,customers!$A$1:$A$1001,customers!$I$1:$I$1001,,0)</f>
        <v>No</v>
      </c>
    </row>
    <row r="266" spans="1:20"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v>
      </c>
      <c r="H266" s="2" t="str">
        <f>_xlfn.XLOOKUP(C266,customers!$A$1:$A$1001,customers!$G$1:$G$1001,,0)</f>
        <v>Ireland</v>
      </c>
      <c r="I266" t="str">
        <f>INDEX(products!$A$1:$I$49,MATCH(orders!$D266,products!$A$1:$A$49,0),MATCH(orders!I$1,products!$A$1:$D$1,0))</f>
        <v>Rob</v>
      </c>
      <c r="J266" t="str">
        <f t="shared" si="24"/>
        <v>Robusta</v>
      </c>
      <c r="K266" t="str">
        <f>INDEX(products!$A$1:$I$49,MATCH(orders!$D266,products!$A$1:$A$49,0),MATCH(orders!K$1,products!$A$1:$D$1,0))</f>
        <v>L</v>
      </c>
      <c r="L266" t="str">
        <f t="shared" si="25"/>
        <v>Light</v>
      </c>
      <c r="M266">
        <f>INDEX(products!$A$1:$I$49,MATCH(orders!$D266,products!$A$1:$A$49,0),MATCH(orders!M$1,products!$A$1:$D$1,0))</f>
        <v>1</v>
      </c>
      <c r="N266">
        <f>_xlfn.XLOOKUP(D266,products!$A$2:$A$49,products!$E$2:$E$49)</f>
        <v>11.95</v>
      </c>
      <c r="O266">
        <f>_xlfn.XLOOKUP(D266,products!$A$2:$A$49,products!$H$2:$H$49)</f>
        <v>11.232999999999999</v>
      </c>
      <c r="P266">
        <f t="shared" si="26"/>
        <v>59.75</v>
      </c>
      <c r="Q266">
        <f t="shared" si="27"/>
        <v>56.164999999999992</v>
      </c>
      <c r="R266">
        <f t="shared" si="28"/>
        <v>3.585000000000008</v>
      </c>
      <c r="S266" s="4">
        <f t="shared" si="29"/>
        <v>6.0000000000000137E-2</v>
      </c>
      <c r="T266" t="str">
        <f>_xlfn.XLOOKUP(C266,customers!$A$1:$A$1001,customers!$I$1:$I$1001,,0)</f>
        <v>Yes</v>
      </c>
    </row>
    <row r="267" spans="1:20"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INDEX(products!$A$1:$I$49,MATCH(orders!$D267,products!$A$1:$A$49,0),MATCH(orders!I$1,products!$A$1:$D$1,0))</f>
        <v>Ara</v>
      </c>
      <c r="J267" t="str">
        <f t="shared" si="24"/>
        <v>Arabica</v>
      </c>
      <c r="K267" t="str">
        <f>INDEX(products!$A$1:$I$49,MATCH(orders!$D267,products!$A$1:$A$49,0),MATCH(orders!K$1,products!$A$1:$D$1,0))</f>
        <v>D</v>
      </c>
      <c r="L267" t="str">
        <f t="shared" si="25"/>
        <v>Dark</v>
      </c>
      <c r="M267">
        <f>INDEX(products!$A$1:$I$49,MATCH(orders!$D267,products!$A$1:$A$49,0),MATCH(orders!M$1,products!$A$1:$D$1,0))</f>
        <v>0.5</v>
      </c>
      <c r="N267">
        <f>_xlfn.XLOOKUP(D267,products!$A$2:$A$49,products!$E$2:$E$49)</f>
        <v>5.97</v>
      </c>
      <c r="O267">
        <f>_xlfn.XLOOKUP(D267,products!$A$2:$A$49,products!$H$2:$H$49)</f>
        <v>5.4326999999999996</v>
      </c>
      <c r="P267">
        <f t="shared" si="26"/>
        <v>5.97</v>
      </c>
      <c r="Q267">
        <f t="shared" si="27"/>
        <v>5.4326999999999996</v>
      </c>
      <c r="R267">
        <f t="shared" si="28"/>
        <v>0.53730000000000011</v>
      </c>
      <c r="S267" s="4">
        <f t="shared" si="29"/>
        <v>9.0000000000000024E-2</v>
      </c>
      <c r="T267" t="str">
        <f>_xlfn.XLOOKUP(C267,customers!$A$1:$A$1001,customers!$I$1:$I$1001,,0)</f>
        <v>Yes</v>
      </c>
    </row>
    <row r="268" spans="1:20"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INDEX(products!$A$1:$I$49,MATCH(orders!$D268,products!$A$1:$A$49,0),MATCH(orders!I$1,products!$A$1:$D$1,0))</f>
        <v>Exc</v>
      </c>
      <c r="J268" t="str">
        <f t="shared" si="24"/>
        <v>Excelsa</v>
      </c>
      <c r="K268" t="str">
        <f>INDEX(products!$A$1:$I$49,MATCH(orders!$D268,products!$A$1:$A$49,0),MATCH(orders!K$1,products!$A$1:$D$1,0))</f>
        <v>D</v>
      </c>
      <c r="L268" t="str">
        <f t="shared" si="25"/>
        <v>Dark</v>
      </c>
      <c r="M268">
        <f>INDEX(products!$A$1:$I$49,MATCH(orders!$D268,products!$A$1:$A$49,0),MATCH(orders!M$1,products!$A$1:$D$1,0))</f>
        <v>1</v>
      </c>
      <c r="N268">
        <f>_xlfn.XLOOKUP(D268,products!$A$2:$A$49,products!$E$2:$E$49)</f>
        <v>12.15</v>
      </c>
      <c r="O268">
        <f>_xlfn.XLOOKUP(D268,products!$A$2:$A$49,products!$H$2:$H$49)</f>
        <v>10.813500000000001</v>
      </c>
      <c r="P268">
        <f t="shared" si="26"/>
        <v>24.3</v>
      </c>
      <c r="Q268">
        <f t="shared" si="27"/>
        <v>21.627000000000002</v>
      </c>
      <c r="R268">
        <f t="shared" si="28"/>
        <v>2.6729999999999983</v>
      </c>
      <c r="S268" s="4">
        <f t="shared" si="29"/>
        <v>0.10999999999999993</v>
      </c>
      <c r="T268" t="str">
        <f>_xlfn.XLOOKUP(C268,customers!$A$1:$A$1001,customers!$I$1:$I$1001,,0)</f>
        <v>No</v>
      </c>
    </row>
    <row r="269" spans="1:20"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INDEX(products!$A$1:$I$49,MATCH(orders!$D269,products!$A$1:$A$49,0),MATCH(orders!I$1,products!$A$1:$D$1,0))</f>
        <v>Exc</v>
      </c>
      <c r="J269" t="str">
        <f t="shared" si="24"/>
        <v>Excelsa</v>
      </c>
      <c r="K269" t="str">
        <f>INDEX(products!$A$1:$I$49,MATCH(orders!$D269,products!$A$1:$A$49,0),MATCH(orders!K$1,products!$A$1:$D$1,0))</f>
        <v>D</v>
      </c>
      <c r="L269" t="str">
        <f t="shared" si="25"/>
        <v>Dark</v>
      </c>
      <c r="M269">
        <f>INDEX(products!$A$1:$I$49,MATCH(orders!$D269,products!$A$1:$A$49,0),MATCH(orders!M$1,products!$A$1:$D$1,0))</f>
        <v>0.2</v>
      </c>
      <c r="N269">
        <f>_xlfn.XLOOKUP(D269,products!$A$2:$A$49,products!$E$2:$E$49)</f>
        <v>3.645</v>
      </c>
      <c r="O269">
        <f>_xlfn.XLOOKUP(D269,products!$A$2:$A$49,products!$H$2:$H$49)</f>
        <v>3.2440500000000001</v>
      </c>
      <c r="P269">
        <f t="shared" si="26"/>
        <v>21.87</v>
      </c>
      <c r="Q269">
        <f t="shared" si="27"/>
        <v>19.464300000000001</v>
      </c>
      <c r="R269">
        <f t="shared" si="28"/>
        <v>2.4056999999999995</v>
      </c>
      <c r="S269" s="4">
        <f t="shared" si="29"/>
        <v>0.10999999999999997</v>
      </c>
      <c r="T269" t="str">
        <f>_xlfn.XLOOKUP(C269,customers!$A$1:$A$1001,customers!$I$1:$I$1001,,0)</f>
        <v>Yes</v>
      </c>
    </row>
    <row r="270" spans="1:20"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INDEX(products!$A$1:$I$49,MATCH(orders!$D270,products!$A$1:$A$49,0),MATCH(orders!I$1,products!$A$1:$D$1,0))</f>
        <v>Ara</v>
      </c>
      <c r="J270" t="str">
        <f t="shared" si="24"/>
        <v>Arabica</v>
      </c>
      <c r="K270" t="str">
        <f>INDEX(products!$A$1:$I$49,MATCH(orders!$D270,products!$A$1:$A$49,0),MATCH(orders!K$1,products!$A$1:$D$1,0))</f>
        <v>D</v>
      </c>
      <c r="L270" t="str">
        <f t="shared" si="25"/>
        <v>Dark</v>
      </c>
      <c r="M270">
        <f>INDEX(products!$A$1:$I$49,MATCH(orders!$D270,products!$A$1:$A$49,0),MATCH(orders!M$1,products!$A$1:$D$1,0))</f>
        <v>1</v>
      </c>
      <c r="N270">
        <f>_xlfn.XLOOKUP(D270,products!$A$2:$A$49,products!$E$2:$E$49)</f>
        <v>9.9499999999999993</v>
      </c>
      <c r="O270">
        <f>_xlfn.XLOOKUP(D270,products!$A$2:$A$49,products!$H$2:$H$49)</f>
        <v>9.0544999999999991</v>
      </c>
      <c r="P270">
        <f t="shared" si="26"/>
        <v>19.899999999999999</v>
      </c>
      <c r="Q270">
        <f t="shared" si="27"/>
        <v>18.108999999999998</v>
      </c>
      <c r="R270">
        <f t="shared" si="28"/>
        <v>1.7910000000000004</v>
      </c>
      <c r="S270" s="4">
        <f t="shared" si="29"/>
        <v>9.0000000000000024E-2</v>
      </c>
      <c r="T270" t="str">
        <f>_xlfn.XLOOKUP(C270,customers!$A$1:$A$1001,customers!$I$1:$I$1001,,0)</f>
        <v>Yes</v>
      </c>
    </row>
    <row r="271" spans="1:20"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INDEX(products!$A$1:$I$49,MATCH(orders!$D271,products!$A$1:$A$49,0),MATCH(orders!I$1,products!$A$1:$D$1,0))</f>
        <v>Ara</v>
      </c>
      <c r="J271" t="str">
        <f t="shared" si="24"/>
        <v>Arabica</v>
      </c>
      <c r="K271" t="str">
        <f>INDEX(products!$A$1:$I$49,MATCH(orders!$D271,products!$A$1:$A$49,0),MATCH(orders!K$1,products!$A$1:$D$1,0))</f>
        <v>D</v>
      </c>
      <c r="L271" t="str">
        <f t="shared" si="25"/>
        <v>Dark</v>
      </c>
      <c r="M271">
        <f>INDEX(products!$A$1:$I$49,MATCH(orders!$D271,products!$A$1:$A$49,0),MATCH(orders!M$1,products!$A$1:$D$1,0))</f>
        <v>0.2</v>
      </c>
      <c r="N271">
        <f>_xlfn.XLOOKUP(D271,products!$A$2:$A$49,products!$E$2:$E$49)</f>
        <v>2.9849999999999999</v>
      </c>
      <c r="O271">
        <f>_xlfn.XLOOKUP(D271,products!$A$2:$A$49,products!$H$2:$H$49)</f>
        <v>2.7163499999999998</v>
      </c>
      <c r="P271">
        <f t="shared" si="26"/>
        <v>5.97</v>
      </c>
      <c r="Q271">
        <f t="shared" si="27"/>
        <v>5.4326999999999996</v>
      </c>
      <c r="R271">
        <f t="shared" si="28"/>
        <v>0.53730000000000011</v>
      </c>
      <c r="S271" s="4">
        <f t="shared" si="29"/>
        <v>9.0000000000000024E-2</v>
      </c>
      <c r="T271" t="str">
        <f>_xlfn.XLOOKUP(C271,customers!$A$1:$A$1001,customers!$I$1:$I$1001,,0)</f>
        <v>No</v>
      </c>
    </row>
    <row r="272" spans="1:20"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v>
      </c>
      <c r="H272" s="2" t="str">
        <f>_xlfn.XLOOKUP(C272,customers!$A$1:$A$1001,customers!$G$1:$G$1001,,0)</f>
        <v>Ireland</v>
      </c>
      <c r="I272" t="str">
        <f>INDEX(products!$A$1:$I$49,MATCH(orders!$D272,products!$A$1:$A$49,0),MATCH(orders!I$1,products!$A$1:$D$1,0))</f>
        <v>Exc</v>
      </c>
      <c r="J272" t="str">
        <f t="shared" si="24"/>
        <v>Excelsa</v>
      </c>
      <c r="K272" t="str">
        <f>INDEX(products!$A$1:$I$49,MATCH(orders!$D272,products!$A$1:$A$49,0),MATCH(orders!K$1,products!$A$1:$D$1,0))</f>
        <v>D</v>
      </c>
      <c r="L272" t="str">
        <f t="shared" si="25"/>
        <v>Dark</v>
      </c>
      <c r="M272">
        <f>INDEX(products!$A$1:$I$49,MATCH(orders!$D272,products!$A$1:$A$49,0),MATCH(orders!M$1,products!$A$1:$D$1,0))</f>
        <v>0.5</v>
      </c>
      <c r="N272">
        <f>_xlfn.XLOOKUP(D272,products!$A$2:$A$49,products!$E$2:$E$49)</f>
        <v>7.29</v>
      </c>
      <c r="O272">
        <f>_xlfn.XLOOKUP(D272,products!$A$2:$A$49,products!$H$2:$H$49)</f>
        <v>6.4881000000000002</v>
      </c>
      <c r="P272">
        <f t="shared" si="26"/>
        <v>7.29</v>
      </c>
      <c r="Q272">
        <f t="shared" si="27"/>
        <v>6.4881000000000002</v>
      </c>
      <c r="R272">
        <f t="shared" si="28"/>
        <v>0.80189999999999984</v>
      </c>
      <c r="S272" s="4">
        <f t="shared" si="29"/>
        <v>0.10999999999999997</v>
      </c>
      <c r="T272" t="str">
        <f>_xlfn.XLOOKUP(C272,customers!$A$1:$A$1001,customers!$I$1:$I$1001,,0)</f>
        <v>Yes</v>
      </c>
    </row>
    <row r="273" spans="1:20"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INDEX(products!$A$1:$I$49,MATCH(orders!$D273,products!$A$1:$A$49,0),MATCH(orders!I$1,products!$A$1:$D$1,0))</f>
        <v>Ara</v>
      </c>
      <c r="J273" t="str">
        <f t="shared" si="24"/>
        <v>Arabica</v>
      </c>
      <c r="K273" t="str">
        <f>INDEX(products!$A$1:$I$49,MATCH(orders!$D273,products!$A$1:$A$49,0),MATCH(orders!K$1,products!$A$1:$D$1,0))</f>
        <v>D</v>
      </c>
      <c r="L273" t="str">
        <f t="shared" si="25"/>
        <v>Dark</v>
      </c>
      <c r="M273">
        <f>INDEX(products!$A$1:$I$49,MATCH(orders!$D273,products!$A$1:$A$49,0),MATCH(orders!M$1,products!$A$1:$D$1,0))</f>
        <v>0.2</v>
      </c>
      <c r="N273">
        <f>_xlfn.XLOOKUP(D273,products!$A$2:$A$49,products!$E$2:$E$49)</f>
        <v>2.9849999999999999</v>
      </c>
      <c r="O273">
        <f>_xlfn.XLOOKUP(D273,products!$A$2:$A$49,products!$H$2:$H$49)</f>
        <v>2.7163499999999998</v>
      </c>
      <c r="P273">
        <f t="shared" si="26"/>
        <v>11.94</v>
      </c>
      <c r="Q273">
        <f t="shared" si="27"/>
        <v>10.865399999999999</v>
      </c>
      <c r="R273">
        <f t="shared" si="28"/>
        <v>1.0746000000000002</v>
      </c>
      <c r="S273" s="4">
        <f t="shared" si="29"/>
        <v>9.0000000000000024E-2</v>
      </c>
      <c r="T273" t="str">
        <f>_xlfn.XLOOKUP(C273,customers!$A$1:$A$1001,customers!$I$1:$I$1001,,0)</f>
        <v>Yes</v>
      </c>
    </row>
    <row r="274" spans="1:20"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INDEX(products!$A$1:$I$49,MATCH(orders!$D274,products!$A$1:$A$49,0),MATCH(orders!I$1,products!$A$1:$D$1,0))</f>
        <v>Rob</v>
      </c>
      <c r="J274" t="str">
        <f t="shared" si="24"/>
        <v>Robusta</v>
      </c>
      <c r="K274" t="str">
        <f>INDEX(products!$A$1:$I$49,MATCH(orders!$D274,products!$A$1:$A$49,0),MATCH(orders!K$1,products!$A$1:$D$1,0))</f>
        <v>L</v>
      </c>
      <c r="L274" t="str">
        <f t="shared" si="25"/>
        <v>Light</v>
      </c>
      <c r="M274">
        <f>INDEX(products!$A$1:$I$49,MATCH(orders!$D274,products!$A$1:$A$49,0),MATCH(orders!M$1,products!$A$1:$D$1,0))</f>
        <v>1</v>
      </c>
      <c r="N274">
        <f>_xlfn.XLOOKUP(D274,products!$A$2:$A$49,products!$E$2:$E$49)</f>
        <v>11.95</v>
      </c>
      <c r="O274">
        <f>_xlfn.XLOOKUP(D274,products!$A$2:$A$49,products!$H$2:$H$49)</f>
        <v>11.232999999999999</v>
      </c>
      <c r="P274">
        <f t="shared" si="26"/>
        <v>71.699999999999989</v>
      </c>
      <c r="Q274">
        <f t="shared" si="27"/>
        <v>67.397999999999996</v>
      </c>
      <c r="R274">
        <f t="shared" si="28"/>
        <v>4.3019999999999925</v>
      </c>
      <c r="S274" s="4">
        <f t="shared" si="29"/>
        <v>5.9999999999999908E-2</v>
      </c>
      <c r="T274" t="str">
        <f>_xlfn.XLOOKUP(C274,customers!$A$1:$A$1001,customers!$I$1:$I$1001,,0)</f>
        <v>Yes</v>
      </c>
    </row>
    <row r="275" spans="1:20"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INDEX(products!$A$1:$I$49,MATCH(orders!$D275,products!$A$1:$A$49,0),MATCH(orders!I$1,products!$A$1:$D$1,0))</f>
        <v>Ara</v>
      </c>
      <c r="J275" t="str">
        <f t="shared" si="24"/>
        <v>Arabica</v>
      </c>
      <c r="K275" t="str">
        <f>INDEX(products!$A$1:$I$49,MATCH(orders!$D275,products!$A$1:$A$49,0),MATCH(orders!K$1,products!$A$1:$D$1,0))</f>
        <v>L</v>
      </c>
      <c r="L275" t="str">
        <f t="shared" si="25"/>
        <v>Light</v>
      </c>
      <c r="M275">
        <f>INDEX(products!$A$1:$I$49,MATCH(orders!$D275,products!$A$1:$A$49,0),MATCH(orders!M$1,products!$A$1:$D$1,0))</f>
        <v>0.2</v>
      </c>
      <c r="N275">
        <f>_xlfn.XLOOKUP(D275,products!$A$2:$A$49,products!$E$2:$E$49)</f>
        <v>3.8849999999999998</v>
      </c>
      <c r="O275">
        <f>_xlfn.XLOOKUP(D275,products!$A$2:$A$49,products!$H$2:$H$49)</f>
        <v>3.5353499999999998</v>
      </c>
      <c r="P275">
        <f t="shared" si="26"/>
        <v>7.77</v>
      </c>
      <c r="Q275">
        <f t="shared" si="27"/>
        <v>7.0706999999999995</v>
      </c>
      <c r="R275">
        <f t="shared" si="28"/>
        <v>0.69930000000000003</v>
      </c>
      <c r="S275" s="4">
        <f t="shared" si="29"/>
        <v>9.0000000000000011E-2</v>
      </c>
      <c r="T275" t="str">
        <f>_xlfn.XLOOKUP(C275,customers!$A$1:$A$1001,customers!$I$1:$I$1001,,0)</f>
        <v>No</v>
      </c>
    </row>
    <row r="276" spans="1:20"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INDEX(products!$A$1:$I$49,MATCH(orders!$D276,products!$A$1:$A$49,0),MATCH(orders!I$1,products!$A$1:$D$1,0))</f>
        <v>Ara</v>
      </c>
      <c r="J276" t="str">
        <f t="shared" si="24"/>
        <v>Arabica</v>
      </c>
      <c r="K276" t="str">
        <f>INDEX(products!$A$1:$I$49,MATCH(orders!$D276,products!$A$1:$A$49,0),MATCH(orders!K$1,products!$A$1:$D$1,0))</f>
        <v>M</v>
      </c>
      <c r="L276" t="str">
        <f t="shared" si="25"/>
        <v>Medium</v>
      </c>
      <c r="M276">
        <f>INDEX(products!$A$1:$I$49,MATCH(orders!$D276,products!$A$1:$A$49,0),MATCH(orders!M$1,products!$A$1:$D$1,0))</f>
        <v>2.5</v>
      </c>
      <c r="N276">
        <f>_xlfn.XLOOKUP(D276,products!$A$2:$A$49,products!$E$2:$E$49)</f>
        <v>25.874999999999996</v>
      </c>
      <c r="O276">
        <f>_xlfn.XLOOKUP(D276,products!$A$2:$A$49,products!$H$2:$H$49)</f>
        <v>23.546249999999997</v>
      </c>
      <c r="P276">
        <f t="shared" si="26"/>
        <v>25.874999999999996</v>
      </c>
      <c r="Q276">
        <f t="shared" si="27"/>
        <v>23.546249999999997</v>
      </c>
      <c r="R276">
        <f t="shared" si="28"/>
        <v>2.3287499999999994</v>
      </c>
      <c r="S276" s="4">
        <f t="shared" si="29"/>
        <v>0.09</v>
      </c>
      <c r="T276" t="str">
        <f>_xlfn.XLOOKUP(C276,customers!$A$1:$A$1001,customers!$I$1:$I$1001,,0)</f>
        <v>No</v>
      </c>
    </row>
    <row r="277" spans="1:20"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INDEX(products!$A$1:$I$49,MATCH(orders!$D277,products!$A$1:$A$49,0),MATCH(orders!I$1,products!$A$1:$D$1,0))</f>
        <v>Exc</v>
      </c>
      <c r="J277" t="str">
        <f t="shared" si="24"/>
        <v>Excelsa</v>
      </c>
      <c r="K277" t="str">
        <f>INDEX(products!$A$1:$I$49,MATCH(orders!$D277,products!$A$1:$A$49,0),MATCH(orders!K$1,products!$A$1:$D$1,0))</f>
        <v>L</v>
      </c>
      <c r="L277" t="str">
        <f t="shared" si="25"/>
        <v>Light</v>
      </c>
      <c r="M277">
        <f>INDEX(products!$A$1:$I$49,MATCH(orders!$D277,products!$A$1:$A$49,0),MATCH(orders!M$1,products!$A$1:$D$1,0))</f>
        <v>2.5</v>
      </c>
      <c r="N277">
        <f>_xlfn.XLOOKUP(D277,products!$A$2:$A$49,products!$E$2:$E$49)</f>
        <v>34.154999999999994</v>
      </c>
      <c r="O277">
        <f>_xlfn.XLOOKUP(D277,products!$A$2:$A$49,products!$H$2:$H$49)</f>
        <v>30.397949999999994</v>
      </c>
      <c r="P277">
        <f t="shared" si="26"/>
        <v>204.92999999999995</v>
      </c>
      <c r="Q277">
        <f t="shared" si="27"/>
        <v>182.38769999999997</v>
      </c>
      <c r="R277">
        <f t="shared" si="28"/>
        <v>22.542299999999983</v>
      </c>
      <c r="S277" s="4">
        <f t="shared" si="29"/>
        <v>0.10999999999999995</v>
      </c>
      <c r="T277" t="str">
        <f>_xlfn.XLOOKUP(C277,customers!$A$1:$A$1001,customers!$I$1:$I$1001,,0)</f>
        <v>No</v>
      </c>
    </row>
    <row r="278" spans="1:20"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INDEX(products!$A$1:$I$49,MATCH(orders!$D278,products!$A$1:$A$49,0),MATCH(orders!I$1,products!$A$1:$D$1,0))</f>
        <v>Rob</v>
      </c>
      <c r="J278" t="str">
        <f t="shared" si="24"/>
        <v>Robusta</v>
      </c>
      <c r="K278" t="str">
        <f>INDEX(products!$A$1:$I$49,MATCH(orders!$D278,products!$A$1:$A$49,0),MATCH(orders!K$1,products!$A$1:$D$1,0))</f>
        <v>L</v>
      </c>
      <c r="L278" t="str">
        <f t="shared" si="25"/>
        <v>Light</v>
      </c>
      <c r="M278">
        <f>INDEX(products!$A$1:$I$49,MATCH(orders!$D278,products!$A$1:$A$49,0),MATCH(orders!M$1,products!$A$1:$D$1,0))</f>
        <v>2.5</v>
      </c>
      <c r="N278">
        <f>_xlfn.XLOOKUP(D278,products!$A$2:$A$49,products!$E$2:$E$49)</f>
        <v>27.484999999999996</v>
      </c>
      <c r="O278">
        <f>_xlfn.XLOOKUP(D278,products!$A$2:$A$49,products!$H$2:$H$49)</f>
        <v>25.835899999999995</v>
      </c>
      <c r="P278">
        <f t="shared" si="26"/>
        <v>109.93999999999998</v>
      </c>
      <c r="Q278">
        <f t="shared" si="27"/>
        <v>103.34359999999998</v>
      </c>
      <c r="R278">
        <f t="shared" si="28"/>
        <v>6.5964000000000027</v>
      </c>
      <c r="S278" s="4">
        <f t="shared" si="29"/>
        <v>6.0000000000000032E-2</v>
      </c>
      <c r="T278" t="str">
        <f>_xlfn.XLOOKUP(C278,customers!$A$1:$A$1001,customers!$I$1:$I$1001,,0)</f>
        <v>Yes</v>
      </c>
    </row>
    <row r="279" spans="1:20"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INDEX(products!$A$1:$I$49,MATCH(orders!$D279,products!$A$1:$A$49,0),MATCH(orders!I$1,products!$A$1:$D$1,0))</f>
        <v>Exc</v>
      </c>
      <c r="J279" t="str">
        <f t="shared" si="24"/>
        <v>Excelsa</v>
      </c>
      <c r="K279" t="str">
        <f>INDEX(products!$A$1:$I$49,MATCH(orders!$D279,products!$A$1:$A$49,0),MATCH(orders!K$1,products!$A$1:$D$1,0))</f>
        <v>L</v>
      </c>
      <c r="L279" t="str">
        <f t="shared" si="25"/>
        <v>Light</v>
      </c>
      <c r="M279">
        <f>INDEX(products!$A$1:$I$49,MATCH(orders!$D279,products!$A$1:$A$49,0),MATCH(orders!M$1,products!$A$1:$D$1,0))</f>
        <v>1</v>
      </c>
      <c r="N279">
        <f>_xlfn.XLOOKUP(D279,products!$A$2:$A$49,products!$E$2:$E$49)</f>
        <v>14.85</v>
      </c>
      <c r="O279">
        <f>_xlfn.XLOOKUP(D279,products!$A$2:$A$49,products!$H$2:$H$49)</f>
        <v>13.2165</v>
      </c>
      <c r="P279">
        <f t="shared" si="26"/>
        <v>89.1</v>
      </c>
      <c r="Q279">
        <f t="shared" si="27"/>
        <v>79.299000000000007</v>
      </c>
      <c r="R279">
        <f t="shared" si="28"/>
        <v>9.8009999999999877</v>
      </c>
      <c r="S279" s="4">
        <f t="shared" si="29"/>
        <v>0.10999999999999988</v>
      </c>
      <c r="T279" t="str">
        <f>_xlfn.XLOOKUP(C279,customers!$A$1:$A$1001,customers!$I$1:$I$1001,,0)</f>
        <v>No</v>
      </c>
    </row>
    <row r="280" spans="1:20"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INDEX(products!$A$1:$I$49,MATCH(orders!$D280,products!$A$1:$A$49,0),MATCH(orders!I$1,products!$A$1:$D$1,0))</f>
        <v>Ara</v>
      </c>
      <c r="J280" t="str">
        <f t="shared" si="24"/>
        <v>Arabica</v>
      </c>
      <c r="K280" t="str">
        <f>INDEX(products!$A$1:$I$49,MATCH(orders!$D280,products!$A$1:$A$49,0),MATCH(orders!K$1,products!$A$1:$D$1,0))</f>
        <v>L</v>
      </c>
      <c r="L280" t="str">
        <f t="shared" si="25"/>
        <v>Light</v>
      </c>
      <c r="M280">
        <f>INDEX(products!$A$1:$I$49,MATCH(orders!$D280,products!$A$1:$A$49,0),MATCH(orders!M$1,products!$A$1:$D$1,0))</f>
        <v>0.2</v>
      </c>
      <c r="N280">
        <f>_xlfn.XLOOKUP(D280,products!$A$2:$A$49,products!$E$2:$E$49)</f>
        <v>3.8849999999999998</v>
      </c>
      <c r="O280">
        <f>_xlfn.XLOOKUP(D280,products!$A$2:$A$49,products!$H$2:$H$49)</f>
        <v>3.5353499999999998</v>
      </c>
      <c r="P280">
        <f t="shared" si="26"/>
        <v>7.77</v>
      </c>
      <c r="Q280">
        <f t="shared" si="27"/>
        <v>7.0706999999999995</v>
      </c>
      <c r="R280">
        <f t="shared" si="28"/>
        <v>0.69930000000000003</v>
      </c>
      <c r="S280" s="4">
        <f t="shared" si="29"/>
        <v>9.0000000000000011E-2</v>
      </c>
      <c r="T280" t="str">
        <f>_xlfn.XLOOKUP(C280,customers!$A$1:$A$1001,customers!$I$1:$I$1001,,0)</f>
        <v>Yes</v>
      </c>
    </row>
    <row r="281" spans="1:20"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INDEX(products!$A$1:$I$49,MATCH(orders!$D281,products!$A$1:$A$49,0),MATCH(orders!I$1,products!$A$1:$D$1,0))</f>
        <v>Lib</v>
      </c>
      <c r="J281" t="str">
        <f t="shared" si="24"/>
        <v>Liberica</v>
      </c>
      <c r="K281" t="str">
        <f>INDEX(products!$A$1:$I$49,MATCH(orders!$D281,products!$A$1:$A$49,0),MATCH(orders!K$1,products!$A$1:$D$1,0))</f>
        <v>M</v>
      </c>
      <c r="L281" t="str">
        <f t="shared" si="25"/>
        <v>Medium</v>
      </c>
      <c r="M281">
        <f>INDEX(products!$A$1:$I$49,MATCH(orders!$D281,products!$A$1:$A$49,0),MATCH(orders!M$1,products!$A$1:$D$1,0))</f>
        <v>2.5</v>
      </c>
      <c r="N281">
        <f>_xlfn.XLOOKUP(D281,products!$A$2:$A$49,products!$E$2:$E$49)</f>
        <v>33.464999999999996</v>
      </c>
      <c r="O281">
        <f>_xlfn.XLOOKUP(D281,products!$A$2:$A$49,products!$H$2:$H$49)</f>
        <v>29.114549999999998</v>
      </c>
      <c r="P281">
        <f t="shared" si="26"/>
        <v>33.464999999999996</v>
      </c>
      <c r="Q281">
        <f t="shared" si="27"/>
        <v>29.114549999999998</v>
      </c>
      <c r="R281">
        <f t="shared" si="28"/>
        <v>4.3504499999999986</v>
      </c>
      <c r="S281" s="4">
        <f t="shared" si="29"/>
        <v>0.12999999999999998</v>
      </c>
      <c r="T281" t="str">
        <f>_xlfn.XLOOKUP(C281,customers!$A$1:$A$1001,customers!$I$1:$I$1001,,0)</f>
        <v>Yes</v>
      </c>
    </row>
    <row r="282" spans="1:20"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v>
      </c>
      <c r="H282" s="2" t="str">
        <f>_xlfn.XLOOKUP(C282,customers!$A$1:$A$1001,customers!$G$1:$G$1001,,0)</f>
        <v>United States</v>
      </c>
      <c r="I282" t="str">
        <f>INDEX(products!$A$1:$I$49,MATCH(orders!$D282,products!$A$1:$A$49,0),MATCH(orders!I$1,products!$A$1:$D$1,0))</f>
        <v>Exc</v>
      </c>
      <c r="J282" t="str">
        <f t="shared" si="24"/>
        <v>Excelsa</v>
      </c>
      <c r="K282" t="str">
        <f>INDEX(products!$A$1:$I$49,MATCH(orders!$D282,products!$A$1:$A$49,0),MATCH(orders!K$1,products!$A$1:$D$1,0))</f>
        <v>M</v>
      </c>
      <c r="L282" t="str">
        <f t="shared" si="25"/>
        <v>Medium</v>
      </c>
      <c r="M282">
        <f>INDEX(products!$A$1:$I$49,MATCH(orders!$D282,products!$A$1:$A$49,0),MATCH(orders!M$1,products!$A$1:$D$1,0))</f>
        <v>0.5</v>
      </c>
      <c r="N282">
        <f>_xlfn.XLOOKUP(D282,products!$A$2:$A$49,products!$E$2:$E$49)</f>
        <v>8.25</v>
      </c>
      <c r="O282">
        <f>_xlfn.XLOOKUP(D282,products!$A$2:$A$49,products!$H$2:$H$49)</f>
        <v>7.3425000000000002</v>
      </c>
      <c r="P282">
        <f t="shared" si="26"/>
        <v>41.25</v>
      </c>
      <c r="Q282">
        <f t="shared" si="27"/>
        <v>36.712499999999999</v>
      </c>
      <c r="R282">
        <f t="shared" si="28"/>
        <v>4.5375000000000014</v>
      </c>
      <c r="S282" s="4">
        <f t="shared" si="29"/>
        <v>0.11000000000000003</v>
      </c>
      <c r="T282" t="str">
        <f>_xlfn.XLOOKUP(C282,customers!$A$1:$A$1001,customers!$I$1:$I$1001,,0)</f>
        <v>Yes</v>
      </c>
    </row>
    <row r="283" spans="1:20"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INDEX(products!$A$1:$I$49,MATCH(orders!$D283,products!$A$1:$A$49,0),MATCH(orders!I$1,products!$A$1:$D$1,0))</f>
        <v>Exc</v>
      </c>
      <c r="J283" t="str">
        <f t="shared" si="24"/>
        <v>Excelsa</v>
      </c>
      <c r="K283" t="str">
        <f>INDEX(products!$A$1:$I$49,MATCH(orders!$D283,products!$A$1:$A$49,0),MATCH(orders!K$1,products!$A$1:$D$1,0))</f>
        <v>L</v>
      </c>
      <c r="L283" t="str">
        <f t="shared" si="25"/>
        <v>Light</v>
      </c>
      <c r="M283">
        <f>INDEX(products!$A$1:$I$49,MATCH(orders!$D283,products!$A$1:$A$49,0),MATCH(orders!M$1,products!$A$1:$D$1,0))</f>
        <v>1</v>
      </c>
      <c r="N283">
        <f>_xlfn.XLOOKUP(D283,products!$A$2:$A$49,products!$E$2:$E$49)</f>
        <v>14.85</v>
      </c>
      <c r="O283">
        <f>_xlfn.XLOOKUP(D283,products!$A$2:$A$49,products!$H$2:$H$49)</f>
        <v>13.2165</v>
      </c>
      <c r="P283">
        <f t="shared" si="26"/>
        <v>59.4</v>
      </c>
      <c r="Q283">
        <f t="shared" si="27"/>
        <v>52.866</v>
      </c>
      <c r="R283">
        <f t="shared" si="28"/>
        <v>6.5339999999999989</v>
      </c>
      <c r="S283" s="4">
        <f t="shared" si="29"/>
        <v>0.10999999999999999</v>
      </c>
      <c r="T283" t="str">
        <f>_xlfn.XLOOKUP(C283,customers!$A$1:$A$1001,customers!$I$1:$I$1001,,0)</f>
        <v>Yes</v>
      </c>
    </row>
    <row r="284" spans="1:20"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INDEX(products!$A$1:$I$49,MATCH(orders!$D284,products!$A$1:$A$49,0),MATCH(orders!I$1,products!$A$1:$D$1,0))</f>
        <v>Ara</v>
      </c>
      <c r="J284" t="str">
        <f t="shared" si="24"/>
        <v>Arabica</v>
      </c>
      <c r="K284" t="str">
        <f>INDEX(products!$A$1:$I$49,MATCH(orders!$D284,products!$A$1:$A$49,0),MATCH(orders!K$1,products!$A$1:$D$1,0))</f>
        <v>L</v>
      </c>
      <c r="L284" t="str">
        <f t="shared" si="25"/>
        <v>Light</v>
      </c>
      <c r="M284">
        <f>INDEX(products!$A$1:$I$49,MATCH(orders!$D284,products!$A$1:$A$49,0),MATCH(orders!M$1,products!$A$1:$D$1,0))</f>
        <v>0.5</v>
      </c>
      <c r="N284">
        <f>_xlfn.XLOOKUP(D284,products!$A$2:$A$49,products!$E$2:$E$49)</f>
        <v>7.77</v>
      </c>
      <c r="O284">
        <f>_xlfn.XLOOKUP(D284,products!$A$2:$A$49,products!$H$2:$H$49)</f>
        <v>7.0706999999999995</v>
      </c>
      <c r="P284">
        <f t="shared" si="26"/>
        <v>7.77</v>
      </c>
      <c r="Q284">
        <f t="shared" si="27"/>
        <v>7.0706999999999995</v>
      </c>
      <c r="R284">
        <f t="shared" si="28"/>
        <v>0.69930000000000003</v>
      </c>
      <c r="S284" s="4">
        <f t="shared" si="29"/>
        <v>9.0000000000000011E-2</v>
      </c>
      <c r="T284" t="str">
        <f>_xlfn.XLOOKUP(C284,customers!$A$1:$A$1001,customers!$I$1:$I$1001,,0)</f>
        <v>No</v>
      </c>
    </row>
    <row r="285" spans="1:20"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INDEX(products!$A$1:$I$49,MATCH(orders!$D285,products!$A$1:$A$49,0),MATCH(orders!I$1,products!$A$1:$D$1,0))</f>
        <v>Rob</v>
      </c>
      <c r="J285" t="str">
        <f t="shared" si="24"/>
        <v>Robusta</v>
      </c>
      <c r="K285" t="str">
        <f>INDEX(products!$A$1:$I$49,MATCH(orders!$D285,products!$A$1:$A$49,0),MATCH(orders!K$1,products!$A$1:$D$1,0))</f>
        <v>D</v>
      </c>
      <c r="L285" t="str">
        <f t="shared" si="25"/>
        <v>Dark</v>
      </c>
      <c r="M285">
        <f>INDEX(products!$A$1:$I$49,MATCH(orders!$D285,products!$A$1:$A$49,0),MATCH(orders!M$1,products!$A$1:$D$1,0))</f>
        <v>0.5</v>
      </c>
      <c r="N285">
        <f>_xlfn.XLOOKUP(D285,products!$A$2:$A$49,products!$E$2:$E$49)</f>
        <v>5.3699999999999992</v>
      </c>
      <c r="O285">
        <f>_xlfn.XLOOKUP(D285,products!$A$2:$A$49,products!$H$2:$H$49)</f>
        <v>5.0477999999999996</v>
      </c>
      <c r="P285">
        <f t="shared" si="26"/>
        <v>5.3699999999999992</v>
      </c>
      <c r="Q285">
        <f t="shared" si="27"/>
        <v>5.0477999999999996</v>
      </c>
      <c r="R285">
        <f t="shared" si="28"/>
        <v>0.3221999999999996</v>
      </c>
      <c r="S285" s="4">
        <f t="shared" si="29"/>
        <v>5.9999999999999935E-2</v>
      </c>
      <c r="T285" t="str">
        <f>_xlfn.XLOOKUP(C285,customers!$A$1:$A$1001,customers!$I$1:$I$1001,,0)</f>
        <v>Yes</v>
      </c>
    </row>
    <row r="286" spans="1:20"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v>
      </c>
      <c r="H286" s="2" t="str">
        <f>_xlfn.XLOOKUP(C286,customers!$A$1:$A$1001,customers!$G$1:$G$1001,,0)</f>
        <v>United States</v>
      </c>
      <c r="I286" t="str">
        <f>INDEX(products!$A$1:$I$49,MATCH(orders!$D286,products!$A$1:$A$49,0),MATCH(orders!I$1,products!$A$1:$D$1,0))</f>
        <v>Exc</v>
      </c>
      <c r="J286" t="str">
        <f t="shared" si="24"/>
        <v>Excelsa</v>
      </c>
      <c r="K286" t="str">
        <f>INDEX(products!$A$1:$I$49,MATCH(orders!$D286,products!$A$1:$A$49,0),MATCH(orders!K$1,products!$A$1:$D$1,0))</f>
        <v>M</v>
      </c>
      <c r="L286" t="str">
        <f t="shared" si="25"/>
        <v>Medium</v>
      </c>
      <c r="M286">
        <f>INDEX(products!$A$1:$I$49,MATCH(orders!$D286,products!$A$1:$A$49,0),MATCH(orders!M$1,products!$A$1:$D$1,0))</f>
        <v>2.5</v>
      </c>
      <c r="N286">
        <f>_xlfn.XLOOKUP(D286,products!$A$2:$A$49,products!$E$2:$E$49)</f>
        <v>31.624999999999996</v>
      </c>
      <c r="O286">
        <f>_xlfn.XLOOKUP(D286,products!$A$2:$A$49,products!$H$2:$H$49)</f>
        <v>28.146249999999995</v>
      </c>
      <c r="P286">
        <f t="shared" si="26"/>
        <v>94.874999999999986</v>
      </c>
      <c r="Q286">
        <f t="shared" si="27"/>
        <v>84.438749999999985</v>
      </c>
      <c r="R286">
        <f t="shared" si="28"/>
        <v>10.436250000000001</v>
      </c>
      <c r="S286" s="4">
        <f t="shared" si="29"/>
        <v>0.11000000000000003</v>
      </c>
      <c r="T286" t="str">
        <f>_xlfn.XLOOKUP(C286,customers!$A$1:$A$1001,customers!$I$1:$I$1001,,0)</f>
        <v>No</v>
      </c>
    </row>
    <row r="287" spans="1:20"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v>
      </c>
      <c r="H287" s="2" t="str">
        <f>_xlfn.XLOOKUP(C287,customers!$A$1:$A$1001,customers!$G$1:$G$1001,,0)</f>
        <v>United States</v>
      </c>
      <c r="I287" t="str">
        <f>INDEX(products!$A$1:$I$49,MATCH(orders!$D287,products!$A$1:$A$49,0),MATCH(orders!I$1,products!$A$1:$D$1,0))</f>
        <v>Lib</v>
      </c>
      <c r="J287" t="str">
        <f t="shared" si="24"/>
        <v>Liberica</v>
      </c>
      <c r="K287" t="str">
        <f>INDEX(products!$A$1:$I$49,MATCH(orders!$D287,products!$A$1:$A$49,0),MATCH(orders!K$1,products!$A$1:$D$1,0))</f>
        <v>L</v>
      </c>
      <c r="L287" t="str">
        <f t="shared" si="25"/>
        <v>Light</v>
      </c>
      <c r="M287">
        <f>INDEX(products!$A$1:$I$49,MATCH(orders!$D287,products!$A$1:$A$49,0),MATCH(orders!M$1,products!$A$1:$D$1,0))</f>
        <v>2.5</v>
      </c>
      <c r="N287">
        <f>_xlfn.XLOOKUP(D287,products!$A$2:$A$49,products!$E$2:$E$49)</f>
        <v>36.454999999999998</v>
      </c>
      <c r="O287">
        <f>_xlfn.XLOOKUP(D287,products!$A$2:$A$49,products!$H$2:$H$49)</f>
        <v>31.71585</v>
      </c>
      <c r="P287">
        <f t="shared" si="26"/>
        <v>36.454999999999998</v>
      </c>
      <c r="Q287">
        <f t="shared" si="27"/>
        <v>31.71585</v>
      </c>
      <c r="R287">
        <f t="shared" si="28"/>
        <v>4.7391499999999986</v>
      </c>
      <c r="S287" s="4">
        <f t="shared" si="29"/>
        <v>0.12999999999999998</v>
      </c>
      <c r="T287" t="str">
        <f>_xlfn.XLOOKUP(C287,customers!$A$1:$A$1001,customers!$I$1:$I$1001,,0)</f>
        <v>No</v>
      </c>
    </row>
    <row r="288" spans="1:20"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INDEX(products!$A$1:$I$49,MATCH(orders!$D288,products!$A$1:$A$49,0),MATCH(orders!I$1,products!$A$1:$D$1,0))</f>
        <v>Ara</v>
      </c>
      <c r="J288" t="str">
        <f t="shared" si="24"/>
        <v>Arabica</v>
      </c>
      <c r="K288" t="str">
        <f>INDEX(products!$A$1:$I$49,MATCH(orders!$D288,products!$A$1:$A$49,0),MATCH(orders!K$1,products!$A$1:$D$1,0))</f>
        <v>M</v>
      </c>
      <c r="L288" t="str">
        <f t="shared" si="25"/>
        <v>Medium</v>
      </c>
      <c r="M288">
        <f>INDEX(products!$A$1:$I$49,MATCH(orders!$D288,products!$A$1:$A$49,0),MATCH(orders!M$1,products!$A$1:$D$1,0))</f>
        <v>0.2</v>
      </c>
      <c r="N288">
        <f>_xlfn.XLOOKUP(D288,products!$A$2:$A$49,products!$E$2:$E$49)</f>
        <v>3.375</v>
      </c>
      <c r="O288">
        <f>_xlfn.XLOOKUP(D288,products!$A$2:$A$49,products!$H$2:$H$49)</f>
        <v>3.07125</v>
      </c>
      <c r="P288">
        <f t="shared" si="26"/>
        <v>13.5</v>
      </c>
      <c r="Q288">
        <f t="shared" si="27"/>
        <v>12.285</v>
      </c>
      <c r="R288">
        <f t="shared" si="28"/>
        <v>1.2149999999999999</v>
      </c>
      <c r="S288" s="4">
        <f t="shared" si="29"/>
        <v>8.9999999999999983E-2</v>
      </c>
      <c r="T288" t="str">
        <f>_xlfn.XLOOKUP(C288,customers!$A$1:$A$1001,customers!$I$1:$I$1001,,0)</f>
        <v>Yes</v>
      </c>
    </row>
    <row r="289" spans="1:20"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INDEX(products!$A$1:$I$49,MATCH(orders!$D289,products!$A$1:$A$49,0),MATCH(orders!I$1,products!$A$1:$D$1,0))</f>
        <v>Rob</v>
      </c>
      <c r="J289" t="str">
        <f t="shared" si="24"/>
        <v>Robusta</v>
      </c>
      <c r="K289" t="str">
        <f>INDEX(products!$A$1:$I$49,MATCH(orders!$D289,products!$A$1:$A$49,0),MATCH(orders!K$1,products!$A$1:$D$1,0))</f>
        <v>L</v>
      </c>
      <c r="L289" t="str">
        <f t="shared" si="25"/>
        <v>Light</v>
      </c>
      <c r="M289">
        <f>INDEX(products!$A$1:$I$49,MATCH(orders!$D289,products!$A$1:$A$49,0),MATCH(orders!M$1,products!$A$1:$D$1,0))</f>
        <v>0.2</v>
      </c>
      <c r="N289">
        <f>_xlfn.XLOOKUP(D289,products!$A$2:$A$49,products!$E$2:$E$49)</f>
        <v>3.5849999999999995</v>
      </c>
      <c r="O289">
        <f>_xlfn.XLOOKUP(D289,products!$A$2:$A$49,products!$H$2:$H$49)</f>
        <v>3.3698999999999995</v>
      </c>
      <c r="P289">
        <f t="shared" si="26"/>
        <v>14.339999999999998</v>
      </c>
      <c r="Q289">
        <f t="shared" si="27"/>
        <v>13.479599999999998</v>
      </c>
      <c r="R289">
        <f t="shared" si="28"/>
        <v>0.86040000000000028</v>
      </c>
      <c r="S289" s="4">
        <f t="shared" si="29"/>
        <v>6.0000000000000026E-2</v>
      </c>
      <c r="T289" t="str">
        <f>_xlfn.XLOOKUP(C289,customers!$A$1:$A$1001,customers!$I$1:$I$1001,,0)</f>
        <v>No</v>
      </c>
    </row>
    <row r="290" spans="1:20"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v>
      </c>
      <c r="H290" s="2" t="str">
        <f>_xlfn.XLOOKUP(C290,customers!$A$1:$A$1001,customers!$G$1:$G$1001,,0)</f>
        <v>Ireland</v>
      </c>
      <c r="I290" t="str">
        <f>INDEX(products!$A$1:$I$49,MATCH(orders!$D290,products!$A$1:$A$49,0),MATCH(orders!I$1,products!$A$1:$D$1,0))</f>
        <v>Exc</v>
      </c>
      <c r="J290" t="str">
        <f t="shared" si="24"/>
        <v>Excelsa</v>
      </c>
      <c r="K290" t="str">
        <f>INDEX(products!$A$1:$I$49,MATCH(orders!$D290,products!$A$1:$A$49,0),MATCH(orders!K$1,products!$A$1:$D$1,0))</f>
        <v>M</v>
      </c>
      <c r="L290" t="str">
        <f t="shared" si="25"/>
        <v>Medium</v>
      </c>
      <c r="M290">
        <f>INDEX(products!$A$1:$I$49,MATCH(orders!$D290,products!$A$1:$A$49,0),MATCH(orders!M$1,products!$A$1:$D$1,0))</f>
        <v>0.5</v>
      </c>
      <c r="N290">
        <f>_xlfn.XLOOKUP(D290,products!$A$2:$A$49,products!$E$2:$E$49)</f>
        <v>8.25</v>
      </c>
      <c r="O290">
        <f>_xlfn.XLOOKUP(D290,products!$A$2:$A$49,products!$H$2:$H$49)</f>
        <v>7.3425000000000002</v>
      </c>
      <c r="P290">
        <f t="shared" si="26"/>
        <v>8.25</v>
      </c>
      <c r="Q290">
        <f t="shared" si="27"/>
        <v>7.3425000000000002</v>
      </c>
      <c r="R290">
        <f t="shared" si="28"/>
        <v>0.90749999999999975</v>
      </c>
      <c r="S290" s="4">
        <f t="shared" si="29"/>
        <v>0.10999999999999997</v>
      </c>
      <c r="T290" t="str">
        <f>_xlfn.XLOOKUP(C290,customers!$A$1:$A$1001,customers!$I$1:$I$1001,,0)</f>
        <v>Yes</v>
      </c>
    </row>
    <row r="291" spans="1:20"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v>
      </c>
      <c r="H291" s="2" t="str">
        <f>_xlfn.XLOOKUP(C291,customers!$A$1:$A$1001,customers!$G$1:$G$1001,,0)</f>
        <v>United States</v>
      </c>
      <c r="I291" t="str">
        <f>INDEX(products!$A$1:$I$49,MATCH(orders!$D291,products!$A$1:$A$49,0),MATCH(orders!I$1,products!$A$1:$D$1,0))</f>
        <v>Rob</v>
      </c>
      <c r="J291" t="str">
        <f t="shared" si="24"/>
        <v>Robusta</v>
      </c>
      <c r="K291" t="str">
        <f>INDEX(products!$A$1:$I$49,MATCH(orders!$D291,products!$A$1:$A$49,0),MATCH(orders!K$1,products!$A$1:$D$1,0))</f>
        <v>D</v>
      </c>
      <c r="L291" t="str">
        <f t="shared" si="25"/>
        <v>Dark</v>
      </c>
      <c r="M291">
        <f>INDEX(products!$A$1:$I$49,MATCH(orders!$D291,products!$A$1:$A$49,0),MATCH(orders!M$1,products!$A$1:$D$1,0))</f>
        <v>0.2</v>
      </c>
      <c r="N291">
        <f>_xlfn.XLOOKUP(D291,products!$A$2:$A$49,products!$E$2:$E$49)</f>
        <v>2.6849999999999996</v>
      </c>
      <c r="O291">
        <f>_xlfn.XLOOKUP(D291,products!$A$2:$A$49,products!$H$2:$H$49)</f>
        <v>2.5238999999999998</v>
      </c>
      <c r="P291">
        <f t="shared" si="26"/>
        <v>13.424999999999997</v>
      </c>
      <c r="Q291">
        <f t="shared" si="27"/>
        <v>12.619499999999999</v>
      </c>
      <c r="R291">
        <f t="shared" si="28"/>
        <v>0.80549999999999855</v>
      </c>
      <c r="S291" s="4">
        <f t="shared" si="29"/>
        <v>5.9999999999999908E-2</v>
      </c>
      <c r="T291" t="str">
        <f>_xlfn.XLOOKUP(C291,customers!$A$1:$A$1001,customers!$I$1:$I$1001,,0)</f>
        <v>Yes</v>
      </c>
    </row>
    <row r="292" spans="1:20"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INDEX(products!$A$1:$I$49,MATCH(orders!$D292,products!$A$1:$A$49,0),MATCH(orders!I$1,products!$A$1:$D$1,0))</f>
        <v>Ara</v>
      </c>
      <c r="J292" t="str">
        <f t="shared" si="24"/>
        <v>Arabica</v>
      </c>
      <c r="K292" t="str">
        <f>INDEX(products!$A$1:$I$49,MATCH(orders!$D292,products!$A$1:$A$49,0),MATCH(orders!K$1,products!$A$1:$D$1,0))</f>
        <v>D</v>
      </c>
      <c r="L292" t="str">
        <f t="shared" si="25"/>
        <v>Dark</v>
      </c>
      <c r="M292">
        <f>INDEX(products!$A$1:$I$49,MATCH(orders!$D292,products!$A$1:$A$49,0),MATCH(orders!M$1,products!$A$1:$D$1,0))</f>
        <v>1</v>
      </c>
      <c r="N292">
        <f>_xlfn.XLOOKUP(D292,products!$A$2:$A$49,products!$E$2:$E$49)</f>
        <v>9.9499999999999993</v>
      </c>
      <c r="O292">
        <f>_xlfn.XLOOKUP(D292,products!$A$2:$A$49,products!$H$2:$H$49)</f>
        <v>9.0544999999999991</v>
      </c>
      <c r="P292">
        <f t="shared" si="26"/>
        <v>49.75</v>
      </c>
      <c r="Q292">
        <f t="shared" si="27"/>
        <v>45.272499999999994</v>
      </c>
      <c r="R292">
        <f t="shared" si="28"/>
        <v>4.4775000000000063</v>
      </c>
      <c r="S292" s="4">
        <f t="shared" si="29"/>
        <v>9.0000000000000122E-2</v>
      </c>
      <c r="T292" t="str">
        <f>_xlfn.XLOOKUP(C292,customers!$A$1:$A$1001,customers!$I$1:$I$1001,,0)</f>
        <v>No</v>
      </c>
    </row>
    <row r="293" spans="1:20"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v>
      </c>
      <c r="H293" s="2" t="str">
        <f>_xlfn.XLOOKUP(C293,customers!$A$1:$A$1001,customers!$G$1:$G$1001,,0)</f>
        <v>Ireland</v>
      </c>
      <c r="I293" t="str">
        <f>INDEX(products!$A$1:$I$49,MATCH(orders!$D293,products!$A$1:$A$49,0),MATCH(orders!I$1,products!$A$1:$D$1,0))</f>
        <v>Exc</v>
      </c>
      <c r="J293" t="str">
        <f t="shared" si="24"/>
        <v>Excelsa</v>
      </c>
      <c r="K293" t="str">
        <f>INDEX(products!$A$1:$I$49,MATCH(orders!$D293,products!$A$1:$A$49,0),MATCH(orders!K$1,products!$A$1:$D$1,0))</f>
        <v>M</v>
      </c>
      <c r="L293" t="str">
        <f t="shared" si="25"/>
        <v>Medium</v>
      </c>
      <c r="M293">
        <f>INDEX(products!$A$1:$I$49,MATCH(orders!$D293,products!$A$1:$A$49,0),MATCH(orders!M$1,products!$A$1:$D$1,0))</f>
        <v>0.5</v>
      </c>
      <c r="N293">
        <f>_xlfn.XLOOKUP(D293,products!$A$2:$A$49,products!$E$2:$E$49)</f>
        <v>8.25</v>
      </c>
      <c r="O293">
        <f>_xlfn.XLOOKUP(D293,products!$A$2:$A$49,products!$H$2:$H$49)</f>
        <v>7.3425000000000002</v>
      </c>
      <c r="P293">
        <f t="shared" si="26"/>
        <v>16.5</v>
      </c>
      <c r="Q293">
        <f t="shared" si="27"/>
        <v>14.685</v>
      </c>
      <c r="R293">
        <f t="shared" si="28"/>
        <v>1.8149999999999995</v>
      </c>
      <c r="S293" s="4">
        <f t="shared" si="29"/>
        <v>0.10999999999999997</v>
      </c>
      <c r="T293" t="str">
        <f>_xlfn.XLOOKUP(C293,customers!$A$1:$A$1001,customers!$I$1:$I$1001,,0)</f>
        <v>No</v>
      </c>
    </row>
    <row r="294" spans="1:20"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INDEX(products!$A$1:$I$49,MATCH(orders!$D294,products!$A$1:$A$49,0),MATCH(orders!I$1,products!$A$1:$D$1,0))</f>
        <v>Ara</v>
      </c>
      <c r="J294" t="str">
        <f t="shared" si="24"/>
        <v>Arabica</v>
      </c>
      <c r="K294" t="str">
        <f>INDEX(products!$A$1:$I$49,MATCH(orders!$D294,products!$A$1:$A$49,0),MATCH(orders!K$1,products!$A$1:$D$1,0))</f>
        <v>D</v>
      </c>
      <c r="L294" t="str">
        <f t="shared" si="25"/>
        <v>Dark</v>
      </c>
      <c r="M294">
        <f>INDEX(products!$A$1:$I$49,MATCH(orders!$D294,products!$A$1:$A$49,0),MATCH(orders!M$1,products!$A$1:$D$1,0))</f>
        <v>0.5</v>
      </c>
      <c r="N294">
        <f>_xlfn.XLOOKUP(D294,products!$A$2:$A$49,products!$E$2:$E$49)</f>
        <v>5.97</v>
      </c>
      <c r="O294">
        <f>_xlfn.XLOOKUP(D294,products!$A$2:$A$49,products!$H$2:$H$49)</f>
        <v>5.4326999999999996</v>
      </c>
      <c r="P294">
        <f t="shared" si="26"/>
        <v>17.91</v>
      </c>
      <c r="Q294">
        <f t="shared" si="27"/>
        <v>16.298099999999998</v>
      </c>
      <c r="R294">
        <f t="shared" si="28"/>
        <v>1.6119000000000021</v>
      </c>
      <c r="S294" s="4">
        <f t="shared" si="29"/>
        <v>9.0000000000000122E-2</v>
      </c>
      <c r="T294" t="str">
        <f>_xlfn.XLOOKUP(C294,customers!$A$1:$A$1001,customers!$I$1:$I$1001,,0)</f>
        <v>No</v>
      </c>
    </row>
    <row r="295" spans="1:20"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INDEX(products!$A$1:$I$49,MATCH(orders!$D295,products!$A$1:$A$49,0),MATCH(orders!I$1,products!$A$1:$D$1,0))</f>
        <v>Ara</v>
      </c>
      <c r="J295" t="str">
        <f t="shared" si="24"/>
        <v>Arabica</v>
      </c>
      <c r="K295" t="str">
        <f>INDEX(products!$A$1:$I$49,MATCH(orders!$D295,products!$A$1:$A$49,0),MATCH(orders!K$1,products!$A$1:$D$1,0))</f>
        <v>D</v>
      </c>
      <c r="L295" t="str">
        <f t="shared" si="25"/>
        <v>Dark</v>
      </c>
      <c r="M295">
        <f>INDEX(products!$A$1:$I$49,MATCH(orders!$D295,products!$A$1:$A$49,0),MATCH(orders!M$1,products!$A$1:$D$1,0))</f>
        <v>0.5</v>
      </c>
      <c r="N295">
        <f>_xlfn.XLOOKUP(D295,products!$A$2:$A$49,products!$E$2:$E$49)</f>
        <v>5.97</v>
      </c>
      <c r="O295">
        <f>_xlfn.XLOOKUP(D295,products!$A$2:$A$49,products!$H$2:$H$49)</f>
        <v>5.4326999999999996</v>
      </c>
      <c r="P295">
        <f t="shared" si="26"/>
        <v>29.849999999999998</v>
      </c>
      <c r="Q295">
        <f t="shared" si="27"/>
        <v>27.163499999999999</v>
      </c>
      <c r="R295">
        <f t="shared" si="28"/>
        <v>2.6864999999999988</v>
      </c>
      <c r="S295" s="4">
        <f t="shared" si="29"/>
        <v>8.9999999999999969E-2</v>
      </c>
      <c r="T295" t="str">
        <f>_xlfn.XLOOKUP(C295,customers!$A$1:$A$1001,customers!$I$1:$I$1001,,0)</f>
        <v>No</v>
      </c>
    </row>
    <row r="296" spans="1:20"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v>
      </c>
      <c r="H296" s="2" t="str">
        <f>_xlfn.XLOOKUP(C296,customers!$A$1:$A$1001,customers!$G$1:$G$1001,,0)</f>
        <v>United States</v>
      </c>
      <c r="I296" t="str">
        <f>INDEX(products!$A$1:$I$49,MATCH(orders!$D296,products!$A$1:$A$49,0),MATCH(orders!I$1,products!$A$1:$D$1,0))</f>
        <v>Exc</v>
      </c>
      <c r="J296" t="str">
        <f t="shared" si="24"/>
        <v>Excelsa</v>
      </c>
      <c r="K296" t="str">
        <f>INDEX(products!$A$1:$I$49,MATCH(orders!$D296,products!$A$1:$A$49,0),MATCH(orders!K$1,products!$A$1:$D$1,0))</f>
        <v>L</v>
      </c>
      <c r="L296" t="str">
        <f t="shared" si="25"/>
        <v>Light</v>
      </c>
      <c r="M296">
        <f>INDEX(products!$A$1:$I$49,MATCH(orders!$D296,products!$A$1:$A$49,0),MATCH(orders!M$1,products!$A$1:$D$1,0))</f>
        <v>1</v>
      </c>
      <c r="N296">
        <f>_xlfn.XLOOKUP(D296,products!$A$2:$A$49,products!$E$2:$E$49)</f>
        <v>14.85</v>
      </c>
      <c r="O296">
        <f>_xlfn.XLOOKUP(D296,products!$A$2:$A$49,products!$H$2:$H$49)</f>
        <v>13.2165</v>
      </c>
      <c r="P296">
        <f t="shared" si="26"/>
        <v>44.55</v>
      </c>
      <c r="Q296">
        <f t="shared" si="27"/>
        <v>39.649500000000003</v>
      </c>
      <c r="R296">
        <f t="shared" si="28"/>
        <v>4.9004999999999939</v>
      </c>
      <c r="S296" s="4">
        <f t="shared" si="29"/>
        <v>0.10999999999999988</v>
      </c>
      <c r="T296" t="str">
        <f>_xlfn.XLOOKUP(C296,customers!$A$1:$A$1001,customers!$I$1:$I$1001,,0)</f>
        <v>No</v>
      </c>
    </row>
    <row r="297" spans="1:20"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v>
      </c>
      <c r="H297" s="2" t="str">
        <f>_xlfn.XLOOKUP(C297,customers!$A$1:$A$1001,customers!$G$1:$G$1001,,0)</f>
        <v>United States</v>
      </c>
      <c r="I297" t="str">
        <f>INDEX(products!$A$1:$I$49,MATCH(orders!$D297,products!$A$1:$A$49,0),MATCH(orders!I$1,products!$A$1:$D$1,0))</f>
        <v>Exc</v>
      </c>
      <c r="J297" t="str">
        <f t="shared" si="24"/>
        <v>Excelsa</v>
      </c>
      <c r="K297" t="str">
        <f>INDEX(products!$A$1:$I$49,MATCH(orders!$D297,products!$A$1:$A$49,0),MATCH(orders!K$1,products!$A$1:$D$1,0))</f>
        <v>M</v>
      </c>
      <c r="L297" t="str">
        <f t="shared" si="25"/>
        <v>Medium</v>
      </c>
      <c r="M297">
        <f>INDEX(products!$A$1:$I$49,MATCH(orders!$D297,products!$A$1:$A$49,0),MATCH(orders!M$1,products!$A$1:$D$1,0))</f>
        <v>1</v>
      </c>
      <c r="N297">
        <f>_xlfn.XLOOKUP(D297,products!$A$2:$A$49,products!$E$2:$E$49)</f>
        <v>13.75</v>
      </c>
      <c r="O297">
        <f>_xlfn.XLOOKUP(D297,products!$A$2:$A$49,products!$H$2:$H$49)</f>
        <v>12.237500000000001</v>
      </c>
      <c r="P297">
        <f t="shared" si="26"/>
        <v>27.5</v>
      </c>
      <c r="Q297">
        <f t="shared" si="27"/>
        <v>24.475000000000001</v>
      </c>
      <c r="R297">
        <f t="shared" si="28"/>
        <v>3.0249999999999986</v>
      </c>
      <c r="S297" s="4">
        <f t="shared" si="29"/>
        <v>0.10999999999999995</v>
      </c>
      <c r="T297" t="str">
        <f>_xlfn.XLOOKUP(C297,customers!$A$1:$A$1001,customers!$I$1:$I$1001,,0)</f>
        <v>No</v>
      </c>
    </row>
    <row r="298" spans="1:20"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INDEX(products!$A$1:$I$49,MATCH(orders!$D298,products!$A$1:$A$49,0),MATCH(orders!I$1,products!$A$1:$D$1,0))</f>
        <v>Rob</v>
      </c>
      <c r="J298" t="str">
        <f t="shared" si="24"/>
        <v>Robusta</v>
      </c>
      <c r="K298" t="str">
        <f>INDEX(products!$A$1:$I$49,MATCH(orders!$D298,products!$A$1:$A$49,0),MATCH(orders!K$1,products!$A$1:$D$1,0))</f>
        <v>M</v>
      </c>
      <c r="L298" t="str">
        <f t="shared" si="25"/>
        <v>Medium</v>
      </c>
      <c r="M298">
        <f>INDEX(products!$A$1:$I$49,MATCH(orders!$D298,products!$A$1:$A$49,0),MATCH(orders!M$1,products!$A$1:$D$1,0))</f>
        <v>0.5</v>
      </c>
      <c r="N298">
        <f>_xlfn.XLOOKUP(D298,products!$A$2:$A$49,products!$E$2:$E$49)</f>
        <v>5.97</v>
      </c>
      <c r="O298">
        <f>_xlfn.XLOOKUP(D298,products!$A$2:$A$49,products!$H$2:$H$49)</f>
        <v>5.6117999999999997</v>
      </c>
      <c r="P298">
        <f t="shared" si="26"/>
        <v>35.82</v>
      </c>
      <c r="Q298">
        <f t="shared" si="27"/>
        <v>33.6708</v>
      </c>
      <c r="R298">
        <f t="shared" si="28"/>
        <v>2.1492000000000004</v>
      </c>
      <c r="S298" s="4">
        <f t="shared" si="29"/>
        <v>6.0000000000000012E-2</v>
      </c>
      <c r="T298" t="str">
        <f>_xlfn.XLOOKUP(C298,customers!$A$1:$A$1001,customers!$I$1:$I$1001,,0)</f>
        <v>Yes</v>
      </c>
    </row>
    <row r="299" spans="1:20"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INDEX(products!$A$1:$I$49,MATCH(orders!$D299,products!$A$1:$A$49,0),MATCH(orders!I$1,products!$A$1:$D$1,0))</f>
        <v>Rob</v>
      </c>
      <c r="J299" t="str">
        <f t="shared" si="24"/>
        <v>Robusta</v>
      </c>
      <c r="K299" t="str">
        <f>INDEX(products!$A$1:$I$49,MATCH(orders!$D299,products!$A$1:$A$49,0),MATCH(orders!K$1,products!$A$1:$D$1,0))</f>
        <v>D</v>
      </c>
      <c r="L299" t="str">
        <f t="shared" si="25"/>
        <v>Dark</v>
      </c>
      <c r="M299">
        <f>INDEX(products!$A$1:$I$49,MATCH(orders!$D299,products!$A$1:$A$49,0),MATCH(orders!M$1,products!$A$1:$D$1,0))</f>
        <v>0.5</v>
      </c>
      <c r="N299">
        <f>_xlfn.XLOOKUP(D299,products!$A$2:$A$49,products!$E$2:$E$49)</f>
        <v>5.3699999999999992</v>
      </c>
      <c r="O299">
        <f>_xlfn.XLOOKUP(D299,products!$A$2:$A$49,products!$H$2:$H$49)</f>
        <v>5.0477999999999996</v>
      </c>
      <c r="P299">
        <f t="shared" si="26"/>
        <v>16.11</v>
      </c>
      <c r="Q299">
        <f t="shared" si="27"/>
        <v>15.1434</v>
      </c>
      <c r="R299">
        <f t="shared" si="28"/>
        <v>0.96659999999999968</v>
      </c>
      <c r="S299" s="4">
        <f t="shared" si="29"/>
        <v>5.9999999999999984E-2</v>
      </c>
      <c r="T299" t="str">
        <f>_xlfn.XLOOKUP(C299,customers!$A$1:$A$1001,customers!$I$1:$I$1001,,0)</f>
        <v>Yes</v>
      </c>
    </row>
    <row r="300" spans="1:20"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INDEX(products!$A$1:$I$49,MATCH(orders!$D300,products!$A$1:$A$49,0),MATCH(orders!I$1,products!$A$1:$D$1,0))</f>
        <v>Exc</v>
      </c>
      <c r="J300" t="str">
        <f t="shared" si="24"/>
        <v>Excelsa</v>
      </c>
      <c r="K300" t="str">
        <f>INDEX(products!$A$1:$I$49,MATCH(orders!$D300,products!$A$1:$A$49,0),MATCH(orders!K$1,products!$A$1:$D$1,0))</f>
        <v>L</v>
      </c>
      <c r="L300" t="str">
        <f t="shared" si="25"/>
        <v>Light</v>
      </c>
      <c r="M300">
        <f>INDEX(products!$A$1:$I$49,MATCH(orders!$D300,products!$A$1:$A$49,0),MATCH(orders!M$1,products!$A$1:$D$1,0))</f>
        <v>0.2</v>
      </c>
      <c r="N300">
        <f>_xlfn.XLOOKUP(D300,products!$A$2:$A$49,products!$E$2:$E$49)</f>
        <v>4.4550000000000001</v>
      </c>
      <c r="O300">
        <f>_xlfn.XLOOKUP(D300,products!$A$2:$A$49,products!$H$2:$H$49)</f>
        <v>3.96495</v>
      </c>
      <c r="P300">
        <f t="shared" si="26"/>
        <v>26.73</v>
      </c>
      <c r="Q300">
        <f t="shared" si="27"/>
        <v>23.7897</v>
      </c>
      <c r="R300">
        <f t="shared" si="28"/>
        <v>2.9403000000000006</v>
      </c>
      <c r="S300" s="4">
        <f t="shared" si="29"/>
        <v>0.11000000000000001</v>
      </c>
      <c r="T300" t="str">
        <f>_xlfn.XLOOKUP(C300,customers!$A$1:$A$1001,customers!$I$1:$I$1001,,0)</f>
        <v>Yes</v>
      </c>
    </row>
    <row r="301" spans="1:20"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INDEX(products!$A$1:$I$49,MATCH(orders!$D301,products!$A$1:$A$49,0),MATCH(orders!I$1,products!$A$1:$D$1,0))</f>
        <v>Exc</v>
      </c>
      <c r="J301" t="str">
        <f t="shared" si="24"/>
        <v>Excelsa</v>
      </c>
      <c r="K301" t="str">
        <f>INDEX(products!$A$1:$I$49,MATCH(orders!$D301,products!$A$1:$A$49,0),MATCH(orders!K$1,products!$A$1:$D$1,0))</f>
        <v>L</v>
      </c>
      <c r="L301" t="str">
        <f t="shared" si="25"/>
        <v>Light</v>
      </c>
      <c r="M301">
        <f>INDEX(products!$A$1:$I$49,MATCH(orders!$D301,products!$A$1:$A$49,0),MATCH(orders!M$1,products!$A$1:$D$1,0))</f>
        <v>2.5</v>
      </c>
      <c r="N301">
        <f>_xlfn.XLOOKUP(D301,products!$A$2:$A$49,products!$E$2:$E$49)</f>
        <v>34.154999999999994</v>
      </c>
      <c r="O301">
        <f>_xlfn.XLOOKUP(D301,products!$A$2:$A$49,products!$H$2:$H$49)</f>
        <v>30.397949999999994</v>
      </c>
      <c r="P301">
        <f t="shared" si="26"/>
        <v>204.92999999999995</v>
      </c>
      <c r="Q301">
        <f t="shared" si="27"/>
        <v>182.38769999999997</v>
      </c>
      <c r="R301">
        <f t="shared" si="28"/>
        <v>22.542299999999983</v>
      </c>
      <c r="S301" s="4">
        <f t="shared" si="29"/>
        <v>0.10999999999999995</v>
      </c>
      <c r="T301" t="str">
        <f>_xlfn.XLOOKUP(C301,customers!$A$1:$A$1001,customers!$I$1:$I$1001,,0)</f>
        <v>Yes</v>
      </c>
    </row>
    <row r="302" spans="1:20"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INDEX(products!$A$1:$I$49,MATCH(orders!$D302,products!$A$1:$A$49,0),MATCH(orders!I$1,products!$A$1:$D$1,0))</f>
        <v>Ara</v>
      </c>
      <c r="J302" t="str">
        <f t="shared" si="24"/>
        <v>Arabica</v>
      </c>
      <c r="K302" t="str">
        <f>INDEX(products!$A$1:$I$49,MATCH(orders!$D302,products!$A$1:$A$49,0),MATCH(orders!K$1,products!$A$1:$D$1,0))</f>
        <v>L</v>
      </c>
      <c r="L302" t="str">
        <f t="shared" si="25"/>
        <v>Light</v>
      </c>
      <c r="M302">
        <f>INDEX(products!$A$1:$I$49,MATCH(orders!$D302,products!$A$1:$A$49,0),MATCH(orders!M$1,products!$A$1:$D$1,0))</f>
        <v>1</v>
      </c>
      <c r="N302">
        <f>_xlfn.XLOOKUP(D302,products!$A$2:$A$49,products!$E$2:$E$49)</f>
        <v>12.95</v>
      </c>
      <c r="O302">
        <f>_xlfn.XLOOKUP(D302,products!$A$2:$A$49,products!$H$2:$H$49)</f>
        <v>11.7845</v>
      </c>
      <c r="P302">
        <f t="shared" si="26"/>
        <v>38.849999999999994</v>
      </c>
      <c r="Q302">
        <f t="shared" si="27"/>
        <v>35.353499999999997</v>
      </c>
      <c r="R302">
        <f t="shared" si="28"/>
        <v>3.4964999999999975</v>
      </c>
      <c r="S302" s="4">
        <f t="shared" si="29"/>
        <v>8.9999999999999955E-2</v>
      </c>
      <c r="T302" t="str">
        <f>_xlfn.XLOOKUP(C302,customers!$A$1:$A$1001,customers!$I$1:$I$1001,,0)</f>
        <v>Yes</v>
      </c>
    </row>
    <row r="303" spans="1:20"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INDEX(products!$A$1:$I$49,MATCH(orders!$D303,products!$A$1:$A$49,0),MATCH(orders!I$1,products!$A$1:$D$1,0))</f>
        <v>Lib</v>
      </c>
      <c r="J303" t="str">
        <f t="shared" si="24"/>
        <v>Liberica</v>
      </c>
      <c r="K303" t="str">
        <f>INDEX(products!$A$1:$I$49,MATCH(orders!$D303,products!$A$1:$A$49,0),MATCH(orders!K$1,products!$A$1:$D$1,0))</f>
        <v>D</v>
      </c>
      <c r="L303" t="str">
        <f t="shared" si="25"/>
        <v>Dark</v>
      </c>
      <c r="M303">
        <f>INDEX(products!$A$1:$I$49,MATCH(orders!$D303,products!$A$1:$A$49,0),MATCH(orders!M$1,products!$A$1:$D$1,0))</f>
        <v>0.2</v>
      </c>
      <c r="N303">
        <f>_xlfn.XLOOKUP(D303,products!$A$2:$A$49,products!$E$2:$E$49)</f>
        <v>3.8849999999999998</v>
      </c>
      <c r="O303">
        <f>_xlfn.XLOOKUP(D303,products!$A$2:$A$49,products!$H$2:$H$49)</f>
        <v>3.37995</v>
      </c>
      <c r="P303">
        <f t="shared" si="26"/>
        <v>15.54</v>
      </c>
      <c r="Q303">
        <f t="shared" si="27"/>
        <v>13.5198</v>
      </c>
      <c r="R303">
        <f t="shared" si="28"/>
        <v>2.0201999999999991</v>
      </c>
      <c r="S303" s="4">
        <f t="shared" si="29"/>
        <v>0.12999999999999995</v>
      </c>
      <c r="T303" t="str">
        <f>_xlfn.XLOOKUP(C303,customers!$A$1:$A$1001,customers!$I$1:$I$1001,,0)</f>
        <v>Yes</v>
      </c>
    </row>
    <row r="304" spans="1:20"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INDEX(products!$A$1:$I$49,MATCH(orders!$D304,products!$A$1:$A$49,0),MATCH(orders!I$1,products!$A$1:$D$1,0))</f>
        <v>Ara</v>
      </c>
      <c r="J304" t="str">
        <f t="shared" si="24"/>
        <v>Arabica</v>
      </c>
      <c r="K304" t="str">
        <f>INDEX(products!$A$1:$I$49,MATCH(orders!$D304,products!$A$1:$A$49,0),MATCH(orders!K$1,products!$A$1:$D$1,0))</f>
        <v>M</v>
      </c>
      <c r="L304" t="str">
        <f t="shared" si="25"/>
        <v>Medium</v>
      </c>
      <c r="M304">
        <f>INDEX(products!$A$1:$I$49,MATCH(orders!$D304,products!$A$1:$A$49,0),MATCH(orders!M$1,products!$A$1:$D$1,0))</f>
        <v>0.5</v>
      </c>
      <c r="N304">
        <f>_xlfn.XLOOKUP(D304,products!$A$2:$A$49,products!$E$2:$E$49)</f>
        <v>6.75</v>
      </c>
      <c r="O304">
        <f>_xlfn.XLOOKUP(D304,products!$A$2:$A$49,products!$H$2:$H$49)</f>
        <v>6.1425000000000001</v>
      </c>
      <c r="P304">
        <f t="shared" si="26"/>
        <v>6.75</v>
      </c>
      <c r="Q304">
        <f t="shared" si="27"/>
        <v>6.1425000000000001</v>
      </c>
      <c r="R304">
        <f t="shared" si="28"/>
        <v>0.60749999999999993</v>
      </c>
      <c r="S304" s="4">
        <f t="shared" si="29"/>
        <v>8.9999999999999983E-2</v>
      </c>
      <c r="T304" t="str">
        <f>_xlfn.XLOOKUP(C304,customers!$A$1:$A$1001,customers!$I$1:$I$1001,,0)</f>
        <v>No</v>
      </c>
    </row>
    <row r="305" spans="1:20"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INDEX(products!$A$1:$I$49,MATCH(orders!$D305,products!$A$1:$A$49,0),MATCH(orders!I$1,products!$A$1:$D$1,0))</f>
        <v>Exc</v>
      </c>
      <c r="J305" t="str">
        <f t="shared" si="24"/>
        <v>Excelsa</v>
      </c>
      <c r="K305" t="str">
        <f>INDEX(products!$A$1:$I$49,MATCH(orders!$D305,products!$A$1:$A$49,0),MATCH(orders!K$1,products!$A$1:$D$1,0))</f>
        <v>D</v>
      </c>
      <c r="L305" t="str">
        <f t="shared" si="25"/>
        <v>Dark</v>
      </c>
      <c r="M305">
        <f>INDEX(products!$A$1:$I$49,MATCH(orders!$D305,products!$A$1:$A$49,0),MATCH(orders!M$1,products!$A$1:$D$1,0))</f>
        <v>2.5</v>
      </c>
      <c r="N305">
        <f>_xlfn.XLOOKUP(D305,products!$A$2:$A$49,products!$E$2:$E$49)</f>
        <v>27.945</v>
      </c>
      <c r="O305">
        <f>_xlfn.XLOOKUP(D305,products!$A$2:$A$49,products!$H$2:$H$49)</f>
        <v>24.87105</v>
      </c>
      <c r="P305">
        <f t="shared" si="26"/>
        <v>111.78</v>
      </c>
      <c r="Q305">
        <f t="shared" si="27"/>
        <v>99.484200000000001</v>
      </c>
      <c r="R305">
        <f t="shared" si="28"/>
        <v>12.2958</v>
      </c>
      <c r="S305" s="4">
        <f t="shared" si="29"/>
        <v>0.11</v>
      </c>
      <c r="T305" t="str">
        <f>_xlfn.XLOOKUP(C305,customers!$A$1:$A$1001,customers!$I$1:$I$1001,,0)</f>
        <v>Yes</v>
      </c>
    </row>
    <row r="306" spans="1:20"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INDEX(products!$A$1:$I$49,MATCH(orders!$D306,products!$A$1:$A$49,0),MATCH(orders!I$1,products!$A$1:$D$1,0))</f>
        <v>Ara</v>
      </c>
      <c r="J306" t="str">
        <f t="shared" si="24"/>
        <v>Arabica</v>
      </c>
      <c r="K306" t="str">
        <f>INDEX(products!$A$1:$I$49,MATCH(orders!$D306,products!$A$1:$A$49,0),MATCH(orders!K$1,products!$A$1:$D$1,0))</f>
        <v>L</v>
      </c>
      <c r="L306" t="str">
        <f t="shared" si="25"/>
        <v>Light</v>
      </c>
      <c r="M306">
        <f>INDEX(products!$A$1:$I$49,MATCH(orders!$D306,products!$A$1:$A$49,0),MATCH(orders!M$1,products!$A$1:$D$1,0))</f>
        <v>0.2</v>
      </c>
      <c r="N306">
        <f>_xlfn.XLOOKUP(D306,products!$A$2:$A$49,products!$E$2:$E$49)</f>
        <v>3.8849999999999998</v>
      </c>
      <c r="O306">
        <f>_xlfn.XLOOKUP(D306,products!$A$2:$A$49,products!$H$2:$H$49)</f>
        <v>3.5353499999999998</v>
      </c>
      <c r="P306">
        <f t="shared" si="26"/>
        <v>3.8849999999999998</v>
      </c>
      <c r="Q306">
        <f t="shared" si="27"/>
        <v>3.5353499999999998</v>
      </c>
      <c r="R306">
        <f t="shared" si="28"/>
        <v>0.34965000000000002</v>
      </c>
      <c r="S306" s="4">
        <f t="shared" si="29"/>
        <v>9.0000000000000011E-2</v>
      </c>
      <c r="T306" t="str">
        <f>_xlfn.XLOOKUP(C306,customers!$A$1:$A$1001,customers!$I$1:$I$1001,,0)</f>
        <v>Yes</v>
      </c>
    </row>
    <row r="307" spans="1:20"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INDEX(products!$A$1:$I$49,MATCH(orders!$D307,products!$A$1:$A$49,0),MATCH(orders!I$1,products!$A$1:$D$1,0))</f>
        <v>Lib</v>
      </c>
      <c r="J307" t="str">
        <f t="shared" si="24"/>
        <v>Liberica</v>
      </c>
      <c r="K307" t="str">
        <f>INDEX(products!$A$1:$I$49,MATCH(orders!$D307,products!$A$1:$A$49,0),MATCH(orders!K$1,products!$A$1:$D$1,0))</f>
        <v>M</v>
      </c>
      <c r="L307" t="str">
        <f t="shared" si="25"/>
        <v>Medium</v>
      </c>
      <c r="M307">
        <f>INDEX(products!$A$1:$I$49,MATCH(orders!$D307,products!$A$1:$A$49,0),MATCH(orders!M$1,products!$A$1:$D$1,0))</f>
        <v>0.2</v>
      </c>
      <c r="N307">
        <f>_xlfn.XLOOKUP(D307,products!$A$2:$A$49,products!$E$2:$E$49)</f>
        <v>4.3650000000000002</v>
      </c>
      <c r="O307">
        <f>_xlfn.XLOOKUP(D307,products!$A$2:$A$49,products!$H$2:$H$49)</f>
        <v>3.7975500000000002</v>
      </c>
      <c r="P307">
        <f t="shared" si="26"/>
        <v>21.825000000000003</v>
      </c>
      <c r="Q307">
        <f t="shared" si="27"/>
        <v>18.987750000000002</v>
      </c>
      <c r="R307">
        <f t="shared" si="28"/>
        <v>2.8372500000000009</v>
      </c>
      <c r="S307" s="4">
        <f t="shared" si="29"/>
        <v>0.13000000000000003</v>
      </c>
      <c r="T307" t="str">
        <f>_xlfn.XLOOKUP(C307,customers!$A$1:$A$1001,customers!$I$1:$I$1001,,0)</f>
        <v>No</v>
      </c>
    </row>
    <row r="308" spans="1:20"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INDEX(products!$A$1:$I$49,MATCH(orders!$D308,products!$A$1:$A$49,0),MATCH(orders!I$1,products!$A$1:$D$1,0))</f>
        <v>Rob</v>
      </c>
      <c r="J308" t="str">
        <f t="shared" si="24"/>
        <v>Robusta</v>
      </c>
      <c r="K308" t="str">
        <f>INDEX(products!$A$1:$I$49,MATCH(orders!$D308,products!$A$1:$A$49,0),MATCH(orders!K$1,products!$A$1:$D$1,0))</f>
        <v>M</v>
      </c>
      <c r="L308" t="str">
        <f t="shared" si="25"/>
        <v>Medium</v>
      </c>
      <c r="M308">
        <f>INDEX(products!$A$1:$I$49,MATCH(orders!$D308,products!$A$1:$A$49,0),MATCH(orders!M$1,products!$A$1:$D$1,0))</f>
        <v>0.2</v>
      </c>
      <c r="N308">
        <f>_xlfn.XLOOKUP(D308,products!$A$2:$A$49,products!$E$2:$E$49)</f>
        <v>2.9849999999999999</v>
      </c>
      <c r="O308">
        <f>_xlfn.XLOOKUP(D308,products!$A$2:$A$49,products!$H$2:$H$49)</f>
        <v>2.8058999999999998</v>
      </c>
      <c r="P308">
        <f t="shared" si="26"/>
        <v>14.924999999999999</v>
      </c>
      <c r="Q308">
        <f t="shared" si="27"/>
        <v>14.029499999999999</v>
      </c>
      <c r="R308">
        <f t="shared" si="28"/>
        <v>0.89550000000000018</v>
      </c>
      <c r="S308" s="4">
        <f t="shared" si="29"/>
        <v>6.0000000000000019E-2</v>
      </c>
      <c r="T308" t="str">
        <f>_xlfn.XLOOKUP(C308,customers!$A$1:$A$1001,customers!$I$1:$I$1001,,0)</f>
        <v>No</v>
      </c>
    </row>
    <row r="309" spans="1:20"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INDEX(products!$A$1:$I$49,MATCH(orders!$D309,products!$A$1:$A$49,0),MATCH(orders!I$1,products!$A$1:$D$1,0))</f>
        <v>Ara</v>
      </c>
      <c r="J309" t="str">
        <f t="shared" si="24"/>
        <v>Arabica</v>
      </c>
      <c r="K309" t="str">
        <f>INDEX(products!$A$1:$I$49,MATCH(orders!$D309,products!$A$1:$A$49,0),MATCH(orders!K$1,products!$A$1:$D$1,0))</f>
        <v>M</v>
      </c>
      <c r="L309" t="str">
        <f t="shared" si="25"/>
        <v>Medium</v>
      </c>
      <c r="M309">
        <f>INDEX(products!$A$1:$I$49,MATCH(orders!$D309,products!$A$1:$A$49,0),MATCH(orders!M$1,products!$A$1:$D$1,0))</f>
        <v>1</v>
      </c>
      <c r="N309">
        <f>_xlfn.XLOOKUP(D309,products!$A$2:$A$49,products!$E$2:$E$49)</f>
        <v>11.25</v>
      </c>
      <c r="O309">
        <f>_xlfn.XLOOKUP(D309,products!$A$2:$A$49,products!$H$2:$H$49)</f>
        <v>10.237500000000001</v>
      </c>
      <c r="P309">
        <f t="shared" si="26"/>
        <v>33.75</v>
      </c>
      <c r="Q309">
        <f t="shared" si="27"/>
        <v>30.712500000000002</v>
      </c>
      <c r="R309">
        <f t="shared" si="28"/>
        <v>3.0374999999999979</v>
      </c>
      <c r="S309" s="4">
        <f t="shared" si="29"/>
        <v>8.9999999999999941E-2</v>
      </c>
      <c r="T309" t="str">
        <f>_xlfn.XLOOKUP(C309,customers!$A$1:$A$1001,customers!$I$1:$I$1001,,0)</f>
        <v>Yes</v>
      </c>
    </row>
    <row r="310" spans="1:20"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INDEX(products!$A$1:$I$49,MATCH(orders!$D310,products!$A$1:$A$49,0),MATCH(orders!I$1,products!$A$1:$D$1,0))</f>
        <v>Ara</v>
      </c>
      <c r="J310" t="str">
        <f t="shared" si="24"/>
        <v>Arabica</v>
      </c>
      <c r="K310" t="str">
        <f>INDEX(products!$A$1:$I$49,MATCH(orders!$D310,products!$A$1:$A$49,0),MATCH(orders!K$1,products!$A$1:$D$1,0))</f>
        <v>M</v>
      </c>
      <c r="L310" t="str">
        <f t="shared" si="25"/>
        <v>Medium</v>
      </c>
      <c r="M310">
        <f>INDEX(products!$A$1:$I$49,MATCH(orders!$D310,products!$A$1:$A$49,0),MATCH(orders!M$1,products!$A$1:$D$1,0))</f>
        <v>1</v>
      </c>
      <c r="N310">
        <f>_xlfn.XLOOKUP(D310,products!$A$2:$A$49,products!$E$2:$E$49)</f>
        <v>11.25</v>
      </c>
      <c r="O310">
        <f>_xlfn.XLOOKUP(D310,products!$A$2:$A$49,products!$H$2:$H$49)</f>
        <v>10.237500000000001</v>
      </c>
      <c r="P310">
        <f t="shared" si="26"/>
        <v>33.75</v>
      </c>
      <c r="Q310">
        <f t="shared" si="27"/>
        <v>30.712500000000002</v>
      </c>
      <c r="R310">
        <f t="shared" si="28"/>
        <v>3.0374999999999979</v>
      </c>
      <c r="S310" s="4">
        <f t="shared" si="29"/>
        <v>8.9999999999999941E-2</v>
      </c>
      <c r="T310" t="str">
        <f>_xlfn.XLOOKUP(C310,customers!$A$1:$A$1001,customers!$I$1:$I$1001,,0)</f>
        <v>No</v>
      </c>
    </row>
    <row r="311" spans="1:20"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INDEX(products!$A$1:$I$49,MATCH(orders!$D311,products!$A$1:$A$49,0),MATCH(orders!I$1,products!$A$1:$D$1,0))</f>
        <v>Lib</v>
      </c>
      <c r="J311" t="str">
        <f t="shared" si="24"/>
        <v>Liberica</v>
      </c>
      <c r="K311" t="str">
        <f>INDEX(products!$A$1:$I$49,MATCH(orders!$D311,products!$A$1:$A$49,0),MATCH(orders!K$1,products!$A$1:$D$1,0))</f>
        <v>M</v>
      </c>
      <c r="L311" t="str">
        <f t="shared" si="25"/>
        <v>Medium</v>
      </c>
      <c r="M311">
        <f>INDEX(products!$A$1:$I$49,MATCH(orders!$D311,products!$A$1:$A$49,0),MATCH(orders!M$1,products!$A$1:$D$1,0))</f>
        <v>0.2</v>
      </c>
      <c r="N311">
        <f>_xlfn.XLOOKUP(D311,products!$A$2:$A$49,products!$E$2:$E$49)</f>
        <v>4.3650000000000002</v>
      </c>
      <c r="O311">
        <f>_xlfn.XLOOKUP(D311,products!$A$2:$A$49,products!$H$2:$H$49)</f>
        <v>3.7975500000000002</v>
      </c>
      <c r="P311">
        <f t="shared" si="26"/>
        <v>26.19</v>
      </c>
      <c r="Q311">
        <f t="shared" si="27"/>
        <v>22.785299999999999</v>
      </c>
      <c r="R311">
        <f t="shared" si="28"/>
        <v>3.4047000000000018</v>
      </c>
      <c r="S311" s="4">
        <f t="shared" si="29"/>
        <v>0.13000000000000006</v>
      </c>
      <c r="T311" t="str">
        <f>_xlfn.XLOOKUP(C311,customers!$A$1:$A$1001,customers!$I$1:$I$1001,,0)</f>
        <v>Yes</v>
      </c>
    </row>
    <row r="312" spans="1:20"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INDEX(products!$A$1:$I$49,MATCH(orders!$D312,products!$A$1:$A$49,0),MATCH(orders!I$1,products!$A$1:$D$1,0))</f>
        <v>Exc</v>
      </c>
      <c r="J312" t="str">
        <f t="shared" si="24"/>
        <v>Excelsa</v>
      </c>
      <c r="K312" t="str">
        <f>INDEX(products!$A$1:$I$49,MATCH(orders!$D312,products!$A$1:$A$49,0),MATCH(orders!K$1,products!$A$1:$D$1,0))</f>
        <v>L</v>
      </c>
      <c r="L312" t="str">
        <f t="shared" si="25"/>
        <v>Light</v>
      </c>
      <c r="M312">
        <f>INDEX(products!$A$1:$I$49,MATCH(orders!$D312,products!$A$1:$A$49,0),MATCH(orders!M$1,products!$A$1:$D$1,0))</f>
        <v>1</v>
      </c>
      <c r="N312">
        <f>_xlfn.XLOOKUP(D312,products!$A$2:$A$49,products!$E$2:$E$49)</f>
        <v>14.85</v>
      </c>
      <c r="O312">
        <f>_xlfn.XLOOKUP(D312,products!$A$2:$A$49,products!$H$2:$H$49)</f>
        <v>13.2165</v>
      </c>
      <c r="P312">
        <f t="shared" si="26"/>
        <v>14.85</v>
      </c>
      <c r="Q312">
        <f t="shared" si="27"/>
        <v>13.2165</v>
      </c>
      <c r="R312">
        <f t="shared" si="28"/>
        <v>1.6334999999999997</v>
      </c>
      <c r="S312" s="4">
        <f t="shared" si="29"/>
        <v>0.10999999999999999</v>
      </c>
      <c r="T312" t="str">
        <f>_xlfn.XLOOKUP(C312,customers!$A$1:$A$1001,customers!$I$1:$I$1001,,0)</f>
        <v>No</v>
      </c>
    </row>
    <row r="313" spans="1:20"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INDEX(products!$A$1:$I$49,MATCH(orders!$D313,products!$A$1:$A$49,0),MATCH(orders!I$1,products!$A$1:$D$1,0))</f>
        <v>Exc</v>
      </c>
      <c r="J313" t="str">
        <f t="shared" si="24"/>
        <v>Excelsa</v>
      </c>
      <c r="K313" t="str">
        <f>INDEX(products!$A$1:$I$49,MATCH(orders!$D313,products!$A$1:$A$49,0),MATCH(orders!K$1,products!$A$1:$D$1,0))</f>
        <v>M</v>
      </c>
      <c r="L313" t="str">
        <f t="shared" si="25"/>
        <v>Medium</v>
      </c>
      <c r="M313">
        <f>INDEX(products!$A$1:$I$49,MATCH(orders!$D313,products!$A$1:$A$49,0),MATCH(orders!M$1,products!$A$1:$D$1,0))</f>
        <v>2.5</v>
      </c>
      <c r="N313">
        <f>_xlfn.XLOOKUP(D313,products!$A$2:$A$49,products!$E$2:$E$49)</f>
        <v>31.624999999999996</v>
      </c>
      <c r="O313">
        <f>_xlfn.XLOOKUP(D313,products!$A$2:$A$49,products!$H$2:$H$49)</f>
        <v>28.146249999999995</v>
      </c>
      <c r="P313">
        <f t="shared" si="26"/>
        <v>189.74999999999997</v>
      </c>
      <c r="Q313">
        <f t="shared" si="27"/>
        <v>168.87749999999997</v>
      </c>
      <c r="R313">
        <f t="shared" si="28"/>
        <v>20.872500000000002</v>
      </c>
      <c r="S313" s="4">
        <f t="shared" si="29"/>
        <v>0.11000000000000003</v>
      </c>
      <c r="T313" t="str">
        <f>_xlfn.XLOOKUP(C313,customers!$A$1:$A$1001,customers!$I$1:$I$1001,,0)</f>
        <v>Yes</v>
      </c>
    </row>
    <row r="314" spans="1:20"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INDEX(products!$A$1:$I$49,MATCH(orders!$D314,products!$A$1:$A$49,0),MATCH(orders!I$1,products!$A$1:$D$1,0))</f>
        <v>Rob</v>
      </c>
      <c r="J314" t="str">
        <f t="shared" si="24"/>
        <v>Robusta</v>
      </c>
      <c r="K314" t="str">
        <f>INDEX(products!$A$1:$I$49,MATCH(orders!$D314,products!$A$1:$A$49,0),MATCH(orders!K$1,products!$A$1:$D$1,0))</f>
        <v>M</v>
      </c>
      <c r="L314" t="str">
        <f t="shared" si="25"/>
        <v>Medium</v>
      </c>
      <c r="M314">
        <f>INDEX(products!$A$1:$I$49,MATCH(orders!$D314,products!$A$1:$A$49,0),MATCH(orders!M$1,products!$A$1:$D$1,0))</f>
        <v>0.5</v>
      </c>
      <c r="N314">
        <f>_xlfn.XLOOKUP(D314,products!$A$2:$A$49,products!$E$2:$E$49)</f>
        <v>5.97</v>
      </c>
      <c r="O314">
        <f>_xlfn.XLOOKUP(D314,products!$A$2:$A$49,products!$H$2:$H$49)</f>
        <v>5.6117999999999997</v>
      </c>
      <c r="P314">
        <f t="shared" si="26"/>
        <v>5.97</v>
      </c>
      <c r="Q314">
        <f t="shared" si="27"/>
        <v>5.6117999999999997</v>
      </c>
      <c r="R314">
        <f t="shared" si="28"/>
        <v>0.35820000000000007</v>
      </c>
      <c r="S314" s="4">
        <f t="shared" si="29"/>
        <v>6.0000000000000012E-2</v>
      </c>
      <c r="T314" t="str">
        <f>_xlfn.XLOOKUP(C314,customers!$A$1:$A$1001,customers!$I$1:$I$1001,,0)</f>
        <v>Yes</v>
      </c>
    </row>
    <row r="315" spans="1:20"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INDEX(products!$A$1:$I$49,MATCH(orders!$D315,products!$A$1:$A$49,0),MATCH(orders!I$1,products!$A$1:$D$1,0))</f>
        <v>Rob</v>
      </c>
      <c r="J315" t="str">
        <f t="shared" si="24"/>
        <v>Robusta</v>
      </c>
      <c r="K315" t="str">
        <f>INDEX(products!$A$1:$I$49,MATCH(orders!$D315,products!$A$1:$A$49,0),MATCH(orders!K$1,products!$A$1:$D$1,0))</f>
        <v>M</v>
      </c>
      <c r="L315" t="str">
        <f t="shared" si="25"/>
        <v>Medium</v>
      </c>
      <c r="M315">
        <f>INDEX(products!$A$1:$I$49,MATCH(orders!$D315,products!$A$1:$A$49,0),MATCH(orders!M$1,products!$A$1:$D$1,0))</f>
        <v>1</v>
      </c>
      <c r="N315">
        <f>_xlfn.XLOOKUP(D315,products!$A$2:$A$49,products!$E$2:$E$49)</f>
        <v>9.9499999999999993</v>
      </c>
      <c r="O315">
        <f>_xlfn.XLOOKUP(D315,products!$A$2:$A$49,products!$H$2:$H$49)</f>
        <v>9.3529999999999998</v>
      </c>
      <c r="P315">
        <f t="shared" si="26"/>
        <v>29.849999999999998</v>
      </c>
      <c r="Q315">
        <f t="shared" si="27"/>
        <v>28.058999999999997</v>
      </c>
      <c r="R315">
        <f t="shared" si="28"/>
        <v>1.7910000000000004</v>
      </c>
      <c r="S315" s="4">
        <f t="shared" si="29"/>
        <v>6.0000000000000019E-2</v>
      </c>
      <c r="T315" t="str">
        <f>_xlfn.XLOOKUP(C315,customers!$A$1:$A$1001,customers!$I$1:$I$1001,,0)</f>
        <v>Yes</v>
      </c>
    </row>
    <row r="316" spans="1:20"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v>
      </c>
      <c r="H316" s="2" t="str">
        <f>_xlfn.XLOOKUP(C316,customers!$A$1:$A$1001,customers!$G$1:$G$1001,,0)</f>
        <v>United States</v>
      </c>
      <c r="I316" t="str">
        <f>INDEX(products!$A$1:$I$49,MATCH(orders!$D316,products!$A$1:$A$49,0),MATCH(orders!I$1,products!$A$1:$D$1,0))</f>
        <v>Rob</v>
      </c>
      <c r="J316" t="str">
        <f t="shared" si="24"/>
        <v>Robusta</v>
      </c>
      <c r="K316" t="str">
        <f>INDEX(products!$A$1:$I$49,MATCH(orders!$D316,products!$A$1:$A$49,0),MATCH(orders!K$1,products!$A$1:$D$1,0))</f>
        <v>D</v>
      </c>
      <c r="L316" t="str">
        <f t="shared" si="25"/>
        <v>Dark</v>
      </c>
      <c r="M316">
        <f>INDEX(products!$A$1:$I$49,MATCH(orders!$D316,products!$A$1:$A$49,0),MATCH(orders!M$1,products!$A$1:$D$1,0))</f>
        <v>1</v>
      </c>
      <c r="N316">
        <f>_xlfn.XLOOKUP(D316,products!$A$2:$A$49,products!$E$2:$E$49)</f>
        <v>8.9499999999999993</v>
      </c>
      <c r="O316">
        <f>_xlfn.XLOOKUP(D316,products!$A$2:$A$49,products!$H$2:$H$49)</f>
        <v>8.4130000000000003</v>
      </c>
      <c r="P316">
        <f t="shared" si="26"/>
        <v>44.75</v>
      </c>
      <c r="Q316">
        <f t="shared" si="27"/>
        <v>42.064999999999998</v>
      </c>
      <c r="R316">
        <f t="shared" si="28"/>
        <v>2.6850000000000023</v>
      </c>
      <c r="S316" s="4">
        <f t="shared" si="29"/>
        <v>6.0000000000000053E-2</v>
      </c>
      <c r="T316" t="str">
        <f>_xlfn.XLOOKUP(C316,customers!$A$1:$A$1001,customers!$I$1:$I$1001,,0)</f>
        <v>No</v>
      </c>
    </row>
    <row r="317" spans="1:20"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INDEX(products!$A$1:$I$49,MATCH(orders!$D317,products!$A$1:$A$49,0),MATCH(orders!I$1,products!$A$1:$D$1,0))</f>
        <v>Exc</v>
      </c>
      <c r="J317" t="str">
        <f t="shared" si="24"/>
        <v>Excelsa</v>
      </c>
      <c r="K317" t="str">
        <f>INDEX(products!$A$1:$I$49,MATCH(orders!$D317,products!$A$1:$A$49,0),MATCH(orders!K$1,products!$A$1:$D$1,0))</f>
        <v>L</v>
      </c>
      <c r="L317" t="str">
        <f t="shared" si="25"/>
        <v>Light</v>
      </c>
      <c r="M317">
        <f>INDEX(products!$A$1:$I$49,MATCH(orders!$D317,products!$A$1:$A$49,0),MATCH(orders!M$1,products!$A$1:$D$1,0))</f>
        <v>2.5</v>
      </c>
      <c r="N317">
        <f>_xlfn.XLOOKUP(D317,products!$A$2:$A$49,products!$E$2:$E$49)</f>
        <v>34.154999999999994</v>
      </c>
      <c r="O317">
        <f>_xlfn.XLOOKUP(D317,products!$A$2:$A$49,products!$H$2:$H$49)</f>
        <v>30.397949999999994</v>
      </c>
      <c r="P317">
        <f t="shared" si="26"/>
        <v>34.154999999999994</v>
      </c>
      <c r="Q317">
        <f t="shared" si="27"/>
        <v>30.397949999999994</v>
      </c>
      <c r="R317">
        <f t="shared" si="28"/>
        <v>3.7570499999999996</v>
      </c>
      <c r="S317" s="4">
        <f t="shared" si="29"/>
        <v>0.11</v>
      </c>
      <c r="T317" t="str">
        <f>_xlfn.XLOOKUP(C317,customers!$A$1:$A$1001,customers!$I$1:$I$1001,,0)</f>
        <v>Yes</v>
      </c>
    </row>
    <row r="318" spans="1:20"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INDEX(products!$A$1:$I$49,MATCH(orders!$D318,products!$A$1:$A$49,0),MATCH(orders!I$1,products!$A$1:$D$1,0))</f>
        <v>Exc</v>
      </c>
      <c r="J318" t="str">
        <f t="shared" si="24"/>
        <v>Excelsa</v>
      </c>
      <c r="K318" t="str">
        <f>INDEX(products!$A$1:$I$49,MATCH(orders!$D318,products!$A$1:$A$49,0),MATCH(orders!K$1,products!$A$1:$D$1,0))</f>
        <v>L</v>
      </c>
      <c r="L318" t="str">
        <f t="shared" si="25"/>
        <v>Light</v>
      </c>
      <c r="M318">
        <f>INDEX(products!$A$1:$I$49,MATCH(orders!$D318,products!$A$1:$A$49,0),MATCH(orders!M$1,products!$A$1:$D$1,0))</f>
        <v>2.5</v>
      </c>
      <c r="N318">
        <f>_xlfn.XLOOKUP(D318,products!$A$2:$A$49,products!$E$2:$E$49)</f>
        <v>34.154999999999994</v>
      </c>
      <c r="O318">
        <f>_xlfn.XLOOKUP(D318,products!$A$2:$A$49,products!$H$2:$H$49)</f>
        <v>30.397949999999994</v>
      </c>
      <c r="P318">
        <f t="shared" si="26"/>
        <v>204.92999999999995</v>
      </c>
      <c r="Q318">
        <f t="shared" si="27"/>
        <v>182.38769999999997</v>
      </c>
      <c r="R318">
        <f t="shared" si="28"/>
        <v>22.542299999999983</v>
      </c>
      <c r="S318" s="4">
        <f t="shared" si="29"/>
        <v>0.10999999999999995</v>
      </c>
      <c r="T318" t="str">
        <f>_xlfn.XLOOKUP(C318,customers!$A$1:$A$1001,customers!$I$1:$I$1001,,0)</f>
        <v>No</v>
      </c>
    </row>
    <row r="319" spans="1:20"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INDEX(products!$A$1:$I$49,MATCH(orders!$D319,products!$A$1:$A$49,0),MATCH(orders!I$1,products!$A$1:$D$1,0))</f>
        <v>Exc</v>
      </c>
      <c r="J319" t="str">
        <f t="shared" si="24"/>
        <v>Excelsa</v>
      </c>
      <c r="K319" t="str">
        <f>INDEX(products!$A$1:$I$49,MATCH(orders!$D319,products!$A$1:$A$49,0),MATCH(orders!K$1,products!$A$1:$D$1,0))</f>
        <v>D</v>
      </c>
      <c r="L319" t="str">
        <f t="shared" si="25"/>
        <v>Dark</v>
      </c>
      <c r="M319">
        <f>INDEX(products!$A$1:$I$49,MATCH(orders!$D319,products!$A$1:$A$49,0),MATCH(orders!M$1,products!$A$1:$D$1,0))</f>
        <v>0.5</v>
      </c>
      <c r="N319">
        <f>_xlfn.XLOOKUP(D319,products!$A$2:$A$49,products!$E$2:$E$49)</f>
        <v>7.29</v>
      </c>
      <c r="O319">
        <f>_xlfn.XLOOKUP(D319,products!$A$2:$A$49,products!$H$2:$H$49)</f>
        <v>6.4881000000000002</v>
      </c>
      <c r="P319">
        <f t="shared" si="26"/>
        <v>21.87</v>
      </c>
      <c r="Q319">
        <f t="shared" si="27"/>
        <v>19.464300000000001</v>
      </c>
      <c r="R319">
        <f t="shared" si="28"/>
        <v>2.4056999999999995</v>
      </c>
      <c r="S319" s="4">
        <f t="shared" si="29"/>
        <v>0.10999999999999997</v>
      </c>
      <c r="T319" t="str">
        <f>_xlfn.XLOOKUP(C319,customers!$A$1:$A$1001,customers!$I$1:$I$1001,,0)</f>
        <v>No</v>
      </c>
    </row>
    <row r="320" spans="1:20"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INDEX(products!$A$1:$I$49,MATCH(orders!$D320,products!$A$1:$A$49,0),MATCH(orders!I$1,products!$A$1:$D$1,0))</f>
        <v>Ara</v>
      </c>
      <c r="J320" t="str">
        <f t="shared" si="24"/>
        <v>Arabica</v>
      </c>
      <c r="K320" t="str">
        <f>INDEX(products!$A$1:$I$49,MATCH(orders!$D320,products!$A$1:$A$49,0),MATCH(orders!K$1,products!$A$1:$D$1,0))</f>
        <v>M</v>
      </c>
      <c r="L320" t="str">
        <f t="shared" si="25"/>
        <v>Medium</v>
      </c>
      <c r="M320">
        <f>INDEX(products!$A$1:$I$49,MATCH(orders!$D320,products!$A$1:$A$49,0),MATCH(orders!M$1,products!$A$1:$D$1,0))</f>
        <v>2.5</v>
      </c>
      <c r="N320">
        <f>_xlfn.XLOOKUP(D320,products!$A$2:$A$49,products!$E$2:$E$49)</f>
        <v>25.874999999999996</v>
      </c>
      <c r="O320">
        <f>_xlfn.XLOOKUP(D320,products!$A$2:$A$49,products!$H$2:$H$49)</f>
        <v>23.546249999999997</v>
      </c>
      <c r="P320">
        <f t="shared" si="26"/>
        <v>51.749999999999993</v>
      </c>
      <c r="Q320">
        <f t="shared" si="27"/>
        <v>47.092499999999994</v>
      </c>
      <c r="R320">
        <f t="shared" si="28"/>
        <v>4.6574999999999989</v>
      </c>
      <c r="S320" s="4">
        <f t="shared" si="29"/>
        <v>0.09</v>
      </c>
      <c r="T320" t="str">
        <f>_xlfn.XLOOKUP(C320,customers!$A$1:$A$1001,customers!$I$1:$I$1001,,0)</f>
        <v>Yes</v>
      </c>
    </row>
    <row r="321" spans="1:20"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INDEX(products!$A$1:$I$49,MATCH(orders!$D321,products!$A$1:$A$49,0),MATCH(orders!I$1,products!$A$1:$D$1,0))</f>
        <v>Exc</v>
      </c>
      <c r="J321" t="str">
        <f t="shared" si="24"/>
        <v>Excelsa</v>
      </c>
      <c r="K321" t="str">
        <f>INDEX(products!$A$1:$I$49,MATCH(orders!$D321,products!$A$1:$A$49,0),MATCH(orders!K$1,products!$A$1:$D$1,0))</f>
        <v>M</v>
      </c>
      <c r="L321" t="str">
        <f t="shared" si="25"/>
        <v>Medium</v>
      </c>
      <c r="M321">
        <f>INDEX(products!$A$1:$I$49,MATCH(orders!$D321,products!$A$1:$A$49,0),MATCH(orders!M$1,products!$A$1:$D$1,0))</f>
        <v>0.2</v>
      </c>
      <c r="N321">
        <f>_xlfn.XLOOKUP(D321,products!$A$2:$A$49,products!$E$2:$E$49)</f>
        <v>4.125</v>
      </c>
      <c r="O321">
        <f>_xlfn.XLOOKUP(D321,products!$A$2:$A$49,products!$H$2:$H$49)</f>
        <v>3.6712500000000001</v>
      </c>
      <c r="P321">
        <f t="shared" si="26"/>
        <v>8.25</v>
      </c>
      <c r="Q321">
        <f t="shared" si="27"/>
        <v>7.3425000000000002</v>
      </c>
      <c r="R321">
        <f t="shared" si="28"/>
        <v>0.90749999999999975</v>
      </c>
      <c r="S321" s="4">
        <f t="shared" si="29"/>
        <v>0.10999999999999997</v>
      </c>
      <c r="T321" t="str">
        <f>_xlfn.XLOOKUP(C321,customers!$A$1:$A$1001,customers!$I$1:$I$1001,,0)</f>
        <v>Yes</v>
      </c>
    </row>
    <row r="322" spans="1:20"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INDEX(products!$A$1:$I$49,MATCH(orders!$D322,products!$A$1:$A$49,0),MATCH(orders!I$1,products!$A$1:$D$1,0))</f>
        <v>Ara</v>
      </c>
      <c r="J322" t="str">
        <f t="shared" si="24"/>
        <v>Arabica</v>
      </c>
      <c r="K322" t="str">
        <f>INDEX(products!$A$1:$I$49,MATCH(orders!$D322,products!$A$1:$A$49,0),MATCH(orders!K$1,products!$A$1:$D$1,0))</f>
        <v>L</v>
      </c>
      <c r="L322" t="str">
        <f t="shared" si="25"/>
        <v>Light</v>
      </c>
      <c r="M322">
        <f>INDEX(products!$A$1:$I$49,MATCH(orders!$D322,products!$A$1:$A$49,0),MATCH(orders!M$1,products!$A$1:$D$1,0))</f>
        <v>0.2</v>
      </c>
      <c r="N322">
        <f>_xlfn.XLOOKUP(D322,products!$A$2:$A$49,products!$E$2:$E$49)</f>
        <v>3.8849999999999998</v>
      </c>
      <c r="O322">
        <f>_xlfn.XLOOKUP(D322,products!$A$2:$A$49,products!$H$2:$H$49)</f>
        <v>3.5353499999999998</v>
      </c>
      <c r="P322">
        <f t="shared" si="26"/>
        <v>19.424999999999997</v>
      </c>
      <c r="Q322">
        <f t="shared" si="27"/>
        <v>17.676749999999998</v>
      </c>
      <c r="R322">
        <f t="shared" si="28"/>
        <v>1.7482499999999987</v>
      </c>
      <c r="S322" s="4">
        <f t="shared" si="29"/>
        <v>8.9999999999999955E-2</v>
      </c>
      <c r="T322" t="str">
        <f>_xlfn.XLOOKUP(C322,customers!$A$1:$A$1001,customers!$I$1:$I$1001,,0)</f>
        <v>Yes</v>
      </c>
    </row>
    <row r="323" spans="1:20"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INDEX(products!$A$1:$I$49,MATCH(orders!$D323,products!$A$1:$A$49,0),MATCH(orders!I$1,products!$A$1:$D$1,0))</f>
        <v>Ara</v>
      </c>
      <c r="J323" t="str">
        <f t="shared" ref="J323:J386" si="30">IF(I323="Rob","Robusta",IF(I323="Exc","Excelsa",IF(I323="Ara","Arabica",IF(I323="Lib","Liberica",""))))</f>
        <v>Arabica</v>
      </c>
      <c r="K323" t="str">
        <f>INDEX(products!$A$1:$I$49,MATCH(orders!$D323,products!$A$1:$A$49,0),MATCH(orders!K$1,products!$A$1:$D$1,0))</f>
        <v>M</v>
      </c>
      <c r="L323" t="str">
        <f t="shared" ref="L323:L386" si="31">IF(K323="M","Medium",IF(K323="L","Light",IF(K323="D","Dark","")))</f>
        <v>Medium</v>
      </c>
      <c r="M323">
        <f>INDEX(products!$A$1:$I$49,MATCH(orders!$D323,products!$A$1:$A$49,0),MATCH(orders!M$1,products!$A$1:$D$1,0))</f>
        <v>0.2</v>
      </c>
      <c r="N323">
        <f>_xlfn.XLOOKUP(D323,products!$A$2:$A$49,products!$E$2:$E$49)</f>
        <v>3.375</v>
      </c>
      <c r="O323">
        <f>_xlfn.XLOOKUP(D323,products!$A$2:$A$49,products!$H$2:$H$49)</f>
        <v>3.07125</v>
      </c>
      <c r="P323">
        <f t="shared" ref="P323:P386" si="32">N323*E323</f>
        <v>20.25</v>
      </c>
      <c r="Q323">
        <f t="shared" ref="Q323:Q386" si="33">O323*E323</f>
        <v>18.427500000000002</v>
      </c>
      <c r="R323">
        <f t="shared" ref="R323:R386" si="34">P323-Q323</f>
        <v>1.822499999999998</v>
      </c>
      <c r="S323" s="4">
        <f t="shared" ref="S323:S386" si="35">R323/P323</f>
        <v>8.99999999999999E-2</v>
      </c>
      <c r="T323" t="str">
        <f>_xlfn.XLOOKUP(C323,customers!$A$1:$A$1001,customers!$I$1:$I$1001,,0)</f>
        <v>Yes</v>
      </c>
    </row>
    <row r="324" spans="1:20"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INDEX(products!$A$1:$I$49,MATCH(orders!$D324,products!$A$1:$A$49,0),MATCH(orders!I$1,products!$A$1:$D$1,0))</f>
        <v>Lib</v>
      </c>
      <c r="J324" t="str">
        <f t="shared" si="30"/>
        <v>Liberica</v>
      </c>
      <c r="K324" t="str">
        <f>INDEX(products!$A$1:$I$49,MATCH(orders!$D324,products!$A$1:$A$49,0),MATCH(orders!K$1,products!$A$1:$D$1,0))</f>
        <v>D</v>
      </c>
      <c r="L324" t="str">
        <f t="shared" si="31"/>
        <v>Dark</v>
      </c>
      <c r="M324">
        <f>INDEX(products!$A$1:$I$49,MATCH(orders!$D324,products!$A$1:$A$49,0),MATCH(orders!M$1,products!$A$1:$D$1,0))</f>
        <v>0.5</v>
      </c>
      <c r="N324">
        <f>_xlfn.XLOOKUP(D324,products!$A$2:$A$49,products!$E$2:$E$49)</f>
        <v>7.77</v>
      </c>
      <c r="O324">
        <f>_xlfn.XLOOKUP(D324,products!$A$2:$A$49,products!$H$2:$H$49)</f>
        <v>6.7599</v>
      </c>
      <c r="P324">
        <f t="shared" si="32"/>
        <v>23.31</v>
      </c>
      <c r="Q324">
        <f t="shared" si="33"/>
        <v>20.279699999999998</v>
      </c>
      <c r="R324">
        <f t="shared" si="34"/>
        <v>3.0303000000000004</v>
      </c>
      <c r="S324" s="4">
        <f t="shared" si="35"/>
        <v>0.13000000000000003</v>
      </c>
      <c r="T324" t="str">
        <f>_xlfn.XLOOKUP(C324,customers!$A$1:$A$1001,customers!$I$1:$I$1001,,0)</f>
        <v>No</v>
      </c>
    </row>
    <row r="325" spans="1:20"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INDEX(products!$A$1:$I$49,MATCH(orders!$D325,products!$A$1:$A$49,0),MATCH(orders!I$1,products!$A$1:$D$1,0))</f>
        <v>Exc</v>
      </c>
      <c r="J325" t="str">
        <f t="shared" si="30"/>
        <v>Excelsa</v>
      </c>
      <c r="K325" t="str">
        <f>INDEX(products!$A$1:$I$49,MATCH(orders!$D325,products!$A$1:$A$49,0),MATCH(orders!K$1,products!$A$1:$D$1,0))</f>
        <v>D</v>
      </c>
      <c r="L325" t="str">
        <f t="shared" si="31"/>
        <v>Dark</v>
      </c>
      <c r="M325">
        <f>INDEX(products!$A$1:$I$49,MATCH(orders!$D325,products!$A$1:$A$49,0),MATCH(orders!M$1,products!$A$1:$D$1,0))</f>
        <v>0.2</v>
      </c>
      <c r="N325">
        <f>_xlfn.XLOOKUP(D325,products!$A$2:$A$49,products!$E$2:$E$49)</f>
        <v>3.645</v>
      </c>
      <c r="O325">
        <f>_xlfn.XLOOKUP(D325,products!$A$2:$A$49,products!$H$2:$H$49)</f>
        <v>3.2440500000000001</v>
      </c>
      <c r="P325">
        <f t="shared" si="32"/>
        <v>18.225000000000001</v>
      </c>
      <c r="Q325">
        <f t="shared" si="33"/>
        <v>16.22025</v>
      </c>
      <c r="R325">
        <f t="shared" si="34"/>
        <v>2.0047500000000014</v>
      </c>
      <c r="S325" s="4">
        <f t="shared" si="35"/>
        <v>0.11000000000000007</v>
      </c>
      <c r="T325" t="str">
        <f>_xlfn.XLOOKUP(C325,customers!$A$1:$A$1001,customers!$I$1:$I$1001,,0)</f>
        <v>Yes</v>
      </c>
    </row>
    <row r="326" spans="1:20"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v>
      </c>
      <c r="H326" s="2" t="str">
        <f>_xlfn.XLOOKUP(C326,customers!$A$1:$A$1001,customers!$G$1:$G$1001,,0)</f>
        <v>United States</v>
      </c>
      <c r="I326" t="str">
        <f>INDEX(products!$A$1:$I$49,MATCH(orders!$D326,products!$A$1:$A$49,0),MATCH(orders!I$1,products!$A$1:$D$1,0))</f>
        <v>Exc</v>
      </c>
      <c r="J326" t="str">
        <f t="shared" si="30"/>
        <v>Excelsa</v>
      </c>
      <c r="K326" t="str">
        <f>INDEX(products!$A$1:$I$49,MATCH(orders!$D326,products!$A$1:$A$49,0),MATCH(orders!K$1,products!$A$1:$D$1,0))</f>
        <v>M</v>
      </c>
      <c r="L326" t="str">
        <f t="shared" si="31"/>
        <v>Medium</v>
      </c>
      <c r="M326">
        <f>INDEX(products!$A$1:$I$49,MATCH(orders!$D326,products!$A$1:$A$49,0),MATCH(orders!M$1,products!$A$1:$D$1,0))</f>
        <v>1</v>
      </c>
      <c r="N326">
        <f>_xlfn.XLOOKUP(D326,products!$A$2:$A$49,products!$E$2:$E$49)</f>
        <v>13.75</v>
      </c>
      <c r="O326">
        <f>_xlfn.XLOOKUP(D326,products!$A$2:$A$49,products!$H$2:$H$49)</f>
        <v>12.237500000000001</v>
      </c>
      <c r="P326">
        <f t="shared" si="32"/>
        <v>13.75</v>
      </c>
      <c r="Q326">
        <f t="shared" si="33"/>
        <v>12.237500000000001</v>
      </c>
      <c r="R326">
        <f t="shared" si="34"/>
        <v>1.5124999999999993</v>
      </c>
      <c r="S326" s="4">
        <f t="shared" si="35"/>
        <v>0.10999999999999995</v>
      </c>
      <c r="T326" t="str">
        <f>_xlfn.XLOOKUP(C326,customers!$A$1:$A$1001,customers!$I$1:$I$1001,,0)</f>
        <v>No</v>
      </c>
    </row>
    <row r="327" spans="1:20"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INDEX(products!$A$1:$I$49,MATCH(orders!$D327,products!$A$1:$A$49,0),MATCH(orders!I$1,products!$A$1:$D$1,0))</f>
        <v>Ara</v>
      </c>
      <c r="J327" t="str">
        <f t="shared" si="30"/>
        <v>Arabica</v>
      </c>
      <c r="K327" t="str">
        <f>INDEX(products!$A$1:$I$49,MATCH(orders!$D327,products!$A$1:$A$49,0),MATCH(orders!K$1,products!$A$1:$D$1,0))</f>
        <v>L</v>
      </c>
      <c r="L327" t="str">
        <f t="shared" si="31"/>
        <v>Light</v>
      </c>
      <c r="M327">
        <f>INDEX(products!$A$1:$I$49,MATCH(orders!$D327,products!$A$1:$A$49,0),MATCH(orders!M$1,products!$A$1:$D$1,0))</f>
        <v>2.5</v>
      </c>
      <c r="N327">
        <f>_xlfn.XLOOKUP(D327,products!$A$2:$A$49,products!$E$2:$E$49)</f>
        <v>29.784999999999997</v>
      </c>
      <c r="O327">
        <f>_xlfn.XLOOKUP(D327,products!$A$2:$A$49,products!$H$2:$H$49)</f>
        <v>27.104349999999997</v>
      </c>
      <c r="P327">
        <f t="shared" si="32"/>
        <v>29.784999999999997</v>
      </c>
      <c r="Q327">
        <f t="shared" si="33"/>
        <v>27.104349999999997</v>
      </c>
      <c r="R327">
        <f t="shared" si="34"/>
        <v>2.68065</v>
      </c>
      <c r="S327" s="4">
        <f t="shared" si="35"/>
        <v>9.0000000000000011E-2</v>
      </c>
      <c r="T327" t="str">
        <f>_xlfn.XLOOKUP(C327,customers!$A$1:$A$1001,customers!$I$1:$I$1001,,0)</f>
        <v>Yes</v>
      </c>
    </row>
    <row r="328" spans="1:20"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v>
      </c>
      <c r="H328" s="2" t="str">
        <f>_xlfn.XLOOKUP(C328,customers!$A$1:$A$1001,customers!$G$1:$G$1001,,0)</f>
        <v>United States</v>
      </c>
      <c r="I328" t="str">
        <f>INDEX(products!$A$1:$I$49,MATCH(orders!$D328,products!$A$1:$A$49,0),MATCH(orders!I$1,products!$A$1:$D$1,0))</f>
        <v>Rob</v>
      </c>
      <c r="J328" t="str">
        <f t="shared" si="30"/>
        <v>Robusta</v>
      </c>
      <c r="K328" t="str">
        <f>INDEX(products!$A$1:$I$49,MATCH(orders!$D328,products!$A$1:$A$49,0),MATCH(orders!K$1,products!$A$1:$D$1,0))</f>
        <v>D</v>
      </c>
      <c r="L328" t="str">
        <f t="shared" si="31"/>
        <v>Dark</v>
      </c>
      <c r="M328">
        <f>INDEX(products!$A$1:$I$49,MATCH(orders!$D328,products!$A$1:$A$49,0),MATCH(orders!M$1,products!$A$1:$D$1,0))</f>
        <v>1</v>
      </c>
      <c r="N328">
        <f>_xlfn.XLOOKUP(D328,products!$A$2:$A$49,products!$E$2:$E$49)</f>
        <v>8.9499999999999993</v>
      </c>
      <c r="O328">
        <f>_xlfn.XLOOKUP(D328,products!$A$2:$A$49,products!$H$2:$H$49)</f>
        <v>8.4130000000000003</v>
      </c>
      <c r="P328">
        <f t="shared" si="32"/>
        <v>44.75</v>
      </c>
      <c r="Q328">
        <f t="shared" si="33"/>
        <v>42.064999999999998</v>
      </c>
      <c r="R328">
        <f t="shared" si="34"/>
        <v>2.6850000000000023</v>
      </c>
      <c r="S328" s="4">
        <f t="shared" si="35"/>
        <v>6.0000000000000053E-2</v>
      </c>
      <c r="T328" t="str">
        <f>_xlfn.XLOOKUP(C328,customers!$A$1:$A$1001,customers!$I$1:$I$1001,,0)</f>
        <v>No</v>
      </c>
    </row>
    <row r="329" spans="1:20"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INDEX(products!$A$1:$I$49,MATCH(orders!$D329,products!$A$1:$A$49,0),MATCH(orders!I$1,products!$A$1:$D$1,0))</f>
        <v>Rob</v>
      </c>
      <c r="J329" t="str">
        <f t="shared" si="30"/>
        <v>Robusta</v>
      </c>
      <c r="K329" t="str">
        <f>INDEX(products!$A$1:$I$49,MATCH(orders!$D329,products!$A$1:$A$49,0),MATCH(orders!K$1,products!$A$1:$D$1,0))</f>
        <v>D</v>
      </c>
      <c r="L329" t="str">
        <f t="shared" si="31"/>
        <v>Dark</v>
      </c>
      <c r="M329">
        <f>INDEX(products!$A$1:$I$49,MATCH(orders!$D329,products!$A$1:$A$49,0),MATCH(orders!M$1,products!$A$1:$D$1,0))</f>
        <v>1</v>
      </c>
      <c r="N329">
        <f>_xlfn.XLOOKUP(D329,products!$A$2:$A$49,products!$E$2:$E$49)</f>
        <v>8.9499999999999993</v>
      </c>
      <c r="O329">
        <f>_xlfn.XLOOKUP(D329,products!$A$2:$A$49,products!$H$2:$H$49)</f>
        <v>8.4130000000000003</v>
      </c>
      <c r="P329">
        <f t="shared" si="32"/>
        <v>44.75</v>
      </c>
      <c r="Q329">
        <f t="shared" si="33"/>
        <v>42.064999999999998</v>
      </c>
      <c r="R329">
        <f t="shared" si="34"/>
        <v>2.6850000000000023</v>
      </c>
      <c r="S329" s="4">
        <f t="shared" si="35"/>
        <v>6.0000000000000053E-2</v>
      </c>
      <c r="T329" t="str">
        <f>_xlfn.XLOOKUP(C329,customers!$A$1:$A$1001,customers!$I$1:$I$1001,,0)</f>
        <v>Yes</v>
      </c>
    </row>
    <row r="330" spans="1:20"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v>
      </c>
      <c r="H330" s="2" t="str">
        <f>_xlfn.XLOOKUP(C330,customers!$A$1:$A$1001,customers!$G$1:$G$1001,,0)</f>
        <v>United States</v>
      </c>
      <c r="I330" t="str">
        <f>INDEX(products!$A$1:$I$49,MATCH(orders!$D330,products!$A$1:$A$49,0),MATCH(orders!I$1,products!$A$1:$D$1,0))</f>
        <v>Lib</v>
      </c>
      <c r="J330" t="str">
        <f t="shared" si="30"/>
        <v>Liberica</v>
      </c>
      <c r="K330" t="str">
        <f>INDEX(products!$A$1:$I$49,MATCH(orders!$D330,products!$A$1:$A$49,0),MATCH(orders!K$1,products!$A$1:$D$1,0))</f>
        <v>L</v>
      </c>
      <c r="L330" t="str">
        <f t="shared" si="31"/>
        <v>Light</v>
      </c>
      <c r="M330">
        <f>INDEX(products!$A$1:$I$49,MATCH(orders!$D330,products!$A$1:$A$49,0),MATCH(orders!M$1,products!$A$1:$D$1,0))</f>
        <v>0.5</v>
      </c>
      <c r="N330">
        <f>_xlfn.XLOOKUP(D330,products!$A$2:$A$49,products!$E$2:$E$49)</f>
        <v>9.51</v>
      </c>
      <c r="O330">
        <f>_xlfn.XLOOKUP(D330,products!$A$2:$A$49,products!$H$2:$H$49)</f>
        <v>8.2736999999999998</v>
      </c>
      <c r="P330">
        <f t="shared" si="32"/>
        <v>38.04</v>
      </c>
      <c r="Q330">
        <f t="shared" si="33"/>
        <v>33.094799999999999</v>
      </c>
      <c r="R330">
        <f t="shared" si="34"/>
        <v>4.9451999999999998</v>
      </c>
      <c r="S330" s="4">
        <f t="shared" si="35"/>
        <v>0.13</v>
      </c>
      <c r="T330" t="str">
        <f>_xlfn.XLOOKUP(C330,customers!$A$1:$A$1001,customers!$I$1:$I$1001,,0)</f>
        <v>Yes</v>
      </c>
    </row>
    <row r="331" spans="1:20"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INDEX(products!$A$1:$I$49,MATCH(orders!$D331,products!$A$1:$A$49,0),MATCH(orders!I$1,products!$A$1:$D$1,0))</f>
        <v>Rob</v>
      </c>
      <c r="J331" t="str">
        <f t="shared" si="30"/>
        <v>Robusta</v>
      </c>
      <c r="K331" t="str">
        <f>INDEX(products!$A$1:$I$49,MATCH(orders!$D331,products!$A$1:$A$49,0),MATCH(orders!K$1,products!$A$1:$D$1,0))</f>
        <v>D</v>
      </c>
      <c r="L331" t="str">
        <f t="shared" si="31"/>
        <v>Dark</v>
      </c>
      <c r="M331">
        <f>INDEX(products!$A$1:$I$49,MATCH(orders!$D331,products!$A$1:$A$49,0),MATCH(orders!M$1,products!$A$1:$D$1,0))</f>
        <v>0.5</v>
      </c>
      <c r="N331">
        <f>_xlfn.XLOOKUP(D331,products!$A$2:$A$49,products!$E$2:$E$49)</f>
        <v>5.3699999999999992</v>
      </c>
      <c r="O331">
        <f>_xlfn.XLOOKUP(D331,products!$A$2:$A$49,products!$H$2:$H$49)</f>
        <v>5.0477999999999996</v>
      </c>
      <c r="P331">
        <f t="shared" si="32"/>
        <v>21.479999999999997</v>
      </c>
      <c r="Q331">
        <f t="shared" si="33"/>
        <v>20.191199999999998</v>
      </c>
      <c r="R331">
        <f t="shared" si="34"/>
        <v>1.2887999999999984</v>
      </c>
      <c r="S331" s="4">
        <f t="shared" si="35"/>
        <v>5.9999999999999935E-2</v>
      </c>
      <c r="T331" t="str">
        <f>_xlfn.XLOOKUP(C331,customers!$A$1:$A$1001,customers!$I$1:$I$1001,,0)</f>
        <v>Yes</v>
      </c>
    </row>
    <row r="332" spans="1:20"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INDEX(products!$A$1:$I$49,MATCH(orders!$D332,products!$A$1:$A$49,0),MATCH(orders!I$1,products!$A$1:$D$1,0))</f>
        <v>Rob</v>
      </c>
      <c r="J332" t="str">
        <f t="shared" si="30"/>
        <v>Robusta</v>
      </c>
      <c r="K332" t="str">
        <f>INDEX(products!$A$1:$I$49,MATCH(orders!$D332,products!$A$1:$A$49,0),MATCH(orders!K$1,products!$A$1:$D$1,0))</f>
        <v>D</v>
      </c>
      <c r="L332" t="str">
        <f t="shared" si="31"/>
        <v>Dark</v>
      </c>
      <c r="M332">
        <f>INDEX(products!$A$1:$I$49,MATCH(orders!$D332,products!$A$1:$A$49,0),MATCH(orders!M$1,products!$A$1:$D$1,0))</f>
        <v>0.5</v>
      </c>
      <c r="N332">
        <f>_xlfn.XLOOKUP(D332,products!$A$2:$A$49,products!$E$2:$E$49)</f>
        <v>5.3699999999999992</v>
      </c>
      <c r="O332">
        <f>_xlfn.XLOOKUP(D332,products!$A$2:$A$49,products!$H$2:$H$49)</f>
        <v>5.0477999999999996</v>
      </c>
      <c r="P332">
        <f t="shared" si="32"/>
        <v>16.11</v>
      </c>
      <c r="Q332">
        <f t="shared" si="33"/>
        <v>15.1434</v>
      </c>
      <c r="R332">
        <f t="shared" si="34"/>
        <v>0.96659999999999968</v>
      </c>
      <c r="S332" s="4">
        <f t="shared" si="35"/>
        <v>5.9999999999999984E-2</v>
      </c>
      <c r="T332" t="str">
        <f>_xlfn.XLOOKUP(C332,customers!$A$1:$A$1001,customers!$I$1:$I$1001,,0)</f>
        <v>No</v>
      </c>
    </row>
    <row r="333" spans="1:20"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INDEX(products!$A$1:$I$49,MATCH(orders!$D333,products!$A$1:$A$49,0),MATCH(orders!I$1,products!$A$1:$D$1,0))</f>
        <v>Rob</v>
      </c>
      <c r="J333" t="str">
        <f t="shared" si="30"/>
        <v>Robusta</v>
      </c>
      <c r="K333" t="str">
        <f>INDEX(products!$A$1:$I$49,MATCH(orders!$D333,products!$A$1:$A$49,0),MATCH(orders!K$1,products!$A$1:$D$1,0))</f>
        <v>M</v>
      </c>
      <c r="L333" t="str">
        <f t="shared" si="31"/>
        <v>Medium</v>
      </c>
      <c r="M333">
        <f>INDEX(products!$A$1:$I$49,MATCH(orders!$D333,products!$A$1:$A$49,0),MATCH(orders!M$1,products!$A$1:$D$1,0))</f>
        <v>2.5</v>
      </c>
      <c r="N333">
        <f>_xlfn.XLOOKUP(D333,products!$A$2:$A$49,products!$E$2:$E$49)</f>
        <v>22.884999999999998</v>
      </c>
      <c r="O333">
        <f>_xlfn.XLOOKUP(D333,products!$A$2:$A$49,products!$H$2:$H$49)</f>
        <v>21.511899999999997</v>
      </c>
      <c r="P333">
        <f t="shared" si="32"/>
        <v>22.884999999999998</v>
      </c>
      <c r="Q333">
        <f t="shared" si="33"/>
        <v>21.511899999999997</v>
      </c>
      <c r="R333">
        <f t="shared" si="34"/>
        <v>1.3731000000000009</v>
      </c>
      <c r="S333" s="4">
        <f t="shared" si="35"/>
        <v>6.0000000000000046E-2</v>
      </c>
      <c r="T333" t="str">
        <f>_xlfn.XLOOKUP(C333,customers!$A$1:$A$1001,customers!$I$1:$I$1001,,0)</f>
        <v>Yes</v>
      </c>
    </row>
    <row r="334" spans="1:20"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INDEX(products!$A$1:$I$49,MATCH(orders!$D334,products!$A$1:$A$49,0),MATCH(orders!I$1,products!$A$1:$D$1,0))</f>
        <v>Ara</v>
      </c>
      <c r="J334" t="str">
        <f t="shared" si="30"/>
        <v>Arabica</v>
      </c>
      <c r="K334" t="str">
        <f>INDEX(products!$A$1:$I$49,MATCH(orders!$D334,products!$A$1:$A$49,0),MATCH(orders!K$1,products!$A$1:$D$1,0))</f>
        <v>D</v>
      </c>
      <c r="L334" t="str">
        <f t="shared" si="31"/>
        <v>Dark</v>
      </c>
      <c r="M334">
        <f>INDEX(products!$A$1:$I$49,MATCH(orders!$D334,products!$A$1:$A$49,0),MATCH(orders!M$1,products!$A$1:$D$1,0))</f>
        <v>0.5</v>
      </c>
      <c r="N334">
        <f>_xlfn.XLOOKUP(D334,products!$A$2:$A$49,products!$E$2:$E$49)</f>
        <v>5.97</v>
      </c>
      <c r="O334">
        <f>_xlfn.XLOOKUP(D334,products!$A$2:$A$49,products!$H$2:$H$49)</f>
        <v>5.4326999999999996</v>
      </c>
      <c r="P334">
        <f t="shared" si="32"/>
        <v>17.91</v>
      </c>
      <c r="Q334">
        <f t="shared" si="33"/>
        <v>16.298099999999998</v>
      </c>
      <c r="R334">
        <f t="shared" si="34"/>
        <v>1.6119000000000021</v>
      </c>
      <c r="S334" s="4">
        <f t="shared" si="35"/>
        <v>9.0000000000000122E-2</v>
      </c>
      <c r="T334" t="str">
        <f>_xlfn.XLOOKUP(C334,customers!$A$1:$A$1001,customers!$I$1:$I$1001,,0)</f>
        <v>Yes</v>
      </c>
    </row>
    <row r="335" spans="1:20"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INDEX(products!$A$1:$I$49,MATCH(orders!$D335,products!$A$1:$A$49,0),MATCH(orders!I$1,products!$A$1:$D$1,0))</f>
        <v>Rob</v>
      </c>
      <c r="J335" t="str">
        <f t="shared" si="30"/>
        <v>Robusta</v>
      </c>
      <c r="K335" t="str">
        <f>INDEX(products!$A$1:$I$49,MATCH(orders!$D335,products!$A$1:$A$49,0),MATCH(orders!K$1,products!$A$1:$D$1,0))</f>
        <v>M</v>
      </c>
      <c r="L335" t="str">
        <f t="shared" si="31"/>
        <v>Medium</v>
      </c>
      <c r="M335">
        <f>INDEX(products!$A$1:$I$49,MATCH(orders!$D335,products!$A$1:$A$49,0),MATCH(orders!M$1,products!$A$1:$D$1,0))</f>
        <v>0.5</v>
      </c>
      <c r="N335">
        <f>_xlfn.XLOOKUP(D335,products!$A$2:$A$49,products!$E$2:$E$49)</f>
        <v>5.97</v>
      </c>
      <c r="O335">
        <f>_xlfn.XLOOKUP(D335,products!$A$2:$A$49,products!$H$2:$H$49)</f>
        <v>5.6117999999999997</v>
      </c>
      <c r="P335">
        <f t="shared" si="32"/>
        <v>23.88</v>
      </c>
      <c r="Q335">
        <f t="shared" si="33"/>
        <v>22.447199999999999</v>
      </c>
      <c r="R335">
        <f t="shared" si="34"/>
        <v>1.4328000000000003</v>
      </c>
      <c r="S335" s="4">
        <f t="shared" si="35"/>
        <v>6.0000000000000012E-2</v>
      </c>
      <c r="T335" t="str">
        <f>_xlfn.XLOOKUP(C335,customers!$A$1:$A$1001,customers!$I$1:$I$1001,,0)</f>
        <v>Yes</v>
      </c>
    </row>
    <row r="336" spans="1:20"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v>
      </c>
      <c r="H336" s="2" t="str">
        <f>_xlfn.XLOOKUP(C336,customers!$A$1:$A$1001,customers!$G$1:$G$1001,,0)</f>
        <v>United States</v>
      </c>
      <c r="I336" t="str">
        <f>INDEX(products!$A$1:$I$49,MATCH(orders!$D336,products!$A$1:$A$49,0),MATCH(orders!I$1,products!$A$1:$D$1,0))</f>
        <v>Rob</v>
      </c>
      <c r="J336" t="str">
        <f t="shared" si="30"/>
        <v>Robusta</v>
      </c>
      <c r="K336" t="str">
        <f>INDEX(products!$A$1:$I$49,MATCH(orders!$D336,products!$A$1:$A$49,0),MATCH(orders!K$1,products!$A$1:$D$1,0))</f>
        <v>L</v>
      </c>
      <c r="L336" t="str">
        <f t="shared" si="31"/>
        <v>Light</v>
      </c>
      <c r="M336">
        <f>INDEX(products!$A$1:$I$49,MATCH(orders!$D336,products!$A$1:$A$49,0),MATCH(orders!M$1,products!$A$1:$D$1,0))</f>
        <v>1</v>
      </c>
      <c r="N336">
        <f>_xlfn.XLOOKUP(D336,products!$A$2:$A$49,products!$E$2:$E$49)</f>
        <v>11.95</v>
      </c>
      <c r="O336">
        <f>_xlfn.XLOOKUP(D336,products!$A$2:$A$49,products!$H$2:$H$49)</f>
        <v>11.232999999999999</v>
      </c>
      <c r="P336">
        <f t="shared" si="32"/>
        <v>59.75</v>
      </c>
      <c r="Q336">
        <f t="shared" si="33"/>
        <v>56.164999999999992</v>
      </c>
      <c r="R336">
        <f t="shared" si="34"/>
        <v>3.585000000000008</v>
      </c>
      <c r="S336" s="4">
        <f t="shared" si="35"/>
        <v>6.0000000000000137E-2</v>
      </c>
      <c r="T336" t="str">
        <f>_xlfn.XLOOKUP(C336,customers!$A$1:$A$1001,customers!$I$1:$I$1001,,0)</f>
        <v>No</v>
      </c>
    </row>
    <row r="337" spans="1:20"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INDEX(products!$A$1:$I$49,MATCH(orders!$D337,products!$A$1:$A$49,0),MATCH(orders!I$1,products!$A$1:$D$1,0))</f>
        <v>Lib</v>
      </c>
      <c r="J337" t="str">
        <f t="shared" si="30"/>
        <v>Liberica</v>
      </c>
      <c r="K337" t="str">
        <f>INDEX(products!$A$1:$I$49,MATCH(orders!$D337,products!$A$1:$A$49,0),MATCH(orders!K$1,products!$A$1:$D$1,0))</f>
        <v>L</v>
      </c>
      <c r="L337" t="str">
        <f t="shared" si="31"/>
        <v>Light</v>
      </c>
      <c r="M337">
        <f>INDEX(products!$A$1:$I$49,MATCH(orders!$D337,products!$A$1:$A$49,0),MATCH(orders!M$1,products!$A$1:$D$1,0))</f>
        <v>0.2</v>
      </c>
      <c r="N337">
        <f>_xlfn.XLOOKUP(D337,products!$A$2:$A$49,products!$E$2:$E$49)</f>
        <v>4.7549999999999999</v>
      </c>
      <c r="O337">
        <f>_xlfn.XLOOKUP(D337,products!$A$2:$A$49,products!$H$2:$H$49)</f>
        <v>4.1368499999999999</v>
      </c>
      <c r="P337">
        <f t="shared" si="32"/>
        <v>28.53</v>
      </c>
      <c r="Q337">
        <f t="shared" si="33"/>
        <v>24.821100000000001</v>
      </c>
      <c r="R337">
        <f t="shared" si="34"/>
        <v>3.7088999999999999</v>
      </c>
      <c r="S337" s="4">
        <f t="shared" si="35"/>
        <v>0.12999999999999998</v>
      </c>
      <c r="T337" t="str">
        <f>_xlfn.XLOOKUP(C337,customers!$A$1:$A$1001,customers!$I$1:$I$1001,,0)</f>
        <v>Yes</v>
      </c>
    </row>
    <row r="338" spans="1:20"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INDEX(products!$A$1:$I$49,MATCH(orders!$D338,products!$A$1:$A$49,0),MATCH(orders!I$1,products!$A$1:$D$1,0))</f>
        <v>Ara</v>
      </c>
      <c r="J338" t="str">
        <f t="shared" si="30"/>
        <v>Arabica</v>
      </c>
      <c r="K338" t="str">
        <f>INDEX(products!$A$1:$I$49,MATCH(orders!$D338,products!$A$1:$A$49,0),MATCH(orders!K$1,products!$A$1:$D$1,0))</f>
        <v>M</v>
      </c>
      <c r="L338" t="str">
        <f t="shared" si="31"/>
        <v>Medium</v>
      </c>
      <c r="M338">
        <f>INDEX(products!$A$1:$I$49,MATCH(orders!$D338,products!$A$1:$A$49,0),MATCH(orders!M$1,products!$A$1:$D$1,0))</f>
        <v>1</v>
      </c>
      <c r="N338">
        <f>_xlfn.XLOOKUP(D338,products!$A$2:$A$49,products!$E$2:$E$49)</f>
        <v>11.25</v>
      </c>
      <c r="O338">
        <f>_xlfn.XLOOKUP(D338,products!$A$2:$A$49,products!$H$2:$H$49)</f>
        <v>10.237500000000001</v>
      </c>
      <c r="P338">
        <f t="shared" si="32"/>
        <v>45</v>
      </c>
      <c r="Q338">
        <f t="shared" si="33"/>
        <v>40.950000000000003</v>
      </c>
      <c r="R338">
        <f t="shared" si="34"/>
        <v>4.0499999999999972</v>
      </c>
      <c r="S338" s="4">
        <f t="shared" si="35"/>
        <v>8.9999999999999941E-2</v>
      </c>
      <c r="T338" t="str">
        <f>_xlfn.XLOOKUP(C338,customers!$A$1:$A$1001,customers!$I$1:$I$1001,,0)</f>
        <v>No</v>
      </c>
    </row>
    <row r="339" spans="1:20"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v>
      </c>
      <c r="H339" s="2" t="str">
        <f>_xlfn.XLOOKUP(C339,customers!$A$1:$A$1001,customers!$G$1:$G$1001,,0)</f>
        <v>United States</v>
      </c>
      <c r="I339" t="str">
        <f>INDEX(products!$A$1:$I$49,MATCH(orders!$D339,products!$A$1:$A$49,0),MATCH(orders!I$1,products!$A$1:$D$1,0))</f>
        <v>Exc</v>
      </c>
      <c r="J339" t="str">
        <f t="shared" si="30"/>
        <v>Excelsa</v>
      </c>
      <c r="K339" t="str">
        <f>INDEX(products!$A$1:$I$49,MATCH(orders!$D339,products!$A$1:$A$49,0),MATCH(orders!K$1,products!$A$1:$D$1,0))</f>
        <v>D</v>
      </c>
      <c r="L339" t="str">
        <f t="shared" si="31"/>
        <v>Dark</v>
      </c>
      <c r="M339">
        <f>INDEX(products!$A$1:$I$49,MATCH(orders!$D339,products!$A$1:$A$49,0),MATCH(orders!M$1,products!$A$1:$D$1,0))</f>
        <v>2.5</v>
      </c>
      <c r="N339">
        <f>_xlfn.XLOOKUP(D339,products!$A$2:$A$49,products!$E$2:$E$49)</f>
        <v>27.945</v>
      </c>
      <c r="O339">
        <f>_xlfn.XLOOKUP(D339,products!$A$2:$A$49,products!$H$2:$H$49)</f>
        <v>24.87105</v>
      </c>
      <c r="P339">
        <f t="shared" si="32"/>
        <v>55.89</v>
      </c>
      <c r="Q339">
        <f t="shared" si="33"/>
        <v>49.742100000000001</v>
      </c>
      <c r="R339">
        <f t="shared" si="34"/>
        <v>6.1478999999999999</v>
      </c>
      <c r="S339" s="4">
        <f t="shared" si="35"/>
        <v>0.11</v>
      </c>
      <c r="T339" t="str">
        <f>_xlfn.XLOOKUP(C339,customers!$A$1:$A$1001,customers!$I$1:$I$1001,,0)</f>
        <v>No</v>
      </c>
    </row>
    <row r="340" spans="1:20"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INDEX(products!$A$1:$I$49,MATCH(orders!$D340,products!$A$1:$A$49,0),MATCH(orders!I$1,products!$A$1:$D$1,0))</f>
        <v>Exc</v>
      </c>
      <c r="J340" t="str">
        <f t="shared" si="30"/>
        <v>Excelsa</v>
      </c>
      <c r="K340" t="str">
        <f>INDEX(products!$A$1:$I$49,MATCH(orders!$D340,products!$A$1:$A$49,0),MATCH(orders!K$1,products!$A$1:$D$1,0))</f>
        <v>L</v>
      </c>
      <c r="L340" t="str">
        <f t="shared" si="31"/>
        <v>Light</v>
      </c>
      <c r="M340">
        <f>INDEX(products!$A$1:$I$49,MATCH(orders!$D340,products!$A$1:$A$49,0),MATCH(orders!M$1,products!$A$1:$D$1,0))</f>
        <v>1</v>
      </c>
      <c r="N340">
        <f>_xlfn.XLOOKUP(D340,products!$A$2:$A$49,products!$E$2:$E$49)</f>
        <v>14.85</v>
      </c>
      <c r="O340">
        <f>_xlfn.XLOOKUP(D340,products!$A$2:$A$49,products!$H$2:$H$49)</f>
        <v>13.2165</v>
      </c>
      <c r="P340">
        <f t="shared" si="32"/>
        <v>59.4</v>
      </c>
      <c r="Q340">
        <f t="shared" si="33"/>
        <v>52.866</v>
      </c>
      <c r="R340">
        <f t="shared" si="34"/>
        <v>6.5339999999999989</v>
      </c>
      <c r="S340" s="4">
        <f t="shared" si="35"/>
        <v>0.10999999999999999</v>
      </c>
      <c r="T340" t="str">
        <f>_xlfn.XLOOKUP(C340,customers!$A$1:$A$1001,customers!$I$1:$I$1001,,0)</f>
        <v>No</v>
      </c>
    </row>
    <row r="341" spans="1:20"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INDEX(products!$A$1:$I$49,MATCH(orders!$D341,products!$A$1:$A$49,0),MATCH(orders!I$1,products!$A$1:$D$1,0))</f>
        <v>Exc</v>
      </c>
      <c r="J341" t="str">
        <f t="shared" si="30"/>
        <v>Excelsa</v>
      </c>
      <c r="K341" t="str">
        <f>INDEX(products!$A$1:$I$49,MATCH(orders!$D341,products!$A$1:$A$49,0),MATCH(orders!K$1,products!$A$1:$D$1,0))</f>
        <v>D</v>
      </c>
      <c r="L341" t="str">
        <f t="shared" si="31"/>
        <v>Dark</v>
      </c>
      <c r="M341">
        <f>INDEX(products!$A$1:$I$49,MATCH(orders!$D341,products!$A$1:$A$49,0),MATCH(orders!M$1,products!$A$1:$D$1,0))</f>
        <v>0.2</v>
      </c>
      <c r="N341">
        <f>_xlfn.XLOOKUP(D341,products!$A$2:$A$49,products!$E$2:$E$49)</f>
        <v>3.645</v>
      </c>
      <c r="O341">
        <f>_xlfn.XLOOKUP(D341,products!$A$2:$A$49,products!$H$2:$H$49)</f>
        <v>3.2440500000000001</v>
      </c>
      <c r="P341">
        <f t="shared" si="32"/>
        <v>7.29</v>
      </c>
      <c r="Q341">
        <f t="shared" si="33"/>
        <v>6.4881000000000002</v>
      </c>
      <c r="R341">
        <f t="shared" si="34"/>
        <v>0.80189999999999984</v>
      </c>
      <c r="S341" s="4">
        <f t="shared" si="35"/>
        <v>0.10999999999999997</v>
      </c>
      <c r="T341" t="str">
        <f>_xlfn.XLOOKUP(C341,customers!$A$1:$A$1001,customers!$I$1:$I$1001,,0)</f>
        <v>Yes</v>
      </c>
    </row>
    <row r="342" spans="1:20"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INDEX(products!$A$1:$I$49,MATCH(orders!$D342,products!$A$1:$A$49,0),MATCH(orders!I$1,products!$A$1:$D$1,0))</f>
        <v>Exc</v>
      </c>
      <c r="J342" t="str">
        <f t="shared" si="30"/>
        <v>Excelsa</v>
      </c>
      <c r="K342" t="str">
        <f>INDEX(products!$A$1:$I$49,MATCH(orders!$D342,products!$A$1:$A$49,0),MATCH(orders!K$1,products!$A$1:$D$1,0))</f>
        <v>D</v>
      </c>
      <c r="L342" t="str">
        <f t="shared" si="31"/>
        <v>Dark</v>
      </c>
      <c r="M342">
        <f>INDEX(products!$A$1:$I$49,MATCH(orders!$D342,products!$A$1:$A$49,0),MATCH(orders!M$1,products!$A$1:$D$1,0))</f>
        <v>0.5</v>
      </c>
      <c r="N342">
        <f>_xlfn.XLOOKUP(D342,products!$A$2:$A$49,products!$E$2:$E$49)</f>
        <v>7.29</v>
      </c>
      <c r="O342">
        <f>_xlfn.XLOOKUP(D342,products!$A$2:$A$49,products!$H$2:$H$49)</f>
        <v>6.4881000000000002</v>
      </c>
      <c r="P342">
        <f t="shared" si="32"/>
        <v>7.29</v>
      </c>
      <c r="Q342">
        <f t="shared" si="33"/>
        <v>6.4881000000000002</v>
      </c>
      <c r="R342">
        <f t="shared" si="34"/>
        <v>0.80189999999999984</v>
      </c>
      <c r="S342" s="4">
        <f t="shared" si="35"/>
        <v>0.10999999999999997</v>
      </c>
      <c r="T342" t="str">
        <f>_xlfn.XLOOKUP(C342,customers!$A$1:$A$1001,customers!$I$1:$I$1001,,0)</f>
        <v>Yes</v>
      </c>
    </row>
    <row r="343" spans="1:20"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INDEX(products!$A$1:$I$49,MATCH(orders!$D343,products!$A$1:$A$49,0),MATCH(orders!I$1,products!$A$1:$D$1,0))</f>
        <v>Exc</v>
      </c>
      <c r="J343" t="str">
        <f t="shared" si="30"/>
        <v>Excelsa</v>
      </c>
      <c r="K343" t="str">
        <f>INDEX(products!$A$1:$I$49,MATCH(orders!$D343,products!$A$1:$A$49,0),MATCH(orders!K$1,products!$A$1:$D$1,0))</f>
        <v>L</v>
      </c>
      <c r="L343" t="str">
        <f t="shared" si="31"/>
        <v>Light</v>
      </c>
      <c r="M343">
        <f>INDEX(products!$A$1:$I$49,MATCH(orders!$D343,products!$A$1:$A$49,0),MATCH(orders!M$1,products!$A$1:$D$1,0))</f>
        <v>0.5</v>
      </c>
      <c r="N343">
        <f>_xlfn.XLOOKUP(D343,products!$A$2:$A$49,products!$E$2:$E$49)</f>
        <v>8.91</v>
      </c>
      <c r="O343">
        <f>_xlfn.XLOOKUP(D343,products!$A$2:$A$49,products!$H$2:$H$49)</f>
        <v>7.9298999999999999</v>
      </c>
      <c r="P343">
        <f t="shared" si="32"/>
        <v>17.82</v>
      </c>
      <c r="Q343">
        <f t="shared" si="33"/>
        <v>15.8598</v>
      </c>
      <c r="R343">
        <f t="shared" si="34"/>
        <v>1.9602000000000004</v>
      </c>
      <c r="S343" s="4">
        <f t="shared" si="35"/>
        <v>0.11000000000000001</v>
      </c>
      <c r="T343" t="str">
        <f>_xlfn.XLOOKUP(C343,customers!$A$1:$A$1001,customers!$I$1:$I$1001,,0)</f>
        <v>No</v>
      </c>
    </row>
    <row r="344" spans="1:20"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INDEX(products!$A$1:$I$49,MATCH(orders!$D344,products!$A$1:$A$49,0),MATCH(orders!I$1,products!$A$1:$D$1,0))</f>
        <v>Lib</v>
      </c>
      <c r="J344" t="str">
        <f t="shared" si="30"/>
        <v>Liberica</v>
      </c>
      <c r="K344" t="str">
        <f>INDEX(products!$A$1:$I$49,MATCH(orders!$D344,products!$A$1:$A$49,0),MATCH(orders!K$1,products!$A$1:$D$1,0))</f>
        <v>D</v>
      </c>
      <c r="L344" t="str">
        <f t="shared" si="31"/>
        <v>Dark</v>
      </c>
      <c r="M344">
        <f>INDEX(products!$A$1:$I$49,MATCH(orders!$D344,products!$A$1:$A$49,0),MATCH(orders!M$1,products!$A$1:$D$1,0))</f>
        <v>0.5</v>
      </c>
      <c r="N344">
        <f>_xlfn.XLOOKUP(D344,products!$A$2:$A$49,products!$E$2:$E$49)</f>
        <v>7.77</v>
      </c>
      <c r="O344">
        <f>_xlfn.XLOOKUP(D344,products!$A$2:$A$49,products!$H$2:$H$49)</f>
        <v>6.7599</v>
      </c>
      <c r="P344">
        <f t="shared" si="32"/>
        <v>38.849999999999994</v>
      </c>
      <c r="Q344">
        <f t="shared" si="33"/>
        <v>33.799500000000002</v>
      </c>
      <c r="R344">
        <f t="shared" si="34"/>
        <v>5.0504999999999924</v>
      </c>
      <c r="S344" s="4">
        <f t="shared" si="35"/>
        <v>0.12999999999999984</v>
      </c>
      <c r="T344" t="str">
        <f>_xlfn.XLOOKUP(C344,customers!$A$1:$A$1001,customers!$I$1:$I$1001,,0)</f>
        <v>No</v>
      </c>
    </row>
    <row r="345" spans="1:20"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INDEX(products!$A$1:$I$49,MATCH(orders!$D345,products!$A$1:$A$49,0),MATCH(orders!I$1,products!$A$1:$D$1,0))</f>
        <v>Rob</v>
      </c>
      <c r="J345" t="str">
        <f t="shared" si="30"/>
        <v>Robusta</v>
      </c>
      <c r="K345" t="str">
        <f>INDEX(products!$A$1:$I$49,MATCH(orders!$D345,products!$A$1:$A$49,0),MATCH(orders!K$1,products!$A$1:$D$1,0))</f>
        <v>D</v>
      </c>
      <c r="L345" t="str">
        <f t="shared" si="31"/>
        <v>Dark</v>
      </c>
      <c r="M345">
        <f>INDEX(products!$A$1:$I$49,MATCH(orders!$D345,products!$A$1:$A$49,0),MATCH(orders!M$1,products!$A$1:$D$1,0))</f>
        <v>0.5</v>
      </c>
      <c r="N345">
        <f>_xlfn.XLOOKUP(D345,products!$A$2:$A$49,products!$E$2:$E$49)</f>
        <v>5.3699999999999992</v>
      </c>
      <c r="O345">
        <f>_xlfn.XLOOKUP(D345,products!$A$2:$A$49,products!$H$2:$H$49)</f>
        <v>5.0477999999999996</v>
      </c>
      <c r="P345">
        <f t="shared" si="32"/>
        <v>32.22</v>
      </c>
      <c r="Q345">
        <f t="shared" si="33"/>
        <v>30.286799999999999</v>
      </c>
      <c r="R345">
        <f t="shared" si="34"/>
        <v>1.9331999999999994</v>
      </c>
      <c r="S345" s="4">
        <f t="shared" si="35"/>
        <v>5.9999999999999984E-2</v>
      </c>
      <c r="T345" t="str">
        <f>_xlfn.XLOOKUP(C345,customers!$A$1:$A$1001,customers!$I$1:$I$1001,,0)</f>
        <v>No</v>
      </c>
    </row>
    <row r="346" spans="1:20"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v>
      </c>
      <c r="H346" s="2" t="str">
        <f>_xlfn.XLOOKUP(C346,customers!$A$1:$A$1001,customers!$G$1:$G$1001,,0)</f>
        <v>Ireland</v>
      </c>
      <c r="I346" t="str">
        <f>INDEX(products!$A$1:$I$49,MATCH(orders!$D346,products!$A$1:$A$49,0),MATCH(orders!I$1,products!$A$1:$D$1,0))</f>
        <v>Rob</v>
      </c>
      <c r="J346" t="str">
        <f t="shared" si="30"/>
        <v>Robusta</v>
      </c>
      <c r="K346" t="str">
        <f>INDEX(products!$A$1:$I$49,MATCH(orders!$D346,products!$A$1:$A$49,0),MATCH(orders!K$1,products!$A$1:$D$1,0))</f>
        <v>M</v>
      </c>
      <c r="L346" t="str">
        <f t="shared" si="31"/>
        <v>Medium</v>
      </c>
      <c r="M346">
        <f>INDEX(products!$A$1:$I$49,MATCH(orders!$D346,products!$A$1:$A$49,0),MATCH(orders!M$1,products!$A$1:$D$1,0))</f>
        <v>1</v>
      </c>
      <c r="N346">
        <f>_xlfn.XLOOKUP(D346,products!$A$2:$A$49,products!$E$2:$E$49)</f>
        <v>9.9499999999999993</v>
      </c>
      <c r="O346">
        <f>_xlfn.XLOOKUP(D346,products!$A$2:$A$49,products!$H$2:$H$49)</f>
        <v>9.3529999999999998</v>
      </c>
      <c r="P346">
        <f t="shared" si="32"/>
        <v>19.899999999999999</v>
      </c>
      <c r="Q346">
        <f t="shared" si="33"/>
        <v>18.706</v>
      </c>
      <c r="R346">
        <f t="shared" si="34"/>
        <v>1.1939999999999991</v>
      </c>
      <c r="S346" s="4">
        <f t="shared" si="35"/>
        <v>5.9999999999999956E-2</v>
      </c>
      <c r="T346" t="str">
        <f>_xlfn.XLOOKUP(C346,customers!$A$1:$A$1001,customers!$I$1:$I$1001,,0)</f>
        <v>Yes</v>
      </c>
    </row>
    <row r="347" spans="1:20"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INDEX(products!$A$1:$I$49,MATCH(orders!$D347,products!$A$1:$A$49,0),MATCH(orders!I$1,products!$A$1:$D$1,0))</f>
        <v>Rob</v>
      </c>
      <c r="J347" t="str">
        <f t="shared" si="30"/>
        <v>Robusta</v>
      </c>
      <c r="K347" t="str">
        <f>INDEX(products!$A$1:$I$49,MATCH(orders!$D347,products!$A$1:$A$49,0),MATCH(orders!K$1,products!$A$1:$D$1,0))</f>
        <v>L</v>
      </c>
      <c r="L347" t="str">
        <f t="shared" si="31"/>
        <v>Light</v>
      </c>
      <c r="M347">
        <f>INDEX(products!$A$1:$I$49,MATCH(orders!$D347,products!$A$1:$A$49,0),MATCH(orders!M$1,products!$A$1:$D$1,0))</f>
        <v>1</v>
      </c>
      <c r="N347">
        <f>_xlfn.XLOOKUP(D347,products!$A$2:$A$49,products!$E$2:$E$49)</f>
        <v>11.95</v>
      </c>
      <c r="O347">
        <f>_xlfn.XLOOKUP(D347,products!$A$2:$A$49,products!$H$2:$H$49)</f>
        <v>11.232999999999999</v>
      </c>
      <c r="P347">
        <f t="shared" si="32"/>
        <v>59.75</v>
      </c>
      <c r="Q347">
        <f t="shared" si="33"/>
        <v>56.164999999999992</v>
      </c>
      <c r="R347">
        <f t="shared" si="34"/>
        <v>3.585000000000008</v>
      </c>
      <c r="S347" s="4">
        <f t="shared" si="35"/>
        <v>6.0000000000000137E-2</v>
      </c>
      <c r="T347" t="str">
        <f>_xlfn.XLOOKUP(C347,customers!$A$1:$A$1001,customers!$I$1:$I$1001,,0)</f>
        <v>No</v>
      </c>
    </row>
    <row r="348" spans="1:20"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INDEX(products!$A$1:$I$49,MATCH(orders!$D348,products!$A$1:$A$49,0),MATCH(orders!I$1,products!$A$1:$D$1,0))</f>
        <v>Ara</v>
      </c>
      <c r="J348" t="str">
        <f t="shared" si="30"/>
        <v>Arabica</v>
      </c>
      <c r="K348" t="str">
        <f>INDEX(products!$A$1:$I$49,MATCH(orders!$D348,products!$A$1:$A$49,0),MATCH(orders!K$1,products!$A$1:$D$1,0))</f>
        <v>L</v>
      </c>
      <c r="L348" t="str">
        <f t="shared" si="31"/>
        <v>Light</v>
      </c>
      <c r="M348">
        <f>INDEX(products!$A$1:$I$49,MATCH(orders!$D348,products!$A$1:$A$49,0),MATCH(orders!M$1,products!$A$1:$D$1,0))</f>
        <v>0.5</v>
      </c>
      <c r="N348">
        <f>_xlfn.XLOOKUP(D348,products!$A$2:$A$49,products!$E$2:$E$49)</f>
        <v>7.77</v>
      </c>
      <c r="O348">
        <f>_xlfn.XLOOKUP(D348,products!$A$2:$A$49,products!$H$2:$H$49)</f>
        <v>7.0706999999999995</v>
      </c>
      <c r="P348">
        <f t="shared" si="32"/>
        <v>23.31</v>
      </c>
      <c r="Q348">
        <f t="shared" si="33"/>
        <v>21.2121</v>
      </c>
      <c r="R348">
        <f t="shared" si="34"/>
        <v>2.0978999999999992</v>
      </c>
      <c r="S348" s="4">
        <f t="shared" si="35"/>
        <v>8.9999999999999969E-2</v>
      </c>
      <c r="T348" t="str">
        <f>_xlfn.XLOOKUP(C348,customers!$A$1:$A$1001,customers!$I$1:$I$1001,,0)</f>
        <v>Yes</v>
      </c>
    </row>
    <row r="349" spans="1:20"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INDEX(products!$A$1:$I$49,MATCH(orders!$D349,products!$A$1:$A$49,0),MATCH(orders!I$1,products!$A$1:$D$1,0))</f>
        <v>Lib</v>
      </c>
      <c r="J349" t="str">
        <f t="shared" si="30"/>
        <v>Liberica</v>
      </c>
      <c r="K349" t="str">
        <f>INDEX(products!$A$1:$I$49,MATCH(orders!$D349,products!$A$1:$A$49,0),MATCH(orders!K$1,products!$A$1:$D$1,0))</f>
        <v>M</v>
      </c>
      <c r="L349" t="str">
        <f t="shared" si="31"/>
        <v>Medium</v>
      </c>
      <c r="M349">
        <f>INDEX(products!$A$1:$I$49,MATCH(orders!$D349,products!$A$1:$A$49,0),MATCH(orders!M$1,products!$A$1:$D$1,0))</f>
        <v>1</v>
      </c>
      <c r="N349">
        <f>_xlfn.XLOOKUP(D349,products!$A$2:$A$49,products!$E$2:$E$49)</f>
        <v>14.55</v>
      </c>
      <c r="O349">
        <f>_xlfn.XLOOKUP(D349,products!$A$2:$A$49,products!$H$2:$H$49)</f>
        <v>12.6585</v>
      </c>
      <c r="P349">
        <f t="shared" si="32"/>
        <v>43.650000000000006</v>
      </c>
      <c r="Q349">
        <f t="shared" si="33"/>
        <v>37.975499999999997</v>
      </c>
      <c r="R349">
        <f t="shared" si="34"/>
        <v>5.674500000000009</v>
      </c>
      <c r="S349" s="4">
        <f t="shared" si="35"/>
        <v>0.1300000000000002</v>
      </c>
      <c r="T349" t="str">
        <f>_xlfn.XLOOKUP(C349,customers!$A$1:$A$1001,customers!$I$1:$I$1001,,0)</f>
        <v>No</v>
      </c>
    </row>
    <row r="350" spans="1:20"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INDEX(products!$A$1:$I$49,MATCH(orders!$D350,products!$A$1:$A$49,0),MATCH(orders!I$1,products!$A$1:$D$1,0))</f>
        <v>Exc</v>
      </c>
      <c r="J350" t="str">
        <f t="shared" si="30"/>
        <v>Excelsa</v>
      </c>
      <c r="K350" t="str">
        <f>INDEX(products!$A$1:$I$49,MATCH(orders!$D350,products!$A$1:$A$49,0),MATCH(orders!K$1,products!$A$1:$D$1,0))</f>
        <v>L</v>
      </c>
      <c r="L350" t="str">
        <f t="shared" si="31"/>
        <v>Light</v>
      </c>
      <c r="M350">
        <f>INDEX(products!$A$1:$I$49,MATCH(orders!$D350,products!$A$1:$A$49,0),MATCH(orders!M$1,products!$A$1:$D$1,0))</f>
        <v>2.5</v>
      </c>
      <c r="N350">
        <f>_xlfn.XLOOKUP(D350,products!$A$2:$A$49,products!$E$2:$E$49)</f>
        <v>34.154999999999994</v>
      </c>
      <c r="O350">
        <f>_xlfn.XLOOKUP(D350,products!$A$2:$A$49,products!$H$2:$H$49)</f>
        <v>30.397949999999994</v>
      </c>
      <c r="P350">
        <f t="shared" si="32"/>
        <v>204.92999999999995</v>
      </c>
      <c r="Q350">
        <f t="shared" si="33"/>
        <v>182.38769999999997</v>
      </c>
      <c r="R350">
        <f t="shared" si="34"/>
        <v>22.542299999999983</v>
      </c>
      <c r="S350" s="4">
        <f t="shared" si="35"/>
        <v>0.10999999999999995</v>
      </c>
      <c r="T350" t="str">
        <f>_xlfn.XLOOKUP(C350,customers!$A$1:$A$1001,customers!$I$1:$I$1001,,0)</f>
        <v>No</v>
      </c>
    </row>
    <row r="351" spans="1:20"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INDEX(products!$A$1:$I$49,MATCH(orders!$D351,products!$A$1:$A$49,0),MATCH(orders!I$1,products!$A$1:$D$1,0))</f>
        <v>Rob</v>
      </c>
      <c r="J351" t="str">
        <f t="shared" si="30"/>
        <v>Robusta</v>
      </c>
      <c r="K351" t="str">
        <f>INDEX(products!$A$1:$I$49,MATCH(orders!$D351,products!$A$1:$A$49,0),MATCH(orders!K$1,products!$A$1:$D$1,0))</f>
        <v>L</v>
      </c>
      <c r="L351" t="str">
        <f t="shared" si="31"/>
        <v>Light</v>
      </c>
      <c r="M351">
        <f>INDEX(products!$A$1:$I$49,MATCH(orders!$D351,products!$A$1:$A$49,0),MATCH(orders!M$1,products!$A$1:$D$1,0))</f>
        <v>0.2</v>
      </c>
      <c r="N351">
        <f>_xlfn.XLOOKUP(D351,products!$A$2:$A$49,products!$E$2:$E$49)</f>
        <v>3.5849999999999995</v>
      </c>
      <c r="O351">
        <f>_xlfn.XLOOKUP(D351,products!$A$2:$A$49,products!$H$2:$H$49)</f>
        <v>3.3698999999999995</v>
      </c>
      <c r="P351">
        <f t="shared" si="32"/>
        <v>14.339999999999998</v>
      </c>
      <c r="Q351">
        <f t="shared" si="33"/>
        <v>13.479599999999998</v>
      </c>
      <c r="R351">
        <f t="shared" si="34"/>
        <v>0.86040000000000028</v>
      </c>
      <c r="S351" s="4">
        <f t="shared" si="35"/>
        <v>6.0000000000000026E-2</v>
      </c>
      <c r="T351" t="str">
        <f>_xlfn.XLOOKUP(C351,customers!$A$1:$A$1001,customers!$I$1:$I$1001,,0)</f>
        <v>No</v>
      </c>
    </row>
    <row r="352" spans="1:20"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INDEX(products!$A$1:$I$49,MATCH(orders!$D352,products!$A$1:$A$49,0),MATCH(orders!I$1,products!$A$1:$D$1,0))</f>
        <v>Ara</v>
      </c>
      <c r="J352" t="str">
        <f t="shared" si="30"/>
        <v>Arabica</v>
      </c>
      <c r="K352" t="str">
        <f>INDEX(products!$A$1:$I$49,MATCH(orders!$D352,products!$A$1:$A$49,0),MATCH(orders!K$1,products!$A$1:$D$1,0))</f>
        <v>D</v>
      </c>
      <c r="L352" t="str">
        <f t="shared" si="31"/>
        <v>Dark</v>
      </c>
      <c r="M352">
        <f>INDEX(products!$A$1:$I$49,MATCH(orders!$D352,products!$A$1:$A$49,0),MATCH(orders!M$1,products!$A$1:$D$1,0))</f>
        <v>0.5</v>
      </c>
      <c r="N352">
        <f>_xlfn.XLOOKUP(D352,products!$A$2:$A$49,products!$E$2:$E$49)</f>
        <v>5.97</v>
      </c>
      <c r="O352">
        <f>_xlfn.XLOOKUP(D352,products!$A$2:$A$49,products!$H$2:$H$49)</f>
        <v>5.4326999999999996</v>
      </c>
      <c r="P352">
        <f t="shared" si="32"/>
        <v>23.88</v>
      </c>
      <c r="Q352">
        <f t="shared" si="33"/>
        <v>21.730799999999999</v>
      </c>
      <c r="R352">
        <f t="shared" si="34"/>
        <v>2.1492000000000004</v>
      </c>
      <c r="S352" s="4">
        <f t="shared" si="35"/>
        <v>9.0000000000000024E-2</v>
      </c>
      <c r="T352" t="str">
        <f>_xlfn.XLOOKUP(C352,customers!$A$1:$A$1001,customers!$I$1:$I$1001,,0)</f>
        <v>No</v>
      </c>
    </row>
    <row r="353" spans="1:20"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INDEX(products!$A$1:$I$49,MATCH(orders!$D353,products!$A$1:$A$49,0),MATCH(orders!I$1,products!$A$1:$D$1,0))</f>
        <v>Ara</v>
      </c>
      <c r="J353" t="str">
        <f t="shared" si="30"/>
        <v>Arabica</v>
      </c>
      <c r="K353" t="str">
        <f>INDEX(products!$A$1:$I$49,MATCH(orders!$D353,products!$A$1:$A$49,0),MATCH(orders!K$1,products!$A$1:$D$1,0))</f>
        <v>M</v>
      </c>
      <c r="L353" t="str">
        <f t="shared" si="31"/>
        <v>Medium</v>
      </c>
      <c r="M353">
        <f>INDEX(products!$A$1:$I$49,MATCH(orders!$D353,products!$A$1:$A$49,0),MATCH(orders!M$1,products!$A$1:$D$1,0))</f>
        <v>1</v>
      </c>
      <c r="N353">
        <f>_xlfn.XLOOKUP(D353,products!$A$2:$A$49,products!$E$2:$E$49)</f>
        <v>11.25</v>
      </c>
      <c r="O353">
        <f>_xlfn.XLOOKUP(D353,products!$A$2:$A$49,products!$H$2:$H$49)</f>
        <v>10.237500000000001</v>
      </c>
      <c r="P353">
        <f t="shared" si="32"/>
        <v>22.5</v>
      </c>
      <c r="Q353">
        <f t="shared" si="33"/>
        <v>20.475000000000001</v>
      </c>
      <c r="R353">
        <f t="shared" si="34"/>
        <v>2.0249999999999986</v>
      </c>
      <c r="S353" s="4">
        <f t="shared" si="35"/>
        <v>8.9999999999999941E-2</v>
      </c>
      <c r="T353" t="str">
        <f>_xlfn.XLOOKUP(C353,customers!$A$1:$A$1001,customers!$I$1:$I$1001,,0)</f>
        <v>No</v>
      </c>
    </row>
    <row r="354" spans="1:20"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v>
      </c>
      <c r="H354" s="2" t="str">
        <f>_xlfn.XLOOKUP(C354,customers!$A$1:$A$1001,customers!$G$1:$G$1001,,0)</f>
        <v>United States</v>
      </c>
      <c r="I354" t="str">
        <f>INDEX(products!$A$1:$I$49,MATCH(orders!$D354,products!$A$1:$A$49,0),MATCH(orders!I$1,products!$A$1:$D$1,0))</f>
        <v>Exc</v>
      </c>
      <c r="J354" t="str">
        <f t="shared" si="30"/>
        <v>Excelsa</v>
      </c>
      <c r="K354" t="str">
        <f>INDEX(products!$A$1:$I$49,MATCH(orders!$D354,products!$A$1:$A$49,0),MATCH(orders!K$1,products!$A$1:$D$1,0))</f>
        <v>D</v>
      </c>
      <c r="L354" t="str">
        <f t="shared" si="31"/>
        <v>Dark</v>
      </c>
      <c r="M354">
        <f>INDEX(products!$A$1:$I$49,MATCH(orders!$D354,products!$A$1:$A$49,0),MATCH(orders!M$1,products!$A$1:$D$1,0))</f>
        <v>0.5</v>
      </c>
      <c r="N354">
        <f>_xlfn.XLOOKUP(D354,products!$A$2:$A$49,products!$E$2:$E$49)</f>
        <v>7.29</v>
      </c>
      <c r="O354">
        <f>_xlfn.XLOOKUP(D354,products!$A$2:$A$49,products!$H$2:$H$49)</f>
        <v>6.4881000000000002</v>
      </c>
      <c r="P354">
        <f t="shared" si="32"/>
        <v>36.450000000000003</v>
      </c>
      <c r="Q354">
        <f t="shared" si="33"/>
        <v>32.4405</v>
      </c>
      <c r="R354">
        <f t="shared" si="34"/>
        <v>4.0095000000000027</v>
      </c>
      <c r="S354" s="4">
        <f t="shared" si="35"/>
        <v>0.11000000000000007</v>
      </c>
      <c r="T354" t="str">
        <f>_xlfn.XLOOKUP(C354,customers!$A$1:$A$1001,customers!$I$1:$I$1001,,0)</f>
        <v>No</v>
      </c>
    </row>
    <row r="355" spans="1:20"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v>
      </c>
      <c r="H355" s="2" t="str">
        <f>_xlfn.XLOOKUP(C355,customers!$A$1:$A$1001,customers!$G$1:$G$1001,,0)</f>
        <v>United States</v>
      </c>
      <c r="I355" t="str">
        <f>INDEX(products!$A$1:$I$49,MATCH(orders!$D355,products!$A$1:$A$49,0),MATCH(orders!I$1,products!$A$1:$D$1,0))</f>
        <v>Ara</v>
      </c>
      <c r="J355" t="str">
        <f t="shared" si="30"/>
        <v>Arabica</v>
      </c>
      <c r="K355" t="str">
        <f>INDEX(products!$A$1:$I$49,MATCH(orders!$D355,products!$A$1:$A$49,0),MATCH(orders!K$1,products!$A$1:$D$1,0))</f>
        <v>M</v>
      </c>
      <c r="L355" t="str">
        <f t="shared" si="31"/>
        <v>Medium</v>
      </c>
      <c r="M355">
        <f>INDEX(products!$A$1:$I$49,MATCH(orders!$D355,products!$A$1:$A$49,0),MATCH(orders!M$1,products!$A$1:$D$1,0))</f>
        <v>0.5</v>
      </c>
      <c r="N355">
        <f>_xlfn.XLOOKUP(D355,products!$A$2:$A$49,products!$E$2:$E$49)</f>
        <v>6.75</v>
      </c>
      <c r="O355">
        <f>_xlfn.XLOOKUP(D355,products!$A$2:$A$49,products!$H$2:$H$49)</f>
        <v>6.1425000000000001</v>
      </c>
      <c r="P355">
        <f t="shared" si="32"/>
        <v>27</v>
      </c>
      <c r="Q355">
        <f t="shared" si="33"/>
        <v>24.57</v>
      </c>
      <c r="R355">
        <f t="shared" si="34"/>
        <v>2.4299999999999997</v>
      </c>
      <c r="S355" s="4">
        <f t="shared" si="35"/>
        <v>8.9999999999999983E-2</v>
      </c>
      <c r="T355" t="str">
        <f>_xlfn.XLOOKUP(C355,customers!$A$1:$A$1001,customers!$I$1:$I$1001,,0)</f>
        <v>Yes</v>
      </c>
    </row>
    <row r="356" spans="1:20"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INDEX(products!$A$1:$I$49,MATCH(orders!$D356,products!$A$1:$A$49,0),MATCH(orders!I$1,products!$A$1:$D$1,0))</f>
        <v>Ara</v>
      </c>
      <c r="J356" t="str">
        <f t="shared" si="30"/>
        <v>Arabica</v>
      </c>
      <c r="K356" t="str">
        <f>INDEX(products!$A$1:$I$49,MATCH(orders!$D356,products!$A$1:$A$49,0),MATCH(orders!K$1,products!$A$1:$D$1,0))</f>
        <v>M</v>
      </c>
      <c r="L356" t="str">
        <f t="shared" si="31"/>
        <v>Medium</v>
      </c>
      <c r="M356">
        <f>INDEX(products!$A$1:$I$49,MATCH(orders!$D356,products!$A$1:$A$49,0),MATCH(orders!M$1,products!$A$1:$D$1,0))</f>
        <v>2.5</v>
      </c>
      <c r="N356">
        <f>_xlfn.XLOOKUP(D356,products!$A$2:$A$49,products!$E$2:$E$49)</f>
        <v>25.874999999999996</v>
      </c>
      <c r="O356">
        <f>_xlfn.XLOOKUP(D356,products!$A$2:$A$49,products!$H$2:$H$49)</f>
        <v>23.546249999999997</v>
      </c>
      <c r="P356">
        <f t="shared" si="32"/>
        <v>155.24999999999997</v>
      </c>
      <c r="Q356">
        <f t="shared" si="33"/>
        <v>141.27749999999997</v>
      </c>
      <c r="R356">
        <f t="shared" si="34"/>
        <v>13.972499999999997</v>
      </c>
      <c r="S356" s="4">
        <f t="shared" si="35"/>
        <v>0.09</v>
      </c>
      <c r="T356" t="str">
        <f>_xlfn.XLOOKUP(C356,customers!$A$1:$A$1001,customers!$I$1:$I$1001,,0)</f>
        <v>No</v>
      </c>
    </row>
    <row r="357" spans="1:20"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INDEX(products!$A$1:$I$49,MATCH(orders!$D357,products!$A$1:$A$49,0),MATCH(orders!I$1,products!$A$1:$D$1,0))</f>
        <v>Ara</v>
      </c>
      <c r="J357" t="str">
        <f t="shared" si="30"/>
        <v>Arabica</v>
      </c>
      <c r="K357" t="str">
        <f>INDEX(products!$A$1:$I$49,MATCH(orders!$D357,products!$A$1:$A$49,0),MATCH(orders!K$1,products!$A$1:$D$1,0))</f>
        <v>D</v>
      </c>
      <c r="L357" t="str">
        <f t="shared" si="31"/>
        <v>Dark</v>
      </c>
      <c r="M357">
        <f>INDEX(products!$A$1:$I$49,MATCH(orders!$D357,products!$A$1:$A$49,0),MATCH(orders!M$1,products!$A$1:$D$1,0))</f>
        <v>2.5</v>
      </c>
      <c r="N357">
        <f>_xlfn.XLOOKUP(D357,products!$A$2:$A$49,products!$E$2:$E$49)</f>
        <v>22.884999999999998</v>
      </c>
      <c r="O357">
        <f>_xlfn.XLOOKUP(D357,products!$A$2:$A$49,products!$H$2:$H$49)</f>
        <v>20.82535</v>
      </c>
      <c r="P357">
        <f t="shared" si="32"/>
        <v>114.42499999999998</v>
      </c>
      <c r="Q357">
        <f t="shared" si="33"/>
        <v>104.12675</v>
      </c>
      <c r="R357">
        <f t="shared" si="34"/>
        <v>10.298249999999982</v>
      </c>
      <c r="S357" s="4">
        <f t="shared" si="35"/>
        <v>8.9999999999999858E-2</v>
      </c>
      <c r="T357" t="str">
        <f>_xlfn.XLOOKUP(C357,customers!$A$1:$A$1001,customers!$I$1:$I$1001,,0)</f>
        <v>Yes</v>
      </c>
    </row>
    <row r="358" spans="1:20"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INDEX(products!$A$1:$I$49,MATCH(orders!$D358,products!$A$1:$A$49,0),MATCH(orders!I$1,products!$A$1:$D$1,0))</f>
        <v>Lib</v>
      </c>
      <c r="J358" t="str">
        <f t="shared" si="30"/>
        <v>Liberica</v>
      </c>
      <c r="K358" t="str">
        <f>INDEX(products!$A$1:$I$49,MATCH(orders!$D358,products!$A$1:$A$49,0),MATCH(orders!K$1,products!$A$1:$D$1,0))</f>
        <v>D</v>
      </c>
      <c r="L358" t="str">
        <f t="shared" si="31"/>
        <v>Dark</v>
      </c>
      <c r="M358">
        <f>INDEX(products!$A$1:$I$49,MATCH(orders!$D358,products!$A$1:$A$49,0),MATCH(orders!M$1,products!$A$1:$D$1,0))</f>
        <v>1</v>
      </c>
      <c r="N358">
        <f>_xlfn.XLOOKUP(D358,products!$A$2:$A$49,products!$E$2:$E$49)</f>
        <v>12.95</v>
      </c>
      <c r="O358">
        <f>_xlfn.XLOOKUP(D358,products!$A$2:$A$49,products!$H$2:$H$49)</f>
        <v>11.266499999999999</v>
      </c>
      <c r="P358">
        <f t="shared" si="32"/>
        <v>51.8</v>
      </c>
      <c r="Q358">
        <f t="shared" si="33"/>
        <v>45.065999999999995</v>
      </c>
      <c r="R358">
        <f t="shared" si="34"/>
        <v>6.7340000000000018</v>
      </c>
      <c r="S358" s="4">
        <f t="shared" si="35"/>
        <v>0.13000000000000003</v>
      </c>
      <c r="T358" t="str">
        <f>_xlfn.XLOOKUP(C358,customers!$A$1:$A$1001,customers!$I$1:$I$1001,,0)</f>
        <v>Yes</v>
      </c>
    </row>
    <row r="359" spans="1:20"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v>
      </c>
      <c r="H359" s="2" t="str">
        <f>_xlfn.XLOOKUP(C359,customers!$A$1:$A$1001,customers!$G$1:$G$1001,,0)</f>
        <v>United States</v>
      </c>
      <c r="I359" t="str">
        <f>INDEX(products!$A$1:$I$49,MATCH(orders!$D359,products!$A$1:$A$49,0),MATCH(orders!I$1,products!$A$1:$D$1,0))</f>
        <v>Ara</v>
      </c>
      <c r="J359" t="str">
        <f t="shared" si="30"/>
        <v>Arabica</v>
      </c>
      <c r="K359" t="str">
        <f>INDEX(products!$A$1:$I$49,MATCH(orders!$D359,products!$A$1:$A$49,0),MATCH(orders!K$1,products!$A$1:$D$1,0))</f>
        <v>M</v>
      </c>
      <c r="L359" t="str">
        <f t="shared" si="31"/>
        <v>Medium</v>
      </c>
      <c r="M359">
        <f>INDEX(products!$A$1:$I$49,MATCH(orders!$D359,products!$A$1:$A$49,0),MATCH(orders!M$1,products!$A$1:$D$1,0))</f>
        <v>2.5</v>
      </c>
      <c r="N359">
        <f>_xlfn.XLOOKUP(D359,products!$A$2:$A$49,products!$E$2:$E$49)</f>
        <v>25.874999999999996</v>
      </c>
      <c r="O359">
        <f>_xlfn.XLOOKUP(D359,products!$A$2:$A$49,products!$H$2:$H$49)</f>
        <v>23.546249999999997</v>
      </c>
      <c r="P359">
        <f t="shared" si="32"/>
        <v>155.24999999999997</v>
      </c>
      <c r="Q359">
        <f t="shared" si="33"/>
        <v>141.27749999999997</v>
      </c>
      <c r="R359">
        <f t="shared" si="34"/>
        <v>13.972499999999997</v>
      </c>
      <c r="S359" s="4">
        <f t="shared" si="35"/>
        <v>0.09</v>
      </c>
      <c r="T359" t="str">
        <f>_xlfn.XLOOKUP(C359,customers!$A$1:$A$1001,customers!$I$1:$I$1001,,0)</f>
        <v>No</v>
      </c>
    </row>
    <row r="360" spans="1:20"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INDEX(products!$A$1:$I$49,MATCH(orders!$D360,products!$A$1:$A$49,0),MATCH(orders!I$1,products!$A$1:$D$1,0))</f>
        <v>Ara</v>
      </c>
      <c r="J360" t="str">
        <f t="shared" si="30"/>
        <v>Arabica</v>
      </c>
      <c r="K360" t="str">
        <f>INDEX(products!$A$1:$I$49,MATCH(orders!$D360,products!$A$1:$A$49,0),MATCH(orders!K$1,products!$A$1:$D$1,0))</f>
        <v>L</v>
      </c>
      <c r="L360" t="str">
        <f t="shared" si="31"/>
        <v>Light</v>
      </c>
      <c r="M360">
        <f>INDEX(products!$A$1:$I$49,MATCH(orders!$D360,products!$A$1:$A$49,0),MATCH(orders!M$1,products!$A$1:$D$1,0))</f>
        <v>2.5</v>
      </c>
      <c r="N360">
        <f>_xlfn.XLOOKUP(D360,products!$A$2:$A$49,products!$E$2:$E$49)</f>
        <v>29.784999999999997</v>
      </c>
      <c r="O360">
        <f>_xlfn.XLOOKUP(D360,products!$A$2:$A$49,products!$H$2:$H$49)</f>
        <v>27.104349999999997</v>
      </c>
      <c r="P360">
        <f t="shared" si="32"/>
        <v>29.784999999999997</v>
      </c>
      <c r="Q360">
        <f t="shared" si="33"/>
        <v>27.104349999999997</v>
      </c>
      <c r="R360">
        <f t="shared" si="34"/>
        <v>2.68065</v>
      </c>
      <c r="S360" s="4">
        <f t="shared" si="35"/>
        <v>9.0000000000000011E-2</v>
      </c>
      <c r="T360" t="str">
        <f>_xlfn.XLOOKUP(C360,customers!$A$1:$A$1001,customers!$I$1:$I$1001,,0)</f>
        <v>No</v>
      </c>
    </row>
    <row r="361" spans="1:20"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INDEX(products!$A$1:$I$49,MATCH(orders!$D361,products!$A$1:$A$49,0),MATCH(orders!I$1,products!$A$1:$D$1,0))</f>
        <v>Rob</v>
      </c>
      <c r="J361" t="str">
        <f t="shared" si="30"/>
        <v>Robusta</v>
      </c>
      <c r="K361" t="str">
        <f>INDEX(products!$A$1:$I$49,MATCH(orders!$D361,products!$A$1:$A$49,0),MATCH(orders!K$1,products!$A$1:$D$1,0))</f>
        <v>L</v>
      </c>
      <c r="L361" t="str">
        <f t="shared" si="31"/>
        <v>Light</v>
      </c>
      <c r="M361">
        <f>INDEX(products!$A$1:$I$49,MATCH(orders!$D361,products!$A$1:$A$49,0),MATCH(orders!M$1,products!$A$1:$D$1,0))</f>
        <v>0.2</v>
      </c>
      <c r="N361">
        <f>_xlfn.XLOOKUP(D361,products!$A$2:$A$49,products!$E$2:$E$49)</f>
        <v>3.5849999999999995</v>
      </c>
      <c r="O361">
        <f>_xlfn.XLOOKUP(D361,products!$A$2:$A$49,products!$H$2:$H$49)</f>
        <v>3.3698999999999995</v>
      </c>
      <c r="P361">
        <f t="shared" si="32"/>
        <v>21.509999999999998</v>
      </c>
      <c r="Q361">
        <f t="shared" si="33"/>
        <v>20.219399999999997</v>
      </c>
      <c r="R361">
        <f t="shared" si="34"/>
        <v>1.2906000000000013</v>
      </c>
      <c r="S361" s="4">
        <f t="shared" si="35"/>
        <v>6.0000000000000067E-2</v>
      </c>
      <c r="T361" t="str">
        <f>_xlfn.XLOOKUP(C361,customers!$A$1:$A$1001,customers!$I$1:$I$1001,,0)</f>
        <v>No</v>
      </c>
    </row>
    <row r="362" spans="1:20"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INDEX(products!$A$1:$I$49,MATCH(orders!$D362,products!$A$1:$A$49,0),MATCH(orders!I$1,products!$A$1:$D$1,0))</f>
        <v>Rob</v>
      </c>
      <c r="J362" t="str">
        <f t="shared" si="30"/>
        <v>Robusta</v>
      </c>
      <c r="K362" t="str">
        <f>INDEX(products!$A$1:$I$49,MATCH(orders!$D362,products!$A$1:$A$49,0),MATCH(orders!K$1,products!$A$1:$D$1,0))</f>
        <v>D</v>
      </c>
      <c r="L362" t="str">
        <f t="shared" si="31"/>
        <v>Dark</v>
      </c>
      <c r="M362">
        <f>INDEX(products!$A$1:$I$49,MATCH(orders!$D362,products!$A$1:$A$49,0),MATCH(orders!M$1,products!$A$1:$D$1,0))</f>
        <v>2.5</v>
      </c>
      <c r="N362">
        <f>_xlfn.XLOOKUP(D362,products!$A$2:$A$49,products!$E$2:$E$49)</f>
        <v>20.584999999999997</v>
      </c>
      <c r="O362">
        <f>_xlfn.XLOOKUP(D362,products!$A$2:$A$49,products!$H$2:$H$49)</f>
        <v>19.349899999999998</v>
      </c>
      <c r="P362">
        <f t="shared" si="32"/>
        <v>41.169999999999995</v>
      </c>
      <c r="Q362">
        <f t="shared" si="33"/>
        <v>38.699799999999996</v>
      </c>
      <c r="R362">
        <f t="shared" si="34"/>
        <v>2.4701999999999984</v>
      </c>
      <c r="S362" s="4">
        <f t="shared" si="35"/>
        <v>5.999999999999997E-2</v>
      </c>
      <c r="T362" t="str">
        <f>_xlfn.XLOOKUP(C362,customers!$A$1:$A$1001,customers!$I$1:$I$1001,,0)</f>
        <v>No</v>
      </c>
    </row>
    <row r="363" spans="1:20"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INDEX(products!$A$1:$I$49,MATCH(orders!$D363,products!$A$1:$A$49,0),MATCH(orders!I$1,products!$A$1:$D$1,0))</f>
        <v>Rob</v>
      </c>
      <c r="J363" t="str">
        <f t="shared" si="30"/>
        <v>Robusta</v>
      </c>
      <c r="K363" t="str">
        <f>INDEX(products!$A$1:$I$49,MATCH(orders!$D363,products!$A$1:$A$49,0),MATCH(orders!K$1,products!$A$1:$D$1,0))</f>
        <v>M</v>
      </c>
      <c r="L363" t="str">
        <f t="shared" si="31"/>
        <v>Medium</v>
      </c>
      <c r="M363">
        <f>INDEX(products!$A$1:$I$49,MATCH(orders!$D363,products!$A$1:$A$49,0),MATCH(orders!M$1,products!$A$1:$D$1,0))</f>
        <v>0.5</v>
      </c>
      <c r="N363">
        <f>_xlfn.XLOOKUP(D363,products!$A$2:$A$49,products!$E$2:$E$49)</f>
        <v>5.97</v>
      </c>
      <c r="O363">
        <f>_xlfn.XLOOKUP(D363,products!$A$2:$A$49,products!$H$2:$H$49)</f>
        <v>5.6117999999999997</v>
      </c>
      <c r="P363">
        <f t="shared" si="32"/>
        <v>5.97</v>
      </c>
      <c r="Q363">
        <f t="shared" si="33"/>
        <v>5.6117999999999997</v>
      </c>
      <c r="R363">
        <f t="shared" si="34"/>
        <v>0.35820000000000007</v>
      </c>
      <c r="S363" s="4">
        <f t="shared" si="35"/>
        <v>6.0000000000000012E-2</v>
      </c>
      <c r="T363" t="str">
        <f>_xlfn.XLOOKUP(C363,customers!$A$1:$A$1001,customers!$I$1:$I$1001,,0)</f>
        <v>No</v>
      </c>
    </row>
    <row r="364" spans="1:20"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INDEX(products!$A$1:$I$49,MATCH(orders!$D364,products!$A$1:$A$49,0),MATCH(orders!I$1,products!$A$1:$D$1,0))</f>
        <v>Exc</v>
      </c>
      <c r="J364" t="str">
        <f t="shared" si="30"/>
        <v>Excelsa</v>
      </c>
      <c r="K364" t="str">
        <f>INDEX(products!$A$1:$I$49,MATCH(orders!$D364,products!$A$1:$A$49,0),MATCH(orders!K$1,products!$A$1:$D$1,0))</f>
        <v>L</v>
      </c>
      <c r="L364" t="str">
        <f t="shared" si="31"/>
        <v>Light</v>
      </c>
      <c r="M364">
        <f>INDEX(products!$A$1:$I$49,MATCH(orders!$D364,products!$A$1:$A$49,0),MATCH(orders!M$1,products!$A$1:$D$1,0))</f>
        <v>1</v>
      </c>
      <c r="N364">
        <f>_xlfn.XLOOKUP(D364,products!$A$2:$A$49,products!$E$2:$E$49)</f>
        <v>14.85</v>
      </c>
      <c r="O364">
        <f>_xlfn.XLOOKUP(D364,products!$A$2:$A$49,products!$H$2:$H$49)</f>
        <v>13.2165</v>
      </c>
      <c r="P364">
        <f t="shared" si="32"/>
        <v>74.25</v>
      </c>
      <c r="Q364">
        <f t="shared" si="33"/>
        <v>66.082499999999996</v>
      </c>
      <c r="R364">
        <f t="shared" si="34"/>
        <v>8.167500000000004</v>
      </c>
      <c r="S364" s="4">
        <f t="shared" si="35"/>
        <v>0.11000000000000006</v>
      </c>
      <c r="T364" t="str">
        <f>_xlfn.XLOOKUP(C364,customers!$A$1:$A$1001,customers!$I$1:$I$1001,,0)</f>
        <v>Yes</v>
      </c>
    </row>
    <row r="365" spans="1:20"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INDEX(products!$A$1:$I$49,MATCH(orders!$D365,products!$A$1:$A$49,0),MATCH(orders!I$1,products!$A$1:$D$1,0))</f>
        <v>Lib</v>
      </c>
      <c r="J365" t="str">
        <f t="shared" si="30"/>
        <v>Liberica</v>
      </c>
      <c r="K365" t="str">
        <f>INDEX(products!$A$1:$I$49,MATCH(orders!$D365,products!$A$1:$A$49,0),MATCH(orders!K$1,products!$A$1:$D$1,0))</f>
        <v>M</v>
      </c>
      <c r="L365" t="str">
        <f t="shared" si="31"/>
        <v>Medium</v>
      </c>
      <c r="M365">
        <f>INDEX(products!$A$1:$I$49,MATCH(orders!$D365,products!$A$1:$A$49,0),MATCH(orders!M$1,products!$A$1:$D$1,0))</f>
        <v>1</v>
      </c>
      <c r="N365">
        <f>_xlfn.XLOOKUP(D365,products!$A$2:$A$49,products!$E$2:$E$49)</f>
        <v>14.55</v>
      </c>
      <c r="O365">
        <f>_xlfn.XLOOKUP(D365,products!$A$2:$A$49,products!$H$2:$H$49)</f>
        <v>12.6585</v>
      </c>
      <c r="P365">
        <f t="shared" si="32"/>
        <v>87.300000000000011</v>
      </c>
      <c r="Q365">
        <f t="shared" si="33"/>
        <v>75.950999999999993</v>
      </c>
      <c r="R365">
        <f t="shared" si="34"/>
        <v>11.349000000000018</v>
      </c>
      <c r="S365" s="4">
        <f t="shared" si="35"/>
        <v>0.1300000000000002</v>
      </c>
      <c r="T365" t="str">
        <f>_xlfn.XLOOKUP(C365,customers!$A$1:$A$1001,customers!$I$1:$I$1001,,0)</f>
        <v>No</v>
      </c>
    </row>
    <row r="366" spans="1:20"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INDEX(products!$A$1:$I$49,MATCH(orders!$D366,products!$A$1:$A$49,0),MATCH(orders!I$1,products!$A$1:$D$1,0))</f>
        <v>Exc</v>
      </c>
      <c r="J366" t="str">
        <f t="shared" si="30"/>
        <v>Excelsa</v>
      </c>
      <c r="K366" t="str">
        <f>INDEX(products!$A$1:$I$49,MATCH(orders!$D366,products!$A$1:$A$49,0),MATCH(orders!K$1,products!$A$1:$D$1,0))</f>
        <v>D</v>
      </c>
      <c r="L366" t="str">
        <f t="shared" si="31"/>
        <v>Dark</v>
      </c>
      <c r="M366">
        <f>INDEX(products!$A$1:$I$49,MATCH(orders!$D366,products!$A$1:$A$49,0),MATCH(orders!M$1,products!$A$1:$D$1,0))</f>
        <v>1</v>
      </c>
      <c r="N366">
        <f>_xlfn.XLOOKUP(D366,products!$A$2:$A$49,products!$E$2:$E$49)</f>
        <v>12.15</v>
      </c>
      <c r="O366">
        <f>_xlfn.XLOOKUP(D366,products!$A$2:$A$49,products!$H$2:$H$49)</f>
        <v>10.813500000000001</v>
      </c>
      <c r="P366">
        <f t="shared" si="32"/>
        <v>72.900000000000006</v>
      </c>
      <c r="Q366">
        <f t="shared" si="33"/>
        <v>64.881</v>
      </c>
      <c r="R366">
        <f t="shared" si="34"/>
        <v>8.0190000000000055</v>
      </c>
      <c r="S366" s="4">
        <f t="shared" si="35"/>
        <v>0.11000000000000007</v>
      </c>
      <c r="T366" t="str">
        <f>_xlfn.XLOOKUP(C366,customers!$A$1:$A$1001,customers!$I$1:$I$1001,,0)</f>
        <v>Yes</v>
      </c>
    </row>
    <row r="367" spans="1:20"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INDEX(products!$A$1:$I$49,MATCH(orders!$D367,products!$A$1:$A$49,0),MATCH(orders!I$1,products!$A$1:$D$1,0))</f>
        <v>Lib</v>
      </c>
      <c r="J367" t="str">
        <f t="shared" si="30"/>
        <v>Liberica</v>
      </c>
      <c r="K367" t="str">
        <f>INDEX(products!$A$1:$I$49,MATCH(orders!$D367,products!$A$1:$A$49,0),MATCH(orders!K$1,products!$A$1:$D$1,0))</f>
        <v>D</v>
      </c>
      <c r="L367" t="str">
        <f t="shared" si="31"/>
        <v>Dark</v>
      </c>
      <c r="M367">
        <f>INDEX(products!$A$1:$I$49,MATCH(orders!$D367,products!$A$1:$A$49,0),MATCH(orders!M$1,products!$A$1:$D$1,0))</f>
        <v>0.5</v>
      </c>
      <c r="N367">
        <f>_xlfn.XLOOKUP(D367,products!$A$2:$A$49,products!$E$2:$E$49)</f>
        <v>7.77</v>
      </c>
      <c r="O367">
        <f>_xlfn.XLOOKUP(D367,products!$A$2:$A$49,products!$H$2:$H$49)</f>
        <v>6.7599</v>
      </c>
      <c r="P367">
        <f t="shared" si="32"/>
        <v>7.77</v>
      </c>
      <c r="Q367">
        <f t="shared" si="33"/>
        <v>6.7599</v>
      </c>
      <c r="R367">
        <f t="shared" si="34"/>
        <v>1.0100999999999996</v>
      </c>
      <c r="S367" s="4">
        <f t="shared" si="35"/>
        <v>0.12999999999999995</v>
      </c>
      <c r="T367" t="str">
        <f>_xlfn.XLOOKUP(C367,customers!$A$1:$A$1001,customers!$I$1:$I$1001,,0)</f>
        <v>No</v>
      </c>
    </row>
    <row r="368" spans="1:20"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v>
      </c>
      <c r="H368" s="2" t="str">
        <f>_xlfn.XLOOKUP(C368,customers!$A$1:$A$1001,customers!$G$1:$G$1001,,0)</f>
        <v>United States</v>
      </c>
      <c r="I368" t="str">
        <f>INDEX(products!$A$1:$I$49,MATCH(orders!$D368,products!$A$1:$A$49,0),MATCH(orders!I$1,products!$A$1:$D$1,0))</f>
        <v>Exc</v>
      </c>
      <c r="J368" t="str">
        <f t="shared" si="30"/>
        <v>Excelsa</v>
      </c>
      <c r="K368" t="str">
        <f>INDEX(products!$A$1:$I$49,MATCH(orders!$D368,products!$A$1:$A$49,0),MATCH(orders!K$1,products!$A$1:$D$1,0))</f>
        <v>D</v>
      </c>
      <c r="L368" t="str">
        <f t="shared" si="31"/>
        <v>Dark</v>
      </c>
      <c r="M368">
        <f>INDEX(products!$A$1:$I$49,MATCH(orders!$D368,products!$A$1:$A$49,0),MATCH(orders!M$1,products!$A$1:$D$1,0))</f>
        <v>0.5</v>
      </c>
      <c r="N368">
        <f>_xlfn.XLOOKUP(D368,products!$A$2:$A$49,products!$E$2:$E$49)</f>
        <v>7.29</v>
      </c>
      <c r="O368">
        <f>_xlfn.XLOOKUP(D368,products!$A$2:$A$49,products!$H$2:$H$49)</f>
        <v>6.4881000000000002</v>
      </c>
      <c r="P368">
        <f t="shared" si="32"/>
        <v>43.74</v>
      </c>
      <c r="Q368">
        <f t="shared" si="33"/>
        <v>38.928600000000003</v>
      </c>
      <c r="R368">
        <f t="shared" si="34"/>
        <v>4.811399999999999</v>
      </c>
      <c r="S368" s="4">
        <f t="shared" si="35"/>
        <v>0.10999999999999997</v>
      </c>
      <c r="T368" t="str">
        <f>_xlfn.XLOOKUP(C368,customers!$A$1:$A$1001,customers!$I$1:$I$1001,,0)</f>
        <v>No</v>
      </c>
    </row>
    <row r="369" spans="1:20"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v>
      </c>
      <c r="H369" s="2" t="str">
        <f>_xlfn.XLOOKUP(C369,customers!$A$1:$A$1001,customers!$G$1:$G$1001,,0)</f>
        <v>United States</v>
      </c>
      <c r="I369" t="str">
        <f>INDEX(products!$A$1:$I$49,MATCH(orders!$D369,products!$A$1:$A$49,0),MATCH(orders!I$1,products!$A$1:$D$1,0))</f>
        <v>Lib</v>
      </c>
      <c r="J369" t="str">
        <f t="shared" si="30"/>
        <v>Liberica</v>
      </c>
      <c r="K369" t="str">
        <f>INDEX(products!$A$1:$I$49,MATCH(orders!$D369,products!$A$1:$A$49,0),MATCH(orders!K$1,products!$A$1:$D$1,0))</f>
        <v>M</v>
      </c>
      <c r="L369" t="str">
        <f t="shared" si="31"/>
        <v>Medium</v>
      </c>
      <c r="M369">
        <f>INDEX(products!$A$1:$I$49,MATCH(orders!$D369,products!$A$1:$A$49,0),MATCH(orders!M$1,products!$A$1:$D$1,0))</f>
        <v>0.2</v>
      </c>
      <c r="N369">
        <f>_xlfn.XLOOKUP(D369,products!$A$2:$A$49,products!$E$2:$E$49)</f>
        <v>4.3650000000000002</v>
      </c>
      <c r="O369">
        <f>_xlfn.XLOOKUP(D369,products!$A$2:$A$49,products!$H$2:$H$49)</f>
        <v>3.7975500000000002</v>
      </c>
      <c r="P369">
        <f t="shared" si="32"/>
        <v>8.73</v>
      </c>
      <c r="Q369">
        <f t="shared" si="33"/>
        <v>7.5951000000000004</v>
      </c>
      <c r="R369">
        <f t="shared" si="34"/>
        <v>1.1349</v>
      </c>
      <c r="S369" s="4">
        <f t="shared" si="35"/>
        <v>0.13</v>
      </c>
      <c r="T369" t="str">
        <f>_xlfn.XLOOKUP(C369,customers!$A$1:$A$1001,customers!$I$1:$I$1001,,0)</f>
        <v>Yes</v>
      </c>
    </row>
    <row r="370" spans="1:20"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INDEX(products!$A$1:$I$49,MATCH(orders!$D370,products!$A$1:$A$49,0),MATCH(orders!I$1,products!$A$1:$D$1,0))</f>
        <v>Exc</v>
      </c>
      <c r="J370" t="str">
        <f t="shared" si="30"/>
        <v>Excelsa</v>
      </c>
      <c r="K370" t="str">
        <f>INDEX(products!$A$1:$I$49,MATCH(orders!$D370,products!$A$1:$A$49,0),MATCH(orders!K$1,products!$A$1:$D$1,0))</f>
        <v>M</v>
      </c>
      <c r="L370" t="str">
        <f t="shared" si="31"/>
        <v>Medium</v>
      </c>
      <c r="M370">
        <f>INDEX(products!$A$1:$I$49,MATCH(orders!$D370,products!$A$1:$A$49,0),MATCH(orders!M$1,products!$A$1:$D$1,0))</f>
        <v>2.5</v>
      </c>
      <c r="N370">
        <f>_xlfn.XLOOKUP(D370,products!$A$2:$A$49,products!$E$2:$E$49)</f>
        <v>31.624999999999996</v>
      </c>
      <c r="O370">
        <f>_xlfn.XLOOKUP(D370,products!$A$2:$A$49,products!$H$2:$H$49)</f>
        <v>28.146249999999995</v>
      </c>
      <c r="P370">
        <f t="shared" si="32"/>
        <v>63.249999999999993</v>
      </c>
      <c r="Q370">
        <f t="shared" si="33"/>
        <v>56.29249999999999</v>
      </c>
      <c r="R370">
        <f t="shared" si="34"/>
        <v>6.9575000000000031</v>
      </c>
      <c r="S370" s="4">
        <f t="shared" si="35"/>
        <v>0.11000000000000006</v>
      </c>
      <c r="T370" t="str">
        <f>_xlfn.XLOOKUP(C370,customers!$A$1:$A$1001,customers!$I$1:$I$1001,,0)</f>
        <v>No</v>
      </c>
    </row>
    <row r="371" spans="1:20"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v>
      </c>
      <c r="H371" s="2" t="str">
        <f>_xlfn.XLOOKUP(C371,customers!$A$1:$A$1001,customers!$G$1:$G$1001,,0)</f>
        <v>United States</v>
      </c>
      <c r="I371" t="str">
        <f>INDEX(products!$A$1:$I$49,MATCH(orders!$D371,products!$A$1:$A$49,0),MATCH(orders!I$1,products!$A$1:$D$1,0))</f>
        <v>Exc</v>
      </c>
      <c r="J371" t="str">
        <f t="shared" si="30"/>
        <v>Excelsa</v>
      </c>
      <c r="K371" t="str">
        <f>INDEX(products!$A$1:$I$49,MATCH(orders!$D371,products!$A$1:$A$49,0),MATCH(orders!K$1,products!$A$1:$D$1,0))</f>
        <v>L</v>
      </c>
      <c r="L371" t="str">
        <f t="shared" si="31"/>
        <v>Light</v>
      </c>
      <c r="M371">
        <f>INDEX(products!$A$1:$I$49,MATCH(orders!$D371,products!$A$1:$A$49,0),MATCH(orders!M$1,products!$A$1:$D$1,0))</f>
        <v>0.5</v>
      </c>
      <c r="N371">
        <f>_xlfn.XLOOKUP(D371,products!$A$2:$A$49,products!$E$2:$E$49)</f>
        <v>8.91</v>
      </c>
      <c r="O371">
        <f>_xlfn.XLOOKUP(D371,products!$A$2:$A$49,products!$H$2:$H$49)</f>
        <v>7.9298999999999999</v>
      </c>
      <c r="P371">
        <f t="shared" si="32"/>
        <v>8.91</v>
      </c>
      <c r="Q371">
        <f t="shared" si="33"/>
        <v>7.9298999999999999</v>
      </c>
      <c r="R371">
        <f t="shared" si="34"/>
        <v>0.98010000000000019</v>
      </c>
      <c r="S371" s="4">
        <f t="shared" si="35"/>
        <v>0.11000000000000001</v>
      </c>
      <c r="T371" t="str">
        <f>_xlfn.XLOOKUP(C371,customers!$A$1:$A$1001,customers!$I$1:$I$1001,,0)</f>
        <v>Yes</v>
      </c>
    </row>
    <row r="372" spans="1:20"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INDEX(products!$A$1:$I$49,MATCH(orders!$D372,products!$A$1:$A$49,0),MATCH(orders!I$1,products!$A$1:$D$1,0))</f>
        <v>Exc</v>
      </c>
      <c r="J372" t="str">
        <f t="shared" si="30"/>
        <v>Excelsa</v>
      </c>
      <c r="K372" t="str">
        <f>INDEX(products!$A$1:$I$49,MATCH(orders!$D372,products!$A$1:$A$49,0),MATCH(orders!K$1,products!$A$1:$D$1,0))</f>
        <v>D</v>
      </c>
      <c r="L372" t="str">
        <f t="shared" si="31"/>
        <v>Dark</v>
      </c>
      <c r="M372">
        <f>INDEX(products!$A$1:$I$49,MATCH(orders!$D372,products!$A$1:$A$49,0),MATCH(orders!M$1,products!$A$1:$D$1,0))</f>
        <v>1</v>
      </c>
      <c r="N372">
        <f>_xlfn.XLOOKUP(D372,products!$A$2:$A$49,products!$E$2:$E$49)</f>
        <v>12.15</v>
      </c>
      <c r="O372">
        <f>_xlfn.XLOOKUP(D372,products!$A$2:$A$49,products!$H$2:$H$49)</f>
        <v>10.813500000000001</v>
      </c>
      <c r="P372">
        <f t="shared" si="32"/>
        <v>24.3</v>
      </c>
      <c r="Q372">
        <f t="shared" si="33"/>
        <v>21.627000000000002</v>
      </c>
      <c r="R372">
        <f t="shared" si="34"/>
        <v>2.6729999999999983</v>
      </c>
      <c r="S372" s="4">
        <f t="shared" si="35"/>
        <v>0.10999999999999993</v>
      </c>
      <c r="T372" t="str">
        <f>_xlfn.XLOOKUP(C372,customers!$A$1:$A$1001,customers!$I$1:$I$1001,,0)</f>
        <v>Yes</v>
      </c>
    </row>
    <row r="373" spans="1:20"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INDEX(products!$A$1:$I$49,MATCH(orders!$D373,products!$A$1:$A$49,0),MATCH(orders!I$1,products!$A$1:$D$1,0))</f>
        <v>Ara</v>
      </c>
      <c r="J373" t="str">
        <f t="shared" si="30"/>
        <v>Arabica</v>
      </c>
      <c r="K373" t="str">
        <f>INDEX(products!$A$1:$I$49,MATCH(orders!$D373,products!$A$1:$A$49,0),MATCH(orders!K$1,products!$A$1:$D$1,0))</f>
        <v>L</v>
      </c>
      <c r="L373" t="str">
        <f t="shared" si="31"/>
        <v>Light</v>
      </c>
      <c r="M373">
        <f>INDEX(products!$A$1:$I$49,MATCH(orders!$D373,products!$A$1:$A$49,0),MATCH(orders!M$1,products!$A$1:$D$1,0))</f>
        <v>0.5</v>
      </c>
      <c r="N373">
        <f>_xlfn.XLOOKUP(D373,products!$A$2:$A$49,products!$E$2:$E$49)</f>
        <v>7.77</v>
      </c>
      <c r="O373">
        <f>_xlfn.XLOOKUP(D373,products!$A$2:$A$49,products!$H$2:$H$49)</f>
        <v>7.0706999999999995</v>
      </c>
      <c r="P373">
        <f t="shared" si="32"/>
        <v>46.62</v>
      </c>
      <c r="Q373">
        <f t="shared" si="33"/>
        <v>42.424199999999999</v>
      </c>
      <c r="R373">
        <f t="shared" si="34"/>
        <v>4.1957999999999984</v>
      </c>
      <c r="S373" s="4">
        <f t="shared" si="35"/>
        <v>8.9999999999999969E-2</v>
      </c>
      <c r="T373" t="str">
        <f>_xlfn.XLOOKUP(C373,customers!$A$1:$A$1001,customers!$I$1:$I$1001,,0)</f>
        <v>Yes</v>
      </c>
    </row>
    <row r="374" spans="1:20"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INDEX(products!$A$1:$I$49,MATCH(orders!$D374,products!$A$1:$A$49,0),MATCH(orders!I$1,products!$A$1:$D$1,0))</f>
        <v>Rob</v>
      </c>
      <c r="J374" t="str">
        <f t="shared" si="30"/>
        <v>Robusta</v>
      </c>
      <c r="K374" t="str">
        <f>INDEX(products!$A$1:$I$49,MATCH(orders!$D374,products!$A$1:$A$49,0),MATCH(orders!K$1,products!$A$1:$D$1,0))</f>
        <v>L</v>
      </c>
      <c r="L374" t="str">
        <f t="shared" si="31"/>
        <v>Light</v>
      </c>
      <c r="M374">
        <f>INDEX(products!$A$1:$I$49,MATCH(orders!$D374,products!$A$1:$A$49,0),MATCH(orders!M$1,products!$A$1:$D$1,0))</f>
        <v>0.5</v>
      </c>
      <c r="N374">
        <f>_xlfn.XLOOKUP(D374,products!$A$2:$A$49,products!$E$2:$E$49)</f>
        <v>7.169999999999999</v>
      </c>
      <c r="O374">
        <f>_xlfn.XLOOKUP(D374,products!$A$2:$A$49,products!$H$2:$H$49)</f>
        <v>6.7397999999999989</v>
      </c>
      <c r="P374">
        <f t="shared" si="32"/>
        <v>43.019999999999996</v>
      </c>
      <c r="Q374">
        <f t="shared" si="33"/>
        <v>40.438799999999993</v>
      </c>
      <c r="R374">
        <f t="shared" si="34"/>
        <v>2.5812000000000026</v>
      </c>
      <c r="S374" s="4">
        <f t="shared" si="35"/>
        <v>6.0000000000000067E-2</v>
      </c>
      <c r="T374" t="str">
        <f>_xlfn.XLOOKUP(C374,customers!$A$1:$A$1001,customers!$I$1:$I$1001,,0)</f>
        <v>No</v>
      </c>
    </row>
    <row r="375" spans="1:20"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v>
      </c>
      <c r="H375" s="2" t="str">
        <f>_xlfn.XLOOKUP(C375,customers!$A$1:$A$1001,customers!$G$1:$G$1001,,0)</f>
        <v>Ireland</v>
      </c>
      <c r="I375" t="str">
        <f>INDEX(products!$A$1:$I$49,MATCH(orders!$D375,products!$A$1:$A$49,0),MATCH(orders!I$1,products!$A$1:$D$1,0))</f>
        <v>Ara</v>
      </c>
      <c r="J375" t="str">
        <f t="shared" si="30"/>
        <v>Arabica</v>
      </c>
      <c r="K375" t="str">
        <f>INDEX(products!$A$1:$I$49,MATCH(orders!$D375,products!$A$1:$A$49,0),MATCH(orders!K$1,products!$A$1:$D$1,0))</f>
        <v>D</v>
      </c>
      <c r="L375" t="str">
        <f t="shared" si="31"/>
        <v>Dark</v>
      </c>
      <c r="M375">
        <f>INDEX(products!$A$1:$I$49,MATCH(orders!$D375,products!$A$1:$A$49,0),MATCH(orders!M$1,products!$A$1:$D$1,0))</f>
        <v>0.5</v>
      </c>
      <c r="N375">
        <f>_xlfn.XLOOKUP(D375,products!$A$2:$A$49,products!$E$2:$E$49)</f>
        <v>5.97</v>
      </c>
      <c r="O375">
        <f>_xlfn.XLOOKUP(D375,products!$A$2:$A$49,products!$H$2:$H$49)</f>
        <v>5.4326999999999996</v>
      </c>
      <c r="P375">
        <f t="shared" si="32"/>
        <v>17.91</v>
      </c>
      <c r="Q375">
        <f t="shared" si="33"/>
        <v>16.298099999999998</v>
      </c>
      <c r="R375">
        <f t="shared" si="34"/>
        <v>1.6119000000000021</v>
      </c>
      <c r="S375" s="4">
        <f t="shared" si="35"/>
        <v>9.0000000000000122E-2</v>
      </c>
      <c r="T375" t="str">
        <f>_xlfn.XLOOKUP(C375,customers!$A$1:$A$1001,customers!$I$1:$I$1001,,0)</f>
        <v>Yes</v>
      </c>
    </row>
    <row r="376" spans="1:20"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INDEX(products!$A$1:$I$49,MATCH(orders!$D376,products!$A$1:$A$49,0),MATCH(orders!I$1,products!$A$1:$D$1,0))</f>
        <v>Lib</v>
      </c>
      <c r="J376" t="str">
        <f t="shared" si="30"/>
        <v>Liberica</v>
      </c>
      <c r="K376" t="str">
        <f>INDEX(products!$A$1:$I$49,MATCH(orders!$D376,products!$A$1:$A$49,0),MATCH(orders!K$1,products!$A$1:$D$1,0))</f>
        <v>L</v>
      </c>
      <c r="L376" t="str">
        <f t="shared" si="31"/>
        <v>Light</v>
      </c>
      <c r="M376">
        <f>INDEX(products!$A$1:$I$49,MATCH(orders!$D376,products!$A$1:$A$49,0),MATCH(orders!M$1,products!$A$1:$D$1,0))</f>
        <v>0.5</v>
      </c>
      <c r="N376">
        <f>_xlfn.XLOOKUP(D376,products!$A$2:$A$49,products!$E$2:$E$49)</f>
        <v>9.51</v>
      </c>
      <c r="O376">
        <f>_xlfn.XLOOKUP(D376,products!$A$2:$A$49,products!$H$2:$H$49)</f>
        <v>8.2736999999999998</v>
      </c>
      <c r="P376">
        <f t="shared" si="32"/>
        <v>38.04</v>
      </c>
      <c r="Q376">
        <f t="shared" si="33"/>
        <v>33.094799999999999</v>
      </c>
      <c r="R376">
        <f t="shared" si="34"/>
        <v>4.9451999999999998</v>
      </c>
      <c r="S376" s="4">
        <f t="shared" si="35"/>
        <v>0.13</v>
      </c>
      <c r="T376" t="str">
        <f>_xlfn.XLOOKUP(C376,customers!$A$1:$A$1001,customers!$I$1:$I$1001,,0)</f>
        <v>Yes</v>
      </c>
    </row>
    <row r="377" spans="1:20"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INDEX(products!$A$1:$I$49,MATCH(orders!$D377,products!$A$1:$A$49,0),MATCH(orders!I$1,products!$A$1:$D$1,0))</f>
        <v>Ara</v>
      </c>
      <c r="J377" t="str">
        <f t="shared" si="30"/>
        <v>Arabica</v>
      </c>
      <c r="K377" t="str">
        <f>INDEX(products!$A$1:$I$49,MATCH(orders!$D377,products!$A$1:$A$49,0),MATCH(orders!K$1,products!$A$1:$D$1,0))</f>
        <v>M</v>
      </c>
      <c r="L377" t="str">
        <f t="shared" si="31"/>
        <v>Medium</v>
      </c>
      <c r="M377">
        <f>INDEX(products!$A$1:$I$49,MATCH(orders!$D377,products!$A$1:$A$49,0),MATCH(orders!M$1,products!$A$1:$D$1,0))</f>
        <v>0.2</v>
      </c>
      <c r="N377">
        <f>_xlfn.XLOOKUP(D377,products!$A$2:$A$49,products!$E$2:$E$49)</f>
        <v>3.375</v>
      </c>
      <c r="O377">
        <f>_xlfn.XLOOKUP(D377,products!$A$2:$A$49,products!$H$2:$H$49)</f>
        <v>3.07125</v>
      </c>
      <c r="P377">
        <f t="shared" si="32"/>
        <v>6.75</v>
      </c>
      <c r="Q377">
        <f t="shared" si="33"/>
        <v>6.1425000000000001</v>
      </c>
      <c r="R377">
        <f t="shared" si="34"/>
        <v>0.60749999999999993</v>
      </c>
      <c r="S377" s="4">
        <f t="shared" si="35"/>
        <v>8.9999999999999983E-2</v>
      </c>
      <c r="T377" t="str">
        <f>_xlfn.XLOOKUP(C377,customers!$A$1:$A$1001,customers!$I$1:$I$1001,,0)</f>
        <v>Yes</v>
      </c>
    </row>
    <row r="378" spans="1:20"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INDEX(products!$A$1:$I$49,MATCH(orders!$D378,products!$A$1:$A$49,0),MATCH(orders!I$1,products!$A$1:$D$1,0))</f>
        <v>Rob</v>
      </c>
      <c r="J378" t="str">
        <f t="shared" si="30"/>
        <v>Robusta</v>
      </c>
      <c r="K378" t="str">
        <f>INDEX(products!$A$1:$I$49,MATCH(orders!$D378,products!$A$1:$A$49,0),MATCH(orders!K$1,products!$A$1:$D$1,0))</f>
        <v>M</v>
      </c>
      <c r="L378" t="str">
        <f t="shared" si="31"/>
        <v>Medium</v>
      </c>
      <c r="M378">
        <f>INDEX(products!$A$1:$I$49,MATCH(orders!$D378,products!$A$1:$A$49,0),MATCH(orders!M$1,products!$A$1:$D$1,0))</f>
        <v>0.5</v>
      </c>
      <c r="N378">
        <f>_xlfn.XLOOKUP(D378,products!$A$2:$A$49,products!$E$2:$E$49)</f>
        <v>5.97</v>
      </c>
      <c r="O378">
        <f>_xlfn.XLOOKUP(D378,products!$A$2:$A$49,products!$H$2:$H$49)</f>
        <v>5.6117999999999997</v>
      </c>
      <c r="P378">
        <f t="shared" si="32"/>
        <v>5.97</v>
      </c>
      <c r="Q378">
        <f t="shared" si="33"/>
        <v>5.6117999999999997</v>
      </c>
      <c r="R378">
        <f t="shared" si="34"/>
        <v>0.35820000000000007</v>
      </c>
      <c r="S378" s="4">
        <f t="shared" si="35"/>
        <v>6.0000000000000012E-2</v>
      </c>
      <c r="T378" t="str">
        <f>_xlfn.XLOOKUP(C378,customers!$A$1:$A$1001,customers!$I$1:$I$1001,,0)</f>
        <v>Yes</v>
      </c>
    </row>
    <row r="379" spans="1:20"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INDEX(products!$A$1:$I$49,MATCH(orders!$D379,products!$A$1:$A$49,0),MATCH(orders!I$1,products!$A$1:$D$1,0))</f>
        <v>Rob</v>
      </c>
      <c r="J379" t="str">
        <f t="shared" si="30"/>
        <v>Robusta</v>
      </c>
      <c r="K379" t="str">
        <f>INDEX(products!$A$1:$I$49,MATCH(orders!$D379,products!$A$1:$A$49,0),MATCH(orders!K$1,products!$A$1:$D$1,0))</f>
        <v>D</v>
      </c>
      <c r="L379" t="str">
        <f t="shared" si="31"/>
        <v>Dark</v>
      </c>
      <c r="M379">
        <f>INDEX(products!$A$1:$I$49,MATCH(orders!$D379,products!$A$1:$A$49,0),MATCH(orders!M$1,products!$A$1:$D$1,0))</f>
        <v>0.2</v>
      </c>
      <c r="N379">
        <f>_xlfn.XLOOKUP(D379,products!$A$2:$A$49,products!$E$2:$E$49)</f>
        <v>2.6849999999999996</v>
      </c>
      <c r="O379">
        <f>_xlfn.XLOOKUP(D379,products!$A$2:$A$49,products!$H$2:$H$49)</f>
        <v>2.5238999999999998</v>
      </c>
      <c r="P379">
        <f t="shared" si="32"/>
        <v>8.0549999999999997</v>
      </c>
      <c r="Q379">
        <f t="shared" si="33"/>
        <v>7.5716999999999999</v>
      </c>
      <c r="R379">
        <f t="shared" si="34"/>
        <v>0.48329999999999984</v>
      </c>
      <c r="S379" s="4">
        <f t="shared" si="35"/>
        <v>5.9999999999999984E-2</v>
      </c>
      <c r="T379" t="str">
        <f>_xlfn.XLOOKUP(C379,customers!$A$1:$A$1001,customers!$I$1:$I$1001,,0)</f>
        <v>No</v>
      </c>
    </row>
    <row r="380" spans="1:20"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INDEX(products!$A$1:$I$49,MATCH(orders!$D380,products!$A$1:$A$49,0),MATCH(orders!I$1,products!$A$1:$D$1,0))</f>
        <v>Ara</v>
      </c>
      <c r="J380" t="str">
        <f t="shared" si="30"/>
        <v>Arabica</v>
      </c>
      <c r="K380" t="str">
        <f>INDEX(products!$A$1:$I$49,MATCH(orders!$D380,products!$A$1:$A$49,0),MATCH(orders!K$1,products!$A$1:$D$1,0))</f>
        <v>L</v>
      </c>
      <c r="L380" t="str">
        <f t="shared" si="31"/>
        <v>Light</v>
      </c>
      <c r="M380">
        <f>INDEX(products!$A$1:$I$49,MATCH(orders!$D380,products!$A$1:$A$49,0),MATCH(orders!M$1,products!$A$1:$D$1,0))</f>
        <v>0.5</v>
      </c>
      <c r="N380">
        <f>_xlfn.XLOOKUP(D380,products!$A$2:$A$49,products!$E$2:$E$49)</f>
        <v>7.77</v>
      </c>
      <c r="O380">
        <f>_xlfn.XLOOKUP(D380,products!$A$2:$A$49,products!$H$2:$H$49)</f>
        <v>7.0706999999999995</v>
      </c>
      <c r="P380">
        <f t="shared" si="32"/>
        <v>23.31</v>
      </c>
      <c r="Q380">
        <f t="shared" si="33"/>
        <v>21.2121</v>
      </c>
      <c r="R380">
        <f t="shared" si="34"/>
        <v>2.0978999999999992</v>
      </c>
      <c r="S380" s="4">
        <f t="shared" si="35"/>
        <v>8.9999999999999969E-2</v>
      </c>
      <c r="T380" t="str">
        <f>_xlfn.XLOOKUP(C380,customers!$A$1:$A$1001,customers!$I$1:$I$1001,,0)</f>
        <v>Yes</v>
      </c>
    </row>
    <row r="381" spans="1:20"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INDEX(products!$A$1:$I$49,MATCH(orders!$D381,products!$A$1:$A$49,0),MATCH(orders!I$1,products!$A$1:$D$1,0))</f>
        <v>Rob</v>
      </c>
      <c r="J381" t="str">
        <f t="shared" si="30"/>
        <v>Robusta</v>
      </c>
      <c r="K381" t="str">
        <f>INDEX(products!$A$1:$I$49,MATCH(orders!$D381,products!$A$1:$A$49,0),MATCH(orders!K$1,products!$A$1:$D$1,0))</f>
        <v>L</v>
      </c>
      <c r="L381" t="str">
        <f t="shared" si="31"/>
        <v>Light</v>
      </c>
      <c r="M381">
        <f>INDEX(products!$A$1:$I$49,MATCH(orders!$D381,products!$A$1:$A$49,0),MATCH(orders!M$1,products!$A$1:$D$1,0))</f>
        <v>0.5</v>
      </c>
      <c r="N381">
        <f>_xlfn.XLOOKUP(D381,products!$A$2:$A$49,products!$E$2:$E$49)</f>
        <v>7.169999999999999</v>
      </c>
      <c r="O381">
        <f>_xlfn.XLOOKUP(D381,products!$A$2:$A$49,products!$H$2:$H$49)</f>
        <v>6.7397999999999989</v>
      </c>
      <c r="P381">
        <f t="shared" si="32"/>
        <v>43.019999999999996</v>
      </c>
      <c r="Q381">
        <f t="shared" si="33"/>
        <v>40.438799999999993</v>
      </c>
      <c r="R381">
        <f t="shared" si="34"/>
        <v>2.5812000000000026</v>
      </c>
      <c r="S381" s="4">
        <f t="shared" si="35"/>
        <v>6.0000000000000067E-2</v>
      </c>
      <c r="T381" t="str">
        <f>_xlfn.XLOOKUP(C381,customers!$A$1:$A$1001,customers!$I$1:$I$1001,,0)</f>
        <v>Yes</v>
      </c>
    </row>
    <row r="382" spans="1:20"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v>
      </c>
      <c r="H382" s="2" t="str">
        <f>_xlfn.XLOOKUP(C382,customers!$A$1:$A$1001,customers!$G$1:$G$1001,,0)</f>
        <v>United States</v>
      </c>
      <c r="I382" t="str">
        <f>INDEX(products!$A$1:$I$49,MATCH(orders!$D382,products!$A$1:$A$49,0),MATCH(orders!I$1,products!$A$1:$D$1,0))</f>
        <v>Lib</v>
      </c>
      <c r="J382" t="str">
        <f t="shared" si="30"/>
        <v>Liberica</v>
      </c>
      <c r="K382" t="str">
        <f>INDEX(products!$A$1:$I$49,MATCH(orders!$D382,products!$A$1:$A$49,0),MATCH(orders!K$1,products!$A$1:$D$1,0))</f>
        <v>D</v>
      </c>
      <c r="L382" t="str">
        <f t="shared" si="31"/>
        <v>Dark</v>
      </c>
      <c r="M382">
        <f>INDEX(products!$A$1:$I$49,MATCH(orders!$D382,products!$A$1:$A$49,0),MATCH(orders!M$1,products!$A$1:$D$1,0))</f>
        <v>0.5</v>
      </c>
      <c r="N382">
        <f>_xlfn.XLOOKUP(D382,products!$A$2:$A$49,products!$E$2:$E$49)</f>
        <v>7.77</v>
      </c>
      <c r="O382">
        <f>_xlfn.XLOOKUP(D382,products!$A$2:$A$49,products!$H$2:$H$49)</f>
        <v>6.7599</v>
      </c>
      <c r="P382">
        <f t="shared" si="32"/>
        <v>23.31</v>
      </c>
      <c r="Q382">
        <f t="shared" si="33"/>
        <v>20.279699999999998</v>
      </c>
      <c r="R382">
        <f t="shared" si="34"/>
        <v>3.0303000000000004</v>
      </c>
      <c r="S382" s="4">
        <f t="shared" si="35"/>
        <v>0.13000000000000003</v>
      </c>
      <c r="T382" t="str">
        <f>_xlfn.XLOOKUP(C382,customers!$A$1:$A$1001,customers!$I$1:$I$1001,,0)</f>
        <v>No</v>
      </c>
    </row>
    <row r="383" spans="1:20"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INDEX(products!$A$1:$I$49,MATCH(orders!$D383,products!$A$1:$A$49,0),MATCH(orders!I$1,products!$A$1:$D$1,0))</f>
        <v>Ara</v>
      </c>
      <c r="J383" t="str">
        <f t="shared" si="30"/>
        <v>Arabica</v>
      </c>
      <c r="K383" t="str">
        <f>INDEX(products!$A$1:$I$49,MATCH(orders!$D383,products!$A$1:$A$49,0),MATCH(orders!K$1,products!$A$1:$D$1,0))</f>
        <v>D</v>
      </c>
      <c r="L383" t="str">
        <f t="shared" si="31"/>
        <v>Dark</v>
      </c>
      <c r="M383">
        <f>INDEX(products!$A$1:$I$49,MATCH(orders!$D383,products!$A$1:$A$49,0),MATCH(orders!M$1,products!$A$1:$D$1,0))</f>
        <v>0.2</v>
      </c>
      <c r="N383">
        <f>_xlfn.XLOOKUP(D383,products!$A$2:$A$49,products!$E$2:$E$49)</f>
        <v>2.9849999999999999</v>
      </c>
      <c r="O383">
        <f>_xlfn.XLOOKUP(D383,products!$A$2:$A$49,products!$H$2:$H$49)</f>
        <v>2.7163499999999998</v>
      </c>
      <c r="P383">
        <f t="shared" si="32"/>
        <v>14.924999999999999</v>
      </c>
      <c r="Q383">
        <f t="shared" si="33"/>
        <v>13.58175</v>
      </c>
      <c r="R383">
        <f t="shared" si="34"/>
        <v>1.3432499999999994</v>
      </c>
      <c r="S383" s="4">
        <f t="shared" si="35"/>
        <v>8.9999999999999969E-2</v>
      </c>
      <c r="T383" t="str">
        <f>_xlfn.XLOOKUP(C383,customers!$A$1:$A$1001,customers!$I$1:$I$1001,,0)</f>
        <v>Yes</v>
      </c>
    </row>
    <row r="384" spans="1:20"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INDEX(products!$A$1:$I$49,MATCH(orders!$D384,products!$A$1:$A$49,0),MATCH(orders!I$1,products!$A$1:$D$1,0))</f>
        <v>Exc</v>
      </c>
      <c r="J384" t="str">
        <f t="shared" si="30"/>
        <v>Excelsa</v>
      </c>
      <c r="K384" t="str">
        <f>INDEX(products!$A$1:$I$49,MATCH(orders!$D384,products!$A$1:$A$49,0),MATCH(orders!K$1,products!$A$1:$D$1,0))</f>
        <v>D</v>
      </c>
      <c r="L384" t="str">
        <f t="shared" si="31"/>
        <v>Dark</v>
      </c>
      <c r="M384">
        <f>INDEX(products!$A$1:$I$49,MATCH(orders!$D384,products!$A$1:$A$49,0),MATCH(orders!M$1,products!$A$1:$D$1,0))</f>
        <v>0.5</v>
      </c>
      <c r="N384">
        <f>_xlfn.XLOOKUP(D384,products!$A$2:$A$49,products!$E$2:$E$49)</f>
        <v>7.29</v>
      </c>
      <c r="O384">
        <f>_xlfn.XLOOKUP(D384,products!$A$2:$A$49,products!$H$2:$H$49)</f>
        <v>6.4881000000000002</v>
      </c>
      <c r="P384">
        <f t="shared" si="32"/>
        <v>21.87</v>
      </c>
      <c r="Q384">
        <f t="shared" si="33"/>
        <v>19.464300000000001</v>
      </c>
      <c r="R384">
        <f t="shared" si="34"/>
        <v>2.4056999999999995</v>
      </c>
      <c r="S384" s="4">
        <f t="shared" si="35"/>
        <v>0.10999999999999997</v>
      </c>
      <c r="T384" t="str">
        <f>_xlfn.XLOOKUP(C384,customers!$A$1:$A$1001,customers!$I$1:$I$1001,,0)</f>
        <v>No</v>
      </c>
    </row>
    <row r="385" spans="1:20"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v>
      </c>
      <c r="H385" s="2" t="str">
        <f>_xlfn.XLOOKUP(C385,customers!$A$1:$A$1001,customers!$G$1:$G$1001,,0)</f>
        <v>United States</v>
      </c>
      <c r="I385" t="str">
        <f>INDEX(products!$A$1:$I$49,MATCH(orders!$D385,products!$A$1:$A$49,0),MATCH(orders!I$1,products!$A$1:$D$1,0))</f>
        <v>Exc</v>
      </c>
      <c r="J385" t="str">
        <f t="shared" si="30"/>
        <v>Excelsa</v>
      </c>
      <c r="K385" t="str">
        <f>INDEX(products!$A$1:$I$49,MATCH(orders!$D385,products!$A$1:$A$49,0),MATCH(orders!K$1,products!$A$1:$D$1,0))</f>
        <v>L</v>
      </c>
      <c r="L385" t="str">
        <f t="shared" si="31"/>
        <v>Light</v>
      </c>
      <c r="M385">
        <f>INDEX(products!$A$1:$I$49,MATCH(orders!$D385,products!$A$1:$A$49,0),MATCH(orders!M$1,products!$A$1:$D$1,0))</f>
        <v>0.5</v>
      </c>
      <c r="N385">
        <f>_xlfn.XLOOKUP(D385,products!$A$2:$A$49,products!$E$2:$E$49)</f>
        <v>8.91</v>
      </c>
      <c r="O385">
        <f>_xlfn.XLOOKUP(D385,products!$A$2:$A$49,products!$H$2:$H$49)</f>
        <v>7.9298999999999999</v>
      </c>
      <c r="P385">
        <f t="shared" si="32"/>
        <v>53.46</v>
      </c>
      <c r="Q385">
        <f t="shared" si="33"/>
        <v>47.5794</v>
      </c>
      <c r="R385">
        <f t="shared" si="34"/>
        <v>5.8806000000000012</v>
      </c>
      <c r="S385" s="4">
        <f t="shared" si="35"/>
        <v>0.11000000000000001</v>
      </c>
      <c r="T385" t="str">
        <f>_xlfn.XLOOKUP(C385,customers!$A$1:$A$1001,customers!$I$1:$I$1001,,0)</f>
        <v>Yes</v>
      </c>
    </row>
    <row r="386" spans="1:20"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v>
      </c>
      <c r="H386" s="2" t="str">
        <f>_xlfn.XLOOKUP(C386,customers!$A$1:$A$1001,customers!$G$1:$G$1001,,0)</f>
        <v>United States</v>
      </c>
      <c r="I386" t="str">
        <f>INDEX(products!$A$1:$I$49,MATCH(orders!$D386,products!$A$1:$A$49,0),MATCH(orders!I$1,products!$A$1:$D$1,0))</f>
        <v>Ara</v>
      </c>
      <c r="J386" t="str">
        <f t="shared" si="30"/>
        <v>Arabica</v>
      </c>
      <c r="K386" t="str">
        <f>INDEX(products!$A$1:$I$49,MATCH(orders!$D386,products!$A$1:$A$49,0),MATCH(orders!K$1,products!$A$1:$D$1,0))</f>
        <v>L</v>
      </c>
      <c r="L386" t="str">
        <f t="shared" si="31"/>
        <v>Light</v>
      </c>
      <c r="M386">
        <f>INDEX(products!$A$1:$I$49,MATCH(orders!$D386,products!$A$1:$A$49,0),MATCH(orders!M$1,products!$A$1:$D$1,0))</f>
        <v>2.5</v>
      </c>
      <c r="N386">
        <f>_xlfn.XLOOKUP(D386,products!$A$2:$A$49,products!$E$2:$E$49)</f>
        <v>29.784999999999997</v>
      </c>
      <c r="O386">
        <f>_xlfn.XLOOKUP(D386,products!$A$2:$A$49,products!$H$2:$H$49)</f>
        <v>27.104349999999997</v>
      </c>
      <c r="P386">
        <f t="shared" si="32"/>
        <v>119.13999999999999</v>
      </c>
      <c r="Q386">
        <f t="shared" si="33"/>
        <v>108.41739999999999</v>
      </c>
      <c r="R386">
        <f t="shared" si="34"/>
        <v>10.7226</v>
      </c>
      <c r="S386" s="4">
        <f t="shared" si="35"/>
        <v>9.0000000000000011E-2</v>
      </c>
      <c r="T386" t="str">
        <f>_xlfn.XLOOKUP(C386,customers!$A$1:$A$1001,customers!$I$1:$I$1001,,0)</f>
        <v>No</v>
      </c>
    </row>
    <row r="387" spans="1:20"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INDEX(products!$A$1:$I$49,MATCH(orders!$D387,products!$A$1:$A$49,0),MATCH(orders!I$1,products!$A$1:$D$1,0))</f>
        <v>Lib</v>
      </c>
      <c r="J387" t="str">
        <f t="shared" ref="J387:J450" si="36">IF(I387="Rob","Robusta",IF(I387="Exc","Excelsa",IF(I387="Ara","Arabica",IF(I387="Lib","Liberica",""))))</f>
        <v>Liberica</v>
      </c>
      <c r="K387" t="str">
        <f>INDEX(products!$A$1:$I$49,MATCH(orders!$D387,products!$A$1:$A$49,0),MATCH(orders!K$1,products!$A$1:$D$1,0))</f>
        <v>M</v>
      </c>
      <c r="L387" t="str">
        <f t="shared" ref="L387:L450" si="37">IF(K387="M","Medium",IF(K387="L","Light",IF(K387="D","Dark","")))</f>
        <v>Medium</v>
      </c>
      <c r="M387">
        <f>INDEX(products!$A$1:$I$49,MATCH(orders!$D387,products!$A$1:$A$49,0),MATCH(orders!M$1,products!$A$1:$D$1,0))</f>
        <v>0.5</v>
      </c>
      <c r="N387">
        <f>_xlfn.XLOOKUP(D387,products!$A$2:$A$49,products!$E$2:$E$49)</f>
        <v>8.73</v>
      </c>
      <c r="O387">
        <f>_xlfn.XLOOKUP(D387,products!$A$2:$A$49,products!$H$2:$H$49)</f>
        <v>7.5951000000000004</v>
      </c>
      <c r="P387">
        <f t="shared" ref="P387:P450" si="38">N387*E387</f>
        <v>43.650000000000006</v>
      </c>
      <c r="Q387">
        <f t="shared" ref="Q387:Q450" si="39">O387*E387</f>
        <v>37.975500000000004</v>
      </c>
      <c r="R387">
        <f t="shared" ref="R387:R450" si="40">P387-Q387</f>
        <v>5.6745000000000019</v>
      </c>
      <c r="S387" s="4">
        <f t="shared" ref="S387:S450" si="41">R387/P387</f>
        <v>0.13000000000000003</v>
      </c>
      <c r="T387" t="str">
        <f>_xlfn.XLOOKUP(C387,customers!$A$1:$A$1001,customers!$I$1:$I$1001,,0)</f>
        <v>Yes</v>
      </c>
    </row>
    <row r="388" spans="1:20"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v>
      </c>
      <c r="H388" s="2" t="str">
        <f>_xlfn.XLOOKUP(C388,customers!$A$1:$A$1001,customers!$G$1:$G$1001,,0)</f>
        <v>United States</v>
      </c>
      <c r="I388" t="str">
        <f>INDEX(products!$A$1:$I$49,MATCH(orders!$D388,products!$A$1:$A$49,0),MATCH(orders!I$1,products!$A$1:$D$1,0))</f>
        <v>Ara</v>
      </c>
      <c r="J388" t="str">
        <f t="shared" si="36"/>
        <v>Arabica</v>
      </c>
      <c r="K388" t="str">
        <f>INDEX(products!$A$1:$I$49,MATCH(orders!$D388,products!$A$1:$A$49,0),MATCH(orders!K$1,products!$A$1:$D$1,0))</f>
        <v>D</v>
      </c>
      <c r="L388" t="str">
        <f t="shared" si="37"/>
        <v>Dark</v>
      </c>
      <c r="M388">
        <f>INDEX(products!$A$1:$I$49,MATCH(orders!$D388,products!$A$1:$A$49,0),MATCH(orders!M$1,products!$A$1:$D$1,0))</f>
        <v>0.2</v>
      </c>
      <c r="N388">
        <f>_xlfn.XLOOKUP(D388,products!$A$2:$A$49,products!$E$2:$E$49)</f>
        <v>2.9849999999999999</v>
      </c>
      <c r="O388">
        <f>_xlfn.XLOOKUP(D388,products!$A$2:$A$49,products!$H$2:$H$49)</f>
        <v>2.7163499999999998</v>
      </c>
      <c r="P388">
        <f t="shared" si="38"/>
        <v>17.91</v>
      </c>
      <c r="Q388">
        <f t="shared" si="39"/>
        <v>16.298099999999998</v>
      </c>
      <c r="R388">
        <f t="shared" si="40"/>
        <v>1.6119000000000021</v>
      </c>
      <c r="S388" s="4">
        <f t="shared" si="41"/>
        <v>9.0000000000000122E-2</v>
      </c>
      <c r="T388" t="str">
        <f>_xlfn.XLOOKUP(C388,customers!$A$1:$A$1001,customers!$I$1:$I$1001,,0)</f>
        <v>Yes</v>
      </c>
    </row>
    <row r="389" spans="1:20"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INDEX(products!$A$1:$I$49,MATCH(orders!$D389,products!$A$1:$A$49,0),MATCH(orders!I$1,products!$A$1:$D$1,0))</f>
        <v>Exc</v>
      </c>
      <c r="J389" t="str">
        <f t="shared" si="36"/>
        <v>Excelsa</v>
      </c>
      <c r="K389" t="str">
        <f>INDEX(products!$A$1:$I$49,MATCH(orders!$D389,products!$A$1:$A$49,0),MATCH(orders!K$1,products!$A$1:$D$1,0))</f>
        <v>L</v>
      </c>
      <c r="L389" t="str">
        <f t="shared" si="37"/>
        <v>Light</v>
      </c>
      <c r="M389">
        <f>INDEX(products!$A$1:$I$49,MATCH(orders!$D389,products!$A$1:$A$49,0),MATCH(orders!M$1,products!$A$1:$D$1,0))</f>
        <v>1</v>
      </c>
      <c r="N389">
        <f>_xlfn.XLOOKUP(D389,products!$A$2:$A$49,products!$E$2:$E$49)</f>
        <v>14.85</v>
      </c>
      <c r="O389">
        <f>_xlfn.XLOOKUP(D389,products!$A$2:$A$49,products!$H$2:$H$49)</f>
        <v>13.2165</v>
      </c>
      <c r="P389">
        <f t="shared" si="38"/>
        <v>74.25</v>
      </c>
      <c r="Q389">
        <f t="shared" si="39"/>
        <v>66.082499999999996</v>
      </c>
      <c r="R389">
        <f t="shared" si="40"/>
        <v>8.167500000000004</v>
      </c>
      <c r="S389" s="4">
        <f t="shared" si="41"/>
        <v>0.11000000000000006</v>
      </c>
      <c r="T389" t="str">
        <f>_xlfn.XLOOKUP(C389,customers!$A$1:$A$1001,customers!$I$1:$I$1001,,0)</f>
        <v>Yes</v>
      </c>
    </row>
    <row r="390" spans="1:20"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INDEX(products!$A$1:$I$49,MATCH(orders!$D390,products!$A$1:$A$49,0),MATCH(orders!I$1,products!$A$1:$D$1,0))</f>
        <v>Lib</v>
      </c>
      <c r="J390" t="str">
        <f t="shared" si="36"/>
        <v>Liberica</v>
      </c>
      <c r="K390" t="str">
        <f>INDEX(products!$A$1:$I$49,MATCH(orders!$D390,products!$A$1:$A$49,0),MATCH(orders!K$1,products!$A$1:$D$1,0))</f>
        <v>D</v>
      </c>
      <c r="L390" t="str">
        <f t="shared" si="37"/>
        <v>Dark</v>
      </c>
      <c r="M390">
        <f>INDEX(products!$A$1:$I$49,MATCH(orders!$D390,products!$A$1:$A$49,0),MATCH(orders!M$1,products!$A$1:$D$1,0))</f>
        <v>0.2</v>
      </c>
      <c r="N390">
        <f>_xlfn.XLOOKUP(D390,products!$A$2:$A$49,products!$E$2:$E$49)</f>
        <v>3.8849999999999998</v>
      </c>
      <c r="O390">
        <f>_xlfn.XLOOKUP(D390,products!$A$2:$A$49,products!$H$2:$H$49)</f>
        <v>3.37995</v>
      </c>
      <c r="P390">
        <f t="shared" si="38"/>
        <v>11.654999999999999</v>
      </c>
      <c r="Q390">
        <f t="shared" si="39"/>
        <v>10.139849999999999</v>
      </c>
      <c r="R390">
        <f t="shared" si="40"/>
        <v>1.5151500000000002</v>
      </c>
      <c r="S390" s="4">
        <f t="shared" si="41"/>
        <v>0.13000000000000003</v>
      </c>
      <c r="T390" t="str">
        <f>_xlfn.XLOOKUP(C390,customers!$A$1:$A$1001,customers!$I$1:$I$1001,,0)</f>
        <v>Yes</v>
      </c>
    </row>
    <row r="391" spans="1:20"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INDEX(products!$A$1:$I$49,MATCH(orders!$D391,products!$A$1:$A$49,0),MATCH(orders!I$1,products!$A$1:$D$1,0))</f>
        <v>Lib</v>
      </c>
      <c r="J391" t="str">
        <f t="shared" si="36"/>
        <v>Liberica</v>
      </c>
      <c r="K391" t="str">
        <f>INDEX(products!$A$1:$I$49,MATCH(orders!$D391,products!$A$1:$A$49,0),MATCH(orders!K$1,products!$A$1:$D$1,0))</f>
        <v>D</v>
      </c>
      <c r="L391" t="str">
        <f t="shared" si="37"/>
        <v>Dark</v>
      </c>
      <c r="M391">
        <f>INDEX(products!$A$1:$I$49,MATCH(orders!$D391,products!$A$1:$A$49,0),MATCH(orders!M$1,products!$A$1:$D$1,0))</f>
        <v>0.5</v>
      </c>
      <c r="N391">
        <f>_xlfn.XLOOKUP(D391,products!$A$2:$A$49,products!$E$2:$E$49)</f>
        <v>7.77</v>
      </c>
      <c r="O391">
        <f>_xlfn.XLOOKUP(D391,products!$A$2:$A$49,products!$H$2:$H$49)</f>
        <v>6.7599</v>
      </c>
      <c r="P391">
        <f t="shared" si="38"/>
        <v>23.31</v>
      </c>
      <c r="Q391">
        <f t="shared" si="39"/>
        <v>20.279699999999998</v>
      </c>
      <c r="R391">
        <f t="shared" si="40"/>
        <v>3.0303000000000004</v>
      </c>
      <c r="S391" s="4">
        <f t="shared" si="41"/>
        <v>0.13000000000000003</v>
      </c>
      <c r="T391" t="str">
        <f>_xlfn.XLOOKUP(C391,customers!$A$1:$A$1001,customers!$I$1:$I$1001,,0)</f>
        <v>Yes</v>
      </c>
    </row>
    <row r="392" spans="1:20"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INDEX(products!$A$1:$I$49,MATCH(orders!$D392,products!$A$1:$A$49,0),MATCH(orders!I$1,products!$A$1:$D$1,0))</f>
        <v>Exc</v>
      </c>
      <c r="J392" t="str">
        <f t="shared" si="36"/>
        <v>Excelsa</v>
      </c>
      <c r="K392" t="str">
        <f>INDEX(products!$A$1:$I$49,MATCH(orders!$D392,products!$A$1:$A$49,0),MATCH(orders!K$1,products!$A$1:$D$1,0))</f>
        <v>D</v>
      </c>
      <c r="L392" t="str">
        <f t="shared" si="37"/>
        <v>Dark</v>
      </c>
      <c r="M392">
        <f>INDEX(products!$A$1:$I$49,MATCH(orders!$D392,products!$A$1:$A$49,0),MATCH(orders!M$1,products!$A$1:$D$1,0))</f>
        <v>0.5</v>
      </c>
      <c r="N392">
        <f>_xlfn.XLOOKUP(D392,products!$A$2:$A$49,products!$E$2:$E$49)</f>
        <v>7.29</v>
      </c>
      <c r="O392">
        <f>_xlfn.XLOOKUP(D392,products!$A$2:$A$49,products!$H$2:$H$49)</f>
        <v>6.4881000000000002</v>
      </c>
      <c r="P392">
        <f t="shared" si="38"/>
        <v>14.58</v>
      </c>
      <c r="Q392">
        <f t="shared" si="39"/>
        <v>12.9762</v>
      </c>
      <c r="R392">
        <f t="shared" si="40"/>
        <v>1.6037999999999997</v>
      </c>
      <c r="S392" s="4">
        <f t="shared" si="41"/>
        <v>0.10999999999999997</v>
      </c>
      <c r="T392" t="str">
        <f>_xlfn.XLOOKUP(C392,customers!$A$1:$A$1001,customers!$I$1:$I$1001,,0)</f>
        <v>Yes</v>
      </c>
    </row>
    <row r="393" spans="1:20"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INDEX(products!$A$1:$I$49,MATCH(orders!$D393,products!$A$1:$A$49,0),MATCH(orders!I$1,products!$A$1:$D$1,0))</f>
        <v>Ara</v>
      </c>
      <c r="J393" t="str">
        <f t="shared" si="36"/>
        <v>Arabica</v>
      </c>
      <c r="K393" t="str">
        <f>INDEX(products!$A$1:$I$49,MATCH(orders!$D393,products!$A$1:$A$49,0),MATCH(orders!K$1,products!$A$1:$D$1,0))</f>
        <v>M</v>
      </c>
      <c r="L393" t="str">
        <f t="shared" si="37"/>
        <v>Medium</v>
      </c>
      <c r="M393">
        <f>INDEX(products!$A$1:$I$49,MATCH(orders!$D393,products!$A$1:$A$49,0),MATCH(orders!M$1,products!$A$1:$D$1,0))</f>
        <v>0.5</v>
      </c>
      <c r="N393">
        <f>_xlfn.XLOOKUP(D393,products!$A$2:$A$49,products!$E$2:$E$49)</f>
        <v>6.75</v>
      </c>
      <c r="O393">
        <f>_xlfn.XLOOKUP(D393,products!$A$2:$A$49,products!$H$2:$H$49)</f>
        <v>6.1425000000000001</v>
      </c>
      <c r="P393">
        <f t="shared" si="38"/>
        <v>13.5</v>
      </c>
      <c r="Q393">
        <f t="shared" si="39"/>
        <v>12.285</v>
      </c>
      <c r="R393">
        <f t="shared" si="40"/>
        <v>1.2149999999999999</v>
      </c>
      <c r="S393" s="4">
        <f t="shared" si="41"/>
        <v>8.9999999999999983E-2</v>
      </c>
      <c r="T393" t="str">
        <f>_xlfn.XLOOKUP(C393,customers!$A$1:$A$1001,customers!$I$1:$I$1001,,0)</f>
        <v>No</v>
      </c>
    </row>
    <row r="394" spans="1:20"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INDEX(products!$A$1:$I$49,MATCH(orders!$D394,products!$A$1:$A$49,0),MATCH(orders!I$1,products!$A$1:$D$1,0))</f>
        <v>Exc</v>
      </c>
      <c r="J394" t="str">
        <f t="shared" si="36"/>
        <v>Excelsa</v>
      </c>
      <c r="K394" t="str">
        <f>INDEX(products!$A$1:$I$49,MATCH(orders!$D394,products!$A$1:$A$49,0),MATCH(orders!K$1,products!$A$1:$D$1,0))</f>
        <v>L</v>
      </c>
      <c r="L394" t="str">
        <f t="shared" si="37"/>
        <v>Light</v>
      </c>
      <c r="M394">
        <f>INDEX(products!$A$1:$I$49,MATCH(orders!$D394,products!$A$1:$A$49,0),MATCH(orders!M$1,products!$A$1:$D$1,0))</f>
        <v>1</v>
      </c>
      <c r="N394">
        <f>_xlfn.XLOOKUP(D394,products!$A$2:$A$49,products!$E$2:$E$49)</f>
        <v>14.85</v>
      </c>
      <c r="O394">
        <f>_xlfn.XLOOKUP(D394,products!$A$2:$A$49,products!$H$2:$H$49)</f>
        <v>13.2165</v>
      </c>
      <c r="P394">
        <f t="shared" si="38"/>
        <v>89.1</v>
      </c>
      <c r="Q394">
        <f t="shared" si="39"/>
        <v>79.299000000000007</v>
      </c>
      <c r="R394">
        <f t="shared" si="40"/>
        <v>9.8009999999999877</v>
      </c>
      <c r="S394" s="4">
        <f t="shared" si="41"/>
        <v>0.10999999999999988</v>
      </c>
      <c r="T394" t="str">
        <f>_xlfn.XLOOKUP(C394,customers!$A$1:$A$1001,customers!$I$1:$I$1001,,0)</f>
        <v>No</v>
      </c>
    </row>
    <row r="395" spans="1:20"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INDEX(products!$A$1:$I$49,MATCH(orders!$D395,products!$A$1:$A$49,0),MATCH(orders!I$1,products!$A$1:$D$1,0))</f>
        <v>Ara</v>
      </c>
      <c r="J395" t="str">
        <f t="shared" si="36"/>
        <v>Arabica</v>
      </c>
      <c r="K395" t="str">
        <f>INDEX(products!$A$1:$I$49,MATCH(orders!$D395,products!$A$1:$A$49,0),MATCH(orders!K$1,products!$A$1:$D$1,0))</f>
        <v>L</v>
      </c>
      <c r="L395" t="str">
        <f t="shared" si="37"/>
        <v>Light</v>
      </c>
      <c r="M395">
        <f>INDEX(products!$A$1:$I$49,MATCH(orders!$D395,products!$A$1:$A$49,0),MATCH(orders!M$1,products!$A$1:$D$1,0))</f>
        <v>0.2</v>
      </c>
      <c r="N395">
        <f>_xlfn.XLOOKUP(D395,products!$A$2:$A$49,products!$E$2:$E$49)</f>
        <v>3.8849999999999998</v>
      </c>
      <c r="O395">
        <f>_xlfn.XLOOKUP(D395,products!$A$2:$A$49,products!$H$2:$H$49)</f>
        <v>3.5353499999999998</v>
      </c>
      <c r="P395">
        <f t="shared" si="38"/>
        <v>3.8849999999999998</v>
      </c>
      <c r="Q395">
        <f t="shared" si="39"/>
        <v>3.5353499999999998</v>
      </c>
      <c r="R395">
        <f t="shared" si="40"/>
        <v>0.34965000000000002</v>
      </c>
      <c r="S395" s="4">
        <f t="shared" si="41"/>
        <v>9.0000000000000011E-2</v>
      </c>
      <c r="T395" t="str">
        <f>_xlfn.XLOOKUP(C395,customers!$A$1:$A$1001,customers!$I$1:$I$1001,,0)</f>
        <v>No</v>
      </c>
    </row>
    <row r="396" spans="1:20"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INDEX(products!$A$1:$I$49,MATCH(orders!$D396,products!$A$1:$A$49,0),MATCH(orders!I$1,products!$A$1:$D$1,0))</f>
        <v>Rob</v>
      </c>
      <c r="J396" t="str">
        <f t="shared" si="36"/>
        <v>Robusta</v>
      </c>
      <c r="K396" t="str">
        <f>INDEX(products!$A$1:$I$49,MATCH(orders!$D396,products!$A$1:$A$49,0),MATCH(orders!K$1,products!$A$1:$D$1,0))</f>
        <v>L</v>
      </c>
      <c r="L396" t="str">
        <f t="shared" si="37"/>
        <v>Light</v>
      </c>
      <c r="M396">
        <f>INDEX(products!$A$1:$I$49,MATCH(orders!$D396,products!$A$1:$A$49,0),MATCH(orders!M$1,products!$A$1:$D$1,0))</f>
        <v>2.5</v>
      </c>
      <c r="N396">
        <f>_xlfn.XLOOKUP(D396,products!$A$2:$A$49,products!$E$2:$E$49)</f>
        <v>27.484999999999996</v>
      </c>
      <c r="O396">
        <f>_xlfn.XLOOKUP(D396,products!$A$2:$A$49,products!$H$2:$H$49)</f>
        <v>25.835899999999995</v>
      </c>
      <c r="P396">
        <f t="shared" si="38"/>
        <v>109.93999999999998</v>
      </c>
      <c r="Q396">
        <f t="shared" si="39"/>
        <v>103.34359999999998</v>
      </c>
      <c r="R396">
        <f t="shared" si="40"/>
        <v>6.5964000000000027</v>
      </c>
      <c r="S396" s="4">
        <f t="shared" si="41"/>
        <v>6.0000000000000032E-2</v>
      </c>
      <c r="T396" t="str">
        <f>_xlfn.XLOOKUP(C396,customers!$A$1:$A$1001,customers!$I$1:$I$1001,,0)</f>
        <v>No</v>
      </c>
    </row>
    <row r="397" spans="1:20"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INDEX(products!$A$1:$I$49,MATCH(orders!$D397,products!$A$1:$A$49,0),MATCH(orders!I$1,products!$A$1:$D$1,0))</f>
        <v>Lib</v>
      </c>
      <c r="J397" t="str">
        <f t="shared" si="36"/>
        <v>Liberica</v>
      </c>
      <c r="K397" t="str">
        <f>INDEX(products!$A$1:$I$49,MATCH(orders!$D397,products!$A$1:$A$49,0),MATCH(orders!K$1,products!$A$1:$D$1,0))</f>
        <v>D</v>
      </c>
      <c r="L397" t="str">
        <f t="shared" si="37"/>
        <v>Dark</v>
      </c>
      <c r="M397">
        <f>INDEX(products!$A$1:$I$49,MATCH(orders!$D397,products!$A$1:$A$49,0),MATCH(orders!M$1,products!$A$1:$D$1,0))</f>
        <v>0.5</v>
      </c>
      <c r="N397">
        <f>_xlfn.XLOOKUP(D397,products!$A$2:$A$49,products!$E$2:$E$49)</f>
        <v>7.77</v>
      </c>
      <c r="O397">
        <f>_xlfn.XLOOKUP(D397,products!$A$2:$A$49,products!$H$2:$H$49)</f>
        <v>6.7599</v>
      </c>
      <c r="P397">
        <f t="shared" si="38"/>
        <v>46.62</v>
      </c>
      <c r="Q397">
        <f t="shared" si="39"/>
        <v>40.559399999999997</v>
      </c>
      <c r="R397">
        <f t="shared" si="40"/>
        <v>6.0606000000000009</v>
      </c>
      <c r="S397" s="4">
        <f t="shared" si="41"/>
        <v>0.13000000000000003</v>
      </c>
      <c r="T397" t="str">
        <f>_xlfn.XLOOKUP(C397,customers!$A$1:$A$1001,customers!$I$1:$I$1001,,0)</f>
        <v>Yes</v>
      </c>
    </row>
    <row r="398" spans="1:20"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INDEX(products!$A$1:$I$49,MATCH(orders!$D398,products!$A$1:$A$49,0),MATCH(orders!I$1,products!$A$1:$D$1,0))</f>
        <v>Ara</v>
      </c>
      <c r="J398" t="str">
        <f t="shared" si="36"/>
        <v>Arabica</v>
      </c>
      <c r="K398" t="str">
        <f>INDEX(products!$A$1:$I$49,MATCH(orders!$D398,products!$A$1:$A$49,0),MATCH(orders!K$1,products!$A$1:$D$1,0))</f>
        <v>L</v>
      </c>
      <c r="L398" t="str">
        <f t="shared" si="37"/>
        <v>Light</v>
      </c>
      <c r="M398">
        <f>INDEX(products!$A$1:$I$49,MATCH(orders!$D398,products!$A$1:$A$49,0),MATCH(orders!M$1,products!$A$1:$D$1,0))</f>
        <v>0.5</v>
      </c>
      <c r="N398">
        <f>_xlfn.XLOOKUP(D398,products!$A$2:$A$49,products!$E$2:$E$49)</f>
        <v>7.77</v>
      </c>
      <c r="O398">
        <f>_xlfn.XLOOKUP(D398,products!$A$2:$A$49,products!$H$2:$H$49)</f>
        <v>7.0706999999999995</v>
      </c>
      <c r="P398">
        <f t="shared" si="38"/>
        <v>38.849999999999994</v>
      </c>
      <c r="Q398">
        <f t="shared" si="39"/>
        <v>35.353499999999997</v>
      </c>
      <c r="R398">
        <f t="shared" si="40"/>
        <v>3.4964999999999975</v>
      </c>
      <c r="S398" s="4">
        <f t="shared" si="41"/>
        <v>8.9999999999999955E-2</v>
      </c>
      <c r="T398" t="str">
        <f>_xlfn.XLOOKUP(C398,customers!$A$1:$A$1001,customers!$I$1:$I$1001,,0)</f>
        <v>No</v>
      </c>
    </row>
    <row r="399" spans="1:20"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INDEX(products!$A$1:$I$49,MATCH(orders!$D399,products!$A$1:$A$49,0),MATCH(orders!I$1,products!$A$1:$D$1,0))</f>
        <v>Lib</v>
      </c>
      <c r="J399" t="str">
        <f t="shared" si="36"/>
        <v>Liberica</v>
      </c>
      <c r="K399" t="str">
        <f>INDEX(products!$A$1:$I$49,MATCH(orders!$D399,products!$A$1:$A$49,0),MATCH(orders!K$1,products!$A$1:$D$1,0))</f>
        <v>D</v>
      </c>
      <c r="L399" t="str">
        <f t="shared" si="37"/>
        <v>Dark</v>
      </c>
      <c r="M399">
        <f>INDEX(products!$A$1:$I$49,MATCH(orders!$D399,products!$A$1:$A$49,0),MATCH(orders!M$1,products!$A$1:$D$1,0))</f>
        <v>0.5</v>
      </c>
      <c r="N399">
        <f>_xlfn.XLOOKUP(D399,products!$A$2:$A$49,products!$E$2:$E$49)</f>
        <v>7.77</v>
      </c>
      <c r="O399">
        <f>_xlfn.XLOOKUP(D399,products!$A$2:$A$49,products!$H$2:$H$49)</f>
        <v>6.7599</v>
      </c>
      <c r="P399">
        <f t="shared" si="38"/>
        <v>31.08</v>
      </c>
      <c r="Q399">
        <f t="shared" si="39"/>
        <v>27.0396</v>
      </c>
      <c r="R399">
        <f t="shared" si="40"/>
        <v>4.0403999999999982</v>
      </c>
      <c r="S399" s="4">
        <f t="shared" si="41"/>
        <v>0.12999999999999995</v>
      </c>
      <c r="T399" t="str">
        <f>_xlfn.XLOOKUP(C399,customers!$A$1:$A$1001,customers!$I$1:$I$1001,,0)</f>
        <v>Yes</v>
      </c>
    </row>
    <row r="400" spans="1:20"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INDEX(products!$A$1:$I$49,MATCH(orders!$D400,products!$A$1:$A$49,0),MATCH(orders!I$1,products!$A$1:$D$1,0))</f>
        <v>Ara</v>
      </c>
      <c r="J400" t="str">
        <f t="shared" si="36"/>
        <v>Arabica</v>
      </c>
      <c r="K400" t="str">
        <f>INDEX(products!$A$1:$I$49,MATCH(orders!$D400,products!$A$1:$A$49,0),MATCH(orders!K$1,products!$A$1:$D$1,0))</f>
        <v>D</v>
      </c>
      <c r="L400" t="str">
        <f t="shared" si="37"/>
        <v>Dark</v>
      </c>
      <c r="M400">
        <f>INDEX(products!$A$1:$I$49,MATCH(orders!$D400,products!$A$1:$A$49,0),MATCH(orders!M$1,products!$A$1:$D$1,0))</f>
        <v>0.2</v>
      </c>
      <c r="N400">
        <f>_xlfn.XLOOKUP(D400,products!$A$2:$A$49,products!$E$2:$E$49)</f>
        <v>2.9849999999999999</v>
      </c>
      <c r="O400">
        <f>_xlfn.XLOOKUP(D400,products!$A$2:$A$49,products!$H$2:$H$49)</f>
        <v>2.7163499999999998</v>
      </c>
      <c r="P400">
        <f t="shared" si="38"/>
        <v>17.91</v>
      </c>
      <c r="Q400">
        <f t="shared" si="39"/>
        <v>16.298099999999998</v>
      </c>
      <c r="R400">
        <f t="shared" si="40"/>
        <v>1.6119000000000021</v>
      </c>
      <c r="S400" s="4">
        <f t="shared" si="41"/>
        <v>9.0000000000000122E-2</v>
      </c>
      <c r="T400" t="str">
        <f>_xlfn.XLOOKUP(C400,customers!$A$1:$A$1001,customers!$I$1:$I$1001,,0)</f>
        <v>Yes</v>
      </c>
    </row>
    <row r="401" spans="1:20"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INDEX(products!$A$1:$I$49,MATCH(orders!$D401,products!$A$1:$A$49,0),MATCH(orders!I$1,products!$A$1:$D$1,0))</f>
        <v>Exc</v>
      </c>
      <c r="J401" t="str">
        <f t="shared" si="36"/>
        <v>Excelsa</v>
      </c>
      <c r="K401" t="str">
        <f>INDEX(products!$A$1:$I$49,MATCH(orders!$D401,products!$A$1:$A$49,0),MATCH(orders!K$1,products!$A$1:$D$1,0))</f>
        <v>D</v>
      </c>
      <c r="L401" t="str">
        <f t="shared" si="37"/>
        <v>Dark</v>
      </c>
      <c r="M401">
        <f>INDEX(products!$A$1:$I$49,MATCH(orders!$D401,products!$A$1:$A$49,0),MATCH(orders!M$1,products!$A$1:$D$1,0))</f>
        <v>2.5</v>
      </c>
      <c r="N401">
        <f>_xlfn.XLOOKUP(D401,products!$A$2:$A$49,products!$E$2:$E$49)</f>
        <v>27.945</v>
      </c>
      <c r="O401">
        <f>_xlfn.XLOOKUP(D401,products!$A$2:$A$49,products!$H$2:$H$49)</f>
        <v>24.87105</v>
      </c>
      <c r="P401">
        <f t="shared" si="38"/>
        <v>167.67000000000002</v>
      </c>
      <c r="Q401">
        <f t="shared" si="39"/>
        <v>149.22630000000001</v>
      </c>
      <c r="R401">
        <f t="shared" si="40"/>
        <v>18.443700000000007</v>
      </c>
      <c r="S401" s="4">
        <f t="shared" si="41"/>
        <v>0.11000000000000003</v>
      </c>
      <c r="T401" t="str">
        <f>_xlfn.XLOOKUP(C401,customers!$A$1:$A$1001,customers!$I$1:$I$1001,,0)</f>
        <v>No</v>
      </c>
    </row>
    <row r="402" spans="1:20"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INDEX(products!$A$1:$I$49,MATCH(orders!$D402,products!$A$1:$A$49,0),MATCH(orders!I$1,products!$A$1:$D$1,0))</f>
        <v>Lib</v>
      </c>
      <c r="J402" t="str">
        <f t="shared" si="36"/>
        <v>Liberica</v>
      </c>
      <c r="K402" t="str">
        <f>INDEX(products!$A$1:$I$49,MATCH(orders!$D402,products!$A$1:$A$49,0),MATCH(orders!K$1,products!$A$1:$D$1,0))</f>
        <v>L</v>
      </c>
      <c r="L402" t="str">
        <f t="shared" si="37"/>
        <v>Light</v>
      </c>
      <c r="M402">
        <f>INDEX(products!$A$1:$I$49,MATCH(orders!$D402,products!$A$1:$A$49,0),MATCH(orders!M$1,products!$A$1:$D$1,0))</f>
        <v>1</v>
      </c>
      <c r="N402">
        <f>_xlfn.XLOOKUP(D402,products!$A$2:$A$49,products!$E$2:$E$49)</f>
        <v>15.85</v>
      </c>
      <c r="O402">
        <f>_xlfn.XLOOKUP(D402,products!$A$2:$A$49,products!$H$2:$H$49)</f>
        <v>13.7895</v>
      </c>
      <c r="P402">
        <f t="shared" si="38"/>
        <v>63.4</v>
      </c>
      <c r="Q402">
        <f t="shared" si="39"/>
        <v>55.158000000000001</v>
      </c>
      <c r="R402">
        <f t="shared" si="40"/>
        <v>8.2419999999999973</v>
      </c>
      <c r="S402" s="4">
        <f t="shared" si="41"/>
        <v>0.12999999999999995</v>
      </c>
      <c r="T402" t="str">
        <f>_xlfn.XLOOKUP(C402,customers!$A$1:$A$1001,customers!$I$1:$I$1001,,0)</f>
        <v>No</v>
      </c>
    </row>
    <row r="403" spans="1:20"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INDEX(products!$A$1:$I$49,MATCH(orders!$D403,products!$A$1:$A$49,0),MATCH(orders!I$1,products!$A$1:$D$1,0))</f>
        <v>Lib</v>
      </c>
      <c r="J403" t="str">
        <f t="shared" si="36"/>
        <v>Liberica</v>
      </c>
      <c r="K403" t="str">
        <f>INDEX(products!$A$1:$I$49,MATCH(orders!$D403,products!$A$1:$A$49,0),MATCH(orders!K$1,products!$A$1:$D$1,0))</f>
        <v>M</v>
      </c>
      <c r="L403" t="str">
        <f t="shared" si="37"/>
        <v>Medium</v>
      </c>
      <c r="M403">
        <f>INDEX(products!$A$1:$I$49,MATCH(orders!$D403,products!$A$1:$A$49,0),MATCH(orders!M$1,products!$A$1:$D$1,0))</f>
        <v>0.2</v>
      </c>
      <c r="N403">
        <f>_xlfn.XLOOKUP(D403,products!$A$2:$A$49,products!$E$2:$E$49)</f>
        <v>4.3650000000000002</v>
      </c>
      <c r="O403">
        <f>_xlfn.XLOOKUP(D403,products!$A$2:$A$49,products!$H$2:$H$49)</f>
        <v>3.7975500000000002</v>
      </c>
      <c r="P403">
        <f t="shared" si="38"/>
        <v>8.73</v>
      </c>
      <c r="Q403">
        <f t="shared" si="39"/>
        <v>7.5951000000000004</v>
      </c>
      <c r="R403">
        <f t="shared" si="40"/>
        <v>1.1349</v>
      </c>
      <c r="S403" s="4">
        <f t="shared" si="41"/>
        <v>0.13</v>
      </c>
      <c r="T403" t="str">
        <f>_xlfn.XLOOKUP(C403,customers!$A$1:$A$1001,customers!$I$1:$I$1001,,0)</f>
        <v>Yes</v>
      </c>
    </row>
    <row r="404" spans="1:20"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INDEX(products!$A$1:$I$49,MATCH(orders!$D404,products!$A$1:$A$49,0),MATCH(orders!I$1,products!$A$1:$D$1,0))</f>
        <v>Rob</v>
      </c>
      <c r="J404" t="str">
        <f t="shared" si="36"/>
        <v>Robusta</v>
      </c>
      <c r="K404" t="str">
        <f>INDEX(products!$A$1:$I$49,MATCH(orders!$D404,products!$A$1:$A$49,0),MATCH(orders!K$1,products!$A$1:$D$1,0))</f>
        <v>D</v>
      </c>
      <c r="L404" t="str">
        <f t="shared" si="37"/>
        <v>Dark</v>
      </c>
      <c r="M404">
        <f>INDEX(products!$A$1:$I$49,MATCH(orders!$D404,products!$A$1:$A$49,0),MATCH(orders!M$1,products!$A$1:$D$1,0))</f>
        <v>1</v>
      </c>
      <c r="N404">
        <f>_xlfn.XLOOKUP(D404,products!$A$2:$A$49,products!$E$2:$E$49)</f>
        <v>8.9499999999999993</v>
      </c>
      <c r="O404">
        <f>_xlfn.XLOOKUP(D404,products!$A$2:$A$49,products!$H$2:$H$49)</f>
        <v>8.4130000000000003</v>
      </c>
      <c r="P404">
        <f t="shared" si="38"/>
        <v>26.849999999999998</v>
      </c>
      <c r="Q404">
        <f t="shared" si="39"/>
        <v>25.239000000000001</v>
      </c>
      <c r="R404">
        <f t="shared" si="40"/>
        <v>1.6109999999999971</v>
      </c>
      <c r="S404" s="4">
        <f t="shared" si="41"/>
        <v>5.9999999999999894E-2</v>
      </c>
      <c r="T404" t="str">
        <f>_xlfn.XLOOKUP(C404,customers!$A$1:$A$1001,customers!$I$1:$I$1001,,0)</f>
        <v>Yes</v>
      </c>
    </row>
    <row r="405" spans="1:20"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INDEX(products!$A$1:$I$49,MATCH(orders!$D405,products!$A$1:$A$49,0),MATCH(orders!I$1,products!$A$1:$D$1,0))</f>
        <v>Lib</v>
      </c>
      <c r="J405" t="str">
        <f t="shared" si="36"/>
        <v>Liberica</v>
      </c>
      <c r="K405" t="str">
        <f>INDEX(products!$A$1:$I$49,MATCH(orders!$D405,products!$A$1:$A$49,0),MATCH(orders!K$1,products!$A$1:$D$1,0))</f>
        <v>L</v>
      </c>
      <c r="L405" t="str">
        <f t="shared" si="37"/>
        <v>Light</v>
      </c>
      <c r="M405">
        <f>INDEX(products!$A$1:$I$49,MATCH(orders!$D405,products!$A$1:$A$49,0),MATCH(orders!M$1,products!$A$1:$D$1,0))</f>
        <v>0.2</v>
      </c>
      <c r="N405">
        <f>_xlfn.XLOOKUP(D405,products!$A$2:$A$49,products!$E$2:$E$49)</f>
        <v>4.7549999999999999</v>
      </c>
      <c r="O405">
        <f>_xlfn.XLOOKUP(D405,products!$A$2:$A$49,products!$H$2:$H$49)</f>
        <v>4.1368499999999999</v>
      </c>
      <c r="P405">
        <f t="shared" si="38"/>
        <v>9.51</v>
      </c>
      <c r="Q405">
        <f t="shared" si="39"/>
        <v>8.2736999999999998</v>
      </c>
      <c r="R405">
        <f t="shared" si="40"/>
        <v>1.2363</v>
      </c>
      <c r="S405" s="4">
        <f t="shared" si="41"/>
        <v>0.13</v>
      </c>
      <c r="T405" t="str">
        <f>_xlfn.XLOOKUP(C405,customers!$A$1:$A$1001,customers!$I$1:$I$1001,,0)</f>
        <v>No</v>
      </c>
    </row>
    <row r="406" spans="1:20"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INDEX(products!$A$1:$I$49,MATCH(orders!$D406,products!$A$1:$A$49,0),MATCH(orders!I$1,products!$A$1:$D$1,0))</f>
        <v>Ara</v>
      </c>
      <c r="J406" t="str">
        <f t="shared" si="36"/>
        <v>Arabica</v>
      </c>
      <c r="K406" t="str">
        <f>INDEX(products!$A$1:$I$49,MATCH(orders!$D406,products!$A$1:$A$49,0),MATCH(orders!K$1,products!$A$1:$D$1,0))</f>
        <v>D</v>
      </c>
      <c r="L406" t="str">
        <f t="shared" si="37"/>
        <v>Dark</v>
      </c>
      <c r="M406">
        <f>INDEX(products!$A$1:$I$49,MATCH(orders!$D406,products!$A$1:$A$49,0),MATCH(orders!M$1,products!$A$1:$D$1,0))</f>
        <v>1</v>
      </c>
      <c r="N406">
        <f>_xlfn.XLOOKUP(D406,products!$A$2:$A$49,products!$E$2:$E$49)</f>
        <v>9.9499999999999993</v>
      </c>
      <c r="O406">
        <f>_xlfn.XLOOKUP(D406,products!$A$2:$A$49,products!$H$2:$H$49)</f>
        <v>9.0544999999999991</v>
      </c>
      <c r="P406">
        <f t="shared" si="38"/>
        <v>39.799999999999997</v>
      </c>
      <c r="Q406">
        <f t="shared" si="39"/>
        <v>36.217999999999996</v>
      </c>
      <c r="R406">
        <f t="shared" si="40"/>
        <v>3.5820000000000007</v>
      </c>
      <c r="S406" s="4">
        <f t="shared" si="41"/>
        <v>9.0000000000000024E-2</v>
      </c>
      <c r="T406" t="str">
        <f>_xlfn.XLOOKUP(C406,customers!$A$1:$A$1001,customers!$I$1:$I$1001,,0)</f>
        <v>No</v>
      </c>
    </row>
    <row r="407" spans="1:20"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INDEX(products!$A$1:$I$49,MATCH(orders!$D407,products!$A$1:$A$49,0),MATCH(orders!I$1,products!$A$1:$D$1,0))</f>
        <v>Exc</v>
      </c>
      <c r="J407" t="str">
        <f t="shared" si="36"/>
        <v>Excelsa</v>
      </c>
      <c r="K407" t="str">
        <f>INDEX(products!$A$1:$I$49,MATCH(orders!$D407,products!$A$1:$A$49,0),MATCH(orders!K$1,products!$A$1:$D$1,0))</f>
        <v>M</v>
      </c>
      <c r="L407" t="str">
        <f t="shared" si="37"/>
        <v>Medium</v>
      </c>
      <c r="M407">
        <f>INDEX(products!$A$1:$I$49,MATCH(orders!$D407,products!$A$1:$A$49,0),MATCH(orders!M$1,products!$A$1:$D$1,0))</f>
        <v>0.5</v>
      </c>
      <c r="N407">
        <f>_xlfn.XLOOKUP(D407,products!$A$2:$A$49,products!$E$2:$E$49)</f>
        <v>8.25</v>
      </c>
      <c r="O407">
        <f>_xlfn.XLOOKUP(D407,products!$A$2:$A$49,products!$H$2:$H$49)</f>
        <v>7.3425000000000002</v>
      </c>
      <c r="P407">
        <f t="shared" si="38"/>
        <v>24.75</v>
      </c>
      <c r="Q407">
        <f t="shared" si="39"/>
        <v>22.0275</v>
      </c>
      <c r="R407">
        <f t="shared" si="40"/>
        <v>2.7225000000000001</v>
      </c>
      <c r="S407" s="4">
        <f t="shared" si="41"/>
        <v>0.11</v>
      </c>
      <c r="T407" t="str">
        <f>_xlfn.XLOOKUP(C407,customers!$A$1:$A$1001,customers!$I$1:$I$1001,,0)</f>
        <v>Yes</v>
      </c>
    </row>
    <row r="408" spans="1:20"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INDEX(products!$A$1:$I$49,MATCH(orders!$D408,products!$A$1:$A$49,0),MATCH(orders!I$1,products!$A$1:$D$1,0))</f>
        <v>Exc</v>
      </c>
      <c r="J408" t="str">
        <f t="shared" si="36"/>
        <v>Excelsa</v>
      </c>
      <c r="K408" t="str">
        <f>INDEX(products!$A$1:$I$49,MATCH(orders!$D408,products!$A$1:$A$49,0),MATCH(orders!K$1,products!$A$1:$D$1,0))</f>
        <v>M</v>
      </c>
      <c r="L408" t="str">
        <f t="shared" si="37"/>
        <v>Medium</v>
      </c>
      <c r="M408">
        <f>INDEX(products!$A$1:$I$49,MATCH(orders!$D408,products!$A$1:$A$49,0),MATCH(orders!M$1,products!$A$1:$D$1,0))</f>
        <v>1</v>
      </c>
      <c r="N408">
        <f>_xlfn.XLOOKUP(D408,products!$A$2:$A$49,products!$E$2:$E$49)</f>
        <v>13.75</v>
      </c>
      <c r="O408">
        <f>_xlfn.XLOOKUP(D408,products!$A$2:$A$49,products!$H$2:$H$49)</f>
        <v>12.237500000000001</v>
      </c>
      <c r="P408">
        <f t="shared" si="38"/>
        <v>68.75</v>
      </c>
      <c r="Q408">
        <f t="shared" si="39"/>
        <v>61.1875</v>
      </c>
      <c r="R408">
        <f t="shared" si="40"/>
        <v>7.5625</v>
      </c>
      <c r="S408" s="4">
        <f t="shared" si="41"/>
        <v>0.11</v>
      </c>
      <c r="T408" t="str">
        <f>_xlfn.XLOOKUP(C408,customers!$A$1:$A$1001,customers!$I$1:$I$1001,,0)</f>
        <v>Yes</v>
      </c>
    </row>
    <row r="409" spans="1:20"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v>
      </c>
      <c r="H409" s="2" t="str">
        <f>_xlfn.XLOOKUP(C409,customers!$A$1:$A$1001,customers!$G$1:$G$1001,,0)</f>
        <v>Ireland</v>
      </c>
      <c r="I409" t="str">
        <f>INDEX(products!$A$1:$I$49,MATCH(orders!$D409,products!$A$1:$A$49,0),MATCH(orders!I$1,products!$A$1:$D$1,0))</f>
        <v>Exc</v>
      </c>
      <c r="J409" t="str">
        <f t="shared" si="36"/>
        <v>Excelsa</v>
      </c>
      <c r="K409" t="str">
        <f>INDEX(products!$A$1:$I$49,MATCH(orders!$D409,products!$A$1:$A$49,0),MATCH(orders!K$1,products!$A$1:$D$1,0))</f>
        <v>M</v>
      </c>
      <c r="L409" t="str">
        <f t="shared" si="37"/>
        <v>Medium</v>
      </c>
      <c r="M409">
        <f>INDEX(products!$A$1:$I$49,MATCH(orders!$D409,products!$A$1:$A$49,0),MATCH(orders!M$1,products!$A$1:$D$1,0))</f>
        <v>0.5</v>
      </c>
      <c r="N409">
        <f>_xlfn.XLOOKUP(D409,products!$A$2:$A$49,products!$E$2:$E$49)</f>
        <v>8.25</v>
      </c>
      <c r="O409">
        <f>_xlfn.XLOOKUP(D409,products!$A$2:$A$49,products!$H$2:$H$49)</f>
        <v>7.3425000000000002</v>
      </c>
      <c r="P409">
        <f t="shared" si="38"/>
        <v>49.5</v>
      </c>
      <c r="Q409">
        <f t="shared" si="39"/>
        <v>44.055</v>
      </c>
      <c r="R409">
        <f t="shared" si="40"/>
        <v>5.4450000000000003</v>
      </c>
      <c r="S409" s="4">
        <f t="shared" si="41"/>
        <v>0.11</v>
      </c>
      <c r="T409" t="str">
        <f>_xlfn.XLOOKUP(C409,customers!$A$1:$A$1001,customers!$I$1:$I$1001,,0)</f>
        <v>No</v>
      </c>
    </row>
    <row r="410" spans="1:20"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INDEX(products!$A$1:$I$49,MATCH(orders!$D410,products!$A$1:$A$49,0),MATCH(orders!I$1,products!$A$1:$D$1,0))</f>
        <v>Ara</v>
      </c>
      <c r="J410" t="str">
        <f t="shared" si="36"/>
        <v>Arabica</v>
      </c>
      <c r="K410" t="str">
        <f>INDEX(products!$A$1:$I$49,MATCH(orders!$D410,products!$A$1:$A$49,0),MATCH(orders!K$1,products!$A$1:$D$1,0))</f>
        <v>M</v>
      </c>
      <c r="L410" t="str">
        <f t="shared" si="37"/>
        <v>Medium</v>
      </c>
      <c r="M410">
        <f>INDEX(products!$A$1:$I$49,MATCH(orders!$D410,products!$A$1:$A$49,0),MATCH(orders!M$1,products!$A$1:$D$1,0))</f>
        <v>2.5</v>
      </c>
      <c r="N410">
        <f>_xlfn.XLOOKUP(D410,products!$A$2:$A$49,products!$E$2:$E$49)</f>
        <v>25.874999999999996</v>
      </c>
      <c r="O410">
        <f>_xlfn.XLOOKUP(D410,products!$A$2:$A$49,products!$H$2:$H$49)</f>
        <v>23.546249999999997</v>
      </c>
      <c r="P410">
        <f t="shared" si="38"/>
        <v>51.749999999999993</v>
      </c>
      <c r="Q410">
        <f t="shared" si="39"/>
        <v>47.092499999999994</v>
      </c>
      <c r="R410">
        <f t="shared" si="40"/>
        <v>4.6574999999999989</v>
      </c>
      <c r="S410" s="4">
        <f t="shared" si="41"/>
        <v>0.09</v>
      </c>
      <c r="T410" t="str">
        <f>_xlfn.XLOOKUP(C410,customers!$A$1:$A$1001,customers!$I$1:$I$1001,,0)</f>
        <v>Yes</v>
      </c>
    </row>
    <row r="411" spans="1:20"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v>
      </c>
      <c r="H411" s="2" t="str">
        <f>_xlfn.XLOOKUP(C411,customers!$A$1:$A$1001,customers!$G$1:$G$1001,,0)</f>
        <v>Ireland</v>
      </c>
      <c r="I411" t="str">
        <f>INDEX(products!$A$1:$I$49,MATCH(orders!$D411,products!$A$1:$A$49,0),MATCH(orders!I$1,products!$A$1:$D$1,0))</f>
        <v>Lib</v>
      </c>
      <c r="J411" t="str">
        <f t="shared" si="36"/>
        <v>Liberica</v>
      </c>
      <c r="K411" t="str">
        <f>INDEX(products!$A$1:$I$49,MATCH(orders!$D411,products!$A$1:$A$49,0),MATCH(orders!K$1,products!$A$1:$D$1,0))</f>
        <v>L</v>
      </c>
      <c r="L411" t="str">
        <f t="shared" si="37"/>
        <v>Light</v>
      </c>
      <c r="M411">
        <f>INDEX(products!$A$1:$I$49,MATCH(orders!$D411,products!$A$1:$A$49,0),MATCH(orders!M$1,products!$A$1:$D$1,0))</f>
        <v>1</v>
      </c>
      <c r="N411">
        <f>_xlfn.XLOOKUP(D411,products!$A$2:$A$49,products!$E$2:$E$49)</f>
        <v>15.85</v>
      </c>
      <c r="O411">
        <f>_xlfn.XLOOKUP(D411,products!$A$2:$A$49,products!$H$2:$H$49)</f>
        <v>13.7895</v>
      </c>
      <c r="P411">
        <f t="shared" si="38"/>
        <v>47.55</v>
      </c>
      <c r="Q411">
        <f t="shared" si="39"/>
        <v>41.368499999999997</v>
      </c>
      <c r="R411">
        <f t="shared" si="40"/>
        <v>6.1814999999999998</v>
      </c>
      <c r="S411" s="4">
        <f t="shared" si="41"/>
        <v>0.13</v>
      </c>
      <c r="T411" t="str">
        <f>_xlfn.XLOOKUP(C411,customers!$A$1:$A$1001,customers!$I$1:$I$1001,,0)</f>
        <v>Yes</v>
      </c>
    </row>
    <row r="412" spans="1:20"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v>
      </c>
      <c r="H412" s="2" t="str">
        <f>_xlfn.XLOOKUP(C412,customers!$A$1:$A$1001,customers!$G$1:$G$1001,,0)</f>
        <v>United States</v>
      </c>
      <c r="I412" t="str">
        <f>INDEX(products!$A$1:$I$49,MATCH(orders!$D412,products!$A$1:$A$49,0),MATCH(orders!I$1,products!$A$1:$D$1,0))</f>
        <v>Ara</v>
      </c>
      <c r="J412" t="str">
        <f t="shared" si="36"/>
        <v>Arabica</v>
      </c>
      <c r="K412" t="str">
        <f>INDEX(products!$A$1:$I$49,MATCH(orders!$D412,products!$A$1:$A$49,0),MATCH(orders!K$1,products!$A$1:$D$1,0))</f>
        <v>L</v>
      </c>
      <c r="L412" t="str">
        <f t="shared" si="37"/>
        <v>Light</v>
      </c>
      <c r="M412">
        <f>INDEX(products!$A$1:$I$49,MATCH(orders!$D412,products!$A$1:$A$49,0),MATCH(orders!M$1,products!$A$1:$D$1,0))</f>
        <v>0.2</v>
      </c>
      <c r="N412">
        <f>_xlfn.XLOOKUP(D412,products!$A$2:$A$49,products!$E$2:$E$49)</f>
        <v>3.8849999999999998</v>
      </c>
      <c r="O412">
        <f>_xlfn.XLOOKUP(D412,products!$A$2:$A$49,products!$H$2:$H$49)</f>
        <v>3.5353499999999998</v>
      </c>
      <c r="P412">
        <f t="shared" si="38"/>
        <v>15.54</v>
      </c>
      <c r="Q412">
        <f t="shared" si="39"/>
        <v>14.141399999999999</v>
      </c>
      <c r="R412">
        <f t="shared" si="40"/>
        <v>1.3986000000000001</v>
      </c>
      <c r="S412" s="4">
        <f t="shared" si="41"/>
        <v>9.0000000000000011E-2</v>
      </c>
      <c r="T412" t="str">
        <f>_xlfn.XLOOKUP(C412,customers!$A$1:$A$1001,customers!$I$1:$I$1001,,0)</f>
        <v>No</v>
      </c>
    </row>
    <row r="413" spans="1:20"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v>
      </c>
      <c r="H413" s="2" t="str">
        <f>_xlfn.XLOOKUP(C413,customers!$A$1:$A$1001,customers!$G$1:$G$1001,,0)</f>
        <v>United States</v>
      </c>
      <c r="I413" t="str">
        <f>INDEX(products!$A$1:$I$49,MATCH(orders!$D413,products!$A$1:$A$49,0),MATCH(orders!I$1,products!$A$1:$D$1,0))</f>
        <v>Lib</v>
      </c>
      <c r="J413" t="str">
        <f t="shared" si="36"/>
        <v>Liberica</v>
      </c>
      <c r="K413" t="str">
        <f>INDEX(products!$A$1:$I$49,MATCH(orders!$D413,products!$A$1:$A$49,0),MATCH(orders!K$1,products!$A$1:$D$1,0))</f>
        <v>M</v>
      </c>
      <c r="L413" t="str">
        <f t="shared" si="37"/>
        <v>Medium</v>
      </c>
      <c r="M413">
        <f>INDEX(products!$A$1:$I$49,MATCH(orders!$D413,products!$A$1:$A$49,0),MATCH(orders!M$1,products!$A$1:$D$1,0))</f>
        <v>1</v>
      </c>
      <c r="N413">
        <f>_xlfn.XLOOKUP(D413,products!$A$2:$A$49,products!$E$2:$E$49)</f>
        <v>14.55</v>
      </c>
      <c r="O413">
        <f>_xlfn.XLOOKUP(D413,products!$A$2:$A$49,products!$H$2:$H$49)</f>
        <v>12.6585</v>
      </c>
      <c r="P413">
        <f t="shared" si="38"/>
        <v>87.300000000000011</v>
      </c>
      <c r="Q413">
        <f t="shared" si="39"/>
        <v>75.950999999999993</v>
      </c>
      <c r="R413">
        <f t="shared" si="40"/>
        <v>11.349000000000018</v>
      </c>
      <c r="S413" s="4">
        <f t="shared" si="41"/>
        <v>0.1300000000000002</v>
      </c>
      <c r="T413" t="str">
        <f>_xlfn.XLOOKUP(C413,customers!$A$1:$A$1001,customers!$I$1:$I$1001,,0)</f>
        <v>Yes</v>
      </c>
    </row>
    <row r="414" spans="1:20"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v>
      </c>
      <c r="H414" s="2" t="str">
        <f>_xlfn.XLOOKUP(C414,customers!$A$1:$A$1001,customers!$G$1:$G$1001,,0)</f>
        <v>United States</v>
      </c>
      <c r="I414" t="str">
        <f>INDEX(products!$A$1:$I$49,MATCH(orders!$D414,products!$A$1:$A$49,0),MATCH(orders!I$1,products!$A$1:$D$1,0))</f>
        <v>Ara</v>
      </c>
      <c r="J414" t="str">
        <f t="shared" si="36"/>
        <v>Arabica</v>
      </c>
      <c r="K414" t="str">
        <f>INDEX(products!$A$1:$I$49,MATCH(orders!$D414,products!$A$1:$A$49,0),MATCH(orders!K$1,products!$A$1:$D$1,0))</f>
        <v>M</v>
      </c>
      <c r="L414" t="str">
        <f t="shared" si="37"/>
        <v>Medium</v>
      </c>
      <c r="M414">
        <f>INDEX(products!$A$1:$I$49,MATCH(orders!$D414,products!$A$1:$A$49,0),MATCH(orders!M$1,products!$A$1:$D$1,0))</f>
        <v>1</v>
      </c>
      <c r="N414">
        <f>_xlfn.XLOOKUP(D414,products!$A$2:$A$49,products!$E$2:$E$49)</f>
        <v>11.25</v>
      </c>
      <c r="O414">
        <f>_xlfn.XLOOKUP(D414,products!$A$2:$A$49,products!$H$2:$H$49)</f>
        <v>10.237500000000001</v>
      </c>
      <c r="P414">
        <f t="shared" si="38"/>
        <v>56.25</v>
      </c>
      <c r="Q414">
        <f t="shared" si="39"/>
        <v>51.1875</v>
      </c>
      <c r="R414">
        <f t="shared" si="40"/>
        <v>5.0625</v>
      </c>
      <c r="S414" s="4">
        <f t="shared" si="41"/>
        <v>0.09</v>
      </c>
      <c r="T414" t="str">
        <f>_xlfn.XLOOKUP(C414,customers!$A$1:$A$1001,customers!$I$1:$I$1001,,0)</f>
        <v>Yes</v>
      </c>
    </row>
    <row r="415" spans="1:20"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INDEX(products!$A$1:$I$49,MATCH(orders!$D415,products!$A$1:$A$49,0),MATCH(orders!I$1,products!$A$1:$D$1,0))</f>
        <v>Lib</v>
      </c>
      <c r="J415" t="str">
        <f t="shared" si="36"/>
        <v>Liberica</v>
      </c>
      <c r="K415" t="str">
        <f>INDEX(products!$A$1:$I$49,MATCH(orders!$D415,products!$A$1:$A$49,0),MATCH(orders!K$1,products!$A$1:$D$1,0))</f>
        <v>L</v>
      </c>
      <c r="L415" t="str">
        <f t="shared" si="37"/>
        <v>Light</v>
      </c>
      <c r="M415">
        <f>INDEX(products!$A$1:$I$49,MATCH(orders!$D415,products!$A$1:$A$49,0),MATCH(orders!M$1,products!$A$1:$D$1,0))</f>
        <v>2.5</v>
      </c>
      <c r="N415">
        <f>_xlfn.XLOOKUP(D415,products!$A$2:$A$49,products!$E$2:$E$49)</f>
        <v>36.454999999999998</v>
      </c>
      <c r="O415">
        <f>_xlfn.XLOOKUP(D415,products!$A$2:$A$49,products!$H$2:$H$49)</f>
        <v>31.71585</v>
      </c>
      <c r="P415">
        <f t="shared" si="38"/>
        <v>36.454999999999998</v>
      </c>
      <c r="Q415">
        <f t="shared" si="39"/>
        <v>31.71585</v>
      </c>
      <c r="R415">
        <f t="shared" si="40"/>
        <v>4.7391499999999986</v>
      </c>
      <c r="S415" s="4">
        <f t="shared" si="41"/>
        <v>0.12999999999999998</v>
      </c>
      <c r="T415" t="str">
        <f>_xlfn.XLOOKUP(C415,customers!$A$1:$A$1001,customers!$I$1:$I$1001,,0)</f>
        <v>Yes</v>
      </c>
    </row>
    <row r="416" spans="1:20"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v>
      </c>
      <c r="H416" s="2" t="str">
        <f>_xlfn.XLOOKUP(C416,customers!$A$1:$A$1001,customers!$G$1:$G$1001,,0)</f>
        <v>United States</v>
      </c>
      <c r="I416" t="str">
        <f>INDEX(products!$A$1:$I$49,MATCH(orders!$D416,products!$A$1:$A$49,0),MATCH(orders!I$1,products!$A$1:$D$1,0))</f>
        <v>Rob</v>
      </c>
      <c r="J416" t="str">
        <f t="shared" si="36"/>
        <v>Robusta</v>
      </c>
      <c r="K416" t="str">
        <f>INDEX(products!$A$1:$I$49,MATCH(orders!$D416,products!$A$1:$A$49,0),MATCH(orders!K$1,products!$A$1:$D$1,0))</f>
        <v>L</v>
      </c>
      <c r="L416" t="str">
        <f t="shared" si="37"/>
        <v>Light</v>
      </c>
      <c r="M416">
        <f>INDEX(products!$A$1:$I$49,MATCH(orders!$D416,products!$A$1:$A$49,0),MATCH(orders!M$1,products!$A$1:$D$1,0))</f>
        <v>0.2</v>
      </c>
      <c r="N416">
        <f>_xlfn.XLOOKUP(D416,products!$A$2:$A$49,products!$E$2:$E$49)</f>
        <v>3.5849999999999995</v>
      </c>
      <c r="O416">
        <f>_xlfn.XLOOKUP(D416,products!$A$2:$A$49,products!$H$2:$H$49)</f>
        <v>3.3698999999999995</v>
      </c>
      <c r="P416">
        <f t="shared" si="38"/>
        <v>10.754999999999999</v>
      </c>
      <c r="Q416">
        <f t="shared" si="39"/>
        <v>10.109699999999998</v>
      </c>
      <c r="R416">
        <f t="shared" si="40"/>
        <v>0.64530000000000065</v>
      </c>
      <c r="S416" s="4">
        <f t="shared" si="41"/>
        <v>6.0000000000000067E-2</v>
      </c>
      <c r="T416" t="str">
        <f>_xlfn.XLOOKUP(C416,customers!$A$1:$A$1001,customers!$I$1:$I$1001,,0)</f>
        <v>Yes</v>
      </c>
    </row>
    <row r="417" spans="1:20"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INDEX(products!$A$1:$I$49,MATCH(orders!$D417,products!$A$1:$A$49,0),MATCH(orders!I$1,products!$A$1:$D$1,0))</f>
        <v>Rob</v>
      </c>
      <c r="J417" t="str">
        <f t="shared" si="36"/>
        <v>Robusta</v>
      </c>
      <c r="K417" t="str">
        <f>INDEX(products!$A$1:$I$49,MATCH(orders!$D417,products!$A$1:$A$49,0),MATCH(orders!K$1,products!$A$1:$D$1,0))</f>
        <v>M</v>
      </c>
      <c r="L417" t="str">
        <f t="shared" si="37"/>
        <v>Medium</v>
      </c>
      <c r="M417">
        <f>INDEX(products!$A$1:$I$49,MATCH(orders!$D417,products!$A$1:$A$49,0),MATCH(orders!M$1,products!$A$1:$D$1,0))</f>
        <v>0.2</v>
      </c>
      <c r="N417">
        <f>_xlfn.XLOOKUP(D417,products!$A$2:$A$49,products!$E$2:$E$49)</f>
        <v>2.9849999999999999</v>
      </c>
      <c r="O417">
        <f>_xlfn.XLOOKUP(D417,products!$A$2:$A$49,products!$H$2:$H$49)</f>
        <v>2.8058999999999998</v>
      </c>
      <c r="P417">
        <f t="shared" si="38"/>
        <v>8.9550000000000001</v>
      </c>
      <c r="Q417">
        <f t="shared" si="39"/>
        <v>8.4177</v>
      </c>
      <c r="R417">
        <f t="shared" si="40"/>
        <v>0.53730000000000011</v>
      </c>
      <c r="S417" s="4">
        <f t="shared" si="41"/>
        <v>6.0000000000000012E-2</v>
      </c>
      <c r="T417" t="str">
        <f>_xlfn.XLOOKUP(C417,customers!$A$1:$A$1001,customers!$I$1:$I$1001,,0)</f>
        <v>No</v>
      </c>
    </row>
    <row r="418" spans="1:20"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v>
      </c>
      <c r="H418" s="2" t="str">
        <f>_xlfn.XLOOKUP(C418,customers!$A$1:$A$1001,customers!$G$1:$G$1001,,0)</f>
        <v>United States</v>
      </c>
      <c r="I418" t="str">
        <f>INDEX(products!$A$1:$I$49,MATCH(orders!$D418,products!$A$1:$A$49,0),MATCH(orders!I$1,products!$A$1:$D$1,0))</f>
        <v>Ara</v>
      </c>
      <c r="J418" t="str">
        <f t="shared" si="36"/>
        <v>Arabica</v>
      </c>
      <c r="K418" t="str">
        <f>INDEX(products!$A$1:$I$49,MATCH(orders!$D418,products!$A$1:$A$49,0),MATCH(orders!K$1,products!$A$1:$D$1,0))</f>
        <v>L</v>
      </c>
      <c r="L418" t="str">
        <f t="shared" si="37"/>
        <v>Light</v>
      </c>
      <c r="M418">
        <f>INDEX(products!$A$1:$I$49,MATCH(orders!$D418,products!$A$1:$A$49,0),MATCH(orders!M$1,products!$A$1:$D$1,0))</f>
        <v>0.5</v>
      </c>
      <c r="N418">
        <f>_xlfn.XLOOKUP(D418,products!$A$2:$A$49,products!$E$2:$E$49)</f>
        <v>7.77</v>
      </c>
      <c r="O418">
        <f>_xlfn.XLOOKUP(D418,products!$A$2:$A$49,products!$H$2:$H$49)</f>
        <v>7.0706999999999995</v>
      </c>
      <c r="P418">
        <f t="shared" si="38"/>
        <v>23.31</v>
      </c>
      <c r="Q418">
        <f t="shared" si="39"/>
        <v>21.2121</v>
      </c>
      <c r="R418">
        <f t="shared" si="40"/>
        <v>2.0978999999999992</v>
      </c>
      <c r="S418" s="4">
        <f t="shared" si="41"/>
        <v>8.9999999999999969E-2</v>
      </c>
      <c r="T418" t="str">
        <f>_xlfn.XLOOKUP(C418,customers!$A$1:$A$1001,customers!$I$1:$I$1001,,0)</f>
        <v>Yes</v>
      </c>
    </row>
    <row r="419" spans="1:20"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v>
      </c>
      <c r="H419" s="2" t="str">
        <f>_xlfn.XLOOKUP(C419,customers!$A$1:$A$1001,customers!$G$1:$G$1001,,0)</f>
        <v>United States</v>
      </c>
      <c r="I419" t="str">
        <f>INDEX(products!$A$1:$I$49,MATCH(orders!$D419,products!$A$1:$A$49,0),MATCH(orders!I$1,products!$A$1:$D$1,0))</f>
        <v>Ara</v>
      </c>
      <c r="J419" t="str">
        <f t="shared" si="36"/>
        <v>Arabica</v>
      </c>
      <c r="K419" t="str">
        <f>INDEX(products!$A$1:$I$49,MATCH(orders!$D419,products!$A$1:$A$49,0),MATCH(orders!K$1,products!$A$1:$D$1,0))</f>
        <v>L</v>
      </c>
      <c r="L419" t="str">
        <f t="shared" si="37"/>
        <v>Light</v>
      </c>
      <c r="M419">
        <f>INDEX(products!$A$1:$I$49,MATCH(orders!$D419,products!$A$1:$A$49,0),MATCH(orders!M$1,products!$A$1:$D$1,0))</f>
        <v>2.5</v>
      </c>
      <c r="N419">
        <f>_xlfn.XLOOKUP(D419,products!$A$2:$A$49,products!$E$2:$E$49)</f>
        <v>29.784999999999997</v>
      </c>
      <c r="O419">
        <f>_xlfn.XLOOKUP(D419,products!$A$2:$A$49,products!$H$2:$H$49)</f>
        <v>27.104349999999997</v>
      </c>
      <c r="P419">
        <f t="shared" si="38"/>
        <v>29.784999999999997</v>
      </c>
      <c r="Q419">
        <f t="shared" si="39"/>
        <v>27.104349999999997</v>
      </c>
      <c r="R419">
        <f t="shared" si="40"/>
        <v>2.68065</v>
      </c>
      <c r="S419" s="4">
        <f t="shared" si="41"/>
        <v>9.0000000000000011E-2</v>
      </c>
      <c r="T419" t="str">
        <f>_xlfn.XLOOKUP(C419,customers!$A$1:$A$1001,customers!$I$1:$I$1001,,0)</f>
        <v>Yes</v>
      </c>
    </row>
    <row r="420" spans="1:20"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INDEX(products!$A$1:$I$49,MATCH(orders!$D420,products!$A$1:$A$49,0),MATCH(orders!I$1,products!$A$1:$D$1,0))</f>
        <v>Ara</v>
      </c>
      <c r="J420" t="str">
        <f t="shared" si="36"/>
        <v>Arabica</v>
      </c>
      <c r="K420" t="str">
        <f>INDEX(products!$A$1:$I$49,MATCH(orders!$D420,products!$A$1:$A$49,0),MATCH(orders!K$1,products!$A$1:$D$1,0))</f>
        <v>L</v>
      </c>
      <c r="L420" t="str">
        <f t="shared" si="37"/>
        <v>Light</v>
      </c>
      <c r="M420">
        <f>INDEX(products!$A$1:$I$49,MATCH(orders!$D420,products!$A$1:$A$49,0),MATCH(orders!M$1,products!$A$1:$D$1,0))</f>
        <v>2.5</v>
      </c>
      <c r="N420">
        <f>_xlfn.XLOOKUP(D420,products!$A$2:$A$49,products!$E$2:$E$49)</f>
        <v>29.784999999999997</v>
      </c>
      <c r="O420">
        <f>_xlfn.XLOOKUP(D420,products!$A$2:$A$49,products!$H$2:$H$49)</f>
        <v>27.104349999999997</v>
      </c>
      <c r="P420">
        <f t="shared" si="38"/>
        <v>148.92499999999998</v>
      </c>
      <c r="Q420">
        <f t="shared" si="39"/>
        <v>135.52175</v>
      </c>
      <c r="R420">
        <f t="shared" si="40"/>
        <v>13.403249999999986</v>
      </c>
      <c r="S420" s="4">
        <f t="shared" si="41"/>
        <v>8.9999999999999913E-2</v>
      </c>
      <c r="T420" t="str">
        <f>_xlfn.XLOOKUP(C420,customers!$A$1:$A$1001,customers!$I$1:$I$1001,,0)</f>
        <v>Yes</v>
      </c>
    </row>
    <row r="421" spans="1:20"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INDEX(products!$A$1:$I$49,MATCH(orders!$D421,products!$A$1:$A$49,0),MATCH(orders!I$1,products!$A$1:$D$1,0))</f>
        <v>Lib</v>
      </c>
      <c r="J421" t="str">
        <f t="shared" si="36"/>
        <v>Liberica</v>
      </c>
      <c r="K421" t="str">
        <f>INDEX(products!$A$1:$I$49,MATCH(orders!$D421,products!$A$1:$A$49,0),MATCH(orders!K$1,products!$A$1:$D$1,0))</f>
        <v>M</v>
      </c>
      <c r="L421" t="str">
        <f t="shared" si="37"/>
        <v>Medium</v>
      </c>
      <c r="M421">
        <f>INDEX(products!$A$1:$I$49,MATCH(orders!$D421,products!$A$1:$A$49,0),MATCH(orders!M$1,products!$A$1:$D$1,0))</f>
        <v>0.5</v>
      </c>
      <c r="N421">
        <f>_xlfn.XLOOKUP(D421,products!$A$2:$A$49,products!$E$2:$E$49)</f>
        <v>8.73</v>
      </c>
      <c r="O421">
        <f>_xlfn.XLOOKUP(D421,products!$A$2:$A$49,products!$H$2:$H$49)</f>
        <v>7.5951000000000004</v>
      </c>
      <c r="P421">
        <f t="shared" si="38"/>
        <v>8.73</v>
      </c>
      <c r="Q421">
        <f t="shared" si="39"/>
        <v>7.5951000000000004</v>
      </c>
      <c r="R421">
        <f t="shared" si="40"/>
        <v>1.1349</v>
      </c>
      <c r="S421" s="4">
        <f t="shared" si="41"/>
        <v>0.13</v>
      </c>
      <c r="T421" t="str">
        <f>_xlfn.XLOOKUP(C421,customers!$A$1:$A$1001,customers!$I$1:$I$1001,,0)</f>
        <v>Yes</v>
      </c>
    </row>
    <row r="422" spans="1:20"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INDEX(products!$A$1:$I$49,MATCH(orders!$D422,products!$A$1:$A$49,0),MATCH(orders!I$1,products!$A$1:$D$1,0))</f>
        <v>Lib</v>
      </c>
      <c r="J422" t="str">
        <f t="shared" si="36"/>
        <v>Liberica</v>
      </c>
      <c r="K422" t="str">
        <f>INDEX(products!$A$1:$I$49,MATCH(orders!$D422,products!$A$1:$A$49,0),MATCH(orders!K$1,products!$A$1:$D$1,0))</f>
        <v>D</v>
      </c>
      <c r="L422" t="str">
        <f t="shared" si="37"/>
        <v>Dark</v>
      </c>
      <c r="M422">
        <f>INDEX(products!$A$1:$I$49,MATCH(orders!$D422,products!$A$1:$A$49,0),MATCH(orders!M$1,products!$A$1:$D$1,0))</f>
        <v>0.5</v>
      </c>
      <c r="N422">
        <f>_xlfn.XLOOKUP(D422,products!$A$2:$A$49,products!$E$2:$E$49)</f>
        <v>7.77</v>
      </c>
      <c r="O422">
        <f>_xlfn.XLOOKUP(D422,products!$A$2:$A$49,products!$H$2:$H$49)</f>
        <v>6.7599</v>
      </c>
      <c r="P422">
        <f t="shared" si="38"/>
        <v>31.08</v>
      </c>
      <c r="Q422">
        <f t="shared" si="39"/>
        <v>27.0396</v>
      </c>
      <c r="R422">
        <f t="shared" si="40"/>
        <v>4.0403999999999982</v>
      </c>
      <c r="S422" s="4">
        <f t="shared" si="41"/>
        <v>0.12999999999999995</v>
      </c>
      <c r="T422" t="str">
        <f>_xlfn.XLOOKUP(C422,customers!$A$1:$A$1001,customers!$I$1:$I$1001,,0)</f>
        <v>No</v>
      </c>
    </row>
    <row r="423" spans="1:20"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INDEX(products!$A$1:$I$49,MATCH(orders!$D423,products!$A$1:$A$49,0),MATCH(orders!I$1,products!$A$1:$D$1,0))</f>
        <v>Ara</v>
      </c>
      <c r="J423" t="str">
        <f t="shared" si="36"/>
        <v>Arabica</v>
      </c>
      <c r="K423" t="str">
        <f>INDEX(products!$A$1:$I$49,MATCH(orders!$D423,products!$A$1:$A$49,0),MATCH(orders!K$1,products!$A$1:$D$1,0))</f>
        <v>D</v>
      </c>
      <c r="L423" t="str">
        <f t="shared" si="37"/>
        <v>Dark</v>
      </c>
      <c r="M423">
        <f>INDEX(products!$A$1:$I$49,MATCH(orders!$D423,products!$A$1:$A$49,0),MATCH(orders!M$1,products!$A$1:$D$1,0))</f>
        <v>2.5</v>
      </c>
      <c r="N423">
        <f>_xlfn.XLOOKUP(D423,products!$A$2:$A$49,products!$E$2:$E$49)</f>
        <v>22.884999999999998</v>
      </c>
      <c r="O423">
        <f>_xlfn.XLOOKUP(D423,products!$A$2:$A$49,products!$H$2:$H$49)</f>
        <v>20.82535</v>
      </c>
      <c r="P423">
        <f t="shared" si="38"/>
        <v>137.31</v>
      </c>
      <c r="Q423">
        <f t="shared" si="39"/>
        <v>124.9521</v>
      </c>
      <c r="R423">
        <f t="shared" si="40"/>
        <v>12.357900000000001</v>
      </c>
      <c r="S423" s="4">
        <f t="shared" si="41"/>
        <v>9.0000000000000011E-2</v>
      </c>
      <c r="T423" t="str">
        <f>_xlfn.XLOOKUP(C423,customers!$A$1:$A$1001,customers!$I$1:$I$1001,,0)</f>
        <v>No</v>
      </c>
    </row>
    <row r="424" spans="1:20"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v>
      </c>
      <c r="H424" s="2" t="str">
        <f>_xlfn.XLOOKUP(C424,customers!$A$1:$A$1001,customers!$G$1:$G$1001,,0)</f>
        <v>United States</v>
      </c>
      <c r="I424" t="str">
        <f>INDEX(products!$A$1:$I$49,MATCH(orders!$D424,products!$A$1:$A$49,0),MATCH(orders!I$1,products!$A$1:$D$1,0))</f>
        <v>Ara</v>
      </c>
      <c r="J424" t="str">
        <f t="shared" si="36"/>
        <v>Arabica</v>
      </c>
      <c r="K424" t="str">
        <f>INDEX(products!$A$1:$I$49,MATCH(orders!$D424,products!$A$1:$A$49,0),MATCH(orders!K$1,products!$A$1:$D$1,0))</f>
        <v>D</v>
      </c>
      <c r="L424" t="str">
        <f t="shared" si="37"/>
        <v>Dark</v>
      </c>
      <c r="M424">
        <f>INDEX(products!$A$1:$I$49,MATCH(orders!$D424,products!$A$1:$A$49,0),MATCH(orders!M$1,products!$A$1:$D$1,0))</f>
        <v>0.5</v>
      </c>
      <c r="N424">
        <f>_xlfn.XLOOKUP(D424,products!$A$2:$A$49,products!$E$2:$E$49)</f>
        <v>5.97</v>
      </c>
      <c r="O424">
        <f>_xlfn.XLOOKUP(D424,products!$A$2:$A$49,products!$H$2:$H$49)</f>
        <v>5.4326999999999996</v>
      </c>
      <c r="P424">
        <f t="shared" si="38"/>
        <v>29.849999999999998</v>
      </c>
      <c r="Q424">
        <f t="shared" si="39"/>
        <v>27.163499999999999</v>
      </c>
      <c r="R424">
        <f t="shared" si="40"/>
        <v>2.6864999999999988</v>
      </c>
      <c r="S424" s="4">
        <f t="shared" si="41"/>
        <v>8.9999999999999969E-2</v>
      </c>
      <c r="T424" t="str">
        <f>_xlfn.XLOOKUP(C424,customers!$A$1:$A$1001,customers!$I$1:$I$1001,,0)</f>
        <v>No</v>
      </c>
    </row>
    <row r="425" spans="1:20"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v>
      </c>
      <c r="H425" s="2" t="str">
        <f>_xlfn.XLOOKUP(C425,customers!$A$1:$A$1001,customers!$G$1:$G$1001,,0)</f>
        <v>United States</v>
      </c>
      <c r="I425" t="str">
        <f>INDEX(products!$A$1:$I$49,MATCH(orders!$D425,products!$A$1:$A$49,0),MATCH(orders!I$1,products!$A$1:$D$1,0))</f>
        <v>Rob</v>
      </c>
      <c r="J425" t="str">
        <f t="shared" si="36"/>
        <v>Robusta</v>
      </c>
      <c r="K425" t="str">
        <f>INDEX(products!$A$1:$I$49,MATCH(orders!$D425,products!$A$1:$A$49,0),MATCH(orders!K$1,products!$A$1:$D$1,0))</f>
        <v>M</v>
      </c>
      <c r="L425" t="str">
        <f t="shared" si="37"/>
        <v>Medium</v>
      </c>
      <c r="M425">
        <f>INDEX(products!$A$1:$I$49,MATCH(orders!$D425,products!$A$1:$A$49,0),MATCH(orders!M$1,products!$A$1:$D$1,0))</f>
        <v>0.5</v>
      </c>
      <c r="N425">
        <f>_xlfn.XLOOKUP(D425,products!$A$2:$A$49,products!$E$2:$E$49)</f>
        <v>5.97</v>
      </c>
      <c r="O425">
        <f>_xlfn.XLOOKUP(D425,products!$A$2:$A$49,products!$H$2:$H$49)</f>
        <v>5.6117999999999997</v>
      </c>
      <c r="P425">
        <f t="shared" si="38"/>
        <v>17.91</v>
      </c>
      <c r="Q425">
        <f t="shared" si="39"/>
        <v>16.8354</v>
      </c>
      <c r="R425">
        <f t="shared" si="40"/>
        <v>1.0746000000000002</v>
      </c>
      <c r="S425" s="4">
        <f t="shared" si="41"/>
        <v>6.0000000000000012E-2</v>
      </c>
      <c r="T425" t="str">
        <f>_xlfn.XLOOKUP(C425,customers!$A$1:$A$1001,customers!$I$1:$I$1001,,0)</f>
        <v>No</v>
      </c>
    </row>
    <row r="426" spans="1:20"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INDEX(products!$A$1:$I$49,MATCH(orders!$D426,products!$A$1:$A$49,0),MATCH(orders!I$1,products!$A$1:$D$1,0))</f>
        <v>Exc</v>
      </c>
      <c r="J426" t="str">
        <f t="shared" si="36"/>
        <v>Excelsa</v>
      </c>
      <c r="K426" t="str">
        <f>INDEX(products!$A$1:$I$49,MATCH(orders!$D426,products!$A$1:$A$49,0),MATCH(orders!K$1,products!$A$1:$D$1,0))</f>
        <v>L</v>
      </c>
      <c r="L426" t="str">
        <f t="shared" si="37"/>
        <v>Light</v>
      </c>
      <c r="M426">
        <f>INDEX(products!$A$1:$I$49,MATCH(orders!$D426,products!$A$1:$A$49,0),MATCH(orders!M$1,products!$A$1:$D$1,0))</f>
        <v>0.5</v>
      </c>
      <c r="N426">
        <f>_xlfn.XLOOKUP(D426,products!$A$2:$A$49,products!$E$2:$E$49)</f>
        <v>8.91</v>
      </c>
      <c r="O426">
        <f>_xlfn.XLOOKUP(D426,products!$A$2:$A$49,products!$H$2:$H$49)</f>
        <v>7.9298999999999999</v>
      </c>
      <c r="P426">
        <f t="shared" si="38"/>
        <v>26.73</v>
      </c>
      <c r="Q426">
        <f t="shared" si="39"/>
        <v>23.7897</v>
      </c>
      <c r="R426">
        <f t="shared" si="40"/>
        <v>2.9403000000000006</v>
      </c>
      <c r="S426" s="4">
        <f t="shared" si="41"/>
        <v>0.11000000000000001</v>
      </c>
      <c r="T426" t="str">
        <f>_xlfn.XLOOKUP(C426,customers!$A$1:$A$1001,customers!$I$1:$I$1001,,0)</f>
        <v>Yes</v>
      </c>
    </row>
    <row r="427" spans="1:20"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INDEX(products!$A$1:$I$49,MATCH(orders!$D427,products!$A$1:$A$49,0),MATCH(orders!I$1,products!$A$1:$D$1,0))</f>
        <v>Rob</v>
      </c>
      <c r="J427" t="str">
        <f t="shared" si="36"/>
        <v>Robusta</v>
      </c>
      <c r="K427" t="str">
        <f>INDEX(products!$A$1:$I$49,MATCH(orders!$D427,products!$A$1:$A$49,0),MATCH(orders!K$1,products!$A$1:$D$1,0))</f>
        <v>D</v>
      </c>
      <c r="L427" t="str">
        <f t="shared" si="37"/>
        <v>Dark</v>
      </c>
      <c r="M427">
        <f>INDEX(products!$A$1:$I$49,MATCH(orders!$D427,products!$A$1:$A$49,0),MATCH(orders!M$1,products!$A$1:$D$1,0))</f>
        <v>1</v>
      </c>
      <c r="N427">
        <f>_xlfn.XLOOKUP(D427,products!$A$2:$A$49,products!$E$2:$E$49)</f>
        <v>8.9499999999999993</v>
      </c>
      <c r="O427">
        <f>_xlfn.XLOOKUP(D427,products!$A$2:$A$49,products!$H$2:$H$49)</f>
        <v>8.4130000000000003</v>
      </c>
      <c r="P427">
        <f t="shared" si="38"/>
        <v>17.899999999999999</v>
      </c>
      <c r="Q427">
        <f t="shared" si="39"/>
        <v>16.826000000000001</v>
      </c>
      <c r="R427">
        <f t="shared" si="40"/>
        <v>1.0739999999999981</v>
      </c>
      <c r="S427" s="4">
        <f t="shared" si="41"/>
        <v>5.9999999999999894E-2</v>
      </c>
      <c r="T427" t="str">
        <f>_xlfn.XLOOKUP(C427,customers!$A$1:$A$1001,customers!$I$1:$I$1001,,0)</f>
        <v>No</v>
      </c>
    </row>
    <row r="428" spans="1:20"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INDEX(products!$A$1:$I$49,MATCH(orders!$D428,products!$A$1:$A$49,0),MATCH(orders!I$1,products!$A$1:$D$1,0))</f>
        <v>Rob</v>
      </c>
      <c r="J428" t="str">
        <f t="shared" si="36"/>
        <v>Robusta</v>
      </c>
      <c r="K428" t="str">
        <f>INDEX(products!$A$1:$I$49,MATCH(orders!$D428,products!$A$1:$A$49,0),MATCH(orders!K$1,products!$A$1:$D$1,0))</f>
        <v>L</v>
      </c>
      <c r="L428" t="str">
        <f t="shared" si="37"/>
        <v>Light</v>
      </c>
      <c r="M428">
        <f>INDEX(products!$A$1:$I$49,MATCH(orders!$D428,products!$A$1:$A$49,0),MATCH(orders!M$1,products!$A$1:$D$1,0))</f>
        <v>0.2</v>
      </c>
      <c r="N428">
        <f>_xlfn.XLOOKUP(D428,products!$A$2:$A$49,products!$E$2:$E$49)</f>
        <v>3.5849999999999995</v>
      </c>
      <c r="O428">
        <f>_xlfn.XLOOKUP(D428,products!$A$2:$A$49,products!$H$2:$H$49)</f>
        <v>3.3698999999999995</v>
      </c>
      <c r="P428">
        <f t="shared" si="38"/>
        <v>14.339999999999998</v>
      </c>
      <c r="Q428">
        <f t="shared" si="39"/>
        <v>13.479599999999998</v>
      </c>
      <c r="R428">
        <f t="shared" si="40"/>
        <v>0.86040000000000028</v>
      </c>
      <c r="S428" s="4">
        <f t="shared" si="41"/>
        <v>6.0000000000000026E-2</v>
      </c>
      <c r="T428" t="str">
        <f>_xlfn.XLOOKUP(C428,customers!$A$1:$A$1001,customers!$I$1:$I$1001,,0)</f>
        <v>Yes</v>
      </c>
    </row>
    <row r="429" spans="1:20"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v>
      </c>
      <c r="H429" s="2" t="str">
        <f>_xlfn.XLOOKUP(C429,customers!$A$1:$A$1001,customers!$G$1:$G$1001,,0)</f>
        <v>United States</v>
      </c>
      <c r="I429" t="str">
        <f>INDEX(products!$A$1:$I$49,MATCH(orders!$D429,products!$A$1:$A$49,0),MATCH(orders!I$1,products!$A$1:$D$1,0))</f>
        <v>Ara</v>
      </c>
      <c r="J429" t="str">
        <f t="shared" si="36"/>
        <v>Arabica</v>
      </c>
      <c r="K429" t="str">
        <f>INDEX(products!$A$1:$I$49,MATCH(orders!$D429,products!$A$1:$A$49,0),MATCH(orders!K$1,products!$A$1:$D$1,0))</f>
        <v>M</v>
      </c>
      <c r="L429" t="str">
        <f t="shared" si="37"/>
        <v>Medium</v>
      </c>
      <c r="M429">
        <f>INDEX(products!$A$1:$I$49,MATCH(orders!$D429,products!$A$1:$A$49,0),MATCH(orders!M$1,products!$A$1:$D$1,0))</f>
        <v>2.5</v>
      </c>
      <c r="N429">
        <f>_xlfn.XLOOKUP(D429,products!$A$2:$A$49,products!$E$2:$E$49)</f>
        <v>25.874999999999996</v>
      </c>
      <c r="O429">
        <f>_xlfn.XLOOKUP(D429,products!$A$2:$A$49,products!$H$2:$H$49)</f>
        <v>23.546249999999997</v>
      </c>
      <c r="P429">
        <f t="shared" si="38"/>
        <v>77.624999999999986</v>
      </c>
      <c r="Q429">
        <f t="shared" si="39"/>
        <v>70.638749999999987</v>
      </c>
      <c r="R429">
        <f t="shared" si="40"/>
        <v>6.9862499999999983</v>
      </c>
      <c r="S429" s="4">
        <f t="shared" si="41"/>
        <v>0.09</v>
      </c>
      <c r="T429" t="str">
        <f>_xlfn.XLOOKUP(C429,customers!$A$1:$A$1001,customers!$I$1:$I$1001,,0)</f>
        <v>Yes</v>
      </c>
    </row>
    <row r="430" spans="1:20"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INDEX(products!$A$1:$I$49,MATCH(orders!$D430,products!$A$1:$A$49,0),MATCH(orders!I$1,products!$A$1:$D$1,0))</f>
        <v>Rob</v>
      </c>
      <c r="J430" t="str">
        <f t="shared" si="36"/>
        <v>Robusta</v>
      </c>
      <c r="K430" t="str">
        <f>INDEX(products!$A$1:$I$49,MATCH(orders!$D430,products!$A$1:$A$49,0),MATCH(orders!K$1,products!$A$1:$D$1,0))</f>
        <v>L</v>
      </c>
      <c r="L430" t="str">
        <f t="shared" si="37"/>
        <v>Light</v>
      </c>
      <c r="M430">
        <f>INDEX(products!$A$1:$I$49,MATCH(orders!$D430,products!$A$1:$A$49,0),MATCH(orders!M$1,products!$A$1:$D$1,0))</f>
        <v>1</v>
      </c>
      <c r="N430">
        <f>_xlfn.XLOOKUP(D430,products!$A$2:$A$49,products!$E$2:$E$49)</f>
        <v>11.95</v>
      </c>
      <c r="O430">
        <f>_xlfn.XLOOKUP(D430,products!$A$2:$A$49,products!$H$2:$H$49)</f>
        <v>11.232999999999999</v>
      </c>
      <c r="P430">
        <f t="shared" si="38"/>
        <v>59.75</v>
      </c>
      <c r="Q430">
        <f t="shared" si="39"/>
        <v>56.164999999999992</v>
      </c>
      <c r="R430">
        <f t="shared" si="40"/>
        <v>3.585000000000008</v>
      </c>
      <c r="S430" s="4">
        <f t="shared" si="41"/>
        <v>6.0000000000000137E-2</v>
      </c>
      <c r="T430" t="str">
        <f>_xlfn.XLOOKUP(C430,customers!$A$1:$A$1001,customers!$I$1:$I$1001,,0)</f>
        <v>No</v>
      </c>
    </row>
    <row r="431" spans="1:20"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INDEX(products!$A$1:$I$49,MATCH(orders!$D431,products!$A$1:$A$49,0),MATCH(orders!I$1,products!$A$1:$D$1,0))</f>
        <v>Ara</v>
      </c>
      <c r="J431" t="str">
        <f t="shared" si="36"/>
        <v>Arabica</v>
      </c>
      <c r="K431" t="str">
        <f>INDEX(products!$A$1:$I$49,MATCH(orders!$D431,products!$A$1:$A$49,0),MATCH(orders!K$1,products!$A$1:$D$1,0))</f>
        <v>L</v>
      </c>
      <c r="L431" t="str">
        <f t="shared" si="37"/>
        <v>Light</v>
      </c>
      <c r="M431">
        <f>INDEX(products!$A$1:$I$49,MATCH(orders!$D431,products!$A$1:$A$49,0),MATCH(orders!M$1,products!$A$1:$D$1,0))</f>
        <v>1</v>
      </c>
      <c r="N431">
        <f>_xlfn.XLOOKUP(D431,products!$A$2:$A$49,products!$E$2:$E$49)</f>
        <v>12.95</v>
      </c>
      <c r="O431">
        <f>_xlfn.XLOOKUP(D431,products!$A$2:$A$49,products!$H$2:$H$49)</f>
        <v>11.7845</v>
      </c>
      <c r="P431">
        <f t="shared" si="38"/>
        <v>77.699999999999989</v>
      </c>
      <c r="Q431">
        <f t="shared" si="39"/>
        <v>70.706999999999994</v>
      </c>
      <c r="R431">
        <f t="shared" si="40"/>
        <v>6.992999999999995</v>
      </c>
      <c r="S431" s="4">
        <f t="shared" si="41"/>
        <v>8.9999999999999955E-2</v>
      </c>
      <c r="T431" t="str">
        <f>_xlfn.XLOOKUP(C431,customers!$A$1:$A$1001,customers!$I$1:$I$1001,,0)</f>
        <v>No</v>
      </c>
    </row>
    <row r="432" spans="1:20"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INDEX(products!$A$1:$I$49,MATCH(orders!$D432,products!$A$1:$A$49,0),MATCH(orders!I$1,products!$A$1:$D$1,0))</f>
        <v>Rob</v>
      </c>
      <c r="J432" t="str">
        <f t="shared" si="36"/>
        <v>Robusta</v>
      </c>
      <c r="K432" t="str">
        <f>INDEX(products!$A$1:$I$49,MATCH(orders!$D432,products!$A$1:$A$49,0),MATCH(orders!K$1,products!$A$1:$D$1,0))</f>
        <v>D</v>
      </c>
      <c r="L432" t="str">
        <f t="shared" si="37"/>
        <v>Dark</v>
      </c>
      <c r="M432">
        <f>INDEX(products!$A$1:$I$49,MATCH(orders!$D432,products!$A$1:$A$49,0),MATCH(orders!M$1,products!$A$1:$D$1,0))</f>
        <v>0.2</v>
      </c>
      <c r="N432">
        <f>_xlfn.XLOOKUP(D432,products!$A$2:$A$49,products!$E$2:$E$49)</f>
        <v>2.6849999999999996</v>
      </c>
      <c r="O432">
        <f>_xlfn.XLOOKUP(D432,products!$A$2:$A$49,products!$H$2:$H$49)</f>
        <v>2.5238999999999998</v>
      </c>
      <c r="P432">
        <f t="shared" si="38"/>
        <v>5.3699999999999992</v>
      </c>
      <c r="Q432">
        <f t="shared" si="39"/>
        <v>5.0477999999999996</v>
      </c>
      <c r="R432">
        <f t="shared" si="40"/>
        <v>0.3221999999999996</v>
      </c>
      <c r="S432" s="4">
        <f t="shared" si="41"/>
        <v>5.9999999999999935E-2</v>
      </c>
      <c r="T432" t="str">
        <f>_xlfn.XLOOKUP(C432,customers!$A$1:$A$1001,customers!$I$1:$I$1001,,0)</f>
        <v>Yes</v>
      </c>
    </row>
    <row r="433" spans="1:20"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INDEX(products!$A$1:$I$49,MATCH(orders!$D433,products!$A$1:$A$49,0),MATCH(orders!I$1,products!$A$1:$D$1,0))</f>
        <v>Exc</v>
      </c>
      <c r="J433" t="str">
        <f t="shared" si="36"/>
        <v>Excelsa</v>
      </c>
      <c r="K433" t="str">
        <f>INDEX(products!$A$1:$I$49,MATCH(orders!$D433,products!$A$1:$A$49,0),MATCH(orders!K$1,products!$A$1:$D$1,0))</f>
        <v>D</v>
      </c>
      <c r="L433" t="str">
        <f t="shared" si="37"/>
        <v>Dark</v>
      </c>
      <c r="M433">
        <f>INDEX(products!$A$1:$I$49,MATCH(orders!$D433,products!$A$1:$A$49,0),MATCH(orders!M$1,products!$A$1:$D$1,0))</f>
        <v>2.5</v>
      </c>
      <c r="N433">
        <f>_xlfn.XLOOKUP(D433,products!$A$2:$A$49,products!$E$2:$E$49)</f>
        <v>27.945</v>
      </c>
      <c r="O433">
        <f>_xlfn.XLOOKUP(D433,products!$A$2:$A$49,products!$H$2:$H$49)</f>
        <v>24.87105</v>
      </c>
      <c r="P433">
        <f t="shared" si="38"/>
        <v>83.835000000000008</v>
      </c>
      <c r="Q433">
        <f t="shared" si="39"/>
        <v>74.613150000000005</v>
      </c>
      <c r="R433">
        <f t="shared" si="40"/>
        <v>9.2218500000000034</v>
      </c>
      <c r="S433" s="4">
        <f t="shared" si="41"/>
        <v>0.11000000000000003</v>
      </c>
      <c r="T433" t="str">
        <f>_xlfn.XLOOKUP(C433,customers!$A$1:$A$1001,customers!$I$1:$I$1001,,0)</f>
        <v>Yes</v>
      </c>
    </row>
    <row r="434" spans="1:20"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v>
      </c>
      <c r="H434" s="2" t="str">
        <f>_xlfn.XLOOKUP(C434,customers!$A$1:$A$1001,customers!$G$1:$G$1001,,0)</f>
        <v>United States</v>
      </c>
      <c r="I434" t="str">
        <f>INDEX(products!$A$1:$I$49,MATCH(orders!$D434,products!$A$1:$A$49,0),MATCH(orders!I$1,products!$A$1:$D$1,0))</f>
        <v>Ara</v>
      </c>
      <c r="J434" t="str">
        <f t="shared" si="36"/>
        <v>Arabica</v>
      </c>
      <c r="K434" t="str">
        <f>INDEX(products!$A$1:$I$49,MATCH(orders!$D434,products!$A$1:$A$49,0),MATCH(orders!K$1,products!$A$1:$D$1,0))</f>
        <v>M</v>
      </c>
      <c r="L434" t="str">
        <f t="shared" si="37"/>
        <v>Medium</v>
      </c>
      <c r="M434">
        <f>INDEX(products!$A$1:$I$49,MATCH(orders!$D434,products!$A$1:$A$49,0),MATCH(orders!M$1,products!$A$1:$D$1,0))</f>
        <v>1</v>
      </c>
      <c r="N434">
        <f>_xlfn.XLOOKUP(D434,products!$A$2:$A$49,products!$E$2:$E$49)</f>
        <v>11.25</v>
      </c>
      <c r="O434">
        <f>_xlfn.XLOOKUP(D434,products!$A$2:$A$49,products!$H$2:$H$49)</f>
        <v>10.237500000000001</v>
      </c>
      <c r="P434">
        <f t="shared" si="38"/>
        <v>22.5</v>
      </c>
      <c r="Q434">
        <f t="shared" si="39"/>
        <v>20.475000000000001</v>
      </c>
      <c r="R434">
        <f t="shared" si="40"/>
        <v>2.0249999999999986</v>
      </c>
      <c r="S434" s="4">
        <f t="shared" si="41"/>
        <v>8.9999999999999941E-2</v>
      </c>
      <c r="T434" t="str">
        <f>_xlfn.XLOOKUP(C434,customers!$A$1:$A$1001,customers!$I$1:$I$1001,,0)</f>
        <v>No</v>
      </c>
    </row>
    <row r="435" spans="1:20"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INDEX(products!$A$1:$I$49,MATCH(orders!$D435,products!$A$1:$A$49,0),MATCH(orders!I$1,products!$A$1:$D$1,0))</f>
        <v>Lib</v>
      </c>
      <c r="J435" t="str">
        <f t="shared" si="36"/>
        <v>Liberica</v>
      </c>
      <c r="K435" t="str">
        <f>INDEX(products!$A$1:$I$49,MATCH(orders!$D435,products!$A$1:$A$49,0),MATCH(orders!K$1,products!$A$1:$D$1,0))</f>
        <v>M</v>
      </c>
      <c r="L435" t="str">
        <f t="shared" si="37"/>
        <v>Medium</v>
      </c>
      <c r="M435">
        <f>INDEX(products!$A$1:$I$49,MATCH(orders!$D435,products!$A$1:$A$49,0),MATCH(orders!M$1,products!$A$1:$D$1,0))</f>
        <v>2.5</v>
      </c>
      <c r="N435">
        <f>_xlfn.XLOOKUP(D435,products!$A$2:$A$49,products!$E$2:$E$49)</f>
        <v>33.464999999999996</v>
      </c>
      <c r="O435">
        <f>_xlfn.XLOOKUP(D435,products!$A$2:$A$49,products!$H$2:$H$49)</f>
        <v>29.114549999999998</v>
      </c>
      <c r="P435">
        <f t="shared" si="38"/>
        <v>200.78999999999996</v>
      </c>
      <c r="Q435">
        <f t="shared" si="39"/>
        <v>174.68729999999999</v>
      </c>
      <c r="R435">
        <f t="shared" si="40"/>
        <v>26.10269999999997</v>
      </c>
      <c r="S435" s="4">
        <f t="shared" si="41"/>
        <v>0.12999999999999987</v>
      </c>
      <c r="T435" t="str">
        <f>_xlfn.XLOOKUP(C435,customers!$A$1:$A$1001,customers!$I$1:$I$1001,,0)</f>
        <v>Yes</v>
      </c>
    </row>
    <row r="436" spans="1:20"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v>
      </c>
      <c r="H436" s="2" t="str">
        <f>_xlfn.XLOOKUP(C436,customers!$A$1:$A$1001,customers!$G$1:$G$1001,,0)</f>
        <v>United States</v>
      </c>
      <c r="I436" t="str">
        <f>INDEX(products!$A$1:$I$49,MATCH(orders!$D436,products!$A$1:$A$49,0),MATCH(orders!I$1,products!$A$1:$D$1,0))</f>
        <v>Ara</v>
      </c>
      <c r="J436" t="str">
        <f t="shared" si="36"/>
        <v>Arabica</v>
      </c>
      <c r="K436" t="str">
        <f>INDEX(products!$A$1:$I$49,MATCH(orders!$D436,products!$A$1:$A$49,0),MATCH(orders!K$1,products!$A$1:$D$1,0))</f>
        <v>M</v>
      </c>
      <c r="L436" t="str">
        <f t="shared" si="37"/>
        <v>Medium</v>
      </c>
      <c r="M436">
        <f>INDEX(products!$A$1:$I$49,MATCH(orders!$D436,products!$A$1:$A$49,0),MATCH(orders!M$1,products!$A$1:$D$1,0))</f>
        <v>1</v>
      </c>
      <c r="N436">
        <f>_xlfn.XLOOKUP(D436,products!$A$2:$A$49,products!$E$2:$E$49)</f>
        <v>11.25</v>
      </c>
      <c r="O436">
        <f>_xlfn.XLOOKUP(D436,products!$A$2:$A$49,products!$H$2:$H$49)</f>
        <v>10.237500000000001</v>
      </c>
      <c r="P436">
        <f t="shared" si="38"/>
        <v>67.5</v>
      </c>
      <c r="Q436">
        <f t="shared" si="39"/>
        <v>61.425000000000004</v>
      </c>
      <c r="R436">
        <f t="shared" si="40"/>
        <v>6.0749999999999957</v>
      </c>
      <c r="S436" s="4">
        <f t="shared" si="41"/>
        <v>8.9999999999999941E-2</v>
      </c>
      <c r="T436" t="str">
        <f>_xlfn.XLOOKUP(C436,customers!$A$1:$A$1001,customers!$I$1:$I$1001,,0)</f>
        <v>No</v>
      </c>
    </row>
    <row r="437" spans="1:20"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INDEX(products!$A$1:$I$49,MATCH(orders!$D437,products!$A$1:$A$49,0),MATCH(orders!I$1,products!$A$1:$D$1,0))</f>
        <v>Exc</v>
      </c>
      <c r="J437" t="str">
        <f t="shared" si="36"/>
        <v>Excelsa</v>
      </c>
      <c r="K437" t="str">
        <f>INDEX(products!$A$1:$I$49,MATCH(orders!$D437,products!$A$1:$A$49,0),MATCH(orders!K$1,products!$A$1:$D$1,0))</f>
        <v>M</v>
      </c>
      <c r="L437" t="str">
        <f t="shared" si="37"/>
        <v>Medium</v>
      </c>
      <c r="M437">
        <f>INDEX(products!$A$1:$I$49,MATCH(orders!$D437,products!$A$1:$A$49,0),MATCH(orders!M$1,products!$A$1:$D$1,0))</f>
        <v>0.5</v>
      </c>
      <c r="N437">
        <f>_xlfn.XLOOKUP(D437,products!$A$2:$A$49,products!$E$2:$E$49)</f>
        <v>8.25</v>
      </c>
      <c r="O437">
        <f>_xlfn.XLOOKUP(D437,products!$A$2:$A$49,products!$H$2:$H$49)</f>
        <v>7.3425000000000002</v>
      </c>
      <c r="P437">
        <f t="shared" si="38"/>
        <v>8.25</v>
      </c>
      <c r="Q437">
        <f t="shared" si="39"/>
        <v>7.3425000000000002</v>
      </c>
      <c r="R437">
        <f t="shared" si="40"/>
        <v>0.90749999999999975</v>
      </c>
      <c r="S437" s="4">
        <f t="shared" si="41"/>
        <v>0.10999999999999997</v>
      </c>
      <c r="T437" t="str">
        <f>_xlfn.XLOOKUP(C437,customers!$A$1:$A$1001,customers!$I$1:$I$1001,,0)</f>
        <v>No</v>
      </c>
    </row>
    <row r="438" spans="1:20"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INDEX(products!$A$1:$I$49,MATCH(orders!$D438,products!$A$1:$A$49,0),MATCH(orders!I$1,products!$A$1:$D$1,0))</f>
        <v>Lib</v>
      </c>
      <c r="J438" t="str">
        <f t="shared" si="36"/>
        <v>Liberica</v>
      </c>
      <c r="K438" t="str">
        <f>INDEX(products!$A$1:$I$49,MATCH(orders!$D438,products!$A$1:$A$49,0),MATCH(orders!K$1,products!$A$1:$D$1,0))</f>
        <v>L</v>
      </c>
      <c r="L438" t="str">
        <f t="shared" si="37"/>
        <v>Light</v>
      </c>
      <c r="M438">
        <f>INDEX(products!$A$1:$I$49,MATCH(orders!$D438,products!$A$1:$A$49,0),MATCH(orders!M$1,products!$A$1:$D$1,0))</f>
        <v>0.2</v>
      </c>
      <c r="N438">
        <f>_xlfn.XLOOKUP(D438,products!$A$2:$A$49,products!$E$2:$E$49)</f>
        <v>4.7549999999999999</v>
      </c>
      <c r="O438">
        <f>_xlfn.XLOOKUP(D438,products!$A$2:$A$49,products!$H$2:$H$49)</f>
        <v>4.1368499999999999</v>
      </c>
      <c r="P438">
        <f t="shared" si="38"/>
        <v>9.51</v>
      </c>
      <c r="Q438">
        <f t="shared" si="39"/>
        <v>8.2736999999999998</v>
      </c>
      <c r="R438">
        <f t="shared" si="40"/>
        <v>1.2363</v>
      </c>
      <c r="S438" s="4">
        <f t="shared" si="41"/>
        <v>0.13</v>
      </c>
      <c r="T438" t="str">
        <f>_xlfn.XLOOKUP(C438,customers!$A$1:$A$1001,customers!$I$1:$I$1001,,0)</f>
        <v>Yes</v>
      </c>
    </row>
    <row r="439" spans="1:20"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v>
      </c>
      <c r="H439" s="2" t="str">
        <f>_xlfn.XLOOKUP(C439,customers!$A$1:$A$1001,customers!$G$1:$G$1001,,0)</f>
        <v>United States</v>
      </c>
      <c r="I439" t="str">
        <f>INDEX(products!$A$1:$I$49,MATCH(orders!$D439,products!$A$1:$A$49,0),MATCH(orders!I$1,products!$A$1:$D$1,0))</f>
        <v>Lib</v>
      </c>
      <c r="J439" t="str">
        <f t="shared" si="36"/>
        <v>Liberica</v>
      </c>
      <c r="K439" t="str">
        <f>INDEX(products!$A$1:$I$49,MATCH(orders!$D439,products!$A$1:$A$49,0),MATCH(orders!K$1,products!$A$1:$D$1,0))</f>
        <v>D</v>
      </c>
      <c r="L439" t="str">
        <f t="shared" si="37"/>
        <v>Dark</v>
      </c>
      <c r="M439">
        <f>INDEX(products!$A$1:$I$49,MATCH(orders!$D439,products!$A$1:$A$49,0),MATCH(orders!M$1,products!$A$1:$D$1,0))</f>
        <v>2.5</v>
      </c>
      <c r="N439">
        <f>_xlfn.XLOOKUP(D439,products!$A$2:$A$49,products!$E$2:$E$49)</f>
        <v>29.784999999999997</v>
      </c>
      <c r="O439">
        <f>_xlfn.XLOOKUP(D439,products!$A$2:$A$49,products!$H$2:$H$49)</f>
        <v>25.912949999999995</v>
      </c>
      <c r="P439">
        <f t="shared" si="38"/>
        <v>29.784999999999997</v>
      </c>
      <c r="Q439">
        <f t="shared" si="39"/>
        <v>25.912949999999995</v>
      </c>
      <c r="R439">
        <f t="shared" si="40"/>
        <v>3.8720500000000015</v>
      </c>
      <c r="S439" s="4">
        <f t="shared" si="41"/>
        <v>0.13000000000000006</v>
      </c>
      <c r="T439" t="str">
        <f>_xlfn.XLOOKUP(C439,customers!$A$1:$A$1001,customers!$I$1:$I$1001,,0)</f>
        <v>No</v>
      </c>
    </row>
    <row r="440" spans="1:20"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INDEX(products!$A$1:$I$49,MATCH(orders!$D440,products!$A$1:$A$49,0),MATCH(orders!I$1,products!$A$1:$D$1,0))</f>
        <v>Lib</v>
      </c>
      <c r="J440" t="str">
        <f t="shared" si="36"/>
        <v>Liberica</v>
      </c>
      <c r="K440" t="str">
        <f>INDEX(products!$A$1:$I$49,MATCH(orders!$D440,products!$A$1:$A$49,0),MATCH(orders!K$1,products!$A$1:$D$1,0))</f>
        <v>D</v>
      </c>
      <c r="L440" t="str">
        <f t="shared" si="37"/>
        <v>Dark</v>
      </c>
      <c r="M440">
        <f>INDEX(products!$A$1:$I$49,MATCH(orders!$D440,products!$A$1:$A$49,0),MATCH(orders!M$1,products!$A$1:$D$1,0))</f>
        <v>0.5</v>
      </c>
      <c r="N440">
        <f>_xlfn.XLOOKUP(D440,products!$A$2:$A$49,products!$E$2:$E$49)</f>
        <v>7.77</v>
      </c>
      <c r="O440">
        <f>_xlfn.XLOOKUP(D440,products!$A$2:$A$49,products!$H$2:$H$49)</f>
        <v>6.7599</v>
      </c>
      <c r="P440">
        <f t="shared" si="38"/>
        <v>15.54</v>
      </c>
      <c r="Q440">
        <f t="shared" si="39"/>
        <v>13.5198</v>
      </c>
      <c r="R440">
        <f t="shared" si="40"/>
        <v>2.0201999999999991</v>
      </c>
      <c r="S440" s="4">
        <f t="shared" si="41"/>
        <v>0.12999999999999995</v>
      </c>
      <c r="T440" t="str">
        <f>_xlfn.XLOOKUP(C440,customers!$A$1:$A$1001,customers!$I$1:$I$1001,,0)</f>
        <v>No</v>
      </c>
    </row>
    <row r="441" spans="1:20"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INDEX(products!$A$1:$I$49,MATCH(orders!$D441,products!$A$1:$A$49,0),MATCH(orders!I$1,products!$A$1:$D$1,0))</f>
        <v>Exc</v>
      </c>
      <c r="J441" t="str">
        <f t="shared" si="36"/>
        <v>Excelsa</v>
      </c>
      <c r="K441" t="str">
        <f>INDEX(products!$A$1:$I$49,MATCH(orders!$D441,products!$A$1:$A$49,0),MATCH(orders!K$1,products!$A$1:$D$1,0))</f>
        <v>L</v>
      </c>
      <c r="L441" t="str">
        <f t="shared" si="37"/>
        <v>Light</v>
      </c>
      <c r="M441">
        <f>INDEX(products!$A$1:$I$49,MATCH(orders!$D441,products!$A$1:$A$49,0),MATCH(orders!M$1,products!$A$1:$D$1,0))</f>
        <v>0.5</v>
      </c>
      <c r="N441">
        <f>_xlfn.XLOOKUP(D441,products!$A$2:$A$49,products!$E$2:$E$49)</f>
        <v>8.91</v>
      </c>
      <c r="O441">
        <f>_xlfn.XLOOKUP(D441,products!$A$2:$A$49,products!$H$2:$H$49)</f>
        <v>7.9298999999999999</v>
      </c>
      <c r="P441">
        <f t="shared" si="38"/>
        <v>35.64</v>
      </c>
      <c r="Q441">
        <f t="shared" si="39"/>
        <v>31.7196</v>
      </c>
      <c r="R441">
        <f t="shared" si="40"/>
        <v>3.9204000000000008</v>
      </c>
      <c r="S441" s="4">
        <f t="shared" si="41"/>
        <v>0.11000000000000001</v>
      </c>
      <c r="T441" t="str">
        <f>_xlfn.XLOOKUP(C441,customers!$A$1:$A$1001,customers!$I$1:$I$1001,,0)</f>
        <v>No</v>
      </c>
    </row>
    <row r="442" spans="1:20"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INDEX(products!$A$1:$I$49,MATCH(orders!$D442,products!$A$1:$A$49,0),MATCH(orders!I$1,products!$A$1:$D$1,0))</f>
        <v>Ara</v>
      </c>
      <c r="J442" t="str">
        <f t="shared" si="36"/>
        <v>Arabica</v>
      </c>
      <c r="K442" t="str">
        <f>INDEX(products!$A$1:$I$49,MATCH(orders!$D442,products!$A$1:$A$49,0),MATCH(orders!K$1,products!$A$1:$D$1,0))</f>
        <v>M</v>
      </c>
      <c r="L442" t="str">
        <f t="shared" si="37"/>
        <v>Medium</v>
      </c>
      <c r="M442">
        <f>INDEX(products!$A$1:$I$49,MATCH(orders!$D442,products!$A$1:$A$49,0),MATCH(orders!M$1,products!$A$1:$D$1,0))</f>
        <v>2.5</v>
      </c>
      <c r="N442">
        <f>_xlfn.XLOOKUP(D442,products!$A$2:$A$49,products!$E$2:$E$49)</f>
        <v>25.874999999999996</v>
      </c>
      <c r="O442">
        <f>_xlfn.XLOOKUP(D442,products!$A$2:$A$49,products!$H$2:$H$49)</f>
        <v>23.546249999999997</v>
      </c>
      <c r="P442">
        <f t="shared" si="38"/>
        <v>103.49999999999999</v>
      </c>
      <c r="Q442">
        <f t="shared" si="39"/>
        <v>94.184999999999988</v>
      </c>
      <c r="R442">
        <f t="shared" si="40"/>
        <v>9.3149999999999977</v>
      </c>
      <c r="S442" s="4">
        <f t="shared" si="41"/>
        <v>0.09</v>
      </c>
      <c r="T442" t="str">
        <f>_xlfn.XLOOKUP(C442,customers!$A$1:$A$1001,customers!$I$1:$I$1001,,0)</f>
        <v>Yes</v>
      </c>
    </row>
    <row r="443" spans="1:20"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INDEX(products!$A$1:$I$49,MATCH(orders!$D443,products!$A$1:$A$49,0),MATCH(orders!I$1,products!$A$1:$D$1,0))</f>
        <v>Exc</v>
      </c>
      <c r="J443" t="str">
        <f t="shared" si="36"/>
        <v>Excelsa</v>
      </c>
      <c r="K443" t="str">
        <f>INDEX(products!$A$1:$I$49,MATCH(orders!$D443,products!$A$1:$A$49,0),MATCH(orders!K$1,products!$A$1:$D$1,0))</f>
        <v>D</v>
      </c>
      <c r="L443" t="str">
        <f t="shared" si="37"/>
        <v>Dark</v>
      </c>
      <c r="M443">
        <f>INDEX(products!$A$1:$I$49,MATCH(orders!$D443,products!$A$1:$A$49,0),MATCH(orders!M$1,products!$A$1:$D$1,0))</f>
        <v>1</v>
      </c>
      <c r="N443">
        <f>_xlfn.XLOOKUP(D443,products!$A$2:$A$49,products!$E$2:$E$49)</f>
        <v>12.15</v>
      </c>
      <c r="O443">
        <f>_xlfn.XLOOKUP(D443,products!$A$2:$A$49,products!$H$2:$H$49)</f>
        <v>10.813500000000001</v>
      </c>
      <c r="P443">
        <f t="shared" si="38"/>
        <v>36.450000000000003</v>
      </c>
      <c r="Q443">
        <f t="shared" si="39"/>
        <v>32.4405</v>
      </c>
      <c r="R443">
        <f t="shared" si="40"/>
        <v>4.0095000000000027</v>
      </c>
      <c r="S443" s="4">
        <f t="shared" si="41"/>
        <v>0.11000000000000007</v>
      </c>
      <c r="T443" t="str">
        <f>_xlfn.XLOOKUP(C443,customers!$A$1:$A$1001,customers!$I$1:$I$1001,,0)</f>
        <v>Yes</v>
      </c>
    </row>
    <row r="444" spans="1:20"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INDEX(products!$A$1:$I$49,MATCH(orders!$D444,products!$A$1:$A$49,0),MATCH(orders!I$1,products!$A$1:$D$1,0))</f>
        <v>Rob</v>
      </c>
      <c r="J444" t="str">
        <f t="shared" si="36"/>
        <v>Robusta</v>
      </c>
      <c r="K444" t="str">
        <f>INDEX(products!$A$1:$I$49,MATCH(orders!$D444,products!$A$1:$A$49,0),MATCH(orders!K$1,products!$A$1:$D$1,0))</f>
        <v>L</v>
      </c>
      <c r="L444" t="str">
        <f t="shared" si="37"/>
        <v>Light</v>
      </c>
      <c r="M444">
        <f>INDEX(products!$A$1:$I$49,MATCH(orders!$D444,products!$A$1:$A$49,0),MATCH(orders!M$1,products!$A$1:$D$1,0))</f>
        <v>0.5</v>
      </c>
      <c r="N444">
        <f>_xlfn.XLOOKUP(D444,products!$A$2:$A$49,products!$E$2:$E$49)</f>
        <v>7.169999999999999</v>
      </c>
      <c r="O444">
        <f>_xlfn.XLOOKUP(D444,products!$A$2:$A$49,products!$H$2:$H$49)</f>
        <v>6.7397999999999989</v>
      </c>
      <c r="P444">
        <f t="shared" si="38"/>
        <v>35.849999999999994</v>
      </c>
      <c r="Q444">
        <f t="shared" si="39"/>
        <v>33.698999999999998</v>
      </c>
      <c r="R444">
        <f t="shared" si="40"/>
        <v>2.1509999999999962</v>
      </c>
      <c r="S444" s="4">
        <f t="shared" si="41"/>
        <v>5.9999999999999908E-2</v>
      </c>
      <c r="T444" t="str">
        <f>_xlfn.XLOOKUP(C444,customers!$A$1:$A$1001,customers!$I$1:$I$1001,,0)</f>
        <v>No</v>
      </c>
    </row>
    <row r="445" spans="1:20"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INDEX(products!$A$1:$I$49,MATCH(orders!$D445,products!$A$1:$A$49,0),MATCH(orders!I$1,products!$A$1:$D$1,0))</f>
        <v>Exc</v>
      </c>
      <c r="J445" t="str">
        <f t="shared" si="36"/>
        <v>Excelsa</v>
      </c>
      <c r="K445" t="str">
        <f>INDEX(products!$A$1:$I$49,MATCH(orders!$D445,products!$A$1:$A$49,0),MATCH(orders!K$1,products!$A$1:$D$1,0))</f>
        <v>L</v>
      </c>
      <c r="L445" t="str">
        <f t="shared" si="37"/>
        <v>Light</v>
      </c>
      <c r="M445">
        <f>INDEX(products!$A$1:$I$49,MATCH(orders!$D445,products!$A$1:$A$49,0),MATCH(orders!M$1,products!$A$1:$D$1,0))</f>
        <v>0.2</v>
      </c>
      <c r="N445">
        <f>_xlfn.XLOOKUP(D445,products!$A$2:$A$49,products!$E$2:$E$49)</f>
        <v>4.4550000000000001</v>
      </c>
      <c r="O445">
        <f>_xlfn.XLOOKUP(D445,products!$A$2:$A$49,products!$H$2:$H$49)</f>
        <v>3.96495</v>
      </c>
      <c r="P445">
        <f t="shared" si="38"/>
        <v>22.274999999999999</v>
      </c>
      <c r="Q445">
        <f t="shared" si="39"/>
        <v>19.824750000000002</v>
      </c>
      <c r="R445">
        <f t="shared" si="40"/>
        <v>2.4502499999999969</v>
      </c>
      <c r="S445" s="4">
        <f t="shared" si="41"/>
        <v>0.10999999999999988</v>
      </c>
      <c r="T445" t="str">
        <f>_xlfn.XLOOKUP(C445,customers!$A$1:$A$1001,customers!$I$1:$I$1001,,0)</f>
        <v>Yes</v>
      </c>
    </row>
    <row r="446" spans="1:20"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INDEX(products!$A$1:$I$49,MATCH(orders!$D446,products!$A$1:$A$49,0),MATCH(orders!I$1,products!$A$1:$D$1,0))</f>
        <v>Exc</v>
      </c>
      <c r="J446" t="str">
        <f t="shared" si="36"/>
        <v>Excelsa</v>
      </c>
      <c r="K446" t="str">
        <f>INDEX(products!$A$1:$I$49,MATCH(orders!$D446,products!$A$1:$A$49,0),MATCH(orders!K$1,products!$A$1:$D$1,0))</f>
        <v>M</v>
      </c>
      <c r="L446" t="str">
        <f t="shared" si="37"/>
        <v>Medium</v>
      </c>
      <c r="M446">
        <f>INDEX(products!$A$1:$I$49,MATCH(orders!$D446,products!$A$1:$A$49,0),MATCH(orders!M$1,products!$A$1:$D$1,0))</f>
        <v>0.2</v>
      </c>
      <c r="N446">
        <f>_xlfn.XLOOKUP(D446,products!$A$2:$A$49,products!$E$2:$E$49)</f>
        <v>4.125</v>
      </c>
      <c r="O446">
        <f>_xlfn.XLOOKUP(D446,products!$A$2:$A$49,products!$H$2:$H$49)</f>
        <v>3.6712500000000001</v>
      </c>
      <c r="P446">
        <f t="shared" si="38"/>
        <v>24.75</v>
      </c>
      <c r="Q446">
        <f t="shared" si="39"/>
        <v>22.0275</v>
      </c>
      <c r="R446">
        <f t="shared" si="40"/>
        <v>2.7225000000000001</v>
      </c>
      <c r="S446" s="4">
        <f t="shared" si="41"/>
        <v>0.11</v>
      </c>
      <c r="T446" t="str">
        <f>_xlfn.XLOOKUP(C446,customers!$A$1:$A$1001,customers!$I$1:$I$1001,,0)</f>
        <v>No</v>
      </c>
    </row>
    <row r="447" spans="1:20"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INDEX(products!$A$1:$I$49,MATCH(orders!$D447,products!$A$1:$A$49,0),MATCH(orders!I$1,products!$A$1:$D$1,0))</f>
        <v>Lib</v>
      </c>
      <c r="J447" t="str">
        <f t="shared" si="36"/>
        <v>Liberica</v>
      </c>
      <c r="K447" t="str">
        <f>INDEX(products!$A$1:$I$49,MATCH(orders!$D447,products!$A$1:$A$49,0),MATCH(orders!K$1,products!$A$1:$D$1,0))</f>
        <v>M</v>
      </c>
      <c r="L447" t="str">
        <f t="shared" si="37"/>
        <v>Medium</v>
      </c>
      <c r="M447">
        <f>INDEX(products!$A$1:$I$49,MATCH(orders!$D447,products!$A$1:$A$49,0),MATCH(orders!M$1,products!$A$1:$D$1,0))</f>
        <v>2.5</v>
      </c>
      <c r="N447">
        <f>_xlfn.XLOOKUP(D447,products!$A$2:$A$49,products!$E$2:$E$49)</f>
        <v>33.464999999999996</v>
      </c>
      <c r="O447">
        <f>_xlfn.XLOOKUP(D447,products!$A$2:$A$49,products!$H$2:$H$49)</f>
        <v>29.114549999999998</v>
      </c>
      <c r="P447">
        <f t="shared" si="38"/>
        <v>66.929999999999993</v>
      </c>
      <c r="Q447">
        <f t="shared" si="39"/>
        <v>58.229099999999995</v>
      </c>
      <c r="R447">
        <f t="shared" si="40"/>
        <v>8.7008999999999972</v>
      </c>
      <c r="S447" s="4">
        <f t="shared" si="41"/>
        <v>0.12999999999999998</v>
      </c>
      <c r="T447" t="str">
        <f>_xlfn.XLOOKUP(C447,customers!$A$1:$A$1001,customers!$I$1:$I$1001,,0)</f>
        <v>Yes</v>
      </c>
    </row>
    <row r="448" spans="1:20"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INDEX(products!$A$1:$I$49,MATCH(orders!$D448,products!$A$1:$A$49,0),MATCH(orders!I$1,products!$A$1:$D$1,0))</f>
        <v>Lib</v>
      </c>
      <c r="J448" t="str">
        <f t="shared" si="36"/>
        <v>Liberica</v>
      </c>
      <c r="K448" t="str">
        <f>INDEX(products!$A$1:$I$49,MATCH(orders!$D448,products!$A$1:$A$49,0),MATCH(orders!K$1,products!$A$1:$D$1,0))</f>
        <v>M</v>
      </c>
      <c r="L448" t="str">
        <f t="shared" si="37"/>
        <v>Medium</v>
      </c>
      <c r="M448">
        <f>INDEX(products!$A$1:$I$49,MATCH(orders!$D448,products!$A$1:$A$49,0),MATCH(orders!M$1,products!$A$1:$D$1,0))</f>
        <v>0.5</v>
      </c>
      <c r="N448">
        <f>_xlfn.XLOOKUP(D448,products!$A$2:$A$49,products!$E$2:$E$49)</f>
        <v>8.73</v>
      </c>
      <c r="O448">
        <f>_xlfn.XLOOKUP(D448,products!$A$2:$A$49,products!$H$2:$H$49)</f>
        <v>7.5951000000000004</v>
      </c>
      <c r="P448">
        <f t="shared" si="38"/>
        <v>8.73</v>
      </c>
      <c r="Q448">
        <f t="shared" si="39"/>
        <v>7.5951000000000004</v>
      </c>
      <c r="R448">
        <f t="shared" si="40"/>
        <v>1.1349</v>
      </c>
      <c r="S448" s="4">
        <f t="shared" si="41"/>
        <v>0.13</v>
      </c>
      <c r="T448" t="str">
        <f>_xlfn.XLOOKUP(C448,customers!$A$1:$A$1001,customers!$I$1:$I$1001,,0)</f>
        <v>Yes</v>
      </c>
    </row>
    <row r="449" spans="1:20"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INDEX(products!$A$1:$I$49,MATCH(orders!$D449,products!$A$1:$A$49,0),MATCH(orders!I$1,products!$A$1:$D$1,0))</f>
        <v>Rob</v>
      </c>
      <c r="J449" t="str">
        <f t="shared" si="36"/>
        <v>Robusta</v>
      </c>
      <c r="K449" t="str">
        <f>INDEX(products!$A$1:$I$49,MATCH(orders!$D449,products!$A$1:$A$49,0),MATCH(orders!K$1,products!$A$1:$D$1,0))</f>
        <v>M</v>
      </c>
      <c r="L449" t="str">
        <f t="shared" si="37"/>
        <v>Medium</v>
      </c>
      <c r="M449">
        <f>INDEX(products!$A$1:$I$49,MATCH(orders!$D449,products!$A$1:$A$49,0),MATCH(orders!M$1,products!$A$1:$D$1,0))</f>
        <v>0.5</v>
      </c>
      <c r="N449">
        <f>_xlfn.XLOOKUP(D449,products!$A$2:$A$49,products!$E$2:$E$49)</f>
        <v>5.97</v>
      </c>
      <c r="O449">
        <f>_xlfn.XLOOKUP(D449,products!$A$2:$A$49,products!$H$2:$H$49)</f>
        <v>5.6117999999999997</v>
      </c>
      <c r="P449">
        <f t="shared" si="38"/>
        <v>17.91</v>
      </c>
      <c r="Q449">
        <f t="shared" si="39"/>
        <v>16.8354</v>
      </c>
      <c r="R449">
        <f t="shared" si="40"/>
        <v>1.0746000000000002</v>
      </c>
      <c r="S449" s="4">
        <f t="shared" si="41"/>
        <v>6.0000000000000012E-2</v>
      </c>
      <c r="T449" t="str">
        <f>_xlfn.XLOOKUP(C449,customers!$A$1:$A$1001,customers!$I$1:$I$1001,,0)</f>
        <v>No</v>
      </c>
    </row>
    <row r="450" spans="1:20"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INDEX(products!$A$1:$I$49,MATCH(orders!$D450,products!$A$1:$A$49,0),MATCH(orders!I$1,products!$A$1:$D$1,0))</f>
        <v>Rob</v>
      </c>
      <c r="J450" t="str">
        <f t="shared" si="36"/>
        <v>Robusta</v>
      </c>
      <c r="K450" t="str">
        <f>INDEX(products!$A$1:$I$49,MATCH(orders!$D450,products!$A$1:$A$49,0),MATCH(orders!K$1,products!$A$1:$D$1,0))</f>
        <v>L</v>
      </c>
      <c r="L450" t="str">
        <f t="shared" si="37"/>
        <v>Light</v>
      </c>
      <c r="M450">
        <f>INDEX(products!$A$1:$I$49,MATCH(orders!$D450,products!$A$1:$A$49,0),MATCH(orders!M$1,products!$A$1:$D$1,0))</f>
        <v>0.5</v>
      </c>
      <c r="N450">
        <f>_xlfn.XLOOKUP(D450,products!$A$2:$A$49,products!$E$2:$E$49)</f>
        <v>7.169999999999999</v>
      </c>
      <c r="O450">
        <f>_xlfn.XLOOKUP(D450,products!$A$2:$A$49,products!$H$2:$H$49)</f>
        <v>6.7397999999999989</v>
      </c>
      <c r="P450">
        <f t="shared" si="38"/>
        <v>7.169999999999999</v>
      </c>
      <c r="Q450">
        <f t="shared" si="39"/>
        <v>6.7397999999999989</v>
      </c>
      <c r="R450">
        <f t="shared" si="40"/>
        <v>0.43020000000000014</v>
      </c>
      <c r="S450" s="4">
        <f t="shared" si="41"/>
        <v>6.0000000000000026E-2</v>
      </c>
      <c r="T450" t="str">
        <f>_xlfn.XLOOKUP(C450,customers!$A$1:$A$1001,customers!$I$1:$I$1001,,0)</f>
        <v>No</v>
      </c>
    </row>
    <row r="451" spans="1:20"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INDEX(products!$A$1:$I$49,MATCH(orders!$D451,products!$A$1:$A$49,0),MATCH(orders!I$1,products!$A$1:$D$1,0))</f>
        <v>Rob</v>
      </c>
      <c r="J451" t="str">
        <f t="shared" ref="J451:J514" si="42">IF(I451="Rob","Robusta",IF(I451="Exc","Excelsa",IF(I451="Ara","Arabica",IF(I451="Lib","Liberica",""))))</f>
        <v>Robusta</v>
      </c>
      <c r="K451" t="str">
        <f>INDEX(products!$A$1:$I$49,MATCH(orders!$D451,products!$A$1:$A$49,0),MATCH(orders!K$1,products!$A$1:$D$1,0))</f>
        <v>D</v>
      </c>
      <c r="L451" t="str">
        <f t="shared" ref="L451:L514" si="43">IF(K451="M","Medium",IF(K451="L","Light",IF(K451="D","Dark","")))</f>
        <v>Dark</v>
      </c>
      <c r="M451">
        <f>INDEX(products!$A$1:$I$49,MATCH(orders!$D451,products!$A$1:$A$49,0),MATCH(orders!M$1,products!$A$1:$D$1,0))</f>
        <v>0.2</v>
      </c>
      <c r="N451">
        <f>_xlfn.XLOOKUP(D451,products!$A$2:$A$49,products!$E$2:$E$49)</f>
        <v>2.6849999999999996</v>
      </c>
      <c r="O451">
        <f>_xlfn.XLOOKUP(D451,products!$A$2:$A$49,products!$H$2:$H$49)</f>
        <v>2.5238999999999998</v>
      </c>
      <c r="P451">
        <f t="shared" ref="P451:P514" si="44">N451*E451</f>
        <v>5.3699999999999992</v>
      </c>
      <c r="Q451">
        <f t="shared" ref="Q451:Q514" si="45">O451*E451</f>
        <v>5.0477999999999996</v>
      </c>
      <c r="R451">
        <f t="shared" ref="R451:R514" si="46">P451-Q451</f>
        <v>0.3221999999999996</v>
      </c>
      <c r="S451" s="4">
        <f t="shared" ref="S451:S514" si="47">R451/P451</f>
        <v>5.9999999999999935E-2</v>
      </c>
      <c r="T451" t="str">
        <f>_xlfn.XLOOKUP(C451,customers!$A$1:$A$1001,customers!$I$1:$I$1001,,0)</f>
        <v>No</v>
      </c>
    </row>
    <row r="452" spans="1:20"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INDEX(products!$A$1:$I$49,MATCH(orders!$D452,products!$A$1:$A$49,0),MATCH(orders!I$1,products!$A$1:$D$1,0))</f>
        <v>Lib</v>
      </c>
      <c r="J452" t="str">
        <f t="shared" si="42"/>
        <v>Liberica</v>
      </c>
      <c r="K452" t="str">
        <f>INDEX(products!$A$1:$I$49,MATCH(orders!$D452,products!$A$1:$A$49,0),MATCH(orders!K$1,products!$A$1:$D$1,0))</f>
        <v>L</v>
      </c>
      <c r="L452" t="str">
        <f t="shared" si="43"/>
        <v>Light</v>
      </c>
      <c r="M452">
        <f>INDEX(products!$A$1:$I$49,MATCH(orders!$D452,products!$A$1:$A$49,0),MATCH(orders!M$1,products!$A$1:$D$1,0))</f>
        <v>0.2</v>
      </c>
      <c r="N452">
        <f>_xlfn.XLOOKUP(D452,products!$A$2:$A$49,products!$E$2:$E$49)</f>
        <v>4.7549999999999999</v>
      </c>
      <c r="O452">
        <f>_xlfn.XLOOKUP(D452,products!$A$2:$A$49,products!$H$2:$H$49)</f>
        <v>4.1368499999999999</v>
      </c>
      <c r="P452">
        <f t="shared" si="44"/>
        <v>23.774999999999999</v>
      </c>
      <c r="Q452">
        <f t="shared" si="45"/>
        <v>20.684249999999999</v>
      </c>
      <c r="R452">
        <f t="shared" si="46"/>
        <v>3.0907499999999999</v>
      </c>
      <c r="S452" s="4">
        <f t="shared" si="47"/>
        <v>0.13</v>
      </c>
      <c r="T452" t="str">
        <f>_xlfn.XLOOKUP(C452,customers!$A$1:$A$1001,customers!$I$1:$I$1001,,0)</f>
        <v>No</v>
      </c>
    </row>
    <row r="453" spans="1:20"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INDEX(products!$A$1:$I$49,MATCH(orders!$D453,products!$A$1:$A$49,0),MATCH(orders!I$1,products!$A$1:$D$1,0))</f>
        <v>Rob</v>
      </c>
      <c r="J453" t="str">
        <f t="shared" si="42"/>
        <v>Robusta</v>
      </c>
      <c r="K453" t="str">
        <f>INDEX(products!$A$1:$I$49,MATCH(orders!$D453,products!$A$1:$A$49,0),MATCH(orders!K$1,products!$A$1:$D$1,0))</f>
        <v>D</v>
      </c>
      <c r="L453" t="str">
        <f t="shared" si="43"/>
        <v>Dark</v>
      </c>
      <c r="M453">
        <f>INDEX(products!$A$1:$I$49,MATCH(orders!$D453,products!$A$1:$A$49,0),MATCH(orders!M$1,products!$A$1:$D$1,0))</f>
        <v>2.5</v>
      </c>
      <c r="N453">
        <f>_xlfn.XLOOKUP(D453,products!$A$2:$A$49,products!$E$2:$E$49)</f>
        <v>20.584999999999997</v>
      </c>
      <c r="O453">
        <f>_xlfn.XLOOKUP(D453,products!$A$2:$A$49,products!$H$2:$H$49)</f>
        <v>19.349899999999998</v>
      </c>
      <c r="P453">
        <f t="shared" si="44"/>
        <v>41.169999999999995</v>
      </c>
      <c r="Q453">
        <f t="shared" si="45"/>
        <v>38.699799999999996</v>
      </c>
      <c r="R453">
        <f t="shared" si="46"/>
        <v>2.4701999999999984</v>
      </c>
      <c r="S453" s="4">
        <f t="shared" si="47"/>
        <v>5.999999999999997E-2</v>
      </c>
      <c r="T453" t="str">
        <f>_xlfn.XLOOKUP(C453,customers!$A$1:$A$1001,customers!$I$1:$I$1001,,0)</f>
        <v>Yes</v>
      </c>
    </row>
    <row r="454" spans="1:20"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INDEX(products!$A$1:$I$49,MATCH(orders!$D454,products!$A$1:$A$49,0),MATCH(orders!I$1,products!$A$1:$D$1,0))</f>
        <v>Ara</v>
      </c>
      <c r="J454" t="str">
        <f t="shared" si="42"/>
        <v>Arabica</v>
      </c>
      <c r="K454" t="str">
        <f>INDEX(products!$A$1:$I$49,MATCH(orders!$D454,products!$A$1:$A$49,0),MATCH(orders!K$1,products!$A$1:$D$1,0))</f>
        <v>L</v>
      </c>
      <c r="L454" t="str">
        <f t="shared" si="43"/>
        <v>Light</v>
      </c>
      <c r="M454">
        <f>INDEX(products!$A$1:$I$49,MATCH(orders!$D454,products!$A$1:$A$49,0),MATCH(orders!M$1,products!$A$1:$D$1,0))</f>
        <v>0.2</v>
      </c>
      <c r="N454">
        <f>_xlfn.XLOOKUP(D454,products!$A$2:$A$49,products!$E$2:$E$49)</f>
        <v>3.8849999999999998</v>
      </c>
      <c r="O454">
        <f>_xlfn.XLOOKUP(D454,products!$A$2:$A$49,products!$H$2:$H$49)</f>
        <v>3.5353499999999998</v>
      </c>
      <c r="P454">
        <f t="shared" si="44"/>
        <v>11.654999999999999</v>
      </c>
      <c r="Q454">
        <f t="shared" si="45"/>
        <v>10.60605</v>
      </c>
      <c r="R454">
        <f t="shared" si="46"/>
        <v>1.0489499999999996</v>
      </c>
      <c r="S454" s="4">
        <f t="shared" si="47"/>
        <v>8.9999999999999969E-2</v>
      </c>
      <c r="T454" t="str">
        <f>_xlfn.XLOOKUP(C454,customers!$A$1:$A$1001,customers!$I$1:$I$1001,,0)</f>
        <v>No</v>
      </c>
    </row>
    <row r="455" spans="1:20"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INDEX(products!$A$1:$I$49,MATCH(orders!$D455,products!$A$1:$A$49,0),MATCH(orders!I$1,products!$A$1:$D$1,0))</f>
        <v>Lib</v>
      </c>
      <c r="J455" t="str">
        <f t="shared" si="42"/>
        <v>Liberica</v>
      </c>
      <c r="K455" t="str">
        <f>INDEX(products!$A$1:$I$49,MATCH(orders!$D455,products!$A$1:$A$49,0),MATCH(orders!K$1,products!$A$1:$D$1,0))</f>
        <v>L</v>
      </c>
      <c r="L455" t="str">
        <f t="shared" si="43"/>
        <v>Light</v>
      </c>
      <c r="M455">
        <f>INDEX(products!$A$1:$I$49,MATCH(orders!$D455,products!$A$1:$A$49,0),MATCH(orders!M$1,products!$A$1:$D$1,0))</f>
        <v>0.5</v>
      </c>
      <c r="N455">
        <f>_xlfn.XLOOKUP(D455,products!$A$2:$A$49,products!$E$2:$E$49)</f>
        <v>9.51</v>
      </c>
      <c r="O455">
        <f>_xlfn.XLOOKUP(D455,products!$A$2:$A$49,products!$H$2:$H$49)</f>
        <v>8.2736999999999998</v>
      </c>
      <c r="P455">
        <f t="shared" si="44"/>
        <v>38.04</v>
      </c>
      <c r="Q455">
        <f t="shared" si="45"/>
        <v>33.094799999999999</v>
      </c>
      <c r="R455">
        <f t="shared" si="46"/>
        <v>4.9451999999999998</v>
      </c>
      <c r="S455" s="4">
        <f t="shared" si="47"/>
        <v>0.13</v>
      </c>
      <c r="T455" t="str">
        <f>_xlfn.XLOOKUP(C455,customers!$A$1:$A$1001,customers!$I$1:$I$1001,,0)</f>
        <v>No</v>
      </c>
    </row>
    <row r="456" spans="1:20"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INDEX(products!$A$1:$I$49,MATCH(orders!$D456,products!$A$1:$A$49,0),MATCH(orders!I$1,products!$A$1:$D$1,0))</f>
        <v>Rob</v>
      </c>
      <c r="J456" t="str">
        <f t="shared" si="42"/>
        <v>Robusta</v>
      </c>
      <c r="K456" t="str">
        <f>INDEX(products!$A$1:$I$49,MATCH(orders!$D456,products!$A$1:$A$49,0),MATCH(orders!K$1,products!$A$1:$D$1,0))</f>
        <v>D</v>
      </c>
      <c r="L456" t="str">
        <f t="shared" si="43"/>
        <v>Dark</v>
      </c>
      <c r="M456">
        <f>INDEX(products!$A$1:$I$49,MATCH(orders!$D456,products!$A$1:$A$49,0),MATCH(orders!M$1,products!$A$1:$D$1,0))</f>
        <v>2.5</v>
      </c>
      <c r="N456">
        <f>_xlfn.XLOOKUP(D456,products!$A$2:$A$49,products!$E$2:$E$49)</f>
        <v>20.584999999999997</v>
      </c>
      <c r="O456">
        <f>_xlfn.XLOOKUP(D456,products!$A$2:$A$49,products!$H$2:$H$49)</f>
        <v>19.349899999999998</v>
      </c>
      <c r="P456">
        <f t="shared" si="44"/>
        <v>82.339999999999989</v>
      </c>
      <c r="Q456">
        <f t="shared" si="45"/>
        <v>77.399599999999992</v>
      </c>
      <c r="R456">
        <f t="shared" si="46"/>
        <v>4.9403999999999968</v>
      </c>
      <c r="S456" s="4">
        <f t="shared" si="47"/>
        <v>5.999999999999997E-2</v>
      </c>
      <c r="T456" t="str">
        <f>_xlfn.XLOOKUP(C456,customers!$A$1:$A$1001,customers!$I$1:$I$1001,,0)</f>
        <v>Yes</v>
      </c>
    </row>
    <row r="457" spans="1:20"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INDEX(products!$A$1:$I$49,MATCH(orders!$D457,products!$A$1:$A$49,0),MATCH(orders!I$1,products!$A$1:$D$1,0))</f>
        <v>Lib</v>
      </c>
      <c r="J457" t="str">
        <f t="shared" si="42"/>
        <v>Liberica</v>
      </c>
      <c r="K457" t="str">
        <f>INDEX(products!$A$1:$I$49,MATCH(orders!$D457,products!$A$1:$A$49,0),MATCH(orders!K$1,products!$A$1:$D$1,0))</f>
        <v>L</v>
      </c>
      <c r="L457" t="str">
        <f t="shared" si="43"/>
        <v>Light</v>
      </c>
      <c r="M457">
        <f>INDEX(products!$A$1:$I$49,MATCH(orders!$D457,products!$A$1:$A$49,0),MATCH(orders!M$1,products!$A$1:$D$1,0))</f>
        <v>0.2</v>
      </c>
      <c r="N457">
        <f>_xlfn.XLOOKUP(D457,products!$A$2:$A$49,products!$E$2:$E$49)</f>
        <v>4.7549999999999999</v>
      </c>
      <c r="O457">
        <f>_xlfn.XLOOKUP(D457,products!$A$2:$A$49,products!$H$2:$H$49)</f>
        <v>4.1368499999999999</v>
      </c>
      <c r="P457">
        <f t="shared" si="44"/>
        <v>9.51</v>
      </c>
      <c r="Q457">
        <f t="shared" si="45"/>
        <v>8.2736999999999998</v>
      </c>
      <c r="R457">
        <f t="shared" si="46"/>
        <v>1.2363</v>
      </c>
      <c r="S457" s="4">
        <f t="shared" si="47"/>
        <v>0.13</v>
      </c>
      <c r="T457" t="str">
        <f>_xlfn.XLOOKUP(C457,customers!$A$1:$A$1001,customers!$I$1:$I$1001,,0)</f>
        <v>Yes</v>
      </c>
    </row>
    <row r="458" spans="1:20"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INDEX(products!$A$1:$I$49,MATCH(orders!$D458,products!$A$1:$A$49,0),MATCH(orders!I$1,products!$A$1:$D$1,0))</f>
        <v>Rob</v>
      </c>
      <c r="J458" t="str">
        <f t="shared" si="42"/>
        <v>Robusta</v>
      </c>
      <c r="K458" t="str">
        <f>INDEX(products!$A$1:$I$49,MATCH(orders!$D458,products!$A$1:$A$49,0),MATCH(orders!K$1,products!$A$1:$D$1,0))</f>
        <v>D</v>
      </c>
      <c r="L458" t="str">
        <f t="shared" si="43"/>
        <v>Dark</v>
      </c>
      <c r="M458">
        <f>INDEX(products!$A$1:$I$49,MATCH(orders!$D458,products!$A$1:$A$49,0),MATCH(orders!M$1,products!$A$1:$D$1,0))</f>
        <v>2.5</v>
      </c>
      <c r="N458">
        <f>_xlfn.XLOOKUP(D458,products!$A$2:$A$49,products!$E$2:$E$49)</f>
        <v>20.584999999999997</v>
      </c>
      <c r="O458">
        <f>_xlfn.XLOOKUP(D458,products!$A$2:$A$49,products!$H$2:$H$49)</f>
        <v>19.349899999999998</v>
      </c>
      <c r="P458">
        <f t="shared" si="44"/>
        <v>41.169999999999995</v>
      </c>
      <c r="Q458">
        <f t="shared" si="45"/>
        <v>38.699799999999996</v>
      </c>
      <c r="R458">
        <f t="shared" si="46"/>
        <v>2.4701999999999984</v>
      </c>
      <c r="S458" s="4">
        <f t="shared" si="47"/>
        <v>5.999999999999997E-2</v>
      </c>
      <c r="T458" t="str">
        <f>_xlfn.XLOOKUP(C458,customers!$A$1:$A$1001,customers!$I$1:$I$1001,,0)</f>
        <v>No</v>
      </c>
    </row>
    <row r="459" spans="1:20"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INDEX(products!$A$1:$I$49,MATCH(orders!$D459,products!$A$1:$A$49,0),MATCH(orders!I$1,products!$A$1:$D$1,0))</f>
        <v>Lib</v>
      </c>
      <c r="J459" t="str">
        <f t="shared" si="42"/>
        <v>Liberica</v>
      </c>
      <c r="K459" t="str">
        <f>INDEX(products!$A$1:$I$49,MATCH(orders!$D459,products!$A$1:$A$49,0),MATCH(orders!K$1,products!$A$1:$D$1,0))</f>
        <v>L</v>
      </c>
      <c r="L459" t="str">
        <f t="shared" si="43"/>
        <v>Light</v>
      </c>
      <c r="M459">
        <f>INDEX(products!$A$1:$I$49,MATCH(orders!$D459,products!$A$1:$A$49,0),MATCH(orders!M$1,products!$A$1:$D$1,0))</f>
        <v>0.5</v>
      </c>
      <c r="N459">
        <f>_xlfn.XLOOKUP(D459,products!$A$2:$A$49,products!$E$2:$E$49)</f>
        <v>9.51</v>
      </c>
      <c r="O459">
        <f>_xlfn.XLOOKUP(D459,products!$A$2:$A$49,products!$H$2:$H$49)</f>
        <v>8.2736999999999998</v>
      </c>
      <c r="P459">
        <f t="shared" si="44"/>
        <v>47.55</v>
      </c>
      <c r="Q459">
        <f t="shared" si="45"/>
        <v>41.368499999999997</v>
      </c>
      <c r="R459">
        <f t="shared" si="46"/>
        <v>6.1814999999999998</v>
      </c>
      <c r="S459" s="4">
        <f t="shared" si="47"/>
        <v>0.13</v>
      </c>
      <c r="T459" t="str">
        <f>_xlfn.XLOOKUP(C459,customers!$A$1:$A$1001,customers!$I$1:$I$1001,,0)</f>
        <v>No</v>
      </c>
    </row>
    <row r="460" spans="1:20"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INDEX(products!$A$1:$I$49,MATCH(orders!$D460,products!$A$1:$A$49,0),MATCH(orders!I$1,products!$A$1:$D$1,0))</f>
        <v>Ara</v>
      </c>
      <c r="J460" t="str">
        <f t="shared" si="42"/>
        <v>Arabica</v>
      </c>
      <c r="K460" t="str">
        <f>INDEX(products!$A$1:$I$49,MATCH(orders!$D460,products!$A$1:$A$49,0),MATCH(orders!K$1,products!$A$1:$D$1,0))</f>
        <v>M</v>
      </c>
      <c r="L460" t="str">
        <f t="shared" si="43"/>
        <v>Medium</v>
      </c>
      <c r="M460">
        <f>INDEX(products!$A$1:$I$49,MATCH(orders!$D460,products!$A$1:$A$49,0),MATCH(orders!M$1,products!$A$1:$D$1,0))</f>
        <v>1</v>
      </c>
      <c r="N460">
        <f>_xlfn.XLOOKUP(D460,products!$A$2:$A$49,products!$E$2:$E$49)</f>
        <v>11.25</v>
      </c>
      <c r="O460">
        <f>_xlfn.XLOOKUP(D460,products!$A$2:$A$49,products!$H$2:$H$49)</f>
        <v>10.237500000000001</v>
      </c>
      <c r="P460">
        <f t="shared" si="44"/>
        <v>45</v>
      </c>
      <c r="Q460">
        <f t="shared" si="45"/>
        <v>40.950000000000003</v>
      </c>
      <c r="R460">
        <f t="shared" si="46"/>
        <v>4.0499999999999972</v>
      </c>
      <c r="S460" s="4">
        <f t="shared" si="47"/>
        <v>8.9999999999999941E-2</v>
      </c>
      <c r="T460" t="str">
        <f>_xlfn.XLOOKUP(C460,customers!$A$1:$A$1001,customers!$I$1:$I$1001,,0)</f>
        <v>No</v>
      </c>
    </row>
    <row r="461" spans="1:20"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INDEX(products!$A$1:$I$49,MATCH(orders!$D461,products!$A$1:$A$49,0),MATCH(orders!I$1,products!$A$1:$D$1,0))</f>
        <v>Lib</v>
      </c>
      <c r="J461" t="str">
        <f t="shared" si="42"/>
        <v>Liberica</v>
      </c>
      <c r="K461" t="str">
        <f>INDEX(products!$A$1:$I$49,MATCH(orders!$D461,products!$A$1:$A$49,0),MATCH(orders!K$1,products!$A$1:$D$1,0))</f>
        <v>L</v>
      </c>
      <c r="L461" t="str">
        <f t="shared" si="43"/>
        <v>Light</v>
      </c>
      <c r="M461">
        <f>INDEX(products!$A$1:$I$49,MATCH(orders!$D461,products!$A$1:$A$49,0),MATCH(orders!M$1,products!$A$1:$D$1,0))</f>
        <v>0.2</v>
      </c>
      <c r="N461">
        <f>_xlfn.XLOOKUP(D461,products!$A$2:$A$49,products!$E$2:$E$49)</f>
        <v>4.7549999999999999</v>
      </c>
      <c r="O461">
        <f>_xlfn.XLOOKUP(D461,products!$A$2:$A$49,products!$H$2:$H$49)</f>
        <v>4.1368499999999999</v>
      </c>
      <c r="P461">
        <f t="shared" si="44"/>
        <v>23.774999999999999</v>
      </c>
      <c r="Q461">
        <f t="shared" si="45"/>
        <v>20.684249999999999</v>
      </c>
      <c r="R461">
        <f t="shared" si="46"/>
        <v>3.0907499999999999</v>
      </c>
      <c r="S461" s="4">
        <f t="shared" si="47"/>
        <v>0.13</v>
      </c>
      <c r="T461" t="str">
        <f>_xlfn.XLOOKUP(C461,customers!$A$1:$A$1001,customers!$I$1:$I$1001,,0)</f>
        <v>No</v>
      </c>
    </row>
    <row r="462" spans="1:20"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INDEX(products!$A$1:$I$49,MATCH(orders!$D462,products!$A$1:$A$49,0),MATCH(orders!I$1,products!$A$1:$D$1,0))</f>
        <v>Rob</v>
      </c>
      <c r="J462" t="str">
        <f t="shared" si="42"/>
        <v>Robusta</v>
      </c>
      <c r="K462" t="str">
        <f>INDEX(products!$A$1:$I$49,MATCH(orders!$D462,products!$A$1:$A$49,0),MATCH(orders!K$1,products!$A$1:$D$1,0))</f>
        <v>D</v>
      </c>
      <c r="L462" t="str">
        <f t="shared" si="43"/>
        <v>Dark</v>
      </c>
      <c r="M462">
        <f>INDEX(products!$A$1:$I$49,MATCH(orders!$D462,products!$A$1:$A$49,0),MATCH(orders!M$1,products!$A$1:$D$1,0))</f>
        <v>0.5</v>
      </c>
      <c r="N462">
        <f>_xlfn.XLOOKUP(D462,products!$A$2:$A$49,products!$E$2:$E$49)</f>
        <v>5.3699999999999992</v>
      </c>
      <c r="O462">
        <f>_xlfn.XLOOKUP(D462,products!$A$2:$A$49,products!$H$2:$H$49)</f>
        <v>5.0477999999999996</v>
      </c>
      <c r="P462">
        <f t="shared" si="44"/>
        <v>16.11</v>
      </c>
      <c r="Q462">
        <f t="shared" si="45"/>
        <v>15.1434</v>
      </c>
      <c r="R462">
        <f t="shared" si="46"/>
        <v>0.96659999999999968</v>
      </c>
      <c r="S462" s="4">
        <f t="shared" si="47"/>
        <v>5.9999999999999984E-2</v>
      </c>
      <c r="T462" t="str">
        <f>_xlfn.XLOOKUP(C462,customers!$A$1:$A$1001,customers!$I$1:$I$1001,,0)</f>
        <v>Yes</v>
      </c>
    </row>
    <row r="463" spans="1:20"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INDEX(products!$A$1:$I$49,MATCH(orders!$D463,products!$A$1:$A$49,0),MATCH(orders!I$1,products!$A$1:$D$1,0))</f>
        <v>Rob</v>
      </c>
      <c r="J463" t="str">
        <f t="shared" si="42"/>
        <v>Robusta</v>
      </c>
      <c r="K463" t="str">
        <f>INDEX(products!$A$1:$I$49,MATCH(orders!$D463,products!$A$1:$A$49,0),MATCH(orders!K$1,products!$A$1:$D$1,0))</f>
        <v>D</v>
      </c>
      <c r="L463" t="str">
        <f t="shared" si="43"/>
        <v>Dark</v>
      </c>
      <c r="M463">
        <f>INDEX(products!$A$1:$I$49,MATCH(orders!$D463,products!$A$1:$A$49,0),MATCH(orders!M$1,products!$A$1:$D$1,0))</f>
        <v>0.2</v>
      </c>
      <c r="N463">
        <f>_xlfn.XLOOKUP(D463,products!$A$2:$A$49,products!$E$2:$E$49)</f>
        <v>2.6849999999999996</v>
      </c>
      <c r="O463">
        <f>_xlfn.XLOOKUP(D463,products!$A$2:$A$49,products!$H$2:$H$49)</f>
        <v>2.5238999999999998</v>
      </c>
      <c r="P463">
        <f t="shared" si="44"/>
        <v>10.739999999999998</v>
      </c>
      <c r="Q463">
        <f t="shared" si="45"/>
        <v>10.095599999999999</v>
      </c>
      <c r="R463">
        <f t="shared" si="46"/>
        <v>0.6443999999999992</v>
      </c>
      <c r="S463" s="4">
        <f t="shared" si="47"/>
        <v>5.9999999999999935E-2</v>
      </c>
      <c r="T463" t="str">
        <f>_xlfn.XLOOKUP(C463,customers!$A$1:$A$1001,customers!$I$1:$I$1001,,0)</f>
        <v>Yes</v>
      </c>
    </row>
    <row r="464" spans="1:20"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INDEX(products!$A$1:$I$49,MATCH(orders!$D464,products!$A$1:$A$49,0),MATCH(orders!I$1,products!$A$1:$D$1,0))</f>
        <v>Ara</v>
      </c>
      <c r="J464" t="str">
        <f t="shared" si="42"/>
        <v>Arabica</v>
      </c>
      <c r="K464" t="str">
        <f>INDEX(products!$A$1:$I$49,MATCH(orders!$D464,products!$A$1:$A$49,0),MATCH(orders!K$1,products!$A$1:$D$1,0))</f>
        <v>D</v>
      </c>
      <c r="L464" t="str">
        <f t="shared" si="43"/>
        <v>Dark</v>
      </c>
      <c r="M464">
        <f>INDEX(products!$A$1:$I$49,MATCH(orders!$D464,products!$A$1:$A$49,0),MATCH(orders!M$1,products!$A$1:$D$1,0))</f>
        <v>1</v>
      </c>
      <c r="N464">
        <f>_xlfn.XLOOKUP(D464,products!$A$2:$A$49,products!$E$2:$E$49)</f>
        <v>9.9499999999999993</v>
      </c>
      <c r="O464">
        <f>_xlfn.XLOOKUP(D464,products!$A$2:$A$49,products!$H$2:$H$49)</f>
        <v>9.0544999999999991</v>
      </c>
      <c r="P464">
        <f t="shared" si="44"/>
        <v>49.75</v>
      </c>
      <c r="Q464">
        <f t="shared" si="45"/>
        <v>45.272499999999994</v>
      </c>
      <c r="R464">
        <f t="shared" si="46"/>
        <v>4.4775000000000063</v>
      </c>
      <c r="S464" s="4">
        <f t="shared" si="47"/>
        <v>9.0000000000000122E-2</v>
      </c>
      <c r="T464" t="str">
        <f>_xlfn.XLOOKUP(C464,customers!$A$1:$A$1001,customers!$I$1:$I$1001,,0)</f>
        <v>Yes</v>
      </c>
    </row>
    <row r="465" spans="1:20"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INDEX(products!$A$1:$I$49,MATCH(orders!$D465,products!$A$1:$A$49,0),MATCH(orders!I$1,products!$A$1:$D$1,0))</f>
        <v>Exc</v>
      </c>
      <c r="J465" t="str">
        <f t="shared" si="42"/>
        <v>Excelsa</v>
      </c>
      <c r="K465" t="str">
        <f>INDEX(products!$A$1:$I$49,MATCH(orders!$D465,products!$A$1:$A$49,0),MATCH(orders!K$1,products!$A$1:$D$1,0))</f>
        <v>M</v>
      </c>
      <c r="L465" t="str">
        <f t="shared" si="43"/>
        <v>Medium</v>
      </c>
      <c r="M465">
        <f>INDEX(products!$A$1:$I$49,MATCH(orders!$D465,products!$A$1:$A$49,0),MATCH(orders!M$1,products!$A$1:$D$1,0))</f>
        <v>1</v>
      </c>
      <c r="N465">
        <f>_xlfn.XLOOKUP(D465,products!$A$2:$A$49,products!$E$2:$E$49)</f>
        <v>13.75</v>
      </c>
      <c r="O465">
        <f>_xlfn.XLOOKUP(D465,products!$A$2:$A$49,products!$H$2:$H$49)</f>
        <v>12.237500000000001</v>
      </c>
      <c r="P465">
        <f t="shared" si="44"/>
        <v>27.5</v>
      </c>
      <c r="Q465">
        <f t="shared" si="45"/>
        <v>24.475000000000001</v>
      </c>
      <c r="R465">
        <f t="shared" si="46"/>
        <v>3.0249999999999986</v>
      </c>
      <c r="S465" s="4">
        <f t="shared" si="47"/>
        <v>0.10999999999999995</v>
      </c>
      <c r="T465" t="str">
        <f>_xlfn.XLOOKUP(C465,customers!$A$1:$A$1001,customers!$I$1:$I$1001,,0)</f>
        <v>No</v>
      </c>
    </row>
    <row r="466" spans="1:20"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INDEX(products!$A$1:$I$49,MATCH(orders!$D466,products!$A$1:$A$49,0),MATCH(orders!I$1,products!$A$1:$D$1,0))</f>
        <v>Lib</v>
      </c>
      <c r="J466" t="str">
        <f t="shared" si="42"/>
        <v>Liberica</v>
      </c>
      <c r="K466" t="str">
        <f>INDEX(products!$A$1:$I$49,MATCH(orders!$D466,products!$A$1:$A$49,0),MATCH(orders!K$1,products!$A$1:$D$1,0))</f>
        <v>D</v>
      </c>
      <c r="L466" t="str">
        <f t="shared" si="43"/>
        <v>Dark</v>
      </c>
      <c r="M466">
        <f>INDEX(products!$A$1:$I$49,MATCH(orders!$D466,products!$A$1:$A$49,0),MATCH(orders!M$1,products!$A$1:$D$1,0))</f>
        <v>2.5</v>
      </c>
      <c r="N466">
        <f>_xlfn.XLOOKUP(D466,products!$A$2:$A$49,products!$E$2:$E$49)</f>
        <v>29.784999999999997</v>
      </c>
      <c r="O466">
        <f>_xlfn.XLOOKUP(D466,products!$A$2:$A$49,products!$H$2:$H$49)</f>
        <v>25.912949999999995</v>
      </c>
      <c r="P466">
        <f t="shared" si="44"/>
        <v>119.13999999999999</v>
      </c>
      <c r="Q466">
        <f t="shared" si="45"/>
        <v>103.65179999999998</v>
      </c>
      <c r="R466">
        <f t="shared" si="46"/>
        <v>15.488200000000006</v>
      </c>
      <c r="S466" s="4">
        <f t="shared" si="47"/>
        <v>0.13000000000000006</v>
      </c>
      <c r="T466" t="str">
        <f>_xlfn.XLOOKUP(C466,customers!$A$1:$A$1001,customers!$I$1:$I$1001,,0)</f>
        <v>No</v>
      </c>
    </row>
    <row r="467" spans="1:20"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INDEX(products!$A$1:$I$49,MATCH(orders!$D467,products!$A$1:$A$49,0),MATCH(orders!I$1,products!$A$1:$D$1,0))</f>
        <v>Rob</v>
      </c>
      <c r="J467" t="str">
        <f t="shared" si="42"/>
        <v>Robusta</v>
      </c>
      <c r="K467" t="str">
        <f>INDEX(products!$A$1:$I$49,MATCH(orders!$D467,products!$A$1:$A$49,0),MATCH(orders!K$1,products!$A$1:$D$1,0))</f>
        <v>D</v>
      </c>
      <c r="L467" t="str">
        <f t="shared" si="43"/>
        <v>Dark</v>
      </c>
      <c r="M467">
        <f>INDEX(products!$A$1:$I$49,MATCH(orders!$D467,products!$A$1:$A$49,0),MATCH(orders!M$1,products!$A$1:$D$1,0))</f>
        <v>2.5</v>
      </c>
      <c r="N467">
        <f>_xlfn.XLOOKUP(D467,products!$A$2:$A$49,products!$E$2:$E$49)</f>
        <v>20.584999999999997</v>
      </c>
      <c r="O467">
        <f>_xlfn.XLOOKUP(D467,products!$A$2:$A$49,products!$H$2:$H$49)</f>
        <v>19.349899999999998</v>
      </c>
      <c r="P467">
        <f t="shared" si="44"/>
        <v>20.584999999999997</v>
      </c>
      <c r="Q467">
        <f t="shared" si="45"/>
        <v>19.349899999999998</v>
      </c>
      <c r="R467">
        <f t="shared" si="46"/>
        <v>1.2350999999999992</v>
      </c>
      <c r="S467" s="4">
        <f t="shared" si="47"/>
        <v>5.999999999999997E-2</v>
      </c>
      <c r="T467" t="str">
        <f>_xlfn.XLOOKUP(C467,customers!$A$1:$A$1001,customers!$I$1:$I$1001,,0)</f>
        <v>Yes</v>
      </c>
    </row>
    <row r="468" spans="1:20"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INDEX(products!$A$1:$I$49,MATCH(orders!$D468,products!$A$1:$A$49,0),MATCH(orders!I$1,products!$A$1:$D$1,0))</f>
        <v>Ara</v>
      </c>
      <c r="J468" t="str">
        <f t="shared" si="42"/>
        <v>Arabica</v>
      </c>
      <c r="K468" t="str">
        <f>INDEX(products!$A$1:$I$49,MATCH(orders!$D468,products!$A$1:$A$49,0),MATCH(orders!K$1,products!$A$1:$D$1,0))</f>
        <v>D</v>
      </c>
      <c r="L468" t="str">
        <f t="shared" si="43"/>
        <v>Dark</v>
      </c>
      <c r="M468">
        <f>INDEX(products!$A$1:$I$49,MATCH(orders!$D468,products!$A$1:$A$49,0),MATCH(orders!M$1,products!$A$1:$D$1,0))</f>
        <v>0.2</v>
      </c>
      <c r="N468">
        <f>_xlfn.XLOOKUP(D468,products!$A$2:$A$49,products!$E$2:$E$49)</f>
        <v>2.9849999999999999</v>
      </c>
      <c r="O468">
        <f>_xlfn.XLOOKUP(D468,products!$A$2:$A$49,products!$H$2:$H$49)</f>
        <v>2.7163499999999998</v>
      </c>
      <c r="P468">
        <f t="shared" si="44"/>
        <v>8.9550000000000001</v>
      </c>
      <c r="Q468">
        <f t="shared" si="45"/>
        <v>8.149049999999999</v>
      </c>
      <c r="R468">
        <f t="shared" si="46"/>
        <v>0.80595000000000105</v>
      </c>
      <c r="S468" s="4">
        <f t="shared" si="47"/>
        <v>9.0000000000000122E-2</v>
      </c>
      <c r="T468" t="str">
        <f>_xlfn.XLOOKUP(C468,customers!$A$1:$A$1001,customers!$I$1:$I$1001,,0)</f>
        <v>Yes</v>
      </c>
    </row>
    <row r="469" spans="1:20"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INDEX(products!$A$1:$I$49,MATCH(orders!$D469,products!$A$1:$A$49,0),MATCH(orders!I$1,products!$A$1:$D$1,0))</f>
        <v>Ara</v>
      </c>
      <c r="J469" t="str">
        <f t="shared" si="42"/>
        <v>Arabica</v>
      </c>
      <c r="K469" t="str">
        <f>INDEX(products!$A$1:$I$49,MATCH(orders!$D469,products!$A$1:$A$49,0),MATCH(orders!K$1,products!$A$1:$D$1,0))</f>
        <v>D</v>
      </c>
      <c r="L469" t="str">
        <f t="shared" si="43"/>
        <v>Dark</v>
      </c>
      <c r="M469">
        <f>INDEX(products!$A$1:$I$49,MATCH(orders!$D469,products!$A$1:$A$49,0),MATCH(orders!M$1,products!$A$1:$D$1,0))</f>
        <v>0.5</v>
      </c>
      <c r="N469">
        <f>_xlfn.XLOOKUP(D469,products!$A$2:$A$49,products!$E$2:$E$49)</f>
        <v>5.97</v>
      </c>
      <c r="O469">
        <f>_xlfn.XLOOKUP(D469,products!$A$2:$A$49,products!$H$2:$H$49)</f>
        <v>5.4326999999999996</v>
      </c>
      <c r="P469">
        <f t="shared" si="44"/>
        <v>5.97</v>
      </c>
      <c r="Q469">
        <f t="shared" si="45"/>
        <v>5.4326999999999996</v>
      </c>
      <c r="R469">
        <f t="shared" si="46"/>
        <v>0.53730000000000011</v>
      </c>
      <c r="S469" s="4">
        <f t="shared" si="47"/>
        <v>9.0000000000000024E-2</v>
      </c>
      <c r="T469" t="str">
        <f>_xlfn.XLOOKUP(C469,customers!$A$1:$A$1001,customers!$I$1:$I$1001,,0)</f>
        <v>No</v>
      </c>
    </row>
    <row r="470" spans="1:20"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INDEX(products!$A$1:$I$49,MATCH(orders!$D470,products!$A$1:$A$49,0),MATCH(orders!I$1,products!$A$1:$D$1,0))</f>
        <v>Exc</v>
      </c>
      <c r="J470" t="str">
        <f t="shared" si="42"/>
        <v>Excelsa</v>
      </c>
      <c r="K470" t="str">
        <f>INDEX(products!$A$1:$I$49,MATCH(orders!$D470,products!$A$1:$A$49,0),MATCH(orders!K$1,products!$A$1:$D$1,0))</f>
        <v>M</v>
      </c>
      <c r="L470" t="str">
        <f t="shared" si="43"/>
        <v>Medium</v>
      </c>
      <c r="M470">
        <f>INDEX(products!$A$1:$I$49,MATCH(orders!$D470,products!$A$1:$A$49,0),MATCH(orders!M$1,products!$A$1:$D$1,0))</f>
        <v>1</v>
      </c>
      <c r="N470">
        <f>_xlfn.XLOOKUP(D470,products!$A$2:$A$49,products!$E$2:$E$49)</f>
        <v>13.75</v>
      </c>
      <c r="O470">
        <f>_xlfn.XLOOKUP(D470,products!$A$2:$A$49,products!$H$2:$H$49)</f>
        <v>12.237500000000001</v>
      </c>
      <c r="P470">
        <f t="shared" si="44"/>
        <v>41.25</v>
      </c>
      <c r="Q470">
        <f t="shared" si="45"/>
        <v>36.712500000000006</v>
      </c>
      <c r="R470">
        <f t="shared" si="46"/>
        <v>4.5374999999999943</v>
      </c>
      <c r="S470" s="4">
        <f t="shared" si="47"/>
        <v>0.10999999999999986</v>
      </c>
      <c r="T470" t="str">
        <f>_xlfn.XLOOKUP(C470,customers!$A$1:$A$1001,customers!$I$1:$I$1001,,0)</f>
        <v>Yes</v>
      </c>
    </row>
    <row r="471" spans="1:20"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INDEX(products!$A$1:$I$49,MATCH(orders!$D471,products!$A$1:$A$49,0),MATCH(orders!I$1,products!$A$1:$D$1,0))</f>
        <v>Exc</v>
      </c>
      <c r="J471" t="str">
        <f t="shared" si="42"/>
        <v>Excelsa</v>
      </c>
      <c r="K471" t="str">
        <f>INDEX(products!$A$1:$I$49,MATCH(orders!$D471,products!$A$1:$A$49,0),MATCH(orders!K$1,products!$A$1:$D$1,0))</f>
        <v>L</v>
      </c>
      <c r="L471" t="str">
        <f t="shared" si="43"/>
        <v>Light</v>
      </c>
      <c r="M471">
        <f>INDEX(products!$A$1:$I$49,MATCH(orders!$D471,products!$A$1:$A$49,0),MATCH(orders!M$1,products!$A$1:$D$1,0))</f>
        <v>0.2</v>
      </c>
      <c r="N471">
        <f>_xlfn.XLOOKUP(D471,products!$A$2:$A$49,products!$E$2:$E$49)</f>
        <v>4.4550000000000001</v>
      </c>
      <c r="O471">
        <f>_xlfn.XLOOKUP(D471,products!$A$2:$A$49,products!$H$2:$H$49)</f>
        <v>3.96495</v>
      </c>
      <c r="P471">
        <f t="shared" si="44"/>
        <v>22.274999999999999</v>
      </c>
      <c r="Q471">
        <f t="shared" si="45"/>
        <v>19.824750000000002</v>
      </c>
      <c r="R471">
        <f t="shared" si="46"/>
        <v>2.4502499999999969</v>
      </c>
      <c r="S471" s="4">
        <f t="shared" si="47"/>
        <v>0.10999999999999988</v>
      </c>
      <c r="T471" t="str">
        <f>_xlfn.XLOOKUP(C471,customers!$A$1:$A$1001,customers!$I$1:$I$1001,,0)</f>
        <v>Yes</v>
      </c>
    </row>
    <row r="472" spans="1:20"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INDEX(products!$A$1:$I$49,MATCH(orders!$D472,products!$A$1:$A$49,0),MATCH(orders!I$1,products!$A$1:$D$1,0))</f>
        <v>Ara</v>
      </c>
      <c r="J472" t="str">
        <f t="shared" si="42"/>
        <v>Arabica</v>
      </c>
      <c r="K472" t="str">
        <f>INDEX(products!$A$1:$I$49,MATCH(orders!$D472,products!$A$1:$A$49,0),MATCH(orders!K$1,products!$A$1:$D$1,0))</f>
        <v>M</v>
      </c>
      <c r="L472" t="str">
        <f t="shared" si="43"/>
        <v>Medium</v>
      </c>
      <c r="M472">
        <f>INDEX(products!$A$1:$I$49,MATCH(orders!$D472,products!$A$1:$A$49,0),MATCH(orders!M$1,products!$A$1:$D$1,0))</f>
        <v>0.5</v>
      </c>
      <c r="N472">
        <f>_xlfn.XLOOKUP(D472,products!$A$2:$A$49,products!$E$2:$E$49)</f>
        <v>6.75</v>
      </c>
      <c r="O472">
        <f>_xlfn.XLOOKUP(D472,products!$A$2:$A$49,products!$H$2:$H$49)</f>
        <v>6.1425000000000001</v>
      </c>
      <c r="P472">
        <f t="shared" si="44"/>
        <v>6.75</v>
      </c>
      <c r="Q472">
        <f t="shared" si="45"/>
        <v>6.1425000000000001</v>
      </c>
      <c r="R472">
        <f t="shared" si="46"/>
        <v>0.60749999999999993</v>
      </c>
      <c r="S472" s="4">
        <f t="shared" si="47"/>
        <v>8.9999999999999983E-2</v>
      </c>
      <c r="T472" t="str">
        <f>_xlfn.XLOOKUP(C472,customers!$A$1:$A$1001,customers!$I$1:$I$1001,,0)</f>
        <v>Yes</v>
      </c>
    </row>
    <row r="473" spans="1:20"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v>
      </c>
      <c r="H473" s="2" t="str">
        <f>_xlfn.XLOOKUP(C473,customers!$A$1:$A$1001,customers!$G$1:$G$1001,,0)</f>
        <v>United States</v>
      </c>
      <c r="I473" t="str">
        <f>INDEX(products!$A$1:$I$49,MATCH(orders!$D473,products!$A$1:$A$49,0),MATCH(orders!I$1,products!$A$1:$D$1,0))</f>
        <v>Lib</v>
      </c>
      <c r="J473" t="str">
        <f t="shared" si="42"/>
        <v>Liberica</v>
      </c>
      <c r="K473" t="str">
        <f>INDEX(products!$A$1:$I$49,MATCH(orders!$D473,products!$A$1:$A$49,0),MATCH(orders!K$1,products!$A$1:$D$1,0))</f>
        <v>M</v>
      </c>
      <c r="L473" t="str">
        <f t="shared" si="43"/>
        <v>Medium</v>
      </c>
      <c r="M473">
        <f>INDEX(products!$A$1:$I$49,MATCH(orders!$D473,products!$A$1:$A$49,0),MATCH(orders!M$1,products!$A$1:$D$1,0))</f>
        <v>2.5</v>
      </c>
      <c r="N473">
        <f>_xlfn.XLOOKUP(D473,products!$A$2:$A$49,products!$E$2:$E$49)</f>
        <v>33.464999999999996</v>
      </c>
      <c r="O473">
        <f>_xlfn.XLOOKUP(D473,products!$A$2:$A$49,products!$H$2:$H$49)</f>
        <v>29.114549999999998</v>
      </c>
      <c r="P473">
        <f t="shared" si="44"/>
        <v>133.85999999999999</v>
      </c>
      <c r="Q473">
        <f t="shared" si="45"/>
        <v>116.45819999999999</v>
      </c>
      <c r="R473">
        <f t="shared" si="46"/>
        <v>17.401799999999994</v>
      </c>
      <c r="S473" s="4">
        <f t="shared" si="47"/>
        <v>0.12999999999999998</v>
      </c>
      <c r="T473" t="str">
        <f>_xlfn.XLOOKUP(C473,customers!$A$1:$A$1001,customers!$I$1:$I$1001,,0)</f>
        <v>Yes</v>
      </c>
    </row>
    <row r="474" spans="1:20"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INDEX(products!$A$1:$I$49,MATCH(orders!$D474,products!$A$1:$A$49,0),MATCH(orders!I$1,products!$A$1:$D$1,0))</f>
        <v>Ara</v>
      </c>
      <c r="J474" t="str">
        <f t="shared" si="42"/>
        <v>Arabica</v>
      </c>
      <c r="K474" t="str">
        <f>INDEX(products!$A$1:$I$49,MATCH(orders!$D474,products!$A$1:$A$49,0),MATCH(orders!K$1,products!$A$1:$D$1,0))</f>
        <v>D</v>
      </c>
      <c r="L474" t="str">
        <f t="shared" si="43"/>
        <v>Dark</v>
      </c>
      <c r="M474">
        <f>INDEX(products!$A$1:$I$49,MATCH(orders!$D474,products!$A$1:$A$49,0),MATCH(orders!M$1,products!$A$1:$D$1,0))</f>
        <v>0.2</v>
      </c>
      <c r="N474">
        <f>_xlfn.XLOOKUP(D474,products!$A$2:$A$49,products!$E$2:$E$49)</f>
        <v>2.9849999999999999</v>
      </c>
      <c r="O474">
        <f>_xlfn.XLOOKUP(D474,products!$A$2:$A$49,products!$H$2:$H$49)</f>
        <v>2.7163499999999998</v>
      </c>
      <c r="P474">
        <f t="shared" si="44"/>
        <v>5.97</v>
      </c>
      <c r="Q474">
        <f t="shared" si="45"/>
        <v>5.4326999999999996</v>
      </c>
      <c r="R474">
        <f t="shared" si="46"/>
        <v>0.53730000000000011</v>
      </c>
      <c r="S474" s="4">
        <f t="shared" si="47"/>
        <v>9.0000000000000024E-2</v>
      </c>
      <c r="T474" t="str">
        <f>_xlfn.XLOOKUP(C474,customers!$A$1:$A$1001,customers!$I$1:$I$1001,,0)</f>
        <v>No</v>
      </c>
    </row>
    <row r="475" spans="1:20"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INDEX(products!$A$1:$I$49,MATCH(orders!$D475,products!$A$1:$A$49,0),MATCH(orders!I$1,products!$A$1:$D$1,0))</f>
        <v>Ara</v>
      </c>
      <c r="J475" t="str">
        <f t="shared" si="42"/>
        <v>Arabica</v>
      </c>
      <c r="K475" t="str">
        <f>INDEX(products!$A$1:$I$49,MATCH(orders!$D475,products!$A$1:$A$49,0),MATCH(orders!K$1,products!$A$1:$D$1,0))</f>
        <v>L</v>
      </c>
      <c r="L475" t="str">
        <f t="shared" si="43"/>
        <v>Light</v>
      </c>
      <c r="M475">
        <f>INDEX(products!$A$1:$I$49,MATCH(orders!$D475,products!$A$1:$A$49,0),MATCH(orders!M$1,products!$A$1:$D$1,0))</f>
        <v>1</v>
      </c>
      <c r="N475">
        <f>_xlfn.XLOOKUP(D475,products!$A$2:$A$49,products!$E$2:$E$49)</f>
        <v>12.95</v>
      </c>
      <c r="O475">
        <f>_xlfn.XLOOKUP(D475,products!$A$2:$A$49,products!$H$2:$H$49)</f>
        <v>11.7845</v>
      </c>
      <c r="P475">
        <f t="shared" si="44"/>
        <v>25.9</v>
      </c>
      <c r="Q475">
        <f t="shared" si="45"/>
        <v>23.568999999999999</v>
      </c>
      <c r="R475">
        <f t="shared" si="46"/>
        <v>2.3309999999999995</v>
      </c>
      <c r="S475" s="4">
        <f t="shared" si="47"/>
        <v>8.9999999999999983E-2</v>
      </c>
      <c r="T475" t="str">
        <f>_xlfn.XLOOKUP(C475,customers!$A$1:$A$1001,customers!$I$1:$I$1001,,0)</f>
        <v>No</v>
      </c>
    </row>
    <row r="476" spans="1:20"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INDEX(products!$A$1:$I$49,MATCH(orders!$D476,products!$A$1:$A$49,0),MATCH(orders!I$1,products!$A$1:$D$1,0))</f>
        <v>Exc</v>
      </c>
      <c r="J476" t="str">
        <f t="shared" si="42"/>
        <v>Excelsa</v>
      </c>
      <c r="K476" t="str">
        <f>INDEX(products!$A$1:$I$49,MATCH(orders!$D476,products!$A$1:$A$49,0),MATCH(orders!K$1,products!$A$1:$D$1,0))</f>
        <v>M</v>
      </c>
      <c r="L476" t="str">
        <f t="shared" si="43"/>
        <v>Medium</v>
      </c>
      <c r="M476">
        <f>INDEX(products!$A$1:$I$49,MATCH(orders!$D476,products!$A$1:$A$49,0),MATCH(orders!M$1,products!$A$1:$D$1,0))</f>
        <v>2.5</v>
      </c>
      <c r="N476">
        <f>_xlfn.XLOOKUP(D476,products!$A$2:$A$49,products!$E$2:$E$49)</f>
        <v>31.624999999999996</v>
      </c>
      <c r="O476">
        <f>_xlfn.XLOOKUP(D476,products!$A$2:$A$49,products!$H$2:$H$49)</f>
        <v>28.146249999999995</v>
      </c>
      <c r="P476">
        <f t="shared" si="44"/>
        <v>31.624999999999996</v>
      </c>
      <c r="Q476">
        <f t="shared" si="45"/>
        <v>28.146249999999995</v>
      </c>
      <c r="R476">
        <f t="shared" si="46"/>
        <v>3.4787500000000016</v>
      </c>
      <c r="S476" s="4">
        <f t="shared" si="47"/>
        <v>0.11000000000000006</v>
      </c>
      <c r="T476" t="str">
        <f>_xlfn.XLOOKUP(C476,customers!$A$1:$A$1001,customers!$I$1:$I$1001,,0)</f>
        <v>Yes</v>
      </c>
    </row>
    <row r="477" spans="1:20"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INDEX(products!$A$1:$I$49,MATCH(orders!$D477,products!$A$1:$A$49,0),MATCH(orders!I$1,products!$A$1:$D$1,0))</f>
        <v>Lib</v>
      </c>
      <c r="J477" t="str">
        <f t="shared" si="42"/>
        <v>Liberica</v>
      </c>
      <c r="K477" t="str">
        <f>INDEX(products!$A$1:$I$49,MATCH(orders!$D477,products!$A$1:$A$49,0),MATCH(orders!K$1,products!$A$1:$D$1,0))</f>
        <v>M</v>
      </c>
      <c r="L477" t="str">
        <f t="shared" si="43"/>
        <v>Medium</v>
      </c>
      <c r="M477">
        <f>INDEX(products!$A$1:$I$49,MATCH(orders!$D477,products!$A$1:$A$49,0),MATCH(orders!M$1,products!$A$1:$D$1,0))</f>
        <v>0.2</v>
      </c>
      <c r="N477">
        <f>_xlfn.XLOOKUP(D477,products!$A$2:$A$49,products!$E$2:$E$49)</f>
        <v>4.3650000000000002</v>
      </c>
      <c r="O477">
        <f>_xlfn.XLOOKUP(D477,products!$A$2:$A$49,products!$H$2:$H$49)</f>
        <v>3.7975500000000002</v>
      </c>
      <c r="P477">
        <f t="shared" si="44"/>
        <v>8.73</v>
      </c>
      <c r="Q477">
        <f t="shared" si="45"/>
        <v>7.5951000000000004</v>
      </c>
      <c r="R477">
        <f t="shared" si="46"/>
        <v>1.1349</v>
      </c>
      <c r="S477" s="4">
        <f t="shared" si="47"/>
        <v>0.13</v>
      </c>
      <c r="T477" t="str">
        <f>_xlfn.XLOOKUP(C477,customers!$A$1:$A$1001,customers!$I$1:$I$1001,,0)</f>
        <v>No</v>
      </c>
    </row>
    <row r="478" spans="1:20"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INDEX(products!$A$1:$I$49,MATCH(orders!$D478,products!$A$1:$A$49,0),MATCH(orders!I$1,products!$A$1:$D$1,0))</f>
        <v>Exc</v>
      </c>
      <c r="J478" t="str">
        <f t="shared" si="42"/>
        <v>Excelsa</v>
      </c>
      <c r="K478" t="str">
        <f>INDEX(products!$A$1:$I$49,MATCH(orders!$D478,products!$A$1:$A$49,0),MATCH(orders!K$1,products!$A$1:$D$1,0))</f>
        <v>L</v>
      </c>
      <c r="L478" t="str">
        <f t="shared" si="43"/>
        <v>Light</v>
      </c>
      <c r="M478">
        <f>INDEX(products!$A$1:$I$49,MATCH(orders!$D478,products!$A$1:$A$49,0),MATCH(orders!M$1,products!$A$1:$D$1,0))</f>
        <v>0.2</v>
      </c>
      <c r="N478">
        <f>_xlfn.XLOOKUP(D478,products!$A$2:$A$49,products!$E$2:$E$49)</f>
        <v>4.4550000000000001</v>
      </c>
      <c r="O478">
        <f>_xlfn.XLOOKUP(D478,products!$A$2:$A$49,products!$H$2:$H$49)</f>
        <v>3.96495</v>
      </c>
      <c r="P478">
        <f t="shared" si="44"/>
        <v>26.73</v>
      </c>
      <c r="Q478">
        <f t="shared" si="45"/>
        <v>23.7897</v>
      </c>
      <c r="R478">
        <f t="shared" si="46"/>
        <v>2.9403000000000006</v>
      </c>
      <c r="S478" s="4">
        <f t="shared" si="47"/>
        <v>0.11000000000000001</v>
      </c>
      <c r="T478" t="str">
        <f>_xlfn.XLOOKUP(C478,customers!$A$1:$A$1001,customers!$I$1:$I$1001,,0)</f>
        <v>Yes</v>
      </c>
    </row>
    <row r="479" spans="1:20"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INDEX(products!$A$1:$I$49,MATCH(orders!$D479,products!$A$1:$A$49,0),MATCH(orders!I$1,products!$A$1:$D$1,0))</f>
        <v>Lib</v>
      </c>
      <c r="J479" t="str">
        <f t="shared" si="42"/>
        <v>Liberica</v>
      </c>
      <c r="K479" t="str">
        <f>INDEX(products!$A$1:$I$49,MATCH(orders!$D479,products!$A$1:$A$49,0),MATCH(orders!K$1,products!$A$1:$D$1,0))</f>
        <v>M</v>
      </c>
      <c r="L479" t="str">
        <f t="shared" si="43"/>
        <v>Medium</v>
      </c>
      <c r="M479">
        <f>INDEX(products!$A$1:$I$49,MATCH(orders!$D479,products!$A$1:$A$49,0),MATCH(orders!M$1,products!$A$1:$D$1,0))</f>
        <v>0.2</v>
      </c>
      <c r="N479">
        <f>_xlfn.XLOOKUP(D479,products!$A$2:$A$49,products!$E$2:$E$49)</f>
        <v>4.3650000000000002</v>
      </c>
      <c r="O479">
        <f>_xlfn.XLOOKUP(D479,products!$A$2:$A$49,products!$H$2:$H$49)</f>
        <v>3.7975500000000002</v>
      </c>
      <c r="P479">
        <f t="shared" si="44"/>
        <v>26.19</v>
      </c>
      <c r="Q479">
        <f t="shared" si="45"/>
        <v>22.785299999999999</v>
      </c>
      <c r="R479">
        <f t="shared" si="46"/>
        <v>3.4047000000000018</v>
      </c>
      <c r="S479" s="4">
        <f t="shared" si="47"/>
        <v>0.13000000000000006</v>
      </c>
      <c r="T479" t="str">
        <f>_xlfn.XLOOKUP(C479,customers!$A$1:$A$1001,customers!$I$1:$I$1001,,0)</f>
        <v>No</v>
      </c>
    </row>
    <row r="480" spans="1:20"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INDEX(products!$A$1:$I$49,MATCH(orders!$D480,products!$A$1:$A$49,0),MATCH(orders!I$1,products!$A$1:$D$1,0))</f>
        <v>Rob</v>
      </c>
      <c r="J480" t="str">
        <f t="shared" si="42"/>
        <v>Robusta</v>
      </c>
      <c r="K480" t="str">
        <f>INDEX(products!$A$1:$I$49,MATCH(orders!$D480,products!$A$1:$A$49,0),MATCH(orders!K$1,products!$A$1:$D$1,0))</f>
        <v>D</v>
      </c>
      <c r="L480" t="str">
        <f t="shared" si="43"/>
        <v>Dark</v>
      </c>
      <c r="M480">
        <f>INDEX(products!$A$1:$I$49,MATCH(orders!$D480,products!$A$1:$A$49,0),MATCH(orders!M$1,products!$A$1:$D$1,0))</f>
        <v>1</v>
      </c>
      <c r="N480">
        <f>_xlfn.XLOOKUP(D480,products!$A$2:$A$49,products!$E$2:$E$49)</f>
        <v>8.9499999999999993</v>
      </c>
      <c r="O480">
        <f>_xlfn.XLOOKUP(D480,products!$A$2:$A$49,products!$H$2:$H$49)</f>
        <v>8.4130000000000003</v>
      </c>
      <c r="P480">
        <f t="shared" si="44"/>
        <v>53.699999999999996</v>
      </c>
      <c r="Q480">
        <f t="shared" si="45"/>
        <v>50.478000000000002</v>
      </c>
      <c r="R480">
        <f t="shared" si="46"/>
        <v>3.2219999999999942</v>
      </c>
      <c r="S480" s="4">
        <f t="shared" si="47"/>
        <v>5.9999999999999894E-2</v>
      </c>
      <c r="T480" t="str">
        <f>_xlfn.XLOOKUP(C480,customers!$A$1:$A$1001,customers!$I$1:$I$1001,,0)</f>
        <v>Yes</v>
      </c>
    </row>
    <row r="481" spans="1:20"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INDEX(products!$A$1:$I$49,MATCH(orders!$D481,products!$A$1:$A$49,0),MATCH(orders!I$1,products!$A$1:$D$1,0))</f>
        <v>Exc</v>
      </c>
      <c r="J481" t="str">
        <f t="shared" si="42"/>
        <v>Excelsa</v>
      </c>
      <c r="K481" t="str">
        <f>INDEX(products!$A$1:$I$49,MATCH(orders!$D481,products!$A$1:$A$49,0),MATCH(orders!K$1,products!$A$1:$D$1,0))</f>
        <v>M</v>
      </c>
      <c r="L481" t="str">
        <f t="shared" si="43"/>
        <v>Medium</v>
      </c>
      <c r="M481">
        <f>INDEX(products!$A$1:$I$49,MATCH(orders!$D481,products!$A$1:$A$49,0),MATCH(orders!M$1,products!$A$1:$D$1,0))</f>
        <v>2.5</v>
      </c>
      <c r="N481">
        <f>_xlfn.XLOOKUP(D481,products!$A$2:$A$49,products!$E$2:$E$49)</f>
        <v>31.624999999999996</v>
      </c>
      <c r="O481">
        <f>_xlfn.XLOOKUP(D481,products!$A$2:$A$49,products!$H$2:$H$49)</f>
        <v>28.146249999999995</v>
      </c>
      <c r="P481">
        <f t="shared" si="44"/>
        <v>126.49999999999999</v>
      </c>
      <c r="Q481">
        <f t="shared" si="45"/>
        <v>112.58499999999998</v>
      </c>
      <c r="R481">
        <f t="shared" si="46"/>
        <v>13.915000000000006</v>
      </c>
      <c r="S481" s="4">
        <f t="shared" si="47"/>
        <v>0.11000000000000006</v>
      </c>
      <c r="T481" t="str">
        <f>_xlfn.XLOOKUP(C481,customers!$A$1:$A$1001,customers!$I$1:$I$1001,,0)</f>
        <v>Yes</v>
      </c>
    </row>
    <row r="482" spans="1:20"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INDEX(products!$A$1:$I$49,MATCH(orders!$D482,products!$A$1:$A$49,0),MATCH(orders!I$1,products!$A$1:$D$1,0))</f>
        <v>Exc</v>
      </c>
      <c r="J482" t="str">
        <f t="shared" si="42"/>
        <v>Excelsa</v>
      </c>
      <c r="K482" t="str">
        <f>INDEX(products!$A$1:$I$49,MATCH(orders!$D482,products!$A$1:$A$49,0),MATCH(orders!K$1,products!$A$1:$D$1,0))</f>
        <v>M</v>
      </c>
      <c r="L482" t="str">
        <f t="shared" si="43"/>
        <v>Medium</v>
      </c>
      <c r="M482">
        <f>INDEX(products!$A$1:$I$49,MATCH(orders!$D482,products!$A$1:$A$49,0),MATCH(orders!M$1,products!$A$1:$D$1,0))</f>
        <v>0.2</v>
      </c>
      <c r="N482">
        <f>_xlfn.XLOOKUP(D482,products!$A$2:$A$49,products!$E$2:$E$49)</f>
        <v>4.125</v>
      </c>
      <c r="O482">
        <f>_xlfn.XLOOKUP(D482,products!$A$2:$A$49,products!$H$2:$H$49)</f>
        <v>3.6712500000000001</v>
      </c>
      <c r="P482">
        <f t="shared" si="44"/>
        <v>4.125</v>
      </c>
      <c r="Q482">
        <f t="shared" si="45"/>
        <v>3.6712500000000001</v>
      </c>
      <c r="R482">
        <f t="shared" si="46"/>
        <v>0.45374999999999988</v>
      </c>
      <c r="S482" s="4">
        <f t="shared" si="47"/>
        <v>0.10999999999999997</v>
      </c>
      <c r="T482" t="str">
        <f>_xlfn.XLOOKUP(C482,customers!$A$1:$A$1001,customers!$I$1:$I$1001,,0)</f>
        <v>Yes</v>
      </c>
    </row>
    <row r="483" spans="1:20"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INDEX(products!$A$1:$I$49,MATCH(orders!$D483,products!$A$1:$A$49,0),MATCH(orders!I$1,products!$A$1:$D$1,0))</f>
        <v>Rob</v>
      </c>
      <c r="J483" t="str">
        <f t="shared" si="42"/>
        <v>Robusta</v>
      </c>
      <c r="K483" t="str">
        <f>INDEX(products!$A$1:$I$49,MATCH(orders!$D483,products!$A$1:$A$49,0),MATCH(orders!K$1,products!$A$1:$D$1,0))</f>
        <v>L</v>
      </c>
      <c r="L483" t="str">
        <f t="shared" si="43"/>
        <v>Light</v>
      </c>
      <c r="M483">
        <f>INDEX(products!$A$1:$I$49,MATCH(orders!$D483,products!$A$1:$A$49,0),MATCH(orders!M$1,products!$A$1:$D$1,0))</f>
        <v>1</v>
      </c>
      <c r="N483">
        <f>_xlfn.XLOOKUP(D483,products!$A$2:$A$49,products!$E$2:$E$49)</f>
        <v>11.95</v>
      </c>
      <c r="O483">
        <f>_xlfn.XLOOKUP(D483,products!$A$2:$A$49,products!$H$2:$H$49)</f>
        <v>11.232999999999999</v>
      </c>
      <c r="P483">
        <f t="shared" si="44"/>
        <v>23.9</v>
      </c>
      <c r="Q483">
        <f t="shared" si="45"/>
        <v>22.465999999999998</v>
      </c>
      <c r="R483">
        <f t="shared" si="46"/>
        <v>1.4340000000000011</v>
      </c>
      <c r="S483" s="4">
        <f t="shared" si="47"/>
        <v>6.0000000000000046E-2</v>
      </c>
      <c r="T483" t="str">
        <f>_xlfn.XLOOKUP(C483,customers!$A$1:$A$1001,customers!$I$1:$I$1001,,0)</f>
        <v>No</v>
      </c>
    </row>
    <row r="484" spans="1:20"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INDEX(products!$A$1:$I$49,MATCH(orders!$D484,products!$A$1:$A$49,0),MATCH(orders!I$1,products!$A$1:$D$1,0))</f>
        <v>Exc</v>
      </c>
      <c r="J484" t="str">
        <f t="shared" si="42"/>
        <v>Excelsa</v>
      </c>
      <c r="K484" t="str">
        <f>INDEX(products!$A$1:$I$49,MATCH(orders!$D484,products!$A$1:$A$49,0),MATCH(orders!K$1,products!$A$1:$D$1,0))</f>
        <v>D</v>
      </c>
      <c r="L484" t="str">
        <f t="shared" si="43"/>
        <v>Dark</v>
      </c>
      <c r="M484">
        <f>INDEX(products!$A$1:$I$49,MATCH(orders!$D484,products!$A$1:$A$49,0),MATCH(orders!M$1,products!$A$1:$D$1,0))</f>
        <v>2.5</v>
      </c>
      <c r="N484">
        <f>_xlfn.XLOOKUP(D484,products!$A$2:$A$49,products!$E$2:$E$49)</f>
        <v>27.945</v>
      </c>
      <c r="O484">
        <f>_xlfn.XLOOKUP(D484,products!$A$2:$A$49,products!$H$2:$H$49)</f>
        <v>24.87105</v>
      </c>
      <c r="P484">
        <f t="shared" si="44"/>
        <v>139.72499999999999</v>
      </c>
      <c r="Q484">
        <f t="shared" si="45"/>
        <v>124.35525</v>
      </c>
      <c r="R484">
        <f t="shared" si="46"/>
        <v>15.369749999999996</v>
      </c>
      <c r="S484" s="4">
        <f t="shared" si="47"/>
        <v>0.10999999999999997</v>
      </c>
      <c r="T484" t="str">
        <f>_xlfn.XLOOKUP(C484,customers!$A$1:$A$1001,customers!$I$1:$I$1001,,0)</f>
        <v>Yes</v>
      </c>
    </row>
    <row r="485" spans="1:20"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v>
      </c>
      <c r="H485" s="2" t="str">
        <f>_xlfn.XLOOKUP(C485,customers!$A$1:$A$1001,customers!$G$1:$G$1001,,0)</f>
        <v>United States</v>
      </c>
      <c r="I485" t="str">
        <f>INDEX(products!$A$1:$I$49,MATCH(orders!$D485,products!$A$1:$A$49,0),MATCH(orders!I$1,products!$A$1:$D$1,0))</f>
        <v>Lib</v>
      </c>
      <c r="J485" t="str">
        <f t="shared" si="42"/>
        <v>Liberica</v>
      </c>
      <c r="K485" t="str">
        <f>INDEX(products!$A$1:$I$49,MATCH(orders!$D485,products!$A$1:$A$49,0),MATCH(orders!K$1,products!$A$1:$D$1,0))</f>
        <v>D</v>
      </c>
      <c r="L485" t="str">
        <f t="shared" si="43"/>
        <v>Dark</v>
      </c>
      <c r="M485">
        <f>INDEX(products!$A$1:$I$49,MATCH(orders!$D485,products!$A$1:$A$49,0),MATCH(orders!M$1,products!$A$1:$D$1,0))</f>
        <v>2.5</v>
      </c>
      <c r="N485">
        <f>_xlfn.XLOOKUP(D485,products!$A$2:$A$49,products!$E$2:$E$49)</f>
        <v>29.784999999999997</v>
      </c>
      <c r="O485">
        <f>_xlfn.XLOOKUP(D485,products!$A$2:$A$49,products!$H$2:$H$49)</f>
        <v>25.912949999999995</v>
      </c>
      <c r="P485">
        <f t="shared" si="44"/>
        <v>59.569999999999993</v>
      </c>
      <c r="Q485">
        <f t="shared" si="45"/>
        <v>51.82589999999999</v>
      </c>
      <c r="R485">
        <f t="shared" si="46"/>
        <v>7.7441000000000031</v>
      </c>
      <c r="S485" s="4">
        <f t="shared" si="47"/>
        <v>0.13000000000000006</v>
      </c>
      <c r="T485" t="str">
        <f>_xlfn.XLOOKUP(C485,customers!$A$1:$A$1001,customers!$I$1:$I$1001,,0)</f>
        <v>Yes</v>
      </c>
    </row>
    <row r="486" spans="1:20"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INDEX(products!$A$1:$I$49,MATCH(orders!$D486,products!$A$1:$A$49,0),MATCH(orders!I$1,products!$A$1:$D$1,0))</f>
        <v>Lib</v>
      </c>
      <c r="J486" t="str">
        <f t="shared" si="42"/>
        <v>Liberica</v>
      </c>
      <c r="K486" t="str">
        <f>INDEX(products!$A$1:$I$49,MATCH(orders!$D486,products!$A$1:$A$49,0),MATCH(orders!K$1,products!$A$1:$D$1,0))</f>
        <v>L</v>
      </c>
      <c r="L486" t="str">
        <f t="shared" si="43"/>
        <v>Light</v>
      </c>
      <c r="M486">
        <f>INDEX(products!$A$1:$I$49,MATCH(orders!$D486,products!$A$1:$A$49,0),MATCH(orders!M$1,products!$A$1:$D$1,0))</f>
        <v>0.5</v>
      </c>
      <c r="N486">
        <f>_xlfn.XLOOKUP(D486,products!$A$2:$A$49,products!$E$2:$E$49)</f>
        <v>9.51</v>
      </c>
      <c r="O486">
        <f>_xlfn.XLOOKUP(D486,products!$A$2:$A$49,products!$H$2:$H$49)</f>
        <v>8.2736999999999998</v>
      </c>
      <c r="P486">
        <f t="shared" si="44"/>
        <v>57.06</v>
      </c>
      <c r="Q486">
        <f t="shared" si="45"/>
        <v>49.642200000000003</v>
      </c>
      <c r="R486">
        <f t="shared" si="46"/>
        <v>7.4177999999999997</v>
      </c>
      <c r="S486" s="4">
        <f t="shared" si="47"/>
        <v>0.12999999999999998</v>
      </c>
      <c r="T486" t="str">
        <f>_xlfn.XLOOKUP(C486,customers!$A$1:$A$1001,customers!$I$1:$I$1001,,0)</f>
        <v>No</v>
      </c>
    </row>
    <row r="487" spans="1:20"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INDEX(products!$A$1:$I$49,MATCH(orders!$D487,products!$A$1:$A$49,0),MATCH(orders!I$1,products!$A$1:$D$1,0))</f>
        <v>Rob</v>
      </c>
      <c r="J487" t="str">
        <f t="shared" si="42"/>
        <v>Robusta</v>
      </c>
      <c r="K487" t="str">
        <f>INDEX(products!$A$1:$I$49,MATCH(orders!$D487,products!$A$1:$A$49,0),MATCH(orders!K$1,products!$A$1:$D$1,0))</f>
        <v>L</v>
      </c>
      <c r="L487" t="str">
        <f t="shared" si="43"/>
        <v>Light</v>
      </c>
      <c r="M487">
        <f>INDEX(products!$A$1:$I$49,MATCH(orders!$D487,products!$A$1:$A$49,0),MATCH(orders!M$1,products!$A$1:$D$1,0))</f>
        <v>0.2</v>
      </c>
      <c r="N487">
        <f>_xlfn.XLOOKUP(D487,products!$A$2:$A$49,products!$E$2:$E$49)</f>
        <v>3.5849999999999995</v>
      </c>
      <c r="O487">
        <f>_xlfn.XLOOKUP(D487,products!$A$2:$A$49,products!$H$2:$H$49)</f>
        <v>3.3698999999999995</v>
      </c>
      <c r="P487">
        <f t="shared" si="44"/>
        <v>21.509999999999998</v>
      </c>
      <c r="Q487">
        <f t="shared" si="45"/>
        <v>20.219399999999997</v>
      </c>
      <c r="R487">
        <f t="shared" si="46"/>
        <v>1.2906000000000013</v>
      </c>
      <c r="S487" s="4">
        <f t="shared" si="47"/>
        <v>6.0000000000000067E-2</v>
      </c>
      <c r="T487" t="str">
        <f>_xlfn.XLOOKUP(C487,customers!$A$1:$A$1001,customers!$I$1:$I$1001,,0)</f>
        <v>Yes</v>
      </c>
    </row>
    <row r="488" spans="1:20"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INDEX(products!$A$1:$I$49,MATCH(orders!$D488,products!$A$1:$A$49,0),MATCH(orders!I$1,products!$A$1:$D$1,0))</f>
        <v>Lib</v>
      </c>
      <c r="J488" t="str">
        <f t="shared" si="42"/>
        <v>Liberica</v>
      </c>
      <c r="K488" t="str">
        <f>INDEX(products!$A$1:$I$49,MATCH(orders!$D488,products!$A$1:$A$49,0),MATCH(orders!K$1,products!$A$1:$D$1,0))</f>
        <v>M</v>
      </c>
      <c r="L488" t="str">
        <f t="shared" si="43"/>
        <v>Medium</v>
      </c>
      <c r="M488">
        <f>INDEX(products!$A$1:$I$49,MATCH(orders!$D488,products!$A$1:$A$49,0),MATCH(orders!M$1,products!$A$1:$D$1,0))</f>
        <v>0.5</v>
      </c>
      <c r="N488">
        <f>_xlfn.XLOOKUP(D488,products!$A$2:$A$49,products!$E$2:$E$49)</f>
        <v>8.73</v>
      </c>
      <c r="O488">
        <f>_xlfn.XLOOKUP(D488,products!$A$2:$A$49,products!$H$2:$H$49)</f>
        <v>7.5951000000000004</v>
      </c>
      <c r="P488">
        <f t="shared" si="44"/>
        <v>52.38</v>
      </c>
      <c r="Q488">
        <f t="shared" si="45"/>
        <v>45.570599999999999</v>
      </c>
      <c r="R488">
        <f t="shared" si="46"/>
        <v>6.8094000000000037</v>
      </c>
      <c r="S488" s="4">
        <f t="shared" si="47"/>
        <v>0.13000000000000006</v>
      </c>
      <c r="T488" t="str">
        <f>_xlfn.XLOOKUP(C488,customers!$A$1:$A$1001,customers!$I$1:$I$1001,,0)</f>
        <v>Yes</v>
      </c>
    </row>
    <row r="489" spans="1:20"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INDEX(products!$A$1:$I$49,MATCH(orders!$D489,products!$A$1:$A$49,0),MATCH(orders!I$1,products!$A$1:$D$1,0))</f>
        <v>Exc</v>
      </c>
      <c r="J489" t="str">
        <f t="shared" si="42"/>
        <v>Excelsa</v>
      </c>
      <c r="K489" t="str">
        <f>INDEX(products!$A$1:$I$49,MATCH(orders!$D489,products!$A$1:$A$49,0),MATCH(orders!K$1,products!$A$1:$D$1,0))</f>
        <v>D</v>
      </c>
      <c r="L489" t="str">
        <f t="shared" si="43"/>
        <v>Dark</v>
      </c>
      <c r="M489">
        <f>INDEX(products!$A$1:$I$49,MATCH(orders!$D489,products!$A$1:$A$49,0),MATCH(orders!M$1,products!$A$1:$D$1,0))</f>
        <v>1</v>
      </c>
      <c r="N489">
        <f>_xlfn.XLOOKUP(D489,products!$A$2:$A$49,products!$E$2:$E$49)</f>
        <v>12.15</v>
      </c>
      <c r="O489">
        <f>_xlfn.XLOOKUP(D489,products!$A$2:$A$49,products!$H$2:$H$49)</f>
        <v>10.813500000000001</v>
      </c>
      <c r="P489">
        <f t="shared" si="44"/>
        <v>72.900000000000006</v>
      </c>
      <c r="Q489">
        <f t="shared" si="45"/>
        <v>64.881</v>
      </c>
      <c r="R489">
        <f t="shared" si="46"/>
        <v>8.0190000000000055</v>
      </c>
      <c r="S489" s="4">
        <f t="shared" si="47"/>
        <v>0.11000000000000007</v>
      </c>
      <c r="T489" t="str">
        <f>_xlfn.XLOOKUP(C489,customers!$A$1:$A$1001,customers!$I$1:$I$1001,,0)</f>
        <v>No</v>
      </c>
    </row>
    <row r="490" spans="1:20"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INDEX(products!$A$1:$I$49,MATCH(orders!$D490,products!$A$1:$A$49,0),MATCH(orders!I$1,products!$A$1:$D$1,0))</f>
        <v>Rob</v>
      </c>
      <c r="J490" t="str">
        <f t="shared" si="42"/>
        <v>Robusta</v>
      </c>
      <c r="K490" t="str">
        <f>INDEX(products!$A$1:$I$49,MATCH(orders!$D490,products!$A$1:$A$49,0),MATCH(orders!K$1,products!$A$1:$D$1,0))</f>
        <v>M</v>
      </c>
      <c r="L490" t="str">
        <f t="shared" si="43"/>
        <v>Medium</v>
      </c>
      <c r="M490">
        <f>INDEX(products!$A$1:$I$49,MATCH(orders!$D490,products!$A$1:$A$49,0),MATCH(orders!M$1,products!$A$1:$D$1,0))</f>
        <v>0.2</v>
      </c>
      <c r="N490">
        <f>_xlfn.XLOOKUP(D490,products!$A$2:$A$49,products!$E$2:$E$49)</f>
        <v>2.9849999999999999</v>
      </c>
      <c r="O490">
        <f>_xlfn.XLOOKUP(D490,products!$A$2:$A$49,products!$H$2:$H$49)</f>
        <v>2.8058999999999998</v>
      </c>
      <c r="P490">
        <f t="shared" si="44"/>
        <v>14.924999999999999</v>
      </c>
      <c r="Q490">
        <f t="shared" si="45"/>
        <v>14.029499999999999</v>
      </c>
      <c r="R490">
        <f t="shared" si="46"/>
        <v>0.89550000000000018</v>
      </c>
      <c r="S490" s="4">
        <f t="shared" si="47"/>
        <v>6.0000000000000019E-2</v>
      </c>
      <c r="T490" t="str">
        <f>_xlfn.XLOOKUP(C490,customers!$A$1:$A$1001,customers!$I$1:$I$1001,,0)</f>
        <v>Yes</v>
      </c>
    </row>
    <row r="491" spans="1:20"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INDEX(products!$A$1:$I$49,MATCH(orders!$D491,products!$A$1:$A$49,0),MATCH(orders!I$1,products!$A$1:$D$1,0))</f>
        <v>Lib</v>
      </c>
      <c r="J491" t="str">
        <f t="shared" si="42"/>
        <v>Liberica</v>
      </c>
      <c r="K491" t="str">
        <f>INDEX(products!$A$1:$I$49,MATCH(orders!$D491,products!$A$1:$A$49,0),MATCH(orders!K$1,products!$A$1:$D$1,0))</f>
        <v>L</v>
      </c>
      <c r="L491" t="str">
        <f t="shared" si="43"/>
        <v>Light</v>
      </c>
      <c r="M491">
        <f>INDEX(products!$A$1:$I$49,MATCH(orders!$D491,products!$A$1:$A$49,0),MATCH(orders!M$1,products!$A$1:$D$1,0))</f>
        <v>1</v>
      </c>
      <c r="N491">
        <f>_xlfn.XLOOKUP(D491,products!$A$2:$A$49,products!$E$2:$E$49)</f>
        <v>15.85</v>
      </c>
      <c r="O491">
        <f>_xlfn.XLOOKUP(D491,products!$A$2:$A$49,products!$H$2:$H$49)</f>
        <v>13.7895</v>
      </c>
      <c r="P491">
        <f t="shared" si="44"/>
        <v>95.1</v>
      </c>
      <c r="Q491">
        <f t="shared" si="45"/>
        <v>82.736999999999995</v>
      </c>
      <c r="R491">
        <f t="shared" si="46"/>
        <v>12.363</v>
      </c>
      <c r="S491" s="4">
        <f t="shared" si="47"/>
        <v>0.13</v>
      </c>
      <c r="T491" t="str">
        <f>_xlfn.XLOOKUP(C491,customers!$A$1:$A$1001,customers!$I$1:$I$1001,,0)</f>
        <v>No</v>
      </c>
    </row>
    <row r="492" spans="1:20"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INDEX(products!$A$1:$I$49,MATCH(orders!$D492,products!$A$1:$A$49,0),MATCH(orders!I$1,products!$A$1:$D$1,0))</f>
        <v>Lib</v>
      </c>
      <c r="J492" t="str">
        <f t="shared" si="42"/>
        <v>Liberica</v>
      </c>
      <c r="K492" t="str">
        <f>INDEX(products!$A$1:$I$49,MATCH(orders!$D492,products!$A$1:$A$49,0),MATCH(orders!K$1,products!$A$1:$D$1,0))</f>
        <v>D</v>
      </c>
      <c r="L492" t="str">
        <f t="shared" si="43"/>
        <v>Dark</v>
      </c>
      <c r="M492">
        <f>INDEX(products!$A$1:$I$49,MATCH(orders!$D492,products!$A$1:$A$49,0),MATCH(orders!M$1,products!$A$1:$D$1,0))</f>
        <v>0.5</v>
      </c>
      <c r="N492">
        <f>_xlfn.XLOOKUP(D492,products!$A$2:$A$49,products!$E$2:$E$49)</f>
        <v>7.77</v>
      </c>
      <c r="O492">
        <f>_xlfn.XLOOKUP(D492,products!$A$2:$A$49,products!$H$2:$H$49)</f>
        <v>6.7599</v>
      </c>
      <c r="P492">
        <f t="shared" si="44"/>
        <v>15.54</v>
      </c>
      <c r="Q492">
        <f t="shared" si="45"/>
        <v>13.5198</v>
      </c>
      <c r="R492">
        <f t="shared" si="46"/>
        <v>2.0201999999999991</v>
      </c>
      <c r="S492" s="4">
        <f t="shared" si="47"/>
        <v>0.12999999999999995</v>
      </c>
      <c r="T492" t="str">
        <f>_xlfn.XLOOKUP(C492,customers!$A$1:$A$1001,customers!$I$1:$I$1001,,0)</f>
        <v>No</v>
      </c>
    </row>
    <row r="493" spans="1:20"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v>
      </c>
      <c r="H493" s="2" t="str">
        <f>_xlfn.XLOOKUP(C493,customers!$A$1:$A$1001,customers!$G$1:$G$1001,,0)</f>
        <v>United States</v>
      </c>
      <c r="I493" t="str">
        <f>INDEX(products!$A$1:$I$49,MATCH(orders!$D493,products!$A$1:$A$49,0),MATCH(orders!I$1,products!$A$1:$D$1,0))</f>
        <v>Lib</v>
      </c>
      <c r="J493" t="str">
        <f t="shared" si="42"/>
        <v>Liberica</v>
      </c>
      <c r="K493" t="str">
        <f>INDEX(products!$A$1:$I$49,MATCH(orders!$D493,products!$A$1:$A$49,0),MATCH(orders!K$1,products!$A$1:$D$1,0))</f>
        <v>D</v>
      </c>
      <c r="L493" t="str">
        <f t="shared" si="43"/>
        <v>Dark</v>
      </c>
      <c r="M493">
        <f>INDEX(products!$A$1:$I$49,MATCH(orders!$D493,products!$A$1:$A$49,0),MATCH(orders!M$1,products!$A$1:$D$1,0))</f>
        <v>0.2</v>
      </c>
      <c r="N493">
        <f>_xlfn.XLOOKUP(D493,products!$A$2:$A$49,products!$E$2:$E$49)</f>
        <v>3.8849999999999998</v>
      </c>
      <c r="O493">
        <f>_xlfn.XLOOKUP(D493,products!$A$2:$A$49,products!$H$2:$H$49)</f>
        <v>3.37995</v>
      </c>
      <c r="P493">
        <f t="shared" si="44"/>
        <v>23.31</v>
      </c>
      <c r="Q493">
        <f t="shared" si="45"/>
        <v>20.279699999999998</v>
      </c>
      <c r="R493">
        <f t="shared" si="46"/>
        <v>3.0303000000000004</v>
      </c>
      <c r="S493" s="4">
        <f t="shared" si="47"/>
        <v>0.13000000000000003</v>
      </c>
      <c r="T493" t="str">
        <f>_xlfn.XLOOKUP(C493,customers!$A$1:$A$1001,customers!$I$1:$I$1001,,0)</f>
        <v>No</v>
      </c>
    </row>
    <row r="494" spans="1:20"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INDEX(products!$A$1:$I$49,MATCH(orders!$D494,products!$A$1:$A$49,0),MATCH(orders!I$1,products!$A$1:$D$1,0))</f>
        <v>Exc</v>
      </c>
      <c r="J494" t="str">
        <f t="shared" si="42"/>
        <v>Excelsa</v>
      </c>
      <c r="K494" t="str">
        <f>INDEX(products!$A$1:$I$49,MATCH(orders!$D494,products!$A$1:$A$49,0),MATCH(orders!K$1,products!$A$1:$D$1,0))</f>
        <v>M</v>
      </c>
      <c r="L494" t="str">
        <f t="shared" si="43"/>
        <v>Medium</v>
      </c>
      <c r="M494">
        <f>INDEX(products!$A$1:$I$49,MATCH(orders!$D494,products!$A$1:$A$49,0),MATCH(orders!M$1,products!$A$1:$D$1,0))</f>
        <v>0.2</v>
      </c>
      <c r="N494">
        <f>_xlfn.XLOOKUP(D494,products!$A$2:$A$49,products!$E$2:$E$49)</f>
        <v>4.125</v>
      </c>
      <c r="O494">
        <f>_xlfn.XLOOKUP(D494,products!$A$2:$A$49,products!$H$2:$H$49)</f>
        <v>3.6712500000000001</v>
      </c>
      <c r="P494">
        <f t="shared" si="44"/>
        <v>4.125</v>
      </c>
      <c r="Q494">
        <f t="shared" si="45"/>
        <v>3.6712500000000001</v>
      </c>
      <c r="R494">
        <f t="shared" si="46"/>
        <v>0.45374999999999988</v>
      </c>
      <c r="S494" s="4">
        <f t="shared" si="47"/>
        <v>0.10999999999999997</v>
      </c>
      <c r="T494" t="str">
        <f>_xlfn.XLOOKUP(C494,customers!$A$1:$A$1001,customers!$I$1:$I$1001,,0)</f>
        <v>Yes</v>
      </c>
    </row>
    <row r="495" spans="1:20"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INDEX(products!$A$1:$I$49,MATCH(orders!$D495,products!$A$1:$A$49,0),MATCH(orders!I$1,products!$A$1:$D$1,0))</f>
        <v>Rob</v>
      </c>
      <c r="J495" t="str">
        <f t="shared" si="42"/>
        <v>Robusta</v>
      </c>
      <c r="K495" t="str">
        <f>INDEX(products!$A$1:$I$49,MATCH(orders!$D495,products!$A$1:$A$49,0),MATCH(orders!K$1,products!$A$1:$D$1,0))</f>
        <v>M</v>
      </c>
      <c r="L495" t="str">
        <f t="shared" si="43"/>
        <v>Medium</v>
      </c>
      <c r="M495">
        <f>INDEX(products!$A$1:$I$49,MATCH(orders!$D495,products!$A$1:$A$49,0),MATCH(orders!M$1,products!$A$1:$D$1,0))</f>
        <v>0.5</v>
      </c>
      <c r="N495">
        <f>_xlfn.XLOOKUP(D495,products!$A$2:$A$49,products!$E$2:$E$49)</f>
        <v>5.97</v>
      </c>
      <c r="O495">
        <f>_xlfn.XLOOKUP(D495,products!$A$2:$A$49,products!$H$2:$H$49)</f>
        <v>5.6117999999999997</v>
      </c>
      <c r="P495">
        <f t="shared" si="44"/>
        <v>35.82</v>
      </c>
      <c r="Q495">
        <f t="shared" si="45"/>
        <v>33.6708</v>
      </c>
      <c r="R495">
        <f t="shared" si="46"/>
        <v>2.1492000000000004</v>
      </c>
      <c r="S495" s="4">
        <f t="shared" si="47"/>
        <v>6.0000000000000012E-2</v>
      </c>
      <c r="T495" t="str">
        <f>_xlfn.XLOOKUP(C495,customers!$A$1:$A$1001,customers!$I$1:$I$1001,,0)</f>
        <v>No</v>
      </c>
    </row>
    <row r="496" spans="1:20"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INDEX(products!$A$1:$I$49,MATCH(orders!$D496,products!$A$1:$A$49,0),MATCH(orders!I$1,products!$A$1:$D$1,0))</f>
        <v>Lib</v>
      </c>
      <c r="J496" t="str">
        <f t="shared" si="42"/>
        <v>Liberica</v>
      </c>
      <c r="K496" t="str">
        <f>INDEX(products!$A$1:$I$49,MATCH(orders!$D496,products!$A$1:$A$49,0),MATCH(orders!K$1,products!$A$1:$D$1,0))</f>
        <v>L</v>
      </c>
      <c r="L496" t="str">
        <f t="shared" si="43"/>
        <v>Light</v>
      </c>
      <c r="M496">
        <f>INDEX(products!$A$1:$I$49,MATCH(orders!$D496,products!$A$1:$A$49,0),MATCH(orders!M$1,products!$A$1:$D$1,0))</f>
        <v>1</v>
      </c>
      <c r="N496">
        <f>_xlfn.XLOOKUP(D496,products!$A$2:$A$49,products!$E$2:$E$49)</f>
        <v>15.85</v>
      </c>
      <c r="O496">
        <f>_xlfn.XLOOKUP(D496,products!$A$2:$A$49,products!$H$2:$H$49)</f>
        <v>13.7895</v>
      </c>
      <c r="P496">
        <f t="shared" si="44"/>
        <v>31.7</v>
      </c>
      <c r="Q496">
        <f t="shared" si="45"/>
        <v>27.579000000000001</v>
      </c>
      <c r="R496">
        <f t="shared" si="46"/>
        <v>4.1209999999999987</v>
      </c>
      <c r="S496" s="4">
        <f t="shared" si="47"/>
        <v>0.12999999999999995</v>
      </c>
      <c r="T496" t="str">
        <f>_xlfn.XLOOKUP(C496,customers!$A$1:$A$1001,customers!$I$1:$I$1001,,0)</f>
        <v>No</v>
      </c>
    </row>
    <row r="497" spans="1:20"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v>
      </c>
      <c r="H497" s="2" t="str">
        <f>_xlfn.XLOOKUP(C497,customers!$A$1:$A$1001,customers!$G$1:$G$1001,,0)</f>
        <v>United States</v>
      </c>
      <c r="I497" t="str">
        <f>INDEX(products!$A$1:$I$49,MATCH(orders!$D497,products!$A$1:$A$49,0),MATCH(orders!I$1,products!$A$1:$D$1,0))</f>
        <v>Lib</v>
      </c>
      <c r="J497" t="str">
        <f t="shared" si="42"/>
        <v>Liberica</v>
      </c>
      <c r="K497" t="str">
        <f>INDEX(products!$A$1:$I$49,MATCH(orders!$D497,products!$A$1:$A$49,0),MATCH(orders!K$1,products!$A$1:$D$1,0))</f>
        <v>L</v>
      </c>
      <c r="L497" t="str">
        <f t="shared" si="43"/>
        <v>Light</v>
      </c>
      <c r="M497">
        <f>INDEX(products!$A$1:$I$49,MATCH(orders!$D497,products!$A$1:$A$49,0),MATCH(orders!M$1,products!$A$1:$D$1,0))</f>
        <v>1</v>
      </c>
      <c r="N497">
        <f>_xlfn.XLOOKUP(D497,products!$A$2:$A$49,products!$E$2:$E$49)</f>
        <v>15.85</v>
      </c>
      <c r="O497">
        <f>_xlfn.XLOOKUP(D497,products!$A$2:$A$49,products!$H$2:$H$49)</f>
        <v>13.7895</v>
      </c>
      <c r="P497">
        <f t="shared" si="44"/>
        <v>79.25</v>
      </c>
      <c r="Q497">
        <f t="shared" si="45"/>
        <v>68.947500000000005</v>
      </c>
      <c r="R497">
        <f t="shared" si="46"/>
        <v>10.302499999999995</v>
      </c>
      <c r="S497" s="4">
        <f t="shared" si="47"/>
        <v>0.12999999999999995</v>
      </c>
      <c r="T497" t="str">
        <f>_xlfn.XLOOKUP(C497,customers!$A$1:$A$1001,customers!$I$1:$I$1001,,0)</f>
        <v>Yes</v>
      </c>
    </row>
    <row r="498" spans="1:20"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INDEX(products!$A$1:$I$49,MATCH(orders!$D498,products!$A$1:$A$49,0),MATCH(orders!I$1,products!$A$1:$D$1,0))</f>
        <v>Exc</v>
      </c>
      <c r="J498" t="str">
        <f t="shared" si="42"/>
        <v>Excelsa</v>
      </c>
      <c r="K498" t="str">
        <f>INDEX(products!$A$1:$I$49,MATCH(orders!$D498,products!$A$1:$A$49,0),MATCH(orders!K$1,products!$A$1:$D$1,0))</f>
        <v>D</v>
      </c>
      <c r="L498" t="str">
        <f t="shared" si="43"/>
        <v>Dark</v>
      </c>
      <c r="M498">
        <f>INDEX(products!$A$1:$I$49,MATCH(orders!$D498,products!$A$1:$A$49,0),MATCH(orders!M$1,products!$A$1:$D$1,0))</f>
        <v>0.2</v>
      </c>
      <c r="N498">
        <f>_xlfn.XLOOKUP(D498,products!$A$2:$A$49,products!$E$2:$E$49)</f>
        <v>3.645</v>
      </c>
      <c r="O498">
        <f>_xlfn.XLOOKUP(D498,products!$A$2:$A$49,products!$H$2:$H$49)</f>
        <v>3.2440500000000001</v>
      </c>
      <c r="P498">
        <f t="shared" si="44"/>
        <v>10.935</v>
      </c>
      <c r="Q498">
        <f t="shared" si="45"/>
        <v>9.7321500000000007</v>
      </c>
      <c r="R498">
        <f t="shared" si="46"/>
        <v>1.2028499999999998</v>
      </c>
      <c r="S498" s="4">
        <f t="shared" si="47"/>
        <v>0.10999999999999997</v>
      </c>
      <c r="T498" t="str">
        <f>_xlfn.XLOOKUP(C498,customers!$A$1:$A$1001,customers!$I$1:$I$1001,,0)</f>
        <v>No</v>
      </c>
    </row>
    <row r="499" spans="1:20"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INDEX(products!$A$1:$I$49,MATCH(orders!$D499,products!$A$1:$A$49,0),MATCH(orders!I$1,products!$A$1:$D$1,0))</f>
        <v>Ara</v>
      </c>
      <c r="J499" t="str">
        <f t="shared" si="42"/>
        <v>Arabica</v>
      </c>
      <c r="K499" t="str">
        <f>INDEX(products!$A$1:$I$49,MATCH(orders!$D499,products!$A$1:$A$49,0),MATCH(orders!K$1,products!$A$1:$D$1,0))</f>
        <v>D</v>
      </c>
      <c r="L499" t="str">
        <f t="shared" si="43"/>
        <v>Dark</v>
      </c>
      <c r="M499">
        <f>INDEX(products!$A$1:$I$49,MATCH(orders!$D499,products!$A$1:$A$49,0),MATCH(orders!M$1,products!$A$1:$D$1,0))</f>
        <v>1</v>
      </c>
      <c r="N499">
        <f>_xlfn.XLOOKUP(D499,products!$A$2:$A$49,products!$E$2:$E$49)</f>
        <v>9.9499999999999993</v>
      </c>
      <c r="O499">
        <f>_xlfn.XLOOKUP(D499,products!$A$2:$A$49,products!$H$2:$H$49)</f>
        <v>9.0544999999999991</v>
      </c>
      <c r="P499">
        <f t="shared" si="44"/>
        <v>39.799999999999997</v>
      </c>
      <c r="Q499">
        <f t="shared" si="45"/>
        <v>36.217999999999996</v>
      </c>
      <c r="R499">
        <f t="shared" si="46"/>
        <v>3.5820000000000007</v>
      </c>
      <c r="S499" s="4">
        <f t="shared" si="47"/>
        <v>9.0000000000000024E-2</v>
      </c>
      <c r="T499" t="str">
        <f>_xlfn.XLOOKUP(C499,customers!$A$1:$A$1001,customers!$I$1:$I$1001,,0)</f>
        <v>No</v>
      </c>
    </row>
    <row r="500" spans="1:20"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INDEX(products!$A$1:$I$49,MATCH(orders!$D500,products!$A$1:$A$49,0),MATCH(orders!I$1,products!$A$1:$D$1,0))</f>
        <v>Rob</v>
      </c>
      <c r="J500" t="str">
        <f t="shared" si="42"/>
        <v>Robusta</v>
      </c>
      <c r="K500" t="str">
        <f>INDEX(products!$A$1:$I$49,MATCH(orders!$D500,products!$A$1:$A$49,0),MATCH(orders!K$1,products!$A$1:$D$1,0))</f>
        <v>M</v>
      </c>
      <c r="L500" t="str">
        <f t="shared" si="43"/>
        <v>Medium</v>
      </c>
      <c r="M500">
        <f>INDEX(products!$A$1:$I$49,MATCH(orders!$D500,products!$A$1:$A$49,0),MATCH(orders!M$1,products!$A$1:$D$1,0))</f>
        <v>1</v>
      </c>
      <c r="N500">
        <f>_xlfn.XLOOKUP(D500,products!$A$2:$A$49,products!$E$2:$E$49)</f>
        <v>9.9499999999999993</v>
      </c>
      <c r="O500">
        <f>_xlfn.XLOOKUP(D500,products!$A$2:$A$49,products!$H$2:$H$49)</f>
        <v>9.3529999999999998</v>
      </c>
      <c r="P500">
        <f t="shared" si="44"/>
        <v>49.75</v>
      </c>
      <c r="Q500">
        <f t="shared" si="45"/>
        <v>46.765000000000001</v>
      </c>
      <c r="R500">
        <f t="shared" si="46"/>
        <v>2.9849999999999994</v>
      </c>
      <c r="S500" s="4">
        <f t="shared" si="47"/>
        <v>5.9999999999999991E-2</v>
      </c>
      <c r="T500" t="str">
        <f>_xlfn.XLOOKUP(C500,customers!$A$1:$A$1001,customers!$I$1:$I$1001,,0)</f>
        <v>Yes</v>
      </c>
    </row>
    <row r="501" spans="1:20"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v>
      </c>
      <c r="H501" s="2" t="str">
        <f>_xlfn.XLOOKUP(C501,customers!$A$1:$A$1001,customers!$G$1:$G$1001,,0)</f>
        <v>Ireland</v>
      </c>
      <c r="I501" t="str">
        <f>INDEX(products!$A$1:$I$49,MATCH(orders!$D501,products!$A$1:$A$49,0),MATCH(orders!I$1,products!$A$1:$D$1,0))</f>
        <v>Rob</v>
      </c>
      <c r="J501" t="str">
        <f t="shared" si="42"/>
        <v>Robusta</v>
      </c>
      <c r="K501" t="str">
        <f>INDEX(products!$A$1:$I$49,MATCH(orders!$D501,products!$A$1:$A$49,0),MATCH(orders!K$1,products!$A$1:$D$1,0))</f>
        <v>D</v>
      </c>
      <c r="L501" t="str">
        <f t="shared" si="43"/>
        <v>Dark</v>
      </c>
      <c r="M501">
        <f>INDEX(products!$A$1:$I$49,MATCH(orders!$D501,products!$A$1:$A$49,0),MATCH(orders!M$1,products!$A$1:$D$1,0))</f>
        <v>0.2</v>
      </c>
      <c r="N501">
        <f>_xlfn.XLOOKUP(D501,products!$A$2:$A$49,products!$E$2:$E$49)</f>
        <v>2.6849999999999996</v>
      </c>
      <c r="O501">
        <f>_xlfn.XLOOKUP(D501,products!$A$2:$A$49,products!$H$2:$H$49)</f>
        <v>2.5238999999999998</v>
      </c>
      <c r="P501">
        <f t="shared" si="44"/>
        <v>8.0549999999999997</v>
      </c>
      <c r="Q501">
        <f t="shared" si="45"/>
        <v>7.5716999999999999</v>
      </c>
      <c r="R501">
        <f t="shared" si="46"/>
        <v>0.48329999999999984</v>
      </c>
      <c r="S501" s="4">
        <f t="shared" si="47"/>
        <v>5.9999999999999984E-2</v>
      </c>
      <c r="T501" t="str">
        <f>_xlfn.XLOOKUP(C501,customers!$A$1:$A$1001,customers!$I$1:$I$1001,,0)</f>
        <v>Yes</v>
      </c>
    </row>
    <row r="502" spans="1:20"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v>
      </c>
      <c r="H502" s="2" t="str">
        <f>_xlfn.XLOOKUP(C502,customers!$A$1:$A$1001,customers!$G$1:$G$1001,,0)</f>
        <v>United States</v>
      </c>
      <c r="I502" t="str">
        <f>INDEX(products!$A$1:$I$49,MATCH(orders!$D502,products!$A$1:$A$49,0),MATCH(orders!I$1,products!$A$1:$D$1,0))</f>
        <v>Rob</v>
      </c>
      <c r="J502" t="str">
        <f t="shared" si="42"/>
        <v>Robusta</v>
      </c>
      <c r="K502" t="str">
        <f>INDEX(products!$A$1:$I$49,MATCH(orders!$D502,products!$A$1:$A$49,0),MATCH(orders!K$1,products!$A$1:$D$1,0))</f>
        <v>L</v>
      </c>
      <c r="L502" t="str">
        <f t="shared" si="43"/>
        <v>Light</v>
      </c>
      <c r="M502">
        <f>INDEX(products!$A$1:$I$49,MATCH(orders!$D502,products!$A$1:$A$49,0),MATCH(orders!M$1,products!$A$1:$D$1,0))</f>
        <v>1</v>
      </c>
      <c r="N502">
        <f>_xlfn.XLOOKUP(D502,products!$A$2:$A$49,products!$E$2:$E$49)</f>
        <v>11.95</v>
      </c>
      <c r="O502">
        <f>_xlfn.XLOOKUP(D502,products!$A$2:$A$49,products!$H$2:$H$49)</f>
        <v>11.232999999999999</v>
      </c>
      <c r="P502">
        <f t="shared" si="44"/>
        <v>47.8</v>
      </c>
      <c r="Q502">
        <f t="shared" si="45"/>
        <v>44.931999999999995</v>
      </c>
      <c r="R502">
        <f t="shared" si="46"/>
        <v>2.8680000000000021</v>
      </c>
      <c r="S502" s="4">
        <f t="shared" si="47"/>
        <v>6.0000000000000046E-2</v>
      </c>
      <c r="T502" t="str">
        <f>_xlfn.XLOOKUP(C502,customers!$A$1:$A$1001,customers!$I$1:$I$1001,,0)</f>
        <v>No</v>
      </c>
    </row>
    <row r="503" spans="1:20"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INDEX(products!$A$1:$I$49,MATCH(orders!$D503,products!$A$1:$A$49,0),MATCH(orders!I$1,products!$A$1:$D$1,0))</f>
        <v>Rob</v>
      </c>
      <c r="J503" t="str">
        <f t="shared" si="42"/>
        <v>Robusta</v>
      </c>
      <c r="K503" t="str">
        <f>INDEX(products!$A$1:$I$49,MATCH(orders!$D503,products!$A$1:$A$49,0),MATCH(orders!K$1,products!$A$1:$D$1,0))</f>
        <v>M</v>
      </c>
      <c r="L503" t="str">
        <f t="shared" si="43"/>
        <v>Medium</v>
      </c>
      <c r="M503">
        <f>INDEX(products!$A$1:$I$49,MATCH(orders!$D503,products!$A$1:$A$49,0),MATCH(orders!M$1,products!$A$1:$D$1,0))</f>
        <v>0.2</v>
      </c>
      <c r="N503">
        <f>_xlfn.XLOOKUP(D503,products!$A$2:$A$49,products!$E$2:$E$49)</f>
        <v>2.9849999999999999</v>
      </c>
      <c r="O503">
        <f>_xlfn.XLOOKUP(D503,products!$A$2:$A$49,products!$H$2:$H$49)</f>
        <v>2.8058999999999998</v>
      </c>
      <c r="P503">
        <f t="shared" si="44"/>
        <v>11.94</v>
      </c>
      <c r="Q503">
        <f t="shared" si="45"/>
        <v>11.223599999999999</v>
      </c>
      <c r="R503">
        <f t="shared" si="46"/>
        <v>0.71640000000000015</v>
      </c>
      <c r="S503" s="4">
        <f t="shared" si="47"/>
        <v>6.0000000000000012E-2</v>
      </c>
      <c r="T503" t="str">
        <f>_xlfn.XLOOKUP(C503,customers!$A$1:$A$1001,customers!$I$1:$I$1001,,0)</f>
        <v>No</v>
      </c>
    </row>
    <row r="504" spans="1:20"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INDEX(products!$A$1:$I$49,MATCH(orders!$D504,products!$A$1:$A$49,0),MATCH(orders!I$1,products!$A$1:$D$1,0))</f>
        <v>Exc</v>
      </c>
      <c r="J504" t="str">
        <f t="shared" si="42"/>
        <v>Excelsa</v>
      </c>
      <c r="K504" t="str">
        <f>INDEX(products!$A$1:$I$49,MATCH(orders!$D504,products!$A$1:$A$49,0),MATCH(orders!K$1,products!$A$1:$D$1,0))</f>
        <v>M</v>
      </c>
      <c r="L504" t="str">
        <f t="shared" si="43"/>
        <v>Medium</v>
      </c>
      <c r="M504">
        <f>INDEX(products!$A$1:$I$49,MATCH(orders!$D504,products!$A$1:$A$49,0),MATCH(orders!M$1,products!$A$1:$D$1,0))</f>
        <v>0.2</v>
      </c>
      <c r="N504">
        <f>_xlfn.XLOOKUP(D504,products!$A$2:$A$49,products!$E$2:$E$49)</f>
        <v>4.125</v>
      </c>
      <c r="O504">
        <f>_xlfn.XLOOKUP(D504,products!$A$2:$A$49,products!$H$2:$H$49)</f>
        <v>3.6712500000000001</v>
      </c>
      <c r="P504">
        <f t="shared" si="44"/>
        <v>16.5</v>
      </c>
      <c r="Q504">
        <f t="shared" si="45"/>
        <v>14.685</v>
      </c>
      <c r="R504">
        <f t="shared" si="46"/>
        <v>1.8149999999999995</v>
      </c>
      <c r="S504" s="4">
        <f t="shared" si="47"/>
        <v>0.10999999999999997</v>
      </c>
      <c r="T504" t="str">
        <f>_xlfn.XLOOKUP(C504,customers!$A$1:$A$1001,customers!$I$1:$I$1001,,0)</f>
        <v>No</v>
      </c>
    </row>
    <row r="505" spans="1:20"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INDEX(products!$A$1:$I$49,MATCH(orders!$D505,products!$A$1:$A$49,0),MATCH(orders!I$1,products!$A$1:$D$1,0))</f>
        <v>Lib</v>
      </c>
      <c r="J505" t="str">
        <f t="shared" si="42"/>
        <v>Liberica</v>
      </c>
      <c r="K505" t="str">
        <f>INDEX(products!$A$1:$I$49,MATCH(orders!$D505,products!$A$1:$A$49,0),MATCH(orders!K$1,products!$A$1:$D$1,0))</f>
        <v>D</v>
      </c>
      <c r="L505" t="str">
        <f t="shared" si="43"/>
        <v>Dark</v>
      </c>
      <c r="M505">
        <f>INDEX(products!$A$1:$I$49,MATCH(orders!$D505,products!$A$1:$A$49,0),MATCH(orders!M$1,products!$A$1:$D$1,0))</f>
        <v>1</v>
      </c>
      <c r="N505">
        <f>_xlfn.XLOOKUP(D505,products!$A$2:$A$49,products!$E$2:$E$49)</f>
        <v>12.95</v>
      </c>
      <c r="O505">
        <f>_xlfn.XLOOKUP(D505,products!$A$2:$A$49,products!$H$2:$H$49)</f>
        <v>11.266499999999999</v>
      </c>
      <c r="P505">
        <f t="shared" si="44"/>
        <v>51.8</v>
      </c>
      <c r="Q505">
        <f t="shared" si="45"/>
        <v>45.065999999999995</v>
      </c>
      <c r="R505">
        <f t="shared" si="46"/>
        <v>6.7340000000000018</v>
      </c>
      <c r="S505" s="4">
        <f t="shared" si="47"/>
        <v>0.13000000000000003</v>
      </c>
      <c r="T505" t="str">
        <f>_xlfn.XLOOKUP(C505,customers!$A$1:$A$1001,customers!$I$1:$I$1001,,0)</f>
        <v>No</v>
      </c>
    </row>
    <row r="506" spans="1:20"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INDEX(products!$A$1:$I$49,MATCH(orders!$D506,products!$A$1:$A$49,0),MATCH(orders!I$1,products!$A$1:$D$1,0))</f>
        <v>Lib</v>
      </c>
      <c r="J506" t="str">
        <f t="shared" si="42"/>
        <v>Liberica</v>
      </c>
      <c r="K506" t="str">
        <f>INDEX(products!$A$1:$I$49,MATCH(orders!$D506,products!$A$1:$A$49,0),MATCH(orders!K$1,products!$A$1:$D$1,0))</f>
        <v>L</v>
      </c>
      <c r="L506" t="str">
        <f t="shared" si="43"/>
        <v>Light</v>
      </c>
      <c r="M506">
        <f>INDEX(products!$A$1:$I$49,MATCH(orders!$D506,products!$A$1:$A$49,0),MATCH(orders!M$1,products!$A$1:$D$1,0))</f>
        <v>0.2</v>
      </c>
      <c r="N506">
        <f>_xlfn.XLOOKUP(D506,products!$A$2:$A$49,products!$E$2:$E$49)</f>
        <v>4.7549999999999999</v>
      </c>
      <c r="O506">
        <f>_xlfn.XLOOKUP(D506,products!$A$2:$A$49,products!$H$2:$H$49)</f>
        <v>4.1368499999999999</v>
      </c>
      <c r="P506">
        <f t="shared" si="44"/>
        <v>14.265000000000001</v>
      </c>
      <c r="Q506">
        <f t="shared" si="45"/>
        <v>12.410550000000001</v>
      </c>
      <c r="R506">
        <f t="shared" si="46"/>
        <v>1.8544499999999999</v>
      </c>
      <c r="S506" s="4">
        <f t="shared" si="47"/>
        <v>0.12999999999999998</v>
      </c>
      <c r="T506" t="str">
        <f>_xlfn.XLOOKUP(C506,customers!$A$1:$A$1001,customers!$I$1:$I$1001,,0)</f>
        <v>No</v>
      </c>
    </row>
    <row r="507" spans="1:20"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INDEX(products!$A$1:$I$49,MATCH(orders!$D507,products!$A$1:$A$49,0),MATCH(orders!I$1,products!$A$1:$D$1,0))</f>
        <v>Lib</v>
      </c>
      <c r="J507" t="str">
        <f t="shared" si="42"/>
        <v>Liberica</v>
      </c>
      <c r="K507" t="str">
        <f>INDEX(products!$A$1:$I$49,MATCH(orders!$D507,products!$A$1:$A$49,0),MATCH(orders!K$1,products!$A$1:$D$1,0))</f>
        <v>M</v>
      </c>
      <c r="L507" t="str">
        <f t="shared" si="43"/>
        <v>Medium</v>
      </c>
      <c r="M507">
        <f>INDEX(products!$A$1:$I$49,MATCH(orders!$D507,products!$A$1:$A$49,0),MATCH(orders!M$1,products!$A$1:$D$1,0))</f>
        <v>0.2</v>
      </c>
      <c r="N507">
        <f>_xlfn.XLOOKUP(D507,products!$A$2:$A$49,products!$E$2:$E$49)</f>
        <v>4.3650000000000002</v>
      </c>
      <c r="O507">
        <f>_xlfn.XLOOKUP(D507,products!$A$2:$A$49,products!$H$2:$H$49)</f>
        <v>3.7975500000000002</v>
      </c>
      <c r="P507">
        <f t="shared" si="44"/>
        <v>26.19</v>
      </c>
      <c r="Q507">
        <f t="shared" si="45"/>
        <v>22.785299999999999</v>
      </c>
      <c r="R507">
        <f t="shared" si="46"/>
        <v>3.4047000000000018</v>
      </c>
      <c r="S507" s="4">
        <f t="shared" si="47"/>
        <v>0.13000000000000006</v>
      </c>
      <c r="T507" t="str">
        <f>_xlfn.XLOOKUP(C507,customers!$A$1:$A$1001,customers!$I$1:$I$1001,,0)</f>
        <v>No</v>
      </c>
    </row>
    <row r="508" spans="1:20"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INDEX(products!$A$1:$I$49,MATCH(orders!$D508,products!$A$1:$A$49,0),MATCH(orders!I$1,products!$A$1:$D$1,0))</f>
        <v>Ara</v>
      </c>
      <c r="J508" t="str">
        <f t="shared" si="42"/>
        <v>Arabica</v>
      </c>
      <c r="K508" t="str">
        <f>INDEX(products!$A$1:$I$49,MATCH(orders!$D508,products!$A$1:$A$49,0),MATCH(orders!K$1,products!$A$1:$D$1,0))</f>
        <v>L</v>
      </c>
      <c r="L508" t="str">
        <f t="shared" si="43"/>
        <v>Light</v>
      </c>
      <c r="M508">
        <f>INDEX(products!$A$1:$I$49,MATCH(orders!$D508,products!$A$1:$A$49,0),MATCH(orders!M$1,products!$A$1:$D$1,0))</f>
        <v>1</v>
      </c>
      <c r="N508">
        <f>_xlfn.XLOOKUP(D508,products!$A$2:$A$49,products!$E$2:$E$49)</f>
        <v>12.95</v>
      </c>
      <c r="O508">
        <f>_xlfn.XLOOKUP(D508,products!$A$2:$A$49,products!$H$2:$H$49)</f>
        <v>11.7845</v>
      </c>
      <c r="P508">
        <f t="shared" si="44"/>
        <v>25.9</v>
      </c>
      <c r="Q508">
        <f t="shared" si="45"/>
        <v>23.568999999999999</v>
      </c>
      <c r="R508">
        <f t="shared" si="46"/>
        <v>2.3309999999999995</v>
      </c>
      <c r="S508" s="4">
        <f t="shared" si="47"/>
        <v>8.9999999999999983E-2</v>
      </c>
      <c r="T508" t="str">
        <f>_xlfn.XLOOKUP(C508,customers!$A$1:$A$1001,customers!$I$1:$I$1001,,0)</f>
        <v>Yes</v>
      </c>
    </row>
    <row r="509" spans="1:20"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INDEX(products!$A$1:$I$49,MATCH(orders!$D509,products!$A$1:$A$49,0),MATCH(orders!I$1,products!$A$1:$D$1,0))</f>
        <v>Ara</v>
      </c>
      <c r="J509" t="str">
        <f t="shared" si="42"/>
        <v>Arabica</v>
      </c>
      <c r="K509" t="str">
        <f>INDEX(products!$A$1:$I$49,MATCH(orders!$D509,products!$A$1:$A$49,0),MATCH(orders!K$1,products!$A$1:$D$1,0))</f>
        <v>L</v>
      </c>
      <c r="L509" t="str">
        <f t="shared" si="43"/>
        <v>Light</v>
      </c>
      <c r="M509">
        <f>INDEX(products!$A$1:$I$49,MATCH(orders!$D509,products!$A$1:$A$49,0),MATCH(orders!M$1,products!$A$1:$D$1,0))</f>
        <v>2.5</v>
      </c>
      <c r="N509">
        <f>_xlfn.XLOOKUP(D509,products!$A$2:$A$49,products!$E$2:$E$49)</f>
        <v>29.784999999999997</v>
      </c>
      <c r="O509">
        <f>_xlfn.XLOOKUP(D509,products!$A$2:$A$49,products!$H$2:$H$49)</f>
        <v>27.104349999999997</v>
      </c>
      <c r="P509">
        <f t="shared" si="44"/>
        <v>89.35499999999999</v>
      </c>
      <c r="Q509">
        <f t="shared" si="45"/>
        <v>81.31304999999999</v>
      </c>
      <c r="R509">
        <f t="shared" si="46"/>
        <v>8.0419499999999999</v>
      </c>
      <c r="S509" s="4">
        <f t="shared" si="47"/>
        <v>9.0000000000000011E-2</v>
      </c>
      <c r="T509" t="str">
        <f>_xlfn.XLOOKUP(C509,customers!$A$1:$A$1001,customers!$I$1:$I$1001,,0)</f>
        <v>Yes</v>
      </c>
    </row>
    <row r="510" spans="1:20"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INDEX(products!$A$1:$I$49,MATCH(orders!$D510,products!$A$1:$A$49,0),MATCH(orders!I$1,products!$A$1:$D$1,0))</f>
        <v>Lib</v>
      </c>
      <c r="J510" t="str">
        <f t="shared" si="42"/>
        <v>Liberica</v>
      </c>
      <c r="K510" t="str">
        <f>INDEX(products!$A$1:$I$49,MATCH(orders!$D510,products!$A$1:$A$49,0),MATCH(orders!K$1,products!$A$1:$D$1,0))</f>
        <v>D</v>
      </c>
      <c r="L510" t="str">
        <f t="shared" si="43"/>
        <v>Dark</v>
      </c>
      <c r="M510">
        <f>INDEX(products!$A$1:$I$49,MATCH(orders!$D510,products!$A$1:$A$49,0),MATCH(orders!M$1,products!$A$1:$D$1,0))</f>
        <v>0.5</v>
      </c>
      <c r="N510">
        <f>_xlfn.XLOOKUP(D510,products!$A$2:$A$49,products!$E$2:$E$49)</f>
        <v>7.77</v>
      </c>
      <c r="O510">
        <f>_xlfn.XLOOKUP(D510,products!$A$2:$A$49,products!$H$2:$H$49)</f>
        <v>6.7599</v>
      </c>
      <c r="P510">
        <f t="shared" si="44"/>
        <v>46.62</v>
      </c>
      <c r="Q510">
        <f t="shared" si="45"/>
        <v>40.559399999999997</v>
      </c>
      <c r="R510">
        <f t="shared" si="46"/>
        <v>6.0606000000000009</v>
      </c>
      <c r="S510" s="4">
        <f t="shared" si="47"/>
        <v>0.13000000000000003</v>
      </c>
      <c r="T510" t="str">
        <f>_xlfn.XLOOKUP(C510,customers!$A$1:$A$1001,customers!$I$1:$I$1001,,0)</f>
        <v>No</v>
      </c>
    </row>
    <row r="511" spans="1:20"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INDEX(products!$A$1:$I$49,MATCH(orders!$D511,products!$A$1:$A$49,0),MATCH(orders!I$1,products!$A$1:$D$1,0))</f>
        <v>Ara</v>
      </c>
      <c r="J511" t="str">
        <f t="shared" si="42"/>
        <v>Arabica</v>
      </c>
      <c r="K511" t="str">
        <f>INDEX(products!$A$1:$I$49,MATCH(orders!$D511,products!$A$1:$A$49,0),MATCH(orders!K$1,products!$A$1:$D$1,0))</f>
        <v>D</v>
      </c>
      <c r="L511" t="str">
        <f t="shared" si="43"/>
        <v>Dark</v>
      </c>
      <c r="M511">
        <f>INDEX(products!$A$1:$I$49,MATCH(orders!$D511,products!$A$1:$A$49,0),MATCH(orders!M$1,products!$A$1:$D$1,0))</f>
        <v>1</v>
      </c>
      <c r="N511">
        <f>_xlfn.XLOOKUP(D511,products!$A$2:$A$49,products!$E$2:$E$49)</f>
        <v>9.9499999999999993</v>
      </c>
      <c r="O511">
        <f>_xlfn.XLOOKUP(D511,products!$A$2:$A$49,products!$H$2:$H$49)</f>
        <v>9.0544999999999991</v>
      </c>
      <c r="P511">
        <f t="shared" si="44"/>
        <v>29.849999999999998</v>
      </c>
      <c r="Q511">
        <f t="shared" si="45"/>
        <v>27.163499999999999</v>
      </c>
      <c r="R511">
        <f t="shared" si="46"/>
        <v>2.6864999999999988</v>
      </c>
      <c r="S511" s="4">
        <f t="shared" si="47"/>
        <v>8.9999999999999969E-2</v>
      </c>
      <c r="T511" t="str">
        <f>_xlfn.XLOOKUP(C511,customers!$A$1:$A$1001,customers!$I$1:$I$1001,,0)</f>
        <v>Yes</v>
      </c>
    </row>
    <row r="512" spans="1:20"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INDEX(products!$A$1:$I$49,MATCH(orders!$D512,products!$A$1:$A$49,0),MATCH(orders!I$1,products!$A$1:$D$1,0))</f>
        <v>Rob</v>
      </c>
      <c r="J512" t="str">
        <f t="shared" si="42"/>
        <v>Robusta</v>
      </c>
      <c r="K512" t="str">
        <f>INDEX(products!$A$1:$I$49,MATCH(orders!$D512,products!$A$1:$A$49,0),MATCH(orders!K$1,products!$A$1:$D$1,0))</f>
        <v>L</v>
      </c>
      <c r="L512" t="str">
        <f t="shared" si="43"/>
        <v>Light</v>
      </c>
      <c r="M512">
        <f>INDEX(products!$A$1:$I$49,MATCH(orders!$D512,products!$A$1:$A$49,0),MATCH(orders!M$1,products!$A$1:$D$1,0))</f>
        <v>0.2</v>
      </c>
      <c r="N512">
        <f>_xlfn.XLOOKUP(D512,products!$A$2:$A$49,products!$E$2:$E$49)</f>
        <v>3.5849999999999995</v>
      </c>
      <c r="O512">
        <f>_xlfn.XLOOKUP(D512,products!$A$2:$A$49,products!$H$2:$H$49)</f>
        <v>3.3698999999999995</v>
      </c>
      <c r="P512">
        <f t="shared" si="44"/>
        <v>10.754999999999999</v>
      </c>
      <c r="Q512">
        <f t="shared" si="45"/>
        <v>10.109699999999998</v>
      </c>
      <c r="R512">
        <f t="shared" si="46"/>
        <v>0.64530000000000065</v>
      </c>
      <c r="S512" s="4">
        <f t="shared" si="47"/>
        <v>6.0000000000000067E-2</v>
      </c>
      <c r="T512" t="str">
        <f>_xlfn.XLOOKUP(C512,customers!$A$1:$A$1001,customers!$I$1:$I$1001,,0)</f>
        <v>Yes</v>
      </c>
    </row>
    <row r="513" spans="1:20"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INDEX(products!$A$1:$I$49,MATCH(orders!$D513,products!$A$1:$A$49,0),MATCH(orders!I$1,products!$A$1:$D$1,0))</f>
        <v>Ara</v>
      </c>
      <c r="J513" t="str">
        <f t="shared" si="42"/>
        <v>Arabica</v>
      </c>
      <c r="K513" t="str">
        <f>INDEX(products!$A$1:$I$49,MATCH(orders!$D513,products!$A$1:$A$49,0),MATCH(orders!K$1,products!$A$1:$D$1,0))</f>
        <v>M</v>
      </c>
      <c r="L513" t="str">
        <f t="shared" si="43"/>
        <v>Medium</v>
      </c>
      <c r="M513">
        <f>INDEX(products!$A$1:$I$49,MATCH(orders!$D513,products!$A$1:$A$49,0),MATCH(orders!M$1,products!$A$1:$D$1,0))</f>
        <v>0.2</v>
      </c>
      <c r="N513">
        <f>_xlfn.XLOOKUP(D513,products!$A$2:$A$49,products!$E$2:$E$49)</f>
        <v>3.375</v>
      </c>
      <c r="O513">
        <f>_xlfn.XLOOKUP(D513,products!$A$2:$A$49,products!$H$2:$H$49)</f>
        <v>3.07125</v>
      </c>
      <c r="P513">
        <f t="shared" si="44"/>
        <v>13.5</v>
      </c>
      <c r="Q513">
        <f t="shared" si="45"/>
        <v>12.285</v>
      </c>
      <c r="R513">
        <f t="shared" si="46"/>
        <v>1.2149999999999999</v>
      </c>
      <c r="S513" s="4">
        <f t="shared" si="47"/>
        <v>8.9999999999999983E-2</v>
      </c>
      <c r="T513" t="str">
        <f>_xlfn.XLOOKUP(C513,customers!$A$1:$A$1001,customers!$I$1:$I$1001,,0)</f>
        <v>Yes</v>
      </c>
    </row>
    <row r="514" spans="1:20"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INDEX(products!$A$1:$I$49,MATCH(orders!$D514,products!$A$1:$A$49,0),MATCH(orders!I$1,products!$A$1:$D$1,0))</f>
        <v>Lib</v>
      </c>
      <c r="J514" t="str">
        <f t="shared" si="42"/>
        <v>Liberica</v>
      </c>
      <c r="K514" t="str">
        <f>INDEX(products!$A$1:$I$49,MATCH(orders!$D514,products!$A$1:$A$49,0),MATCH(orders!K$1,products!$A$1:$D$1,0))</f>
        <v>L</v>
      </c>
      <c r="L514" t="str">
        <f t="shared" si="43"/>
        <v>Light</v>
      </c>
      <c r="M514">
        <f>INDEX(products!$A$1:$I$49,MATCH(orders!$D514,products!$A$1:$A$49,0),MATCH(orders!M$1,products!$A$1:$D$1,0))</f>
        <v>1</v>
      </c>
      <c r="N514">
        <f>_xlfn.XLOOKUP(D514,products!$A$2:$A$49,products!$E$2:$E$49)</f>
        <v>15.85</v>
      </c>
      <c r="O514">
        <f>_xlfn.XLOOKUP(D514,products!$A$2:$A$49,products!$H$2:$H$49)</f>
        <v>13.7895</v>
      </c>
      <c r="P514">
        <f t="shared" si="44"/>
        <v>47.55</v>
      </c>
      <c r="Q514">
        <f t="shared" si="45"/>
        <v>41.368499999999997</v>
      </c>
      <c r="R514">
        <f t="shared" si="46"/>
        <v>6.1814999999999998</v>
      </c>
      <c r="S514" s="4">
        <f t="shared" si="47"/>
        <v>0.13</v>
      </c>
      <c r="T514" t="str">
        <f>_xlfn.XLOOKUP(C514,customers!$A$1:$A$1001,customers!$I$1:$I$1001,,0)</f>
        <v>No</v>
      </c>
    </row>
    <row r="515" spans="1:20"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INDEX(products!$A$1:$I$49,MATCH(orders!$D515,products!$A$1:$A$49,0),MATCH(orders!I$1,products!$A$1:$D$1,0))</f>
        <v>Lib</v>
      </c>
      <c r="J515" t="str">
        <f t="shared" ref="J515:J578" si="48">IF(I515="Rob","Robusta",IF(I515="Exc","Excelsa",IF(I515="Ara","Arabica",IF(I515="Lib","Liberica",""))))</f>
        <v>Liberica</v>
      </c>
      <c r="K515" t="str">
        <f>INDEX(products!$A$1:$I$49,MATCH(orders!$D515,products!$A$1:$A$49,0),MATCH(orders!K$1,products!$A$1:$D$1,0))</f>
        <v>L</v>
      </c>
      <c r="L515" t="str">
        <f t="shared" ref="L515:L578" si="49">IF(K515="M","Medium",IF(K515="L","Light",IF(K515="D","Dark","")))</f>
        <v>Light</v>
      </c>
      <c r="M515">
        <f>INDEX(products!$A$1:$I$49,MATCH(orders!$D515,products!$A$1:$A$49,0),MATCH(orders!M$1,products!$A$1:$D$1,0))</f>
        <v>1</v>
      </c>
      <c r="N515">
        <f>_xlfn.XLOOKUP(D515,products!$A$2:$A$49,products!$E$2:$E$49)</f>
        <v>15.85</v>
      </c>
      <c r="O515">
        <f>_xlfn.XLOOKUP(D515,products!$A$2:$A$49,products!$H$2:$H$49)</f>
        <v>13.7895</v>
      </c>
      <c r="P515">
        <f t="shared" ref="P515:P578" si="50">N515*E515</f>
        <v>79.25</v>
      </c>
      <c r="Q515">
        <f t="shared" ref="Q515:Q578" si="51">O515*E515</f>
        <v>68.947500000000005</v>
      </c>
      <c r="R515">
        <f t="shared" ref="R515:R578" si="52">P515-Q515</f>
        <v>10.302499999999995</v>
      </c>
      <c r="S515" s="4">
        <f t="shared" ref="S515:S578" si="53">R515/P515</f>
        <v>0.12999999999999995</v>
      </c>
      <c r="T515" t="str">
        <f>_xlfn.XLOOKUP(C515,customers!$A$1:$A$1001,customers!$I$1:$I$1001,,0)</f>
        <v>No</v>
      </c>
    </row>
    <row r="516" spans="1:20"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INDEX(products!$A$1:$I$49,MATCH(orders!$D516,products!$A$1:$A$49,0),MATCH(orders!I$1,products!$A$1:$D$1,0))</f>
        <v>Lib</v>
      </c>
      <c r="J516" t="str">
        <f t="shared" si="48"/>
        <v>Liberica</v>
      </c>
      <c r="K516" t="str">
        <f>INDEX(products!$A$1:$I$49,MATCH(orders!$D516,products!$A$1:$A$49,0),MATCH(orders!K$1,products!$A$1:$D$1,0))</f>
        <v>M</v>
      </c>
      <c r="L516" t="str">
        <f t="shared" si="49"/>
        <v>Medium</v>
      </c>
      <c r="M516">
        <f>INDEX(products!$A$1:$I$49,MATCH(orders!$D516,products!$A$1:$A$49,0),MATCH(orders!M$1,products!$A$1:$D$1,0))</f>
        <v>0.2</v>
      </c>
      <c r="N516">
        <f>_xlfn.XLOOKUP(D516,products!$A$2:$A$49,products!$E$2:$E$49)</f>
        <v>4.3650000000000002</v>
      </c>
      <c r="O516">
        <f>_xlfn.XLOOKUP(D516,products!$A$2:$A$49,products!$H$2:$H$49)</f>
        <v>3.7975500000000002</v>
      </c>
      <c r="P516">
        <f t="shared" si="50"/>
        <v>26.19</v>
      </c>
      <c r="Q516">
        <f t="shared" si="51"/>
        <v>22.785299999999999</v>
      </c>
      <c r="R516">
        <f t="shared" si="52"/>
        <v>3.4047000000000018</v>
      </c>
      <c r="S516" s="4">
        <f t="shared" si="53"/>
        <v>0.13000000000000006</v>
      </c>
      <c r="T516" t="str">
        <f>_xlfn.XLOOKUP(C516,customers!$A$1:$A$1001,customers!$I$1:$I$1001,,0)</f>
        <v>Yes</v>
      </c>
    </row>
    <row r="517" spans="1:20"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INDEX(products!$A$1:$I$49,MATCH(orders!$D517,products!$A$1:$A$49,0),MATCH(orders!I$1,products!$A$1:$D$1,0))</f>
        <v>Rob</v>
      </c>
      <c r="J517" t="str">
        <f t="shared" si="48"/>
        <v>Robusta</v>
      </c>
      <c r="K517" t="str">
        <f>INDEX(products!$A$1:$I$49,MATCH(orders!$D517,products!$A$1:$A$49,0),MATCH(orders!K$1,products!$A$1:$D$1,0))</f>
        <v>L</v>
      </c>
      <c r="L517" t="str">
        <f t="shared" si="49"/>
        <v>Light</v>
      </c>
      <c r="M517">
        <f>INDEX(products!$A$1:$I$49,MATCH(orders!$D517,products!$A$1:$A$49,0),MATCH(orders!M$1,products!$A$1:$D$1,0))</f>
        <v>0.5</v>
      </c>
      <c r="N517">
        <f>_xlfn.XLOOKUP(D517,products!$A$2:$A$49,products!$E$2:$E$49)</f>
        <v>7.169999999999999</v>
      </c>
      <c r="O517">
        <f>_xlfn.XLOOKUP(D517,products!$A$2:$A$49,products!$H$2:$H$49)</f>
        <v>6.7397999999999989</v>
      </c>
      <c r="P517">
        <f t="shared" si="50"/>
        <v>21.509999999999998</v>
      </c>
      <c r="Q517">
        <f t="shared" si="51"/>
        <v>20.219399999999997</v>
      </c>
      <c r="R517">
        <f t="shared" si="52"/>
        <v>1.2906000000000013</v>
      </c>
      <c r="S517" s="4">
        <f t="shared" si="53"/>
        <v>6.0000000000000067E-2</v>
      </c>
      <c r="T517" t="str">
        <f>_xlfn.XLOOKUP(C517,customers!$A$1:$A$1001,customers!$I$1:$I$1001,,0)</f>
        <v>No</v>
      </c>
    </row>
    <row r="518" spans="1:20"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v>
      </c>
      <c r="H518" s="2" t="str">
        <f>_xlfn.XLOOKUP(C518,customers!$A$1:$A$1001,customers!$G$1:$G$1001,,0)</f>
        <v>United States</v>
      </c>
      <c r="I518" t="str">
        <f>INDEX(products!$A$1:$I$49,MATCH(orders!$D518,products!$A$1:$A$49,0),MATCH(orders!I$1,products!$A$1:$D$1,0))</f>
        <v>Rob</v>
      </c>
      <c r="J518" t="str">
        <f t="shared" si="48"/>
        <v>Robusta</v>
      </c>
      <c r="K518" t="str">
        <f>INDEX(products!$A$1:$I$49,MATCH(orders!$D518,products!$A$1:$A$49,0),MATCH(orders!K$1,products!$A$1:$D$1,0))</f>
        <v>D</v>
      </c>
      <c r="L518" t="str">
        <f t="shared" si="49"/>
        <v>Dark</v>
      </c>
      <c r="M518">
        <f>INDEX(products!$A$1:$I$49,MATCH(orders!$D518,products!$A$1:$A$49,0),MATCH(orders!M$1,products!$A$1:$D$1,0))</f>
        <v>2.5</v>
      </c>
      <c r="N518">
        <f>_xlfn.XLOOKUP(D518,products!$A$2:$A$49,products!$E$2:$E$49)</f>
        <v>20.584999999999997</v>
      </c>
      <c r="O518">
        <f>_xlfn.XLOOKUP(D518,products!$A$2:$A$49,products!$H$2:$H$49)</f>
        <v>19.349899999999998</v>
      </c>
      <c r="P518">
        <f t="shared" si="50"/>
        <v>102.92499999999998</v>
      </c>
      <c r="Q518">
        <f t="shared" si="51"/>
        <v>96.749499999999983</v>
      </c>
      <c r="R518">
        <f t="shared" si="52"/>
        <v>6.1754999999999995</v>
      </c>
      <c r="S518" s="4">
        <f t="shared" si="53"/>
        <v>6.0000000000000005E-2</v>
      </c>
      <c r="T518" t="str">
        <f>_xlfn.XLOOKUP(C518,customers!$A$1:$A$1001,customers!$I$1:$I$1001,,0)</f>
        <v>Yes</v>
      </c>
    </row>
    <row r="519" spans="1:20"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v>
      </c>
      <c r="H519" s="2" t="str">
        <f>_xlfn.XLOOKUP(C519,customers!$A$1:$A$1001,customers!$G$1:$G$1001,,0)</f>
        <v>United States</v>
      </c>
      <c r="I519" t="str">
        <f>INDEX(products!$A$1:$I$49,MATCH(orders!$D519,products!$A$1:$A$49,0),MATCH(orders!I$1,products!$A$1:$D$1,0))</f>
        <v>Lib</v>
      </c>
      <c r="J519" t="str">
        <f t="shared" si="48"/>
        <v>Liberica</v>
      </c>
      <c r="K519" t="str">
        <f>INDEX(products!$A$1:$I$49,MATCH(orders!$D519,products!$A$1:$A$49,0),MATCH(orders!K$1,products!$A$1:$D$1,0))</f>
        <v>D</v>
      </c>
      <c r="L519" t="str">
        <f t="shared" si="49"/>
        <v>Dark</v>
      </c>
      <c r="M519">
        <f>INDEX(products!$A$1:$I$49,MATCH(orders!$D519,products!$A$1:$A$49,0),MATCH(orders!M$1,products!$A$1:$D$1,0))</f>
        <v>0.2</v>
      </c>
      <c r="N519">
        <f>_xlfn.XLOOKUP(D519,products!$A$2:$A$49,products!$E$2:$E$49)</f>
        <v>3.8849999999999998</v>
      </c>
      <c r="O519">
        <f>_xlfn.XLOOKUP(D519,products!$A$2:$A$49,products!$H$2:$H$49)</f>
        <v>3.37995</v>
      </c>
      <c r="P519">
        <f t="shared" si="50"/>
        <v>7.77</v>
      </c>
      <c r="Q519">
        <f t="shared" si="51"/>
        <v>6.7599</v>
      </c>
      <c r="R519">
        <f t="shared" si="52"/>
        <v>1.0100999999999996</v>
      </c>
      <c r="S519" s="4">
        <f t="shared" si="53"/>
        <v>0.12999999999999995</v>
      </c>
      <c r="T519" t="str">
        <f>_xlfn.XLOOKUP(C519,customers!$A$1:$A$1001,customers!$I$1:$I$1001,,0)</f>
        <v>No</v>
      </c>
    </row>
    <row r="520" spans="1:20"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INDEX(products!$A$1:$I$49,MATCH(orders!$D520,products!$A$1:$A$49,0),MATCH(orders!I$1,products!$A$1:$D$1,0))</f>
        <v>Exc</v>
      </c>
      <c r="J520" t="str">
        <f t="shared" si="48"/>
        <v>Excelsa</v>
      </c>
      <c r="K520" t="str">
        <f>INDEX(products!$A$1:$I$49,MATCH(orders!$D520,products!$A$1:$A$49,0),MATCH(orders!K$1,products!$A$1:$D$1,0))</f>
        <v>D</v>
      </c>
      <c r="L520" t="str">
        <f t="shared" si="49"/>
        <v>Dark</v>
      </c>
      <c r="M520">
        <f>INDEX(products!$A$1:$I$49,MATCH(orders!$D520,products!$A$1:$A$49,0),MATCH(orders!M$1,products!$A$1:$D$1,0))</f>
        <v>2.5</v>
      </c>
      <c r="N520">
        <f>_xlfn.XLOOKUP(D520,products!$A$2:$A$49,products!$E$2:$E$49)</f>
        <v>27.945</v>
      </c>
      <c r="O520">
        <f>_xlfn.XLOOKUP(D520,products!$A$2:$A$49,products!$H$2:$H$49)</f>
        <v>24.87105</v>
      </c>
      <c r="P520">
        <f t="shared" si="50"/>
        <v>139.72499999999999</v>
      </c>
      <c r="Q520">
        <f t="shared" si="51"/>
        <v>124.35525</v>
      </c>
      <c r="R520">
        <f t="shared" si="52"/>
        <v>15.369749999999996</v>
      </c>
      <c r="S520" s="4">
        <f t="shared" si="53"/>
        <v>0.10999999999999997</v>
      </c>
      <c r="T520" t="str">
        <f>_xlfn.XLOOKUP(C520,customers!$A$1:$A$1001,customers!$I$1:$I$1001,,0)</f>
        <v>No</v>
      </c>
    </row>
    <row r="521" spans="1:20"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INDEX(products!$A$1:$I$49,MATCH(orders!$D521,products!$A$1:$A$49,0),MATCH(orders!I$1,products!$A$1:$D$1,0))</f>
        <v>Ara</v>
      </c>
      <c r="J521" t="str">
        <f t="shared" si="48"/>
        <v>Arabica</v>
      </c>
      <c r="K521" t="str">
        <f>INDEX(products!$A$1:$I$49,MATCH(orders!$D521,products!$A$1:$A$49,0),MATCH(orders!K$1,products!$A$1:$D$1,0))</f>
        <v>D</v>
      </c>
      <c r="L521" t="str">
        <f t="shared" si="49"/>
        <v>Dark</v>
      </c>
      <c r="M521">
        <f>INDEX(products!$A$1:$I$49,MATCH(orders!$D521,products!$A$1:$A$49,0),MATCH(orders!M$1,products!$A$1:$D$1,0))</f>
        <v>0.5</v>
      </c>
      <c r="N521">
        <f>_xlfn.XLOOKUP(D521,products!$A$2:$A$49,products!$E$2:$E$49)</f>
        <v>5.97</v>
      </c>
      <c r="O521">
        <f>_xlfn.XLOOKUP(D521,products!$A$2:$A$49,products!$H$2:$H$49)</f>
        <v>5.4326999999999996</v>
      </c>
      <c r="P521">
        <f t="shared" si="50"/>
        <v>11.94</v>
      </c>
      <c r="Q521">
        <f t="shared" si="51"/>
        <v>10.865399999999999</v>
      </c>
      <c r="R521">
        <f t="shared" si="52"/>
        <v>1.0746000000000002</v>
      </c>
      <c r="S521" s="4">
        <f t="shared" si="53"/>
        <v>9.0000000000000024E-2</v>
      </c>
      <c r="T521" t="str">
        <f>_xlfn.XLOOKUP(C521,customers!$A$1:$A$1001,customers!$I$1:$I$1001,,0)</f>
        <v>Yes</v>
      </c>
    </row>
    <row r="522" spans="1:20"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INDEX(products!$A$1:$I$49,MATCH(orders!$D522,products!$A$1:$A$49,0),MATCH(orders!I$1,products!$A$1:$D$1,0))</f>
        <v>Lib</v>
      </c>
      <c r="J522" t="str">
        <f t="shared" si="48"/>
        <v>Liberica</v>
      </c>
      <c r="K522" t="str">
        <f>INDEX(products!$A$1:$I$49,MATCH(orders!$D522,products!$A$1:$A$49,0),MATCH(orders!K$1,products!$A$1:$D$1,0))</f>
        <v>D</v>
      </c>
      <c r="L522" t="str">
        <f t="shared" si="49"/>
        <v>Dark</v>
      </c>
      <c r="M522">
        <f>INDEX(products!$A$1:$I$49,MATCH(orders!$D522,products!$A$1:$A$49,0),MATCH(orders!M$1,products!$A$1:$D$1,0))</f>
        <v>0.2</v>
      </c>
      <c r="N522">
        <f>_xlfn.XLOOKUP(D522,products!$A$2:$A$49,products!$E$2:$E$49)</f>
        <v>3.8849999999999998</v>
      </c>
      <c r="O522">
        <f>_xlfn.XLOOKUP(D522,products!$A$2:$A$49,products!$H$2:$H$49)</f>
        <v>3.37995</v>
      </c>
      <c r="P522">
        <f t="shared" si="50"/>
        <v>3.8849999999999998</v>
      </c>
      <c r="Q522">
        <f t="shared" si="51"/>
        <v>3.37995</v>
      </c>
      <c r="R522">
        <f t="shared" si="52"/>
        <v>0.50504999999999978</v>
      </c>
      <c r="S522" s="4">
        <f t="shared" si="53"/>
        <v>0.12999999999999995</v>
      </c>
      <c r="T522" t="str">
        <f>_xlfn.XLOOKUP(C522,customers!$A$1:$A$1001,customers!$I$1:$I$1001,,0)</f>
        <v>No</v>
      </c>
    </row>
    <row r="523" spans="1:20"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INDEX(products!$A$1:$I$49,MATCH(orders!$D523,products!$A$1:$A$49,0),MATCH(orders!I$1,products!$A$1:$D$1,0))</f>
        <v>Rob</v>
      </c>
      <c r="J523" t="str">
        <f t="shared" si="48"/>
        <v>Robusta</v>
      </c>
      <c r="K523" t="str">
        <f>INDEX(products!$A$1:$I$49,MATCH(orders!$D523,products!$A$1:$A$49,0),MATCH(orders!K$1,products!$A$1:$D$1,0))</f>
        <v>M</v>
      </c>
      <c r="L523" t="str">
        <f t="shared" si="49"/>
        <v>Medium</v>
      </c>
      <c r="M523">
        <f>INDEX(products!$A$1:$I$49,MATCH(orders!$D523,products!$A$1:$A$49,0),MATCH(orders!M$1,products!$A$1:$D$1,0))</f>
        <v>1</v>
      </c>
      <c r="N523">
        <f>_xlfn.XLOOKUP(D523,products!$A$2:$A$49,products!$E$2:$E$49)</f>
        <v>9.9499999999999993</v>
      </c>
      <c r="O523">
        <f>_xlfn.XLOOKUP(D523,products!$A$2:$A$49,products!$H$2:$H$49)</f>
        <v>9.3529999999999998</v>
      </c>
      <c r="P523">
        <f t="shared" si="50"/>
        <v>39.799999999999997</v>
      </c>
      <c r="Q523">
        <f t="shared" si="51"/>
        <v>37.411999999999999</v>
      </c>
      <c r="R523">
        <f t="shared" si="52"/>
        <v>2.3879999999999981</v>
      </c>
      <c r="S523" s="4">
        <f t="shared" si="53"/>
        <v>5.9999999999999956E-2</v>
      </c>
      <c r="T523" t="str">
        <f>_xlfn.XLOOKUP(C523,customers!$A$1:$A$1001,customers!$I$1:$I$1001,,0)</f>
        <v>No</v>
      </c>
    </row>
    <row r="524" spans="1:20"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INDEX(products!$A$1:$I$49,MATCH(orders!$D524,products!$A$1:$A$49,0),MATCH(orders!I$1,products!$A$1:$D$1,0))</f>
        <v>Rob</v>
      </c>
      <c r="J524" t="str">
        <f t="shared" si="48"/>
        <v>Robusta</v>
      </c>
      <c r="K524" t="str">
        <f>INDEX(products!$A$1:$I$49,MATCH(orders!$D524,products!$A$1:$A$49,0),MATCH(orders!K$1,products!$A$1:$D$1,0))</f>
        <v>M</v>
      </c>
      <c r="L524" t="str">
        <f t="shared" si="49"/>
        <v>Medium</v>
      </c>
      <c r="M524">
        <f>INDEX(products!$A$1:$I$49,MATCH(orders!$D524,products!$A$1:$A$49,0),MATCH(orders!M$1,products!$A$1:$D$1,0))</f>
        <v>0.5</v>
      </c>
      <c r="N524">
        <f>_xlfn.XLOOKUP(D524,products!$A$2:$A$49,products!$E$2:$E$49)</f>
        <v>5.97</v>
      </c>
      <c r="O524">
        <f>_xlfn.XLOOKUP(D524,products!$A$2:$A$49,products!$H$2:$H$49)</f>
        <v>5.6117999999999997</v>
      </c>
      <c r="P524">
        <f t="shared" si="50"/>
        <v>29.849999999999998</v>
      </c>
      <c r="Q524">
        <f t="shared" si="51"/>
        <v>28.058999999999997</v>
      </c>
      <c r="R524">
        <f t="shared" si="52"/>
        <v>1.7910000000000004</v>
      </c>
      <c r="S524" s="4">
        <f t="shared" si="53"/>
        <v>6.0000000000000019E-2</v>
      </c>
      <c r="T524" t="str">
        <f>_xlfn.XLOOKUP(C524,customers!$A$1:$A$1001,customers!$I$1:$I$1001,,0)</f>
        <v>No</v>
      </c>
    </row>
    <row r="525" spans="1:20"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INDEX(products!$A$1:$I$49,MATCH(orders!$D525,products!$A$1:$A$49,0),MATCH(orders!I$1,products!$A$1:$D$1,0))</f>
        <v>Lib</v>
      </c>
      <c r="J525" t="str">
        <f t="shared" si="48"/>
        <v>Liberica</v>
      </c>
      <c r="K525" t="str">
        <f>INDEX(products!$A$1:$I$49,MATCH(orders!$D525,products!$A$1:$A$49,0),MATCH(orders!K$1,products!$A$1:$D$1,0))</f>
        <v>D</v>
      </c>
      <c r="L525" t="str">
        <f t="shared" si="49"/>
        <v>Dark</v>
      </c>
      <c r="M525">
        <f>INDEX(products!$A$1:$I$49,MATCH(orders!$D525,products!$A$1:$A$49,0),MATCH(orders!M$1,products!$A$1:$D$1,0))</f>
        <v>2.5</v>
      </c>
      <c r="N525">
        <f>_xlfn.XLOOKUP(D525,products!$A$2:$A$49,products!$E$2:$E$49)</f>
        <v>29.784999999999997</v>
      </c>
      <c r="O525">
        <f>_xlfn.XLOOKUP(D525,products!$A$2:$A$49,products!$H$2:$H$49)</f>
        <v>25.912949999999995</v>
      </c>
      <c r="P525">
        <f t="shared" si="50"/>
        <v>29.784999999999997</v>
      </c>
      <c r="Q525">
        <f t="shared" si="51"/>
        <v>25.912949999999995</v>
      </c>
      <c r="R525">
        <f t="shared" si="52"/>
        <v>3.8720500000000015</v>
      </c>
      <c r="S525" s="4">
        <f t="shared" si="53"/>
        <v>0.13000000000000006</v>
      </c>
      <c r="T525" t="str">
        <f>_xlfn.XLOOKUP(C525,customers!$A$1:$A$1001,customers!$I$1:$I$1001,,0)</f>
        <v>No</v>
      </c>
    </row>
    <row r="526" spans="1:20"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v>
      </c>
      <c r="H526" s="2" t="str">
        <f>_xlfn.XLOOKUP(C526,customers!$A$1:$A$1001,customers!$G$1:$G$1001,,0)</f>
        <v>United States</v>
      </c>
      <c r="I526" t="str">
        <f>INDEX(products!$A$1:$I$49,MATCH(orders!$D526,products!$A$1:$A$49,0),MATCH(orders!I$1,products!$A$1:$D$1,0))</f>
        <v>Lib</v>
      </c>
      <c r="J526" t="str">
        <f t="shared" si="48"/>
        <v>Liberica</v>
      </c>
      <c r="K526" t="str">
        <f>INDEX(products!$A$1:$I$49,MATCH(orders!$D526,products!$A$1:$A$49,0),MATCH(orders!K$1,products!$A$1:$D$1,0))</f>
        <v>L</v>
      </c>
      <c r="L526" t="str">
        <f t="shared" si="49"/>
        <v>Light</v>
      </c>
      <c r="M526">
        <f>INDEX(products!$A$1:$I$49,MATCH(orders!$D526,products!$A$1:$A$49,0),MATCH(orders!M$1,products!$A$1:$D$1,0))</f>
        <v>2.5</v>
      </c>
      <c r="N526">
        <f>_xlfn.XLOOKUP(D526,products!$A$2:$A$49,products!$E$2:$E$49)</f>
        <v>36.454999999999998</v>
      </c>
      <c r="O526">
        <f>_xlfn.XLOOKUP(D526,products!$A$2:$A$49,products!$H$2:$H$49)</f>
        <v>31.71585</v>
      </c>
      <c r="P526">
        <f t="shared" si="50"/>
        <v>72.91</v>
      </c>
      <c r="Q526">
        <f t="shared" si="51"/>
        <v>63.431699999999999</v>
      </c>
      <c r="R526">
        <f t="shared" si="52"/>
        <v>9.4782999999999973</v>
      </c>
      <c r="S526" s="4">
        <f t="shared" si="53"/>
        <v>0.12999999999999998</v>
      </c>
      <c r="T526" t="str">
        <f>_xlfn.XLOOKUP(C526,customers!$A$1:$A$1001,customers!$I$1:$I$1001,,0)</f>
        <v>No</v>
      </c>
    </row>
    <row r="527" spans="1:20"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v>
      </c>
      <c r="H527" s="2" t="str">
        <f>_xlfn.XLOOKUP(C527,customers!$A$1:$A$1001,customers!$G$1:$G$1001,,0)</f>
        <v>United States</v>
      </c>
      <c r="I527" t="str">
        <f>INDEX(products!$A$1:$I$49,MATCH(orders!$D527,products!$A$1:$A$49,0),MATCH(orders!I$1,products!$A$1:$D$1,0))</f>
        <v>Rob</v>
      </c>
      <c r="J527" t="str">
        <f t="shared" si="48"/>
        <v>Robusta</v>
      </c>
      <c r="K527" t="str">
        <f>INDEX(products!$A$1:$I$49,MATCH(orders!$D527,products!$A$1:$A$49,0),MATCH(orders!K$1,products!$A$1:$D$1,0))</f>
        <v>D</v>
      </c>
      <c r="L527" t="str">
        <f t="shared" si="49"/>
        <v>Dark</v>
      </c>
      <c r="M527">
        <f>INDEX(products!$A$1:$I$49,MATCH(orders!$D527,products!$A$1:$A$49,0),MATCH(orders!M$1,products!$A$1:$D$1,0))</f>
        <v>0.2</v>
      </c>
      <c r="N527">
        <f>_xlfn.XLOOKUP(D527,products!$A$2:$A$49,products!$E$2:$E$49)</f>
        <v>2.6849999999999996</v>
      </c>
      <c r="O527">
        <f>_xlfn.XLOOKUP(D527,products!$A$2:$A$49,products!$H$2:$H$49)</f>
        <v>2.5238999999999998</v>
      </c>
      <c r="P527">
        <f t="shared" si="50"/>
        <v>13.424999999999997</v>
      </c>
      <c r="Q527">
        <f t="shared" si="51"/>
        <v>12.619499999999999</v>
      </c>
      <c r="R527">
        <f t="shared" si="52"/>
        <v>0.80549999999999855</v>
      </c>
      <c r="S527" s="4">
        <f t="shared" si="53"/>
        <v>5.9999999999999908E-2</v>
      </c>
      <c r="T527" t="str">
        <f>_xlfn.XLOOKUP(C527,customers!$A$1:$A$1001,customers!$I$1:$I$1001,,0)</f>
        <v>Yes</v>
      </c>
    </row>
    <row r="528" spans="1:20"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INDEX(products!$A$1:$I$49,MATCH(orders!$D528,products!$A$1:$A$49,0),MATCH(orders!I$1,products!$A$1:$D$1,0))</f>
        <v>Exc</v>
      </c>
      <c r="J528" t="str">
        <f t="shared" si="48"/>
        <v>Excelsa</v>
      </c>
      <c r="K528" t="str">
        <f>INDEX(products!$A$1:$I$49,MATCH(orders!$D528,products!$A$1:$A$49,0),MATCH(orders!K$1,products!$A$1:$D$1,0))</f>
        <v>M</v>
      </c>
      <c r="L528" t="str">
        <f t="shared" si="49"/>
        <v>Medium</v>
      </c>
      <c r="M528">
        <f>INDEX(products!$A$1:$I$49,MATCH(orders!$D528,products!$A$1:$A$49,0),MATCH(orders!M$1,products!$A$1:$D$1,0))</f>
        <v>2.5</v>
      </c>
      <c r="N528">
        <f>_xlfn.XLOOKUP(D528,products!$A$2:$A$49,products!$E$2:$E$49)</f>
        <v>31.624999999999996</v>
      </c>
      <c r="O528">
        <f>_xlfn.XLOOKUP(D528,products!$A$2:$A$49,products!$H$2:$H$49)</f>
        <v>28.146249999999995</v>
      </c>
      <c r="P528">
        <f t="shared" si="50"/>
        <v>126.49999999999999</v>
      </c>
      <c r="Q528">
        <f t="shared" si="51"/>
        <v>112.58499999999998</v>
      </c>
      <c r="R528">
        <f t="shared" si="52"/>
        <v>13.915000000000006</v>
      </c>
      <c r="S528" s="4">
        <f t="shared" si="53"/>
        <v>0.11000000000000006</v>
      </c>
      <c r="T528" t="str">
        <f>_xlfn.XLOOKUP(C528,customers!$A$1:$A$1001,customers!$I$1:$I$1001,,0)</f>
        <v>Yes</v>
      </c>
    </row>
    <row r="529" spans="1:20"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INDEX(products!$A$1:$I$49,MATCH(orders!$D529,products!$A$1:$A$49,0),MATCH(orders!I$1,products!$A$1:$D$1,0))</f>
        <v>Exc</v>
      </c>
      <c r="J529" t="str">
        <f t="shared" si="48"/>
        <v>Excelsa</v>
      </c>
      <c r="K529" t="str">
        <f>INDEX(products!$A$1:$I$49,MATCH(orders!$D529,products!$A$1:$A$49,0),MATCH(orders!K$1,products!$A$1:$D$1,0))</f>
        <v>M</v>
      </c>
      <c r="L529" t="str">
        <f t="shared" si="49"/>
        <v>Medium</v>
      </c>
      <c r="M529">
        <f>INDEX(products!$A$1:$I$49,MATCH(orders!$D529,products!$A$1:$A$49,0),MATCH(orders!M$1,products!$A$1:$D$1,0))</f>
        <v>0.5</v>
      </c>
      <c r="N529">
        <f>_xlfn.XLOOKUP(D529,products!$A$2:$A$49,products!$E$2:$E$49)</f>
        <v>8.25</v>
      </c>
      <c r="O529">
        <f>_xlfn.XLOOKUP(D529,products!$A$2:$A$49,products!$H$2:$H$49)</f>
        <v>7.3425000000000002</v>
      </c>
      <c r="P529">
        <f t="shared" si="50"/>
        <v>41.25</v>
      </c>
      <c r="Q529">
        <f t="shared" si="51"/>
        <v>36.712499999999999</v>
      </c>
      <c r="R529">
        <f t="shared" si="52"/>
        <v>4.5375000000000014</v>
      </c>
      <c r="S529" s="4">
        <f t="shared" si="53"/>
        <v>0.11000000000000003</v>
      </c>
      <c r="T529" t="str">
        <f>_xlfn.XLOOKUP(C529,customers!$A$1:$A$1001,customers!$I$1:$I$1001,,0)</f>
        <v>No</v>
      </c>
    </row>
    <row r="530" spans="1:20"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INDEX(products!$A$1:$I$49,MATCH(orders!$D530,products!$A$1:$A$49,0),MATCH(orders!I$1,products!$A$1:$D$1,0))</f>
        <v>Exc</v>
      </c>
      <c r="J530" t="str">
        <f t="shared" si="48"/>
        <v>Excelsa</v>
      </c>
      <c r="K530" t="str">
        <f>INDEX(products!$A$1:$I$49,MATCH(orders!$D530,products!$A$1:$A$49,0),MATCH(orders!K$1,products!$A$1:$D$1,0))</f>
        <v>L</v>
      </c>
      <c r="L530" t="str">
        <f t="shared" si="49"/>
        <v>Light</v>
      </c>
      <c r="M530">
        <f>INDEX(products!$A$1:$I$49,MATCH(orders!$D530,products!$A$1:$A$49,0),MATCH(orders!M$1,products!$A$1:$D$1,0))</f>
        <v>0.5</v>
      </c>
      <c r="N530">
        <f>_xlfn.XLOOKUP(D530,products!$A$2:$A$49,products!$E$2:$E$49)</f>
        <v>8.91</v>
      </c>
      <c r="O530">
        <f>_xlfn.XLOOKUP(D530,products!$A$2:$A$49,products!$H$2:$H$49)</f>
        <v>7.9298999999999999</v>
      </c>
      <c r="P530">
        <f t="shared" si="50"/>
        <v>53.46</v>
      </c>
      <c r="Q530">
        <f t="shared" si="51"/>
        <v>47.5794</v>
      </c>
      <c r="R530">
        <f t="shared" si="52"/>
        <v>5.8806000000000012</v>
      </c>
      <c r="S530" s="4">
        <f t="shared" si="53"/>
        <v>0.11000000000000001</v>
      </c>
      <c r="T530" t="str">
        <f>_xlfn.XLOOKUP(C530,customers!$A$1:$A$1001,customers!$I$1:$I$1001,,0)</f>
        <v>No</v>
      </c>
    </row>
    <row r="531" spans="1:20"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INDEX(products!$A$1:$I$49,MATCH(orders!$D531,products!$A$1:$A$49,0),MATCH(orders!I$1,products!$A$1:$D$1,0))</f>
        <v>Rob</v>
      </c>
      <c r="J531" t="str">
        <f t="shared" si="48"/>
        <v>Robusta</v>
      </c>
      <c r="K531" t="str">
        <f>INDEX(products!$A$1:$I$49,MATCH(orders!$D531,products!$A$1:$A$49,0),MATCH(orders!K$1,products!$A$1:$D$1,0))</f>
        <v>M</v>
      </c>
      <c r="L531" t="str">
        <f t="shared" si="49"/>
        <v>Medium</v>
      </c>
      <c r="M531">
        <f>INDEX(products!$A$1:$I$49,MATCH(orders!$D531,products!$A$1:$A$49,0),MATCH(orders!M$1,products!$A$1:$D$1,0))</f>
        <v>1</v>
      </c>
      <c r="N531">
        <f>_xlfn.XLOOKUP(D531,products!$A$2:$A$49,products!$E$2:$E$49)</f>
        <v>9.9499999999999993</v>
      </c>
      <c r="O531">
        <f>_xlfn.XLOOKUP(D531,products!$A$2:$A$49,products!$H$2:$H$49)</f>
        <v>9.3529999999999998</v>
      </c>
      <c r="P531">
        <f t="shared" si="50"/>
        <v>59.699999999999996</v>
      </c>
      <c r="Q531">
        <f t="shared" si="51"/>
        <v>56.117999999999995</v>
      </c>
      <c r="R531">
        <f t="shared" si="52"/>
        <v>3.5820000000000007</v>
      </c>
      <c r="S531" s="4">
        <f t="shared" si="53"/>
        <v>6.0000000000000019E-2</v>
      </c>
      <c r="T531" t="str">
        <f>_xlfn.XLOOKUP(C531,customers!$A$1:$A$1001,customers!$I$1:$I$1001,,0)</f>
        <v>No</v>
      </c>
    </row>
    <row r="532" spans="1:20"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INDEX(products!$A$1:$I$49,MATCH(orders!$D532,products!$A$1:$A$49,0),MATCH(orders!I$1,products!$A$1:$D$1,0))</f>
        <v>Rob</v>
      </c>
      <c r="J532" t="str">
        <f t="shared" si="48"/>
        <v>Robusta</v>
      </c>
      <c r="K532" t="str">
        <f>INDEX(products!$A$1:$I$49,MATCH(orders!$D532,products!$A$1:$A$49,0),MATCH(orders!K$1,products!$A$1:$D$1,0))</f>
        <v>M</v>
      </c>
      <c r="L532" t="str">
        <f t="shared" si="49"/>
        <v>Medium</v>
      </c>
      <c r="M532">
        <f>INDEX(products!$A$1:$I$49,MATCH(orders!$D532,products!$A$1:$A$49,0),MATCH(orders!M$1,products!$A$1:$D$1,0))</f>
        <v>1</v>
      </c>
      <c r="N532">
        <f>_xlfn.XLOOKUP(D532,products!$A$2:$A$49,products!$E$2:$E$49)</f>
        <v>9.9499999999999993</v>
      </c>
      <c r="O532">
        <f>_xlfn.XLOOKUP(D532,products!$A$2:$A$49,products!$H$2:$H$49)</f>
        <v>9.3529999999999998</v>
      </c>
      <c r="P532">
        <f t="shared" si="50"/>
        <v>59.699999999999996</v>
      </c>
      <c r="Q532">
        <f t="shared" si="51"/>
        <v>56.117999999999995</v>
      </c>
      <c r="R532">
        <f t="shared" si="52"/>
        <v>3.5820000000000007</v>
      </c>
      <c r="S532" s="4">
        <f t="shared" si="53"/>
        <v>6.0000000000000019E-2</v>
      </c>
      <c r="T532" t="str">
        <f>_xlfn.XLOOKUP(C532,customers!$A$1:$A$1001,customers!$I$1:$I$1001,,0)</f>
        <v>No</v>
      </c>
    </row>
    <row r="533" spans="1:20"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INDEX(products!$A$1:$I$49,MATCH(orders!$D533,products!$A$1:$A$49,0),MATCH(orders!I$1,products!$A$1:$D$1,0))</f>
        <v>Rob</v>
      </c>
      <c r="J533" t="str">
        <f t="shared" si="48"/>
        <v>Robusta</v>
      </c>
      <c r="K533" t="str">
        <f>INDEX(products!$A$1:$I$49,MATCH(orders!$D533,products!$A$1:$A$49,0),MATCH(orders!K$1,products!$A$1:$D$1,0))</f>
        <v>D</v>
      </c>
      <c r="L533" t="str">
        <f t="shared" si="49"/>
        <v>Dark</v>
      </c>
      <c r="M533">
        <f>INDEX(products!$A$1:$I$49,MATCH(orders!$D533,products!$A$1:$A$49,0),MATCH(orders!M$1,products!$A$1:$D$1,0))</f>
        <v>1</v>
      </c>
      <c r="N533">
        <f>_xlfn.XLOOKUP(D533,products!$A$2:$A$49,products!$E$2:$E$49)</f>
        <v>8.9499999999999993</v>
      </c>
      <c r="O533">
        <f>_xlfn.XLOOKUP(D533,products!$A$2:$A$49,products!$H$2:$H$49)</f>
        <v>8.4130000000000003</v>
      </c>
      <c r="P533">
        <f t="shared" si="50"/>
        <v>44.75</v>
      </c>
      <c r="Q533">
        <f t="shared" si="51"/>
        <v>42.064999999999998</v>
      </c>
      <c r="R533">
        <f t="shared" si="52"/>
        <v>2.6850000000000023</v>
      </c>
      <c r="S533" s="4">
        <f t="shared" si="53"/>
        <v>6.0000000000000053E-2</v>
      </c>
      <c r="T533" t="str">
        <f>_xlfn.XLOOKUP(C533,customers!$A$1:$A$1001,customers!$I$1:$I$1001,,0)</f>
        <v>No</v>
      </c>
    </row>
    <row r="534" spans="1:20"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INDEX(products!$A$1:$I$49,MATCH(orders!$D534,products!$A$1:$A$49,0),MATCH(orders!I$1,products!$A$1:$D$1,0))</f>
        <v>Exc</v>
      </c>
      <c r="J534" t="str">
        <f t="shared" si="48"/>
        <v>Excelsa</v>
      </c>
      <c r="K534" t="str">
        <f>INDEX(products!$A$1:$I$49,MATCH(orders!$D534,products!$A$1:$A$49,0),MATCH(orders!K$1,products!$A$1:$D$1,0))</f>
        <v>M</v>
      </c>
      <c r="L534" t="str">
        <f t="shared" si="49"/>
        <v>Medium</v>
      </c>
      <c r="M534">
        <f>INDEX(products!$A$1:$I$49,MATCH(orders!$D534,products!$A$1:$A$49,0),MATCH(orders!M$1,products!$A$1:$D$1,0))</f>
        <v>0.5</v>
      </c>
      <c r="N534">
        <f>_xlfn.XLOOKUP(D534,products!$A$2:$A$49,products!$E$2:$E$49)</f>
        <v>8.25</v>
      </c>
      <c r="O534">
        <f>_xlfn.XLOOKUP(D534,products!$A$2:$A$49,products!$H$2:$H$49)</f>
        <v>7.3425000000000002</v>
      </c>
      <c r="P534">
        <f t="shared" si="50"/>
        <v>16.5</v>
      </c>
      <c r="Q534">
        <f t="shared" si="51"/>
        <v>14.685</v>
      </c>
      <c r="R534">
        <f t="shared" si="52"/>
        <v>1.8149999999999995</v>
      </c>
      <c r="S534" s="4">
        <f t="shared" si="53"/>
        <v>0.10999999999999997</v>
      </c>
      <c r="T534" t="str">
        <f>_xlfn.XLOOKUP(C534,customers!$A$1:$A$1001,customers!$I$1:$I$1001,,0)</f>
        <v>Yes</v>
      </c>
    </row>
    <row r="535" spans="1:20"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v>
      </c>
      <c r="H535" s="2" t="str">
        <f>_xlfn.XLOOKUP(C535,customers!$A$1:$A$1001,customers!$G$1:$G$1001,,0)</f>
        <v>United States</v>
      </c>
      <c r="I535" t="str">
        <f>INDEX(products!$A$1:$I$49,MATCH(orders!$D535,products!$A$1:$A$49,0),MATCH(orders!I$1,products!$A$1:$D$1,0))</f>
        <v>Rob</v>
      </c>
      <c r="J535" t="str">
        <f t="shared" si="48"/>
        <v>Robusta</v>
      </c>
      <c r="K535" t="str">
        <f>INDEX(products!$A$1:$I$49,MATCH(orders!$D535,products!$A$1:$A$49,0),MATCH(orders!K$1,products!$A$1:$D$1,0))</f>
        <v>D</v>
      </c>
      <c r="L535" t="str">
        <f t="shared" si="49"/>
        <v>Dark</v>
      </c>
      <c r="M535">
        <f>INDEX(products!$A$1:$I$49,MATCH(orders!$D535,products!$A$1:$A$49,0),MATCH(orders!M$1,products!$A$1:$D$1,0))</f>
        <v>0.5</v>
      </c>
      <c r="N535">
        <f>_xlfn.XLOOKUP(D535,products!$A$2:$A$49,products!$E$2:$E$49)</f>
        <v>5.3699999999999992</v>
      </c>
      <c r="O535">
        <f>_xlfn.XLOOKUP(D535,products!$A$2:$A$49,products!$H$2:$H$49)</f>
        <v>5.0477999999999996</v>
      </c>
      <c r="P535">
        <f t="shared" si="50"/>
        <v>21.479999999999997</v>
      </c>
      <c r="Q535">
        <f t="shared" si="51"/>
        <v>20.191199999999998</v>
      </c>
      <c r="R535">
        <f t="shared" si="52"/>
        <v>1.2887999999999984</v>
      </c>
      <c r="S535" s="4">
        <f t="shared" si="53"/>
        <v>5.9999999999999935E-2</v>
      </c>
      <c r="T535" t="str">
        <f>_xlfn.XLOOKUP(C535,customers!$A$1:$A$1001,customers!$I$1:$I$1001,,0)</f>
        <v>No</v>
      </c>
    </row>
    <row r="536" spans="1:20"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INDEX(products!$A$1:$I$49,MATCH(orders!$D536,products!$A$1:$A$49,0),MATCH(orders!I$1,products!$A$1:$D$1,0))</f>
        <v>Rob</v>
      </c>
      <c r="J536" t="str">
        <f t="shared" si="48"/>
        <v>Robusta</v>
      </c>
      <c r="K536" t="str">
        <f>INDEX(products!$A$1:$I$49,MATCH(orders!$D536,products!$A$1:$A$49,0),MATCH(orders!K$1,products!$A$1:$D$1,0))</f>
        <v>M</v>
      </c>
      <c r="L536" t="str">
        <f t="shared" si="49"/>
        <v>Medium</v>
      </c>
      <c r="M536">
        <f>INDEX(products!$A$1:$I$49,MATCH(orders!$D536,products!$A$1:$A$49,0),MATCH(orders!M$1,products!$A$1:$D$1,0))</f>
        <v>2.5</v>
      </c>
      <c r="N536">
        <f>_xlfn.XLOOKUP(D536,products!$A$2:$A$49,products!$E$2:$E$49)</f>
        <v>22.884999999999998</v>
      </c>
      <c r="O536">
        <f>_xlfn.XLOOKUP(D536,products!$A$2:$A$49,products!$H$2:$H$49)</f>
        <v>21.511899999999997</v>
      </c>
      <c r="P536">
        <f t="shared" si="50"/>
        <v>45.769999999999996</v>
      </c>
      <c r="Q536">
        <f t="shared" si="51"/>
        <v>43.023799999999994</v>
      </c>
      <c r="R536">
        <f t="shared" si="52"/>
        <v>2.7462000000000018</v>
      </c>
      <c r="S536" s="4">
        <f t="shared" si="53"/>
        <v>6.0000000000000046E-2</v>
      </c>
      <c r="T536" t="str">
        <f>_xlfn.XLOOKUP(C536,customers!$A$1:$A$1001,customers!$I$1:$I$1001,,0)</f>
        <v>Yes</v>
      </c>
    </row>
    <row r="537" spans="1:20"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v>
      </c>
      <c r="H537" s="2" t="str">
        <f>_xlfn.XLOOKUP(C537,customers!$A$1:$A$1001,customers!$G$1:$G$1001,,0)</f>
        <v>Ireland</v>
      </c>
      <c r="I537" t="str">
        <f>INDEX(products!$A$1:$I$49,MATCH(orders!$D537,products!$A$1:$A$49,0),MATCH(orders!I$1,products!$A$1:$D$1,0))</f>
        <v>Lib</v>
      </c>
      <c r="J537" t="str">
        <f t="shared" si="48"/>
        <v>Liberica</v>
      </c>
      <c r="K537" t="str">
        <f>INDEX(products!$A$1:$I$49,MATCH(orders!$D537,products!$A$1:$A$49,0),MATCH(orders!K$1,products!$A$1:$D$1,0))</f>
        <v>L</v>
      </c>
      <c r="L537" t="str">
        <f t="shared" si="49"/>
        <v>Light</v>
      </c>
      <c r="M537">
        <f>INDEX(products!$A$1:$I$49,MATCH(orders!$D537,products!$A$1:$A$49,0),MATCH(orders!M$1,products!$A$1:$D$1,0))</f>
        <v>0.2</v>
      </c>
      <c r="N537">
        <f>_xlfn.XLOOKUP(D537,products!$A$2:$A$49,products!$E$2:$E$49)</f>
        <v>4.7549999999999999</v>
      </c>
      <c r="O537">
        <f>_xlfn.XLOOKUP(D537,products!$A$2:$A$49,products!$H$2:$H$49)</f>
        <v>4.1368499999999999</v>
      </c>
      <c r="P537">
        <f t="shared" si="50"/>
        <v>9.51</v>
      </c>
      <c r="Q537">
        <f t="shared" si="51"/>
        <v>8.2736999999999998</v>
      </c>
      <c r="R537">
        <f t="shared" si="52"/>
        <v>1.2363</v>
      </c>
      <c r="S537" s="4">
        <f t="shared" si="53"/>
        <v>0.13</v>
      </c>
      <c r="T537" t="str">
        <f>_xlfn.XLOOKUP(C537,customers!$A$1:$A$1001,customers!$I$1:$I$1001,,0)</f>
        <v>No</v>
      </c>
    </row>
    <row r="538" spans="1:20"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INDEX(products!$A$1:$I$49,MATCH(orders!$D538,products!$A$1:$A$49,0),MATCH(orders!I$1,products!$A$1:$D$1,0))</f>
        <v>Rob</v>
      </c>
      <c r="J538" t="str">
        <f t="shared" si="48"/>
        <v>Robusta</v>
      </c>
      <c r="K538" t="str">
        <f>INDEX(products!$A$1:$I$49,MATCH(orders!$D538,products!$A$1:$A$49,0),MATCH(orders!K$1,products!$A$1:$D$1,0))</f>
        <v>D</v>
      </c>
      <c r="L538" t="str">
        <f t="shared" si="49"/>
        <v>Dark</v>
      </c>
      <c r="M538">
        <f>INDEX(products!$A$1:$I$49,MATCH(orders!$D538,products!$A$1:$A$49,0),MATCH(orders!M$1,products!$A$1:$D$1,0))</f>
        <v>0.2</v>
      </c>
      <c r="N538">
        <f>_xlfn.XLOOKUP(D538,products!$A$2:$A$49,products!$E$2:$E$49)</f>
        <v>2.6849999999999996</v>
      </c>
      <c r="O538">
        <f>_xlfn.XLOOKUP(D538,products!$A$2:$A$49,products!$H$2:$H$49)</f>
        <v>2.5238999999999998</v>
      </c>
      <c r="P538">
        <f t="shared" si="50"/>
        <v>8.0549999999999997</v>
      </c>
      <c r="Q538">
        <f t="shared" si="51"/>
        <v>7.5716999999999999</v>
      </c>
      <c r="R538">
        <f t="shared" si="52"/>
        <v>0.48329999999999984</v>
      </c>
      <c r="S538" s="4">
        <f t="shared" si="53"/>
        <v>5.9999999999999984E-2</v>
      </c>
      <c r="T538" t="str">
        <f>_xlfn.XLOOKUP(C538,customers!$A$1:$A$1001,customers!$I$1:$I$1001,,0)</f>
        <v>Yes</v>
      </c>
    </row>
    <row r="539" spans="1:20"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INDEX(products!$A$1:$I$49,MATCH(orders!$D539,products!$A$1:$A$49,0),MATCH(orders!I$1,products!$A$1:$D$1,0))</f>
        <v>Exc</v>
      </c>
      <c r="J539" t="str">
        <f t="shared" si="48"/>
        <v>Excelsa</v>
      </c>
      <c r="K539" t="str">
        <f>INDEX(products!$A$1:$I$49,MATCH(orders!$D539,products!$A$1:$A$49,0),MATCH(orders!K$1,products!$A$1:$D$1,0))</f>
        <v>D</v>
      </c>
      <c r="L539" t="str">
        <f t="shared" si="49"/>
        <v>Dark</v>
      </c>
      <c r="M539">
        <f>INDEX(products!$A$1:$I$49,MATCH(orders!$D539,products!$A$1:$A$49,0),MATCH(orders!M$1,products!$A$1:$D$1,0))</f>
        <v>2.5</v>
      </c>
      <c r="N539">
        <f>_xlfn.XLOOKUP(D539,products!$A$2:$A$49,products!$E$2:$E$49)</f>
        <v>27.945</v>
      </c>
      <c r="O539">
        <f>_xlfn.XLOOKUP(D539,products!$A$2:$A$49,products!$H$2:$H$49)</f>
        <v>24.87105</v>
      </c>
      <c r="P539">
        <f t="shared" si="50"/>
        <v>111.78</v>
      </c>
      <c r="Q539">
        <f t="shared" si="51"/>
        <v>99.484200000000001</v>
      </c>
      <c r="R539">
        <f t="shared" si="52"/>
        <v>12.2958</v>
      </c>
      <c r="S539" s="4">
        <f t="shared" si="53"/>
        <v>0.11</v>
      </c>
      <c r="T539" t="str">
        <f>_xlfn.XLOOKUP(C539,customers!$A$1:$A$1001,customers!$I$1:$I$1001,,0)</f>
        <v>Yes</v>
      </c>
    </row>
    <row r="540" spans="1:20"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INDEX(products!$A$1:$I$49,MATCH(orders!$D540,products!$A$1:$A$49,0),MATCH(orders!I$1,products!$A$1:$D$1,0))</f>
        <v>Rob</v>
      </c>
      <c r="J540" t="str">
        <f t="shared" si="48"/>
        <v>Robusta</v>
      </c>
      <c r="K540" t="str">
        <f>INDEX(products!$A$1:$I$49,MATCH(orders!$D540,products!$A$1:$A$49,0),MATCH(orders!K$1,products!$A$1:$D$1,0))</f>
        <v>D</v>
      </c>
      <c r="L540" t="str">
        <f t="shared" si="49"/>
        <v>Dark</v>
      </c>
      <c r="M540">
        <f>INDEX(products!$A$1:$I$49,MATCH(orders!$D540,products!$A$1:$A$49,0),MATCH(orders!M$1,products!$A$1:$D$1,0))</f>
        <v>0.2</v>
      </c>
      <c r="N540">
        <f>_xlfn.XLOOKUP(D540,products!$A$2:$A$49,products!$E$2:$E$49)</f>
        <v>2.6849999999999996</v>
      </c>
      <c r="O540">
        <f>_xlfn.XLOOKUP(D540,products!$A$2:$A$49,products!$H$2:$H$49)</f>
        <v>2.5238999999999998</v>
      </c>
      <c r="P540">
        <f t="shared" si="50"/>
        <v>10.739999999999998</v>
      </c>
      <c r="Q540">
        <f t="shared" si="51"/>
        <v>10.095599999999999</v>
      </c>
      <c r="R540">
        <f t="shared" si="52"/>
        <v>0.6443999999999992</v>
      </c>
      <c r="S540" s="4">
        <f t="shared" si="53"/>
        <v>5.9999999999999935E-2</v>
      </c>
      <c r="T540" t="str">
        <f>_xlfn.XLOOKUP(C540,customers!$A$1:$A$1001,customers!$I$1:$I$1001,,0)</f>
        <v>Yes</v>
      </c>
    </row>
    <row r="541" spans="1:20"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INDEX(products!$A$1:$I$49,MATCH(orders!$D541,products!$A$1:$A$49,0),MATCH(orders!I$1,products!$A$1:$D$1,0))</f>
        <v>Rob</v>
      </c>
      <c r="J541" t="str">
        <f t="shared" si="48"/>
        <v>Robusta</v>
      </c>
      <c r="K541" t="str">
        <f>INDEX(products!$A$1:$I$49,MATCH(orders!$D541,products!$A$1:$A$49,0),MATCH(orders!K$1,products!$A$1:$D$1,0))</f>
        <v>D</v>
      </c>
      <c r="L541" t="str">
        <f t="shared" si="49"/>
        <v>Dark</v>
      </c>
      <c r="M541">
        <f>INDEX(products!$A$1:$I$49,MATCH(orders!$D541,products!$A$1:$A$49,0),MATCH(orders!M$1,products!$A$1:$D$1,0))</f>
        <v>0.5</v>
      </c>
      <c r="N541">
        <f>_xlfn.XLOOKUP(D541,products!$A$2:$A$49,products!$E$2:$E$49)</f>
        <v>5.3699999999999992</v>
      </c>
      <c r="O541">
        <f>_xlfn.XLOOKUP(D541,products!$A$2:$A$49,products!$H$2:$H$49)</f>
        <v>5.0477999999999996</v>
      </c>
      <c r="P541">
        <f t="shared" si="50"/>
        <v>26.849999999999994</v>
      </c>
      <c r="Q541">
        <f t="shared" si="51"/>
        <v>25.238999999999997</v>
      </c>
      <c r="R541">
        <f t="shared" si="52"/>
        <v>1.6109999999999971</v>
      </c>
      <c r="S541" s="4">
        <f t="shared" si="53"/>
        <v>5.9999999999999908E-2</v>
      </c>
      <c r="T541" t="str">
        <f>_xlfn.XLOOKUP(C541,customers!$A$1:$A$1001,customers!$I$1:$I$1001,,0)</f>
        <v>No</v>
      </c>
    </row>
    <row r="542" spans="1:20"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INDEX(products!$A$1:$I$49,MATCH(orders!$D542,products!$A$1:$A$49,0),MATCH(orders!I$1,products!$A$1:$D$1,0))</f>
        <v>Lib</v>
      </c>
      <c r="J542" t="str">
        <f t="shared" si="48"/>
        <v>Liberica</v>
      </c>
      <c r="K542" t="str">
        <f>INDEX(products!$A$1:$I$49,MATCH(orders!$D542,products!$A$1:$A$49,0),MATCH(orders!K$1,products!$A$1:$D$1,0))</f>
        <v>L</v>
      </c>
      <c r="L542" t="str">
        <f t="shared" si="49"/>
        <v>Light</v>
      </c>
      <c r="M542">
        <f>INDEX(products!$A$1:$I$49,MATCH(orders!$D542,products!$A$1:$A$49,0),MATCH(orders!M$1,products!$A$1:$D$1,0))</f>
        <v>1</v>
      </c>
      <c r="N542">
        <f>_xlfn.XLOOKUP(D542,products!$A$2:$A$49,products!$E$2:$E$49)</f>
        <v>15.85</v>
      </c>
      <c r="O542">
        <f>_xlfn.XLOOKUP(D542,products!$A$2:$A$49,products!$H$2:$H$49)</f>
        <v>13.7895</v>
      </c>
      <c r="P542">
        <f t="shared" si="50"/>
        <v>63.4</v>
      </c>
      <c r="Q542">
        <f t="shared" si="51"/>
        <v>55.158000000000001</v>
      </c>
      <c r="R542">
        <f t="shared" si="52"/>
        <v>8.2419999999999973</v>
      </c>
      <c r="S542" s="4">
        <f t="shared" si="53"/>
        <v>0.12999999999999995</v>
      </c>
      <c r="T542" t="str">
        <f>_xlfn.XLOOKUP(C542,customers!$A$1:$A$1001,customers!$I$1:$I$1001,,0)</f>
        <v>Yes</v>
      </c>
    </row>
    <row r="543" spans="1:20"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v>
      </c>
      <c r="H543" s="2" t="str">
        <f>_xlfn.XLOOKUP(C543,customers!$A$1:$A$1001,customers!$G$1:$G$1001,,0)</f>
        <v>Ireland</v>
      </c>
      <c r="I543" t="str">
        <f>INDEX(products!$A$1:$I$49,MATCH(orders!$D543,products!$A$1:$A$49,0),MATCH(orders!I$1,products!$A$1:$D$1,0))</f>
        <v>Ara</v>
      </c>
      <c r="J543" t="str">
        <f t="shared" si="48"/>
        <v>Arabica</v>
      </c>
      <c r="K543" t="str">
        <f>INDEX(products!$A$1:$I$49,MATCH(orders!$D543,products!$A$1:$A$49,0),MATCH(orders!K$1,products!$A$1:$D$1,0))</f>
        <v>D</v>
      </c>
      <c r="L543" t="str">
        <f t="shared" si="49"/>
        <v>Dark</v>
      </c>
      <c r="M543">
        <f>INDEX(products!$A$1:$I$49,MATCH(orders!$D543,products!$A$1:$A$49,0),MATCH(orders!M$1,products!$A$1:$D$1,0))</f>
        <v>2.5</v>
      </c>
      <c r="N543">
        <f>_xlfn.XLOOKUP(D543,products!$A$2:$A$49,products!$E$2:$E$49)</f>
        <v>22.884999999999998</v>
      </c>
      <c r="O543">
        <f>_xlfn.XLOOKUP(D543,products!$A$2:$A$49,products!$H$2:$H$49)</f>
        <v>20.82535</v>
      </c>
      <c r="P543">
        <f t="shared" si="50"/>
        <v>22.884999999999998</v>
      </c>
      <c r="Q543">
        <f t="shared" si="51"/>
        <v>20.82535</v>
      </c>
      <c r="R543">
        <f t="shared" si="52"/>
        <v>2.0596499999999978</v>
      </c>
      <c r="S543" s="4">
        <f t="shared" si="53"/>
        <v>8.9999999999999913E-2</v>
      </c>
      <c r="T543" t="str">
        <f>_xlfn.XLOOKUP(C543,customers!$A$1:$A$1001,customers!$I$1:$I$1001,,0)</f>
        <v>Yes</v>
      </c>
    </row>
    <row r="544" spans="1:20"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INDEX(products!$A$1:$I$49,MATCH(orders!$D544,products!$A$1:$A$49,0),MATCH(orders!I$1,products!$A$1:$D$1,0))</f>
        <v>Ara</v>
      </c>
      <c r="J544" t="str">
        <f t="shared" si="48"/>
        <v>Arabica</v>
      </c>
      <c r="K544" t="str">
        <f>INDEX(products!$A$1:$I$49,MATCH(orders!$D544,products!$A$1:$A$49,0),MATCH(orders!K$1,products!$A$1:$D$1,0))</f>
        <v>M</v>
      </c>
      <c r="L544" t="str">
        <f t="shared" si="49"/>
        <v>Medium</v>
      </c>
      <c r="M544">
        <f>INDEX(products!$A$1:$I$49,MATCH(orders!$D544,products!$A$1:$A$49,0),MATCH(orders!M$1,products!$A$1:$D$1,0))</f>
        <v>2.5</v>
      </c>
      <c r="N544">
        <f>_xlfn.XLOOKUP(D544,products!$A$2:$A$49,products!$E$2:$E$49)</f>
        <v>25.874999999999996</v>
      </c>
      <c r="O544">
        <f>_xlfn.XLOOKUP(D544,products!$A$2:$A$49,products!$H$2:$H$49)</f>
        <v>23.546249999999997</v>
      </c>
      <c r="P544">
        <f t="shared" si="50"/>
        <v>103.49999999999999</v>
      </c>
      <c r="Q544">
        <f t="shared" si="51"/>
        <v>94.184999999999988</v>
      </c>
      <c r="R544">
        <f t="shared" si="52"/>
        <v>9.3149999999999977</v>
      </c>
      <c r="S544" s="4">
        <f t="shared" si="53"/>
        <v>0.09</v>
      </c>
      <c r="T544" t="str">
        <f>_xlfn.XLOOKUP(C544,customers!$A$1:$A$1001,customers!$I$1:$I$1001,,0)</f>
        <v>No</v>
      </c>
    </row>
    <row r="545" spans="1:20"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INDEX(products!$A$1:$I$49,MATCH(orders!$D545,products!$A$1:$A$49,0),MATCH(orders!I$1,products!$A$1:$D$1,0))</f>
        <v>Rob</v>
      </c>
      <c r="J545" t="str">
        <f t="shared" si="48"/>
        <v>Robusta</v>
      </c>
      <c r="K545" t="str">
        <f>INDEX(products!$A$1:$I$49,MATCH(orders!$D545,products!$A$1:$A$49,0),MATCH(orders!K$1,products!$A$1:$D$1,0))</f>
        <v>L</v>
      </c>
      <c r="L545" t="str">
        <f t="shared" si="49"/>
        <v>Light</v>
      </c>
      <c r="M545">
        <f>INDEX(products!$A$1:$I$49,MATCH(orders!$D545,products!$A$1:$A$49,0),MATCH(orders!M$1,products!$A$1:$D$1,0))</f>
        <v>2.5</v>
      </c>
      <c r="N545">
        <f>_xlfn.XLOOKUP(D545,products!$A$2:$A$49,products!$E$2:$E$49)</f>
        <v>27.484999999999996</v>
      </c>
      <c r="O545">
        <f>_xlfn.XLOOKUP(D545,products!$A$2:$A$49,products!$H$2:$H$49)</f>
        <v>25.835899999999995</v>
      </c>
      <c r="P545">
        <f t="shared" si="50"/>
        <v>54.969999999999992</v>
      </c>
      <c r="Q545">
        <f t="shared" si="51"/>
        <v>51.67179999999999</v>
      </c>
      <c r="R545">
        <f t="shared" si="52"/>
        <v>3.2982000000000014</v>
      </c>
      <c r="S545" s="4">
        <f t="shared" si="53"/>
        <v>6.0000000000000032E-2</v>
      </c>
      <c r="T545" t="str">
        <f>_xlfn.XLOOKUP(C545,customers!$A$1:$A$1001,customers!$I$1:$I$1001,,0)</f>
        <v>No</v>
      </c>
    </row>
    <row r="546" spans="1:20"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INDEX(products!$A$1:$I$49,MATCH(orders!$D546,products!$A$1:$A$49,0),MATCH(orders!I$1,products!$A$1:$D$1,0))</f>
        <v>Ara</v>
      </c>
      <c r="J546" t="str">
        <f t="shared" si="48"/>
        <v>Arabica</v>
      </c>
      <c r="K546" t="str">
        <f>INDEX(products!$A$1:$I$49,MATCH(orders!$D546,products!$A$1:$A$49,0),MATCH(orders!K$1,products!$A$1:$D$1,0))</f>
        <v>L</v>
      </c>
      <c r="L546" t="str">
        <f t="shared" si="49"/>
        <v>Light</v>
      </c>
      <c r="M546">
        <f>INDEX(products!$A$1:$I$49,MATCH(orders!$D546,products!$A$1:$A$49,0),MATCH(orders!M$1,products!$A$1:$D$1,0))</f>
        <v>0.5</v>
      </c>
      <c r="N546">
        <f>_xlfn.XLOOKUP(D546,products!$A$2:$A$49,products!$E$2:$E$49)</f>
        <v>7.77</v>
      </c>
      <c r="O546">
        <f>_xlfn.XLOOKUP(D546,products!$A$2:$A$49,products!$H$2:$H$49)</f>
        <v>7.0706999999999995</v>
      </c>
      <c r="P546">
        <f t="shared" si="50"/>
        <v>15.54</v>
      </c>
      <c r="Q546">
        <f t="shared" si="51"/>
        <v>14.141399999999999</v>
      </c>
      <c r="R546">
        <f t="shared" si="52"/>
        <v>1.3986000000000001</v>
      </c>
      <c r="S546" s="4">
        <f t="shared" si="53"/>
        <v>9.0000000000000011E-2</v>
      </c>
      <c r="T546" t="str">
        <f>_xlfn.XLOOKUP(C546,customers!$A$1:$A$1001,customers!$I$1:$I$1001,,0)</f>
        <v>No</v>
      </c>
    </row>
    <row r="547" spans="1:20"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INDEX(products!$A$1:$I$49,MATCH(orders!$D547,products!$A$1:$A$49,0),MATCH(orders!I$1,products!$A$1:$D$1,0))</f>
        <v>Lib</v>
      </c>
      <c r="J547" t="str">
        <f t="shared" si="48"/>
        <v>Liberica</v>
      </c>
      <c r="K547" t="str">
        <f>INDEX(products!$A$1:$I$49,MATCH(orders!$D547,products!$A$1:$A$49,0),MATCH(orders!K$1,products!$A$1:$D$1,0))</f>
        <v>D</v>
      </c>
      <c r="L547" t="str">
        <f t="shared" si="49"/>
        <v>Dark</v>
      </c>
      <c r="M547">
        <f>INDEX(products!$A$1:$I$49,MATCH(orders!$D547,products!$A$1:$A$49,0),MATCH(orders!M$1,products!$A$1:$D$1,0))</f>
        <v>0.2</v>
      </c>
      <c r="N547">
        <f>_xlfn.XLOOKUP(D547,products!$A$2:$A$49,products!$E$2:$E$49)</f>
        <v>3.8849999999999998</v>
      </c>
      <c r="O547">
        <f>_xlfn.XLOOKUP(D547,products!$A$2:$A$49,products!$H$2:$H$49)</f>
        <v>3.37995</v>
      </c>
      <c r="P547">
        <f t="shared" si="50"/>
        <v>15.54</v>
      </c>
      <c r="Q547">
        <f t="shared" si="51"/>
        <v>13.5198</v>
      </c>
      <c r="R547">
        <f t="shared" si="52"/>
        <v>2.0201999999999991</v>
      </c>
      <c r="S547" s="4">
        <f t="shared" si="53"/>
        <v>0.12999999999999995</v>
      </c>
      <c r="T547" t="str">
        <f>_xlfn.XLOOKUP(C547,customers!$A$1:$A$1001,customers!$I$1:$I$1001,,0)</f>
        <v>No</v>
      </c>
    </row>
    <row r="548" spans="1:20"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v>
      </c>
      <c r="H548" s="2" t="str">
        <f>_xlfn.XLOOKUP(C548,customers!$A$1:$A$1001,customers!$G$1:$G$1001,,0)</f>
        <v>Ireland</v>
      </c>
      <c r="I548" t="str">
        <f>INDEX(products!$A$1:$I$49,MATCH(orders!$D548,products!$A$1:$A$49,0),MATCH(orders!I$1,products!$A$1:$D$1,0))</f>
        <v>Exc</v>
      </c>
      <c r="J548" t="str">
        <f t="shared" si="48"/>
        <v>Excelsa</v>
      </c>
      <c r="K548" t="str">
        <f>INDEX(products!$A$1:$I$49,MATCH(orders!$D548,products!$A$1:$A$49,0),MATCH(orders!K$1,products!$A$1:$D$1,0))</f>
        <v>D</v>
      </c>
      <c r="L548" t="str">
        <f t="shared" si="49"/>
        <v>Dark</v>
      </c>
      <c r="M548">
        <f>INDEX(products!$A$1:$I$49,MATCH(orders!$D548,products!$A$1:$A$49,0),MATCH(orders!M$1,products!$A$1:$D$1,0))</f>
        <v>2.5</v>
      </c>
      <c r="N548">
        <f>_xlfn.XLOOKUP(D548,products!$A$2:$A$49,products!$E$2:$E$49)</f>
        <v>27.945</v>
      </c>
      <c r="O548">
        <f>_xlfn.XLOOKUP(D548,products!$A$2:$A$49,products!$H$2:$H$49)</f>
        <v>24.87105</v>
      </c>
      <c r="P548">
        <f t="shared" si="50"/>
        <v>83.835000000000008</v>
      </c>
      <c r="Q548">
        <f t="shared" si="51"/>
        <v>74.613150000000005</v>
      </c>
      <c r="R548">
        <f t="shared" si="52"/>
        <v>9.2218500000000034</v>
      </c>
      <c r="S548" s="4">
        <f t="shared" si="53"/>
        <v>0.11000000000000003</v>
      </c>
      <c r="T548" t="str">
        <f>_xlfn.XLOOKUP(C548,customers!$A$1:$A$1001,customers!$I$1:$I$1001,,0)</f>
        <v>No</v>
      </c>
    </row>
    <row r="549" spans="1:20"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INDEX(products!$A$1:$I$49,MATCH(orders!$D549,products!$A$1:$A$49,0),MATCH(orders!I$1,products!$A$1:$D$1,0))</f>
        <v>Rob</v>
      </c>
      <c r="J549" t="str">
        <f t="shared" si="48"/>
        <v>Robusta</v>
      </c>
      <c r="K549" t="str">
        <f>INDEX(products!$A$1:$I$49,MATCH(orders!$D549,products!$A$1:$A$49,0),MATCH(orders!K$1,products!$A$1:$D$1,0))</f>
        <v>L</v>
      </c>
      <c r="L549" t="str">
        <f t="shared" si="49"/>
        <v>Light</v>
      </c>
      <c r="M549">
        <f>INDEX(products!$A$1:$I$49,MATCH(orders!$D549,products!$A$1:$A$49,0),MATCH(orders!M$1,products!$A$1:$D$1,0))</f>
        <v>0.2</v>
      </c>
      <c r="N549">
        <f>_xlfn.XLOOKUP(D549,products!$A$2:$A$49,products!$E$2:$E$49)</f>
        <v>3.5849999999999995</v>
      </c>
      <c r="O549">
        <f>_xlfn.XLOOKUP(D549,products!$A$2:$A$49,products!$H$2:$H$49)</f>
        <v>3.3698999999999995</v>
      </c>
      <c r="P549">
        <f t="shared" si="50"/>
        <v>10.754999999999999</v>
      </c>
      <c r="Q549">
        <f t="shared" si="51"/>
        <v>10.109699999999998</v>
      </c>
      <c r="R549">
        <f t="shared" si="52"/>
        <v>0.64530000000000065</v>
      </c>
      <c r="S549" s="4">
        <f t="shared" si="53"/>
        <v>6.0000000000000067E-2</v>
      </c>
      <c r="T549" t="str">
        <f>_xlfn.XLOOKUP(C549,customers!$A$1:$A$1001,customers!$I$1:$I$1001,,0)</f>
        <v>Yes</v>
      </c>
    </row>
    <row r="550" spans="1:20"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INDEX(products!$A$1:$I$49,MATCH(orders!$D550,products!$A$1:$A$49,0),MATCH(orders!I$1,products!$A$1:$D$1,0))</f>
        <v>Exc</v>
      </c>
      <c r="J550" t="str">
        <f t="shared" si="48"/>
        <v>Excelsa</v>
      </c>
      <c r="K550" t="str">
        <f>INDEX(products!$A$1:$I$49,MATCH(orders!$D550,products!$A$1:$A$49,0),MATCH(orders!K$1,products!$A$1:$D$1,0))</f>
        <v>L</v>
      </c>
      <c r="L550" t="str">
        <f t="shared" si="49"/>
        <v>Light</v>
      </c>
      <c r="M550">
        <f>INDEX(products!$A$1:$I$49,MATCH(orders!$D550,products!$A$1:$A$49,0),MATCH(orders!M$1,products!$A$1:$D$1,0))</f>
        <v>0.2</v>
      </c>
      <c r="N550">
        <f>_xlfn.XLOOKUP(D550,products!$A$2:$A$49,products!$E$2:$E$49)</f>
        <v>4.4550000000000001</v>
      </c>
      <c r="O550">
        <f>_xlfn.XLOOKUP(D550,products!$A$2:$A$49,products!$H$2:$H$49)</f>
        <v>3.96495</v>
      </c>
      <c r="P550">
        <f t="shared" si="50"/>
        <v>13.365</v>
      </c>
      <c r="Q550">
        <f t="shared" si="51"/>
        <v>11.89485</v>
      </c>
      <c r="R550">
        <f t="shared" si="52"/>
        <v>1.4701500000000003</v>
      </c>
      <c r="S550" s="4">
        <f t="shared" si="53"/>
        <v>0.11000000000000001</v>
      </c>
      <c r="T550" t="str">
        <f>_xlfn.XLOOKUP(C550,customers!$A$1:$A$1001,customers!$I$1:$I$1001,,0)</f>
        <v>Yes</v>
      </c>
    </row>
    <row r="551" spans="1:20"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INDEX(products!$A$1:$I$49,MATCH(orders!$D551,products!$A$1:$A$49,0),MATCH(orders!I$1,products!$A$1:$D$1,0))</f>
        <v>Exc</v>
      </c>
      <c r="J551" t="str">
        <f t="shared" si="48"/>
        <v>Excelsa</v>
      </c>
      <c r="K551" t="str">
        <f>INDEX(products!$A$1:$I$49,MATCH(orders!$D551,products!$A$1:$A$49,0),MATCH(orders!K$1,products!$A$1:$D$1,0))</f>
        <v>L</v>
      </c>
      <c r="L551" t="str">
        <f t="shared" si="49"/>
        <v>Light</v>
      </c>
      <c r="M551">
        <f>INDEX(products!$A$1:$I$49,MATCH(orders!$D551,products!$A$1:$A$49,0),MATCH(orders!M$1,products!$A$1:$D$1,0))</f>
        <v>0.2</v>
      </c>
      <c r="N551">
        <f>_xlfn.XLOOKUP(D551,products!$A$2:$A$49,products!$E$2:$E$49)</f>
        <v>4.4550000000000001</v>
      </c>
      <c r="O551">
        <f>_xlfn.XLOOKUP(D551,products!$A$2:$A$49,products!$H$2:$H$49)</f>
        <v>3.96495</v>
      </c>
      <c r="P551">
        <f t="shared" si="50"/>
        <v>17.82</v>
      </c>
      <c r="Q551">
        <f t="shared" si="51"/>
        <v>15.8598</v>
      </c>
      <c r="R551">
        <f t="shared" si="52"/>
        <v>1.9602000000000004</v>
      </c>
      <c r="S551" s="4">
        <f t="shared" si="53"/>
        <v>0.11000000000000001</v>
      </c>
      <c r="T551" t="str">
        <f>_xlfn.XLOOKUP(C551,customers!$A$1:$A$1001,customers!$I$1:$I$1001,,0)</f>
        <v>Yes</v>
      </c>
    </row>
    <row r="552" spans="1:20"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INDEX(products!$A$1:$I$49,MATCH(orders!$D552,products!$A$1:$A$49,0),MATCH(orders!I$1,products!$A$1:$D$1,0))</f>
        <v>Lib</v>
      </c>
      <c r="J552" t="str">
        <f t="shared" si="48"/>
        <v>Liberica</v>
      </c>
      <c r="K552" t="str">
        <f>INDEX(products!$A$1:$I$49,MATCH(orders!$D552,products!$A$1:$A$49,0),MATCH(orders!K$1,products!$A$1:$D$1,0))</f>
        <v>D</v>
      </c>
      <c r="L552" t="str">
        <f t="shared" si="49"/>
        <v>Dark</v>
      </c>
      <c r="M552">
        <f>INDEX(products!$A$1:$I$49,MATCH(orders!$D552,products!$A$1:$A$49,0),MATCH(orders!M$1,products!$A$1:$D$1,0))</f>
        <v>0.2</v>
      </c>
      <c r="N552">
        <f>_xlfn.XLOOKUP(D552,products!$A$2:$A$49,products!$E$2:$E$49)</f>
        <v>3.8849999999999998</v>
      </c>
      <c r="O552">
        <f>_xlfn.XLOOKUP(D552,products!$A$2:$A$49,products!$H$2:$H$49)</f>
        <v>3.37995</v>
      </c>
      <c r="P552">
        <f t="shared" si="50"/>
        <v>23.31</v>
      </c>
      <c r="Q552">
        <f t="shared" si="51"/>
        <v>20.279699999999998</v>
      </c>
      <c r="R552">
        <f t="shared" si="52"/>
        <v>3.0303000000000004</v>
      </c>
      <c r="S552" s="4">
        <f t="shared" si="53"/>
        <v>0.13000000000000003</v>
      </c>
      <c r="T552" t="str">
        <f>_xlfn.XLOOKUP(C552,customers!$A$1:$A$1001,customers!$I$1:$I$1001,,0)</f>
        <v>Yes</v>
      </c>
    </row>
    <row r="553" spans="1:20"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INDEX(products!$A$1:$I$49,MATCH(orders!$D553,products!$A$1:$A$49,0),MATCH(orders!I$1,products!$A$1:$D$1,0))</f>
        <v>Exc</v>
      </c>
      <c r="J553" t="str">
        <f t="shared" si="48"/>
        <v>Excelsa</v>
      </c>
      <c r="K553" t="str">
        <f>INDEX(products!$A$1:$I$49,MATCH(orders!$D553,products!$A$1:$A$49,0),MATCH(orders!K$1,products!$A$1:$D$1,0))</f>
        <v>D</v>
      </c>
      <c r="L553" t="str">
        <f t="shared" si="49"/>
        <v>Dark</v>
      </c>
      <c r="M553">
        <f>INDEX(products!$A$1:$I$49,MATCH(orders!$D553,products!$A$1:$A$49,0),MATCH(orders!M$1,products!$A$1:$D$1,0))</f>
        <v>0.2</v>
      </c>
      <c r="N553">
        <f>_xlfn.XLOOKUP(D553,products!$A$2:$A$49,products!$E$2:$E$49)</f>
        <v>3.645</v>
      </c>
      <c r="O553">
        <f>_xlfn.XLOOKUP(D553,products!$A$2:$A$49,products!$H$2:$H$49)</f>
        <v>3.2440500000000001</v>
      </c>
      <c r="P553">
        <f t="shared" si="50"/>
        <v>7.29</v>
      </c>
      <c r="Q553">
        <f t="shared" si="51"/>
        <v>6.4881000000000002</v>
      </c>
      <c r="R553">
        <f t="shared" si="52"/>
        <v>0.80189999999999984</v>
      </c>
      <c r="S553" s="4">
        <f t="shared" si="53"/>
        <v>0.10999999999999997</v>
      </c>
      <c r="T553" t="str">
        <f>_xlfn.XLOOKUP(C553,customers!$A$1:$A$1001,customers!$I$1:$I$1001,,0)</f>
        <v>No</v>
      </c>
    </row>
    <row r="554" spans="1:20"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INDEX(products!$A$1:$I$49,MATCH(orders!$D554,products!$A$1:$A$49,0),MATCH(orders!I$1,products!$A$1:$D$1,0))</f>
        <v>Exc</v>
      </c>
      <c r="J554" t="str">
        <f t="shared" si="48"/>
        <v>Excelsa</v>
      </c>
      <c r="K554" t="str">
        <f>INDEX(products!$A$1:$I$49,MATCH(orders!$D554,products!$A$1:$A$49,0),MATCH(orders!K$1,products!$A$1:$D$1,0))</f>
        <v>L</v>
      </c>
      <c r="L554" t="str">
        <f t="shared" si="49"/>
        <v>Light</v>
      </c>
      <c r="M554">
        <f>INDEX(products!$A$1:$I$49,MATCH(orders!$D554,products!$A$1:$A$49,0),MATCH(orders!M$1,products!$A$1:$D$1,0))</f>
        <v>0.2</v>
      </c>
      <c r="N554">
        <f>_xlfn.XLOOKUP(D554,products!$A$2:$A$49,products!$E$2:$E$49)</f>
        <v>4.4550000000000001</v>
      </c>
      <c r="O554">
        <f>_xlfn.XLOOKUP(D554,products!$A$2:$A$49,products!$H$2:$H$49)</f>
        <v>3.96495</v>
      </c>
      <c r="P554">
        <f t="shared" si="50"/>
        <v>17.82</v>
      </c>
      <c r="Q554">
        <f t="shared" si="51"/>
        <v>15.8598</v>
      </c>
      <c r="R554">
        <f t="shared" si="52"/>
        <v>1.9602000000000004</v>
      </c>
      <c r="S554" s="4">
        <f t="shared" si="53"/>
        <v>0.11000000000000001</v>
      </c>
      <c r="T554" t="str">
        <f>_xlfn.XLOOKUP(C554,customers!$A$1:$A$1001,customers!$I$1:$I$1001,,0)</f>
        <v>Yes</v>
      </c>
    </row>
    <row r="555" spans="1:20"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INDEX(products!$A$1:$I$49,MATCH(orders!$D555,products!$A$1:$A$49,0),MATCH(orders!I$1,products!$A$1:$D$1,0))</f>
        <v>Exc</v>
      </c>
      <c r="J555" t="str">
        <f t="shared" si="48"/>
        <v>Excelsa</v>
      </c>
      <c r="K555" t="str">
        <f>INDEX(products!$A$1:$I$49,MATCH(orders!$D555,products!$A$1:$A$49,0),MATCH(orders!K$1,products!$A$1:$D$1,0))</f>
        <v>M</v>
      </c>
      <c r="L555" t="str">
        <f t="shared" si="49"/>
        <v>Medium</v>
      </c>
      <c r="M555">
        <f>INDEX(products!$A$1:$I$49,MATCH(orders!$D555,products!$A$1:$A$49,0),MATCH(orders!M$1,products!$A$1:$D$1,0))</f>
        <v>1</v>
      </c>
      <c r="N555">
        <f>_xlfn.XLOOKUP(D555,products!$A$2:$A$49,products!$E$2:$E$49)</f>
        <v>13.75</v>
      </c>
      <c r="O555">
        <f>_xlfn.XLOOKUP(D555,products!$A$2:$A$49,products!$H$2:$H$49)</f>
        <v>12.237500000000001</v>
      </c>
      <c r="P555">
        <f t="shared" si="50"/>
        <v>68.75</v>
      </c>
      <c r="Q555">
        <f t="shared" si="51"/>
        <v>61.1875</v>
      </c>
      <c r="R555">
        <f t="shared" si="52"/>
        <v>7.5625</v>
      </c>
      <c r="S555" s="4">
        <f t="shared" si="53"/>
        <v>0.11</v>
      </c>
      <c r="T555" t="str">
        <f>_xlfn.XLOOKUP(C555,customers!$A$1:$A$1001,customers!$I$1:$I$1001,,0)</f>
        <v>No</v>
      </c>
    </row>
    <row r="556" spans="1:20"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v>
      </c>
      <c r="H556" s="2" t="str">
        <f>_xlfn.XLOOKUP(C556,customers!$A$1:$A$1001,customers!$G$1:$G$1001,,0)</f>
        <v>United Kingdom</v>
      </c>
      <c r="I556" t="str">
        <f>INDEX(products!$A$1:$I$49,MATCH(orders!$D556,products!$A$1:$A$49,0),MATCH(orders!I$1,products!$A$1:$D$1,0))</f>
        <v>Rob</v>
      </c>
      <c r="J556" t="str">
        <f t="shared" si="48"/>
        <v>Robusta</v>
      </c>
      <c r="K556" t="str">
        <f>INDEX(products!$A$1:$I$49,MATCH(orders!$D556,products!$A$1:$A$49,0),MATCH(orders!K$1,products!$A$1:$D$1,0))</f>
        <v>L</v>
      </c>
      <c r="L556" t="str">
        <f t="shared" si="49"/>
        <v>Light</v>
      </c>
      <c r="M556">
        <f>INDEX(products!$A$1:$I$49,MATCH(orders!$D556,products!$A$1:$A$49,0),MATCH(orders!M$1,products!$A$1:$D$1,0))</f>
        <v>2.5</v>
      </c>
      <c r="N556">
        <f>_xlfn.XLOOKUP(D556,products!$A$2:$A$49,products!$E$2:$E$49)</f>
        <v>27.484999999999996</v>
      </c>
      <c r="O556">
        <f>_xlfn.XLOOKUP(D556,products!$A$2:$A$49,products!$H$2:$H$49)</f>
        <v>25.835899999999995</v>
      </c>
      <c r="P556">
        <f t="shared" si="50"/>
        <v>54.969999999999992</v>
      </c>
      <c r="Q556">
        <f t="shared" si="51"/>
        <v>51.67179999999999</v>
      </c>
      <c r="R556">
        <f t="shared" si="52"/>
        <v>3.2982000000000014</v>
      </c>
      <c r="S556" s="4">
        <f t="shared" si="53"/>
        <v>6.0000000000000032E-2</v>
      </c>
      <c r="T556" t="str">
        <f>_xlfn.XLOOKUP(C556,customers!$A$1:$A$1001,customers!$I$1:$I$1001,,0)</f>
        <v>Yes</v>
      </c>
    </row>
    <row r="557" spans="1:20"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INDEX(products!$A$1:$I$49,MATCH(orders!$D557,products!$A$1:$A$49,0),MATCH(orders!I$1,products!$A$1:$D$1,0))</f>
        <v>Exc</v>
      </c>
      <c r="J557" t="str">
        <f t="shared" si="48"/>
        <v>Excelsa</v>
      </c>
      <c r="K557" t="str">
        <f>INDEX(products!$A$1:$I$49,MATCH(orders!$D557,products!$A$1:$A$49,0),MATCH(orders!K$1,products!$A$1:$D$1,0))</f>
        <v>M</v>
      </c>
      <c r="L557" t="str">
        <f t="shared" si="49"/>
        <v>Medium</v>
      </c>
      <c r="M557">
        <f>INDEX(products!$A$1:$I$49,MATCH(orders!$D557,products!$A$1:$A$49,0),MATCH(orders!M$1,products!$A$1:$D$1,0))</f>
        <v>1</v>
      </c>
      <c r="N557">
        <f>_xlfn.XLOOKUP(D557,products!$A$2:$A$49,products!$E$2:$E$49)</f>
        <v>13.75</v>
      </c>
      <c r="O557">
        <f>_xlfn.XLOOKUP(D557,products!$A$2:$A$49,products!$H$2:$H$49)</f>
        <v>12.237500000000001</v>
      </c>
      <c r="P557">
        <f t="shared" si="50"/>
        <v>82.5</v>
      </c>
      <c r="Q557">
        <f t="shared" si="51"/>
        <v>73.425000000000011</v>
      </c>
      <c r="R557">
        <f t="shared" si="52"/>
        <v>9.0749999999999886</v>
      </c>
      <c r="S557" s="4">
        <f t="shared" si="53"/>
        <v>0.10999999999999986</v>
      </c>
      <c r="T557" t="str">
        <f>_xlfn.XLOOKUP(C557,customers!$A$1:$A$1001,customers!$I$1:$I$1001,,0)</f>
        <v>No</v>
      </c>
    </row>
    <row r="558" spans="1:20"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INDEX(products!$A$1:$I$49,MATCH(orders!$D558,products!$A$1:$A$49,0),MATCH(orders!I$1,products!$A$1:$D$1,0))</f>
        <v>Lib</v>
      </c>
      <c r="J558" t="str">
        <f t="shared" si="48"/>
        <v>Liberica</v>
      </c>
      <c r="K558" t="str">
        <f>INDEX(products!$A$1:$I$49,MATCH(orders!$D558,products!$A$1:$A$49,0),MATCH(orders!K$1,products!$A$1:$D$1,0))</f>
        <v>M</v>
      </c>
      <c r="L558" t="str">
        <f t="shared" si="49"/>
        <v>Medium</v>
      </c>
      <c r="M558">
        <f>INDEX(products!$A$1:$I$49,MATCH(orders!$D558,products!$A$1:$A$49,0),MATCH(orders!M$1,products!$A$1:$D$1,0))</f>
        <v>0.2</v>
      </c>
      <c r="N558">
        <f>_xlfn.XLOOKUP(D558,products!$A$2:$A$49,products!$E$2:$E$49)</f>
        <v>4.3650000000000002</v>
      </c>
      <c r="O558">
        <f>_xlfn.XLOOKUP(D558,products!$A$2:$A$49,products!$H$2:$H$49)</f>
        <v>3.7975500000000002</v>
      </c>
      <c r="P558">
        <f t="shared" si="50"/>
        <v>8.73</v>
      </c>
      <c r="Q558">
        <f t="shared" si="51"/>
        <v>7.5951000000000004</v>
      </c>
      <c r="R558">
        <f t="shared" si="52"/>
        <v>1.1349</v>
      </c>
      <c r="S558" s="4">
        <f t="shared" si="53"/>
        <v>0.13</v>
      </c>
      <c r="T558" t="str">
        <f>_xlfn.XLOOKUP(C558,customers!$A$1:$A$1001,customers!$I$1:$I$1001,,0)</f>
        <v>Yes</v>
      </c>
    </row>
    <row r="559" spans="1:20"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INDEX(products!$A$1:$I$49,MATCH(orders!$D559,products!$A$1:$A$49,0),MATCH(orders!I$1,products!$A$1:$D$1,0))</f>
        <v>Exc</v>
      </c>
      <c r="J559" t="str">
        <f t="shared" si="48"/>
        <v>Excelsa</v>
      </c>
      <c r="K559" t="str">
        <f>INDEX(products!$A$1:$I$49,MATCH(orders!$D559,products!$A$1:$A$49,0),MATCH(orders!K$1,products!$A$1:$D$1,0))</f>
        <v>L</v>
      </c>
      <c r="L559" t="str">
        <f t="shared" si="49"/>
        <v>Light</v>
      </c>
      <c r="M559">
        <f>INDEX(products!$A$1:$I$49,MATCH(orders!$D559,products!$A$1:$A$49,0),MATCH(orders!M$1,products!$A$1:$D$1,0))</f>
        <v>1</v>
      </c>
      <c r="N559">
        <f>_xlfn.XLOOKUP(D559,products!$A$2:$A$49,products!$E$2:$E$49)</f>
        <v>14.85</v>
      </c>
      <c r="O559">
        <f>_xlfn.XLOOKUP(D559,products!$A$2:$A$49,products!$H$2:$H$49)</f>
        <v>13.2165</v>
      </c>
      <c r="P559">
        <f t="shared" si="50"/>
        <v>59.4</v>
      </c>
      <c r="Q559">
        <f t="shared" si="51"/>
        <v>52.866</v>
      </c>
      <c r="R559">
        <f t="shared" si="52"/>
        <v>6.5339999999999989</v>
      </c>
      <c r="S559" s="4">
        <f t="shared" si="53"/>
        <v>0.10999999999999999</v>
      </c>
      <c r="T559" t="str">
        <f>_xlfn.XLOOKUP(C559,customers!$A$1:$A$1001,customers!$I$1:$I$1001,,0)</f>
        <v>Yes</v>
      </c>
    </row>
    <row r="560" spans="1:20"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v>
      </c>
      <c r="H560" s="2" t="str">
        <f>_xlfn.XLOOKUP(C560,customers!$A$1:$A$1001,customers!$G$1:$G$1001,,0)</f>
        <v>United States</v>
      </c>
      <c r="I560" t="str">
        <f>INDEX(products!$A$1:$I$49,MATCH(orders!$D560,products!$A$1:$A$49,0),MATCH(orders!I$1,products!$A$1:$D$1,0))</f>
        <v>Lib</v>
      </c>
      <c r="J560" t="str">
        <f t="shared" si="48"/>
        <v>Liberica</v>
      </c>
      <c r="K560" t="str">
        <f>INDEX(products!$A$1:$I$49,MATCH(orders!$D560,products!$A$1:$A$49,0),MATCH(orders!K$1,products!$A$1:$D$1,0))</f>
        <v>D</v>
      </c>
      <c r="L560" t="str">
        <f t="shared" si="49"/>
        <v>Dark</v>
      </c>
      <c r="M560">
        <f>INDEX(products!$A$1:$I$49,MATCH(orders!$D560,products!$A$1:$A$49,0),MATCH(orders!M$1,products!$A$1:$D$1,0))</f>
        <v>0.2</v>
      </c>
      <c r="N560">
        <f>_xlfn.XLOOKUP(D560,products!$A$2:$A$49,products!$E$2:$E$49)</f>
        <v>3.8849999999999998</v>
      </c>
      <c r="O560">
        <f>_xlfn.XLOOKUP(D560,products!$A$2:$A$49,products!$H$2:$H$49)</f>
        <v>3.37995</v>
      </c>
      <c r="P560">
        <f t="shared" si="50"/>
        <v>15.54</v>
      </c>
      <c r="Q560">
        <f t="shared" si="51"/>
        <v>13.5198</v>
      </c>
      <c r="R560">
        <f t="shared" si="52"/>
        <v>2.0201999999999991</v>
      </c>
      <c r="S560" s="4">
        <f t="shared" si="53"/>
        <v>0.12999999999999995</v>
      </c>
      <c r="T560" t="str">
        <f>_xlfn.XLOOKUP(C560,customers!$A$1:$A$1001,customers!$I$1:$I$1001,,0)</f>
        <v>Yes</v>
      </c>
    </row>
    <row r="561" spans="1:20"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INDEX(products!$A$1:$I$49,MATCH(orders!$D561,products!$A$1:$A$49,0),MATCH(orders!I$1,products!$A$1:$D$1,0))</f>
        <v>Ara</v>
      </c>
      <c r="J561" t="str">
        <f t="shared" si="48"/>
        <v>Arabica</v>
      </c>
      <c r="K561" t="str">
        <f>INDEX(products!$A$1:$I$49,MATCH(orders!$D561,products!$A$1:$A$49,0),MATCH(orders!K$1,products!$A$1:$D$1,0))</f>
        <v>L</v>
      </c>
      <c r="L561" t="str">
        <f t="shared" si="49"/>
        <v>Light</v>
      </c>
      <c r="M561">
        <f>INDEX(products!$A$1:$I$49,MATCH(orders!$D561,products!$A$1:$A$49,0),MATCH(orders!M$1,products!$A$1:$D$1,0))</f>
        <v>1</v>
      </c>
      <c r="N561">
        <f>_xlfn.XLOOKUP(D561,products!$A$2:$A$49,products!$E$2:$E$49)</f>
        <v>12.95</v>
      </c>
      <c r="O561">
        <f>_xlfn.XLOOKUP(D561,products!$A$2:$A$49,products!$H$2:$H$49)</f>
        <v>11.7845</v>
      </c>
      <c r="P561">
        <f t="shared" si="50"/>
        <v>38.849999999999994</v>
      </c>
      <c r="Q561">
        <f t="shared" si="51"/>
        <v>35.353499999999997</v>
      </c>
      <c r="R561">
        <f t="shared" si="52"/>
        <v>3.4964999999999975</v>
      </c>
      <c r="S561" s="4">
        <f t="shared" si="53"/>
        <v>8.9999999999999955E-2</v>
      </c>
      <c r="T561" t="str">
        <f>_xlfn.XLOOKUP(C561,customers!$A$1:$A$1001,customers!$I$1:$I$1001,,0)</f>
        <v>Yes</v>
      </c>
    </row>
    <row r="562" spans="1:20"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v>
      </c>
      <c r="H562" s="2" t="str">
        <f>_xlfn.XLOOKUP(C562,customers!$A$1:$A$1001,customers!$G$1:$G$1001,,0)</f>
        <v>United States</v>
      </c>
      <c r="I562" t="str">
        <f>INDEX(products!$A$1:$I$49,MATCH(orders!$D562,products!$A$1:$A$49,0),MATCH(orders!I$1,products!$A$1:$D$1,0))</f>
        <v>Exc</v>
      </c>
      <c r="J562" t="str">
        <f t="shared" si="48"/>
        <v>Excelsa</v>
      </c>
      <c r="K562" t="str">
        <f>INDEX(products!$A$1:$I$49,MATCH(orders!$D562,products!$A$1:$A$49,0),MATCH(orders!K$1,products!$A$1:$D$1,0))</f>
        <v>M</v>
      </c>
      <c r="L562" t="str">
        <f t="shared" si="49"/>
        <v>Medium</v>
      </c>
      <c r="M562">
        <f>INDEX(products!$A$1:$I$49,MATCH(orders!$D562,products!$A$1:$A$49,0),MATCH(orders!M$1,products!$A$1:$D$1,0))</f>
        <v>2.5</v>
      </c>
      <c r="N562">
        <f>_xlfn.XLOOKUP(D562,products!$A$2:$A$49,products!$E$2:$E$49)</f>
        <v>31.624999999999996</v>
      </c>
      <c r="O562">
        <f>_xlfn.XLOOKUP(D562,products!$A$2:$A$49,products!$H$2:$H$49)</f>
        <v>28.146249999999995</v>
      </c>
      <c r="P562">
        <f t="shared" si="50"/>
        <v>189.74999999999997</v>
      </c>
      <c r="Q562">
        <f t="shared" si="51"/>
        <v>168.87749999999997</v>
      </c>
      <c r="R562">
        <f t="shared" si="52"/>
        <v>20.872500000000002</v>
      </c>
      <c r="S562" s="4">
        <f t="shared" si="53"/>
        <v>0.11000000000000003</v>
      </c>
      <c r="T562" t="str">
        <f>_xlfn.XLOOKUP(C562,customers!$A$1:$A$1001,customers!$I$1:$I$1001,,0)</f>
        <v>Yes</v>
      </c>
    </row>
    <row r="563" spans="1:20"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v>
      </c>
      <c r="H563" s="2" t="str">
        <f>_xlfn.XLOOKUP(C563,customers!$A$1:$A$1001,customers!$G$1:$G$1001,,0)</f>
        <v>Ireland</v>
      </c>
      <c r="I563" t="str">
        <f>INDEX(products!$A$1:$I$49,MATCH(orders!$D563,products!$A$1:$A$49,0),MATCH(orders!I$1,products!$A$1:$D$1,0))</f>
        <v>Ara</v>
      </c>
      <c r="J563" t="str">
        <f t="shared" si="48"/>
        <v>Arabica</v>
      </c>
      <c r="K563" t="str">
        <f>INDEX(products!$A$1:$I$49,MATCH(orders!$D563,products!$A$1:$A$49,0),MATCH(orders!K$1,products!$A$1:$D$1,0))</f>
        <v>D</v>
      </c>
      <c r="L563" t="str">
        <f t="shared" si="49"/>
        <v>Dark</v>
      </c>
      <c r="M563">
        <f>INDEX(products!$A$1:$I$49,MATCH(orders!$D563,products!$A$1:$A$49,0),MATCH(orders!M$1,products!$A$1:$D$1,0))</f>
        <v>0.2</v>
      </c>
      <c r="N563">
        <f>_xlfn.XLOOKUP(D563,products!$A$2:$A$49,products!$E$2:$E$49)</f>
        <v>2.9849999999999999</v>
      </c>
      <c r="O563">
        <f>_xlfn.XLOOKUP(D563,products!$A$2:$A$49,products!$H$2:$H$49)</f>
        <v>2.7163499999999998</v>
      </c>
      <c r="P563">
        <f t="shared" si="50"/>
        <v>17.91</v>
      </c>
      <c r="Q563">
        <f t="shared" si="51"/>
        <v>16.298099999999998</v>
      </c>
      <c r="R563">
        <f t="shared" si="52"/>
        <v>1.6119000000000021</v>
      </c>
      <c r="S563" s="4">
        <f t="shared" si="53"/>
        <v>9.0000000000000122E-2</v>
      </c>
      <c r="T563" t="str">
        <f>_xlfn.XLOOKUP(C563,customers!$A$1:$A$1001,customers!$I$1:$I$1001,,0)</f>
        <v>Yes</v>
      </c>
    </row>
    <row r="564" spans="1:20"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INDEX(products!$A$1:$I$49,MATCH(orders!$D564,products!$A$1:$A$49,0),MATCH(orders!I$1,products!$A$1:$D$1,0))</f>
        <v>Lib</v>
      </c>
      <c r="J564" t="str">
        <f t="shared" si="48"/>
        <v>Liberica</v>
      </c>
      <c r="K564" t="str">
        <f>INDEX(products!$A$1:$I$49,MATCH(orders!$D564,products!$A$1:$A$49,0),MATCH(orders!K$1,products!$A$1:$D$1,0))</f>
        <v>L</v>
      </c>
      <c r="L564" t="str">
        <f t="shared" si="49"/>
        <v>Light</v>
      </c>
      <c r="M564">
        <f>INDEX(products!$A$1:$I$49,MATCH(orders!$D564,products!$A$1:$A$49,0),MATCH(orders!M$1,products!$A$1:$D$1,0))</f>
        <v>0.2</v>
      </c>
      <c r="N564">
        <f>_xlfn.XLOOKUP(D564,products!$A$2:$A$49,products!$E$2:$E$49)</f>
        <v>4.7549999999999999</v>
      </c>
      <c r="O564">
        <f>_xlfn.XLOOKUP(D564,products!$A$2:$A$49,products!$H$2:$H$49)</f>
        <v>4.1368499999999999</v>
      </c>
      <c r="P564">
        <f t="shared" si="50"/>
        <v>28.53</v>
      </c>
      <c r="Q564">
        <f t="shared" si="51"/>
        <v>24.821100000000001</v>
      </c>
      <c r="R564">
        <f t="shared" si="52"/>
        <v>3.7088999999999999</v>
      </c>
      <c r="S564" s="4">
        <f t="shared" si="53"/>
        <v>0.12999999999999998</v>
      </c>
      <c r="T564" t="str">
        <f>_xlfn.XLOOKUP(C564,customers!$A$1:$A$1001,customers!$I$1:$I$1001,,0)</f>
        <v>No</v>
      </c>
    </row>
    <row r="565" spans="1:20"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INDEX(products!$A$1:$I$49,MATCH(orders!$D565,products!$A$1:$A$49,0),MATCH(orders!I$1,products!$A$1:$D$1,0))</f>
        <v>Exc</v>
      </c>
      <c r="J565" t="str">
        <f t="shared" si="48"/>
        <v>Excelsa</v>
      </c>
      <c r="K565" t="str">
        <f>INDEX(products!$A$1:$I$49,MATCH(orders!$D565,products!$A$1:$A$49,0),MATCH(orders!K$1,products!$A$1:$D$1,0))</f>
        <v>M</v>
      </c>
      <c r="L565" t="str">
        <f t="shared" si="49"/>
        <v>Medium</v>
      </c>
      <c r="M565">
        <f>INDEX(products!$A$1:$I$49,MATCH(orders!$D565,products!$A$1:$A$49,0),MATCH(orders!M$1,products!$A$1:$D$1,0))</f>
        <v>1</v>
      </c>
      <c r="N565">
        <f>_xlfn.XLOOKUP(D565,products!$A$2:$A$49,products!$E$2:$E$49)</f>
        <v>13.75</v>
      </c>
      <c r="O565">
        <f>_xlfn.XLOOKUP(D565,products!$A$2:$A$49,products!$H$2:$H$49)</f>
        <v>12.237500000000001</v>
      </c>
      <c r="P565">
        <f t="shared" si="50"/>
        <v>82.5</v>
      </c>
      <c r="Q565">
        <f t="shared" si="51"/>
        <v>73.425000000000011</v>
      </c>
      <c r="R565">
        <f t="shared" si="52"/>
        <v>9.0749999999999886</v>
      </c>
      <c r="S565" s="4">
        <f t="shared" si="53"/>
        <v>0.10999999999999986</v>
      </c>
      <c r="T565" t="str">
        <f>_xlfn.XLOOKUP(C565,customers!$A$1:$A$1001,customers!$I$1:$I$1001,,0)</f>
        <v>No</v>
      </c>
    </row>
    <row r="566" spans="1:20"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INDEX(products!$A$1:$I$49,MATCH(orders!$D566,products!$A$1:$A$49,0),MATCH(orders!I$1,products!$A$1:$D$1,0))</f>
        <v>Rob</v>
      </c>
      <c r="J566" t="str">
        <f t="shared" si="48"/>
        <v>Robusta</v>
      </c>
      <c r="K566" t="str">
        <f>INDEX(products!$A$1:$I$49,MATCH(orders!$D566,products!$A$1:$A$49,0),MATCH(orders!K$1,products!$A$1:$D$1,0))</f>
        <v>L</v>
      </c>
      <c r="L566" t="str">
        <f t="shared" si="49"/>
        <v>Light</v>
      </c>
      <c r="M566">
        <f>INDEX(products!$A$1:$I$49,MATCH(orders!$D566,products!$A$1:$A$49,0),MATCH(orders!M$1,products!$A$1:$D$1,0))</f>
        <v>0.5</v>
      </c>
      <c r="N566">
        <f>_xlfn.XLOOKUP(D566,products!$A$2:$A$49,products!$E$2:$E$49)</f>
        <v>7.169999999999999</v>
      </c>
      <c r="O566">
        <f>_xlfn.XLOOKUP(D566,products!$A$2:$A$49,products!$H$2:$H$49)</f>
        <v>6.7397999999999989</v>
      </c>
      <c r="P566">
        <f t="shared" si="50"/>
        <v>14.339999999999998</v>
      </c>
      <c r="Q566">
        <f t="shared" si="51"/>
        <v>13.479599999999998</v>
      </c>
      <c r="R566">
        <f t="shared" si="52"/>
        <v>0.86040000000000028</v>
      </c>
      <c r="S566" s="4">
        <f t="shared" si="53"/>
        <v>6.0000000000000026E-2</v>
      </c>
      <c r="T566" t="str">
        <f>_xlfn.XLOOKUP(C566,customers!$A$1:$A$1001,customers!$I$1:$I$1001,,0)</f>
        <v>No</v>
      </c>
    </row>
    <row r="567" spans="1:20"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INDEX(products!$A$1:$I$49,MATCH(orders!$D567,products!$A$1:$A$49,0),MATCH(orders!I$1,products!$A$1:$D$1,0))</f>
        <v>Rob</v>
      </c>
      <c r="J567" t="str">
        <f t="shared" si="48"/>
        <v>Robusta</v>
      </c>
      <c r="K567" t="str">
        <f>INDEX(products!$A$1:$I$49,MATCH(orders!$D567,products!$A$1:$A$49,0),MATCH(orders!K$1,products!$A$1:$D$1,0))</f>
        <v>D</v>
      </c>
      <c r="L567" t="str">
        <f t="shared" si="49"/>
        <v>Dark</v>
      </c>
      <c r="M567">
        <f>INDEX(products!$A$1:$I$49,MATCH(orders!$D567,products!$A$1:$A$49,0),MATCH(orders!M$1,products!$A$1:$D$1,0))</f>
        <v>2.5</v>
      </c>
      <c r="N567">
        <f>_xlfn.XLOOKUP(D567,products!$A$2:$A$49,products!$E$2:$E$49)</f>
        <v>20.584999999999997</v>
      </c>
      <c r="O567">
        <f>_xlfn.XLOOKUP(D567,products!$A$2:$A$49,products!$H$2:$H$49)</f>
        <v>19.349899999999998</v>
      </c>
      <c r="P567">
        <f t="shared" si="50"/>
        <v>82.339999999999989</v>
      </c>
      <c r="Q567">
        <f t="shared" si="51"/>
        <v>77.399599999999992</v>
      </c>
      <c r="R567">
        <f t="shared" si="52"/>
        <v>4.9403999999999968</v>
      </c>
      <c r="S567" s="4">
        <f t="shared" si="53"/>
        <v>5.999999999999997E-2</v>
      </c>
      <c r="T567" t="str">
        <f>_xlfn.XLOOKUP(C567,customers!$A$1:$A$1001,customers!$I$1:$I$1001,,0)</f>
        <v>No</v>
      </c>
    </row>
    <row r="568" spans="1:20"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INDEX(products!$A$1:$I$49,MATCH(orders!$D568,products!$A$1:$A$49,0),MATCH(orders!I$1,products!$A$1:$D$1,0))</f>
        <v>Ara</v>
      </c>
      <c r="J568" t="str">
        <f t="shared" si="48"/>
        <v>Arabica</v>
      </c>
      <c r="K568" t="str">
        <f>INDEX(products!$A$1:$I$49,MATCH(orders!$D568,products!$A$1:$A$49,0),MATCH(orders!K$1,products!$A$1:$D$1,0))</f>
        <v>M</v>
      </c>
      <c r="L568" t="str">
        <f t="shared" si="49"/>
        <v>Medium</v>
      </c>
      <c r="M568">
        <f>INDEX(products!$A$1:$I$49,MATCH(orders!$D568,products!$A$1:$A$49,0),MATCH(orders!M$1,products!$A$1:$D$1,0))</f>
        <v>0.2</v>
      </c>
      <c r="N568">
        <f>_xlfn.XLOOKUP(D568,products!$A$2:$A$49,products!$E$2:$E$49)</f>
        <v>3.375</v>
      </c>
      <c r="O568">
        <f>_xlfn.XLOOKUP(D568,products!$A$2:$A$49,products!$H$2:$H$49)</f>
        <v>3.07125</v>
      </c>
      <c r="P568">
        <f t="shared" si="50"/>
        <v>20.25</v>
      </c>
      <c r="Q568">
        <f t="shared" si="51"/>
        <v>18.427500000000002</v>
      </c>
      <c r="R568">
        <f t="shared" si="52"/>
        <v>1.822499999999998</v>
      </c>
      <c r="S568" s="4">
        <f t="shared" si="53"/>
        <v>8.99999999999999E-2</v>
      </c>
      <c r="T568" t="str">
        <f>_xlfn.XLOOKUP(C568,customers!$A$1:$A$1001,customers!$I$1:$I$1001,,0)</f>
        <v>Yes</v>
      </c>
    </row>
    <row r="569" spans="1:20"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v>
      </c>
      <c r="H569" s="2" t="str">
        <f>_xlfn.XLOOKUP(C569,customers!$A$1:$A$1001,customers!$G$1:$G$1001,,0)</f>
        <v>Ireland</v>
      </c>
      <c r="I569" t="str">
        <f>INDEX(products!$A$1:$I$49,MATCH(orders!$D569,products!$A$1:$A$49,0),MATCH(orders!I$1,products!$A$1:$D$1,0))</f>
        <v>Rob</v>
      </c>
      <c r="J569" t="str">
        <f t="shared" si="48"/>
        <v>Robusta</v>
      </c>
      <c r="K569" t="str">
        <f>INDEX(products!$A$1:$I$49,MATCH(orders!$D569,products!$A$1:$A$49,0),MATCH(orders!K$1,products!$A$1:$D$1,0))</f>
        <v>L</v>
      </c>
      <c r="L569" t="str">
        <f t="shared" si="49"/>
        <v>Light</v>
      </c>
      <c r="M569">
        <f>INDEX(products!$A$1:$I$49,MATCH(orders!$D569,products!$A$1:$A$49,0),MATCH(orders!M$1,products!$A$1:$D$1,0))</f>
        <v>2.5</v>
      </c>
      <c r="N569">
        <f>_xlfn.XLOOKUP(D569,products!$A$2:$A$49,products!$E$2:$E$49)</f>
        <v>27.484999999999996</v>
      </c>
      <c r="O569">
        <f>_xlfn.XLOOKUP(D569,products!$A$2:$A$49,products!$H$2:$H$49)</f>
        <v>25.835899999999995</v>
      </c>
      <c r="P569">
        <f t="shared" si="50"/>
        <v>164.90999999999997</v>
      </c>
      <c r="Q569">
        <f t="shared" si="51"/>
        <v>155.01539999999997</v>
      </c>
      <c r="R569">
        <f t="shared" si="52"/>
        <v>9.894599999999997</v>
      </c>
      <c r="S569" s="4">
        <f t="shared" si="53"/>
        <v>5.9999999999999991E-2</v>
      </c>
      <c r="T569" t="str">
        <f>_xlfn.XLOOKUP(C569,customers!$A$1:$A$1001,customers!$I$1:$I$1001,,0)</f>
        <v>No</v>
      </c>
    </row>
    <row r="570" spans="1:20"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INDEX(products!$A$1:$I$49,MATCH(orders!$D570,products!$A$1:$A$49,0),MATCH(orders!I$1,products!$A$1:$D$1,0))</f>
        <v>Lib</v>
      </c>
      <c r="J570" t="str">
        <f t="shared" si="48"/>
        <v>Liberica</v>
      </c>
      <c r="K570" t="str">
        <f>INDEX(products!$A$1:$I$49,MATCH(orders!$D570,products!$A$1:$A$49,0),MATCH(orders!K$1,products!$A$1:$D$1,0))</f>
        <v>L</v>
      </c>
      <c r="L570" t="str">
        <f t="shared" si="49"/>
        <v>Light</v>
      </c>
      <c r="M570">
        <f>INDEX(products!$A$1:$I$49,MATCH(orders!$D570,products!$A$1:$A$49,0),MATCH(orders!M$1,products!$A$1:$D$1,0))</f>
        <v>0.2</v>
      </c>
      <c r="N570">
        <f>_xlfn.XLOOKUP(D570,products!$A$2:$A$49,products!$E$2:$E$49)</f>
        <v>4.7549999999999999</v>
      </c>
      <c r="O570">
        <f>_xlfn.XLOOKUP(D570,products!$A$2:$A$49,products!$H$2:$H$49)</f>
        <v>4.1368499999999999</v>
      </c>
      <c r="P570">
        <f t="shared" si="50"/>
        <v>19.02</v>
      </c>
      <c r="Q570">
        <f t="shared" si="51"/>
        <v>16.5474</v>
      </c>
      <c r="R570">
        <f t="shared" si="52"/>
        <v>2.4725999999999999</v>
      </c>
      <c r="S570" s="4">
        <f t="shared" si="53"/>
        <v>0.13</v>
      </c>
      <c r="T570" t="str">
        <f>_xlfn.XLOOKUP(C570,customers!$A$1:$A$1001,customers!$I$1:$I$1001,,0)</f>
        <v>Yes</v>
      </c>
    </row>
    <row r="571" spans="1:20"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INDEX(products!$A$1:$I$49,MATCH(orders!$D571,products!$A$1:$A$49,0),MATCH(orders!I$1,products!$A$1:$D$1,0))</f>
        <v>Ara</v>
      </c>
      <c r="J571" t="str">
        <f t="shared" si="48"/>
        <v>Arabica</v>
      </c>
      <c r="K571" t="str">
        <f>INDEX(products!$A$1:$I$49,MATCH(orders!$D571,products!$A$1:$A$49,0),MATCH(orders!K$1,products!$A$1:$D$1,0))</f>
        <v>D</v>
      </c>
      <c r="L571" t="str">
        <f t="shared" si="49"/>
        <v>Dark</v>
      </c>
      <c r="M571">
        <f>INDEX(products!$A$1:$I$49,MATCH(orders!$D571,products!$A$1:$A$49,0),MATCH(orders!M$1,products!$A$1:$D$1,0))</f>
        <v>2.5</v>
      </c>
      <c r="N571">
        <f>_xlfn.XLOOKUP(D571,products!$A$2:$A$49,products!$E$2:$E$49)</f>
        <v>22.884999999999998</v>
      </c>
      <c r="O571">
        <f>_xlfn.XLOOKUP(D571,products!$A$2:$A$49,products!$H$2:$H$49)</f>
        <v>20.82535</v>
      </c>
      <c r="P571">
        <f t="shared" si="50"/>
        <v>137.31</v>
      </c>
      <c r="Q571">
        <f t="shared" si="51"/>
        <v>124.9521</v>
      </c>
      <c r="R571">
        <f t="shared" si="52"/>
        <v>12.357900000000001</v>
      </c>
      <c r="S571" s="4">
        <f t="shared" si="53"/>
        <v>9.0000000000000011E-2</v>
      </c>
      <c r="T571" t="str">
        <f>_xlfn.XLOOKUP(C571,customers!$A$1:$A$1001,customers!$I$1:$I$1001,,0)</f>
        <v>No</v>
      </c>
    </row>
    <row r="572" spans="1:20"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INDEX(products!$A$1:$I$49,MATCH(orders!$D572,products!$A$1:$A$49,0),MATCH(orders!I$1,products!$A$1:$D$1,0))</f>
        <v>Ara</v>
      </c>
      <c r="J572" t="str">
        <f t="shared" si="48"/>
        <v>Arabica</v>
      </c>
      <c r="K572" t="str">
        <f>INDEX(products!$A$1:$I$49,MATCH(orders!$D572,products!$A$1:$A$49,0),MATCH(orders!K$1,products!$A$1:$D$1,0))</f>
        <v>M</v>
      </c>
      <c r="L572" t="str">
        <f t="shared" si="49"/>
        <v>Medium</v>
      </c>
      <c r="M572">
        <f>INDEX(products!$A$1:$I$49,MATCH(orders!$D572,products!$A$1:$A$49,0),MATCH(orders!M$1,products!$A$1:$D$1,0))</f>
        <v>0.5</v>
      </c>
      <c r="N572">
        <f>_xlfn.XLOOKUP(D572,products!$A$2:$A$49,products!$E$2:$E$49)</f>
        <v>6.75</v>
      </c>
      <c r="O572">
        <f>_xlfn.XLOOKUP(D572,products!$A$2:$A$49,products!$H$2:$H$49)</f>
        <v>6.1425000000000001</v>
      </c>
      <c r="P572">
        <f t="shared" si="50"/>
        <v>27</v>
      </c>
      <c r="Q572">
        <f t="shared" si="51"/>
        <v>24.57</v>
      </c>
      <c r="R572">
        <f t="shared" si="52"/>
        <v>2.4299999999999997</v>
      </c>
      <c r="S572" s="4">
        <f t="shared" si="53"/>
        <v>8.9999999999999983E-2</v>
      </c>
      <c r="T572" t="str">
        <f>_xlfn.XLOOKUP(C572,customers!$A$1:$A$1001,customers!$I$1:$I$1001,,0)</f>
        <v>No</v>
      </c>
    </row>
    <row r="573" spans="1:20"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INDEX(products!$A$1:$I$49,MATCH(orders!$D573,products!$A$1:$A$49,0),MATCH(orders!I$1,products!$A$1:$D$1,0))</f>
        <v>Exc</v>
      </c>
      <c r="J573" t="str">
        <f t="shared" si="48"/>
        <v>Excelsa</v>
      </c>
      <c r="K573" t="str">
        <f>INDEX(products!$A$1:$I$49,MATCH(orders!$D573,products!$A$1:$A$49,0),MATCH(orders!K$1,products!$A$1:$D$1,0))</f>
        <v>L</v>
      </c>
      <c r="L573" t="str">
        <f t="shared" si="49"/>
        <v>Light</v>
      </c>
      <c r="M573">
        <f>INDEX(products!$A$1:$I$49,MATCH(orders!$D573,products!$A$1:$A$49,0),MATCH(orders!M$1,products!$A$1:$D$1,0))</f>
        <v>0.5</v>
      </c>
      <c r="N573">
        <f>_xlfn.XLOOKUP(D573,products!$A$2:$A$49,products!$E$2:$E$49)</f>
        <v>8.91</v>
      </c>
      <c r="O573">
        <f>_xlfn.XLOOKUP(D573,products!$A$2:$A$49,products!$H$2:$H$49)</f>
        <v>7.9298999999999999</v>
      </c>
      <c r="P573">
        <f t="shared" si="50"/>
        <v>35.64</v>
      </c>
      <c r="Q573">
        <f t="shared" si="51"/>
        <v>31.7196</v>
      </c>
      <c r="R573">
        <f t="shared" si="52"/>
        <v>3.9204000000000008</v>
      </c>
      <c r="S573" s="4">
        <f t="shared" si="53"/>
        <v>0.11000000000000001</v>
      </c>
      <c r="T573" t="str">
        <f>_xlfn.XLOOKUP(C573,customers!$A$1:$A$1001,customers!$I$1:$I$1001,,0)</f>
        <v>No</v>
      </c>
    </row>
    <row r="574" spans="1:20"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v>
      </c>
      <c r="H574" s="2" t="str">
        <f>_xlfn.XLOOKUP(C574,customers!$A$1:$A$1001,customers!$G$1:$G$1001,,0)</f>
        <v>United States</v>
      </c>
      <c r="I574" t="str">
        <f>INDEX(products!$A$1:$I$49,MATCH(orders!$D574,products!$A$1:$A$49,0),MATCH(orders!I$1,products!$A$1:$D$1,0))</f>
        <v>Ara</v>
      </c>
      <c r="J574" t="str">
        <f t="shared" si="48"/>
        <v>Arabica</v>
      </c>
      <c r="K574" t="str">
        <f>INDEX(products!$A$1:$I$49,MATCH(orders!$D574,products!$A$1:$A$49,0),MATCH(orders!K$1,products!$A$1:$D$1,0))</f>
        <v>D</v>
      </c>
      <c r="L574" t="str">
        <f t="shared" si="49"/>
        <v>Dark</v>
      </c>
      <c r="M574">
        <f>INDEX(products!$A$1:$I$49,MATCH(orders!$D574,products!$A$1:$A$49,0),MATCH(orders!M$1,products!$A$1:$D$1,0))</f>
        <v>0.2</v>
      </c>
      <c r="N574">
        <f>_xlfn.XLOOKUP(D574,products!$A$2:$A$49,products!$E$2:$E$49)</f>
        <v>2.9849999999999999</v>
      </c>
      <c r="O574">
        <f>_xlfn.XLOOKUP(D574,products!$A$2:$A$49,products!$H$2:$H$49)</f>
        <v>2.7163499999999998</v>
      </c>
      <c r="P574">
        <f t="shared" si="50"/>
        <v>5.97</v>
      </c>
      <c r="Q574">
        <f t="shared" si="51"/>
        <v>5.4326999999999996</v>
      </c>
      <c r="R574">
        <f t="shared" si="52"/>
        <v>0.53730000000000011</v>
      </c>
      <c r="S574" s="4">
        <f t="shared" si="53"/>
        <v>9.0000000000000024E-2</v>
      </c>
      <c r="T574" t="str">
        <f>_xlfn.XLOOKUP(C574,customers!$A$1:$A$1001,customers!$I$1:$I$1001,,0)</f>
        <v>Yes</v>
      </c>
    </row>
    <row r="575" spans="1:20"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INDEX(products!$A$1:$I$49,MATCH(orders!$D575,products!$A$1:$A$49,0),MATCH(orders!I$1,products!$A$1:$D$1,0))</f>
        <v>Ara</v>
      </c>
      <c r="J575" t="str">
        <f t="shared" si="48"/>
        <v>Arabica</v>
      </c>
      <c r="K575" t="str">
        <f>INDEX(products!$A$1:$I$49,MATCH(orders!$D575,products!$A$1:$A$49,0),MATCH(orders!K$1,products!$A$1:$D$1,0))</f>
        <v>M</v>
      </c>
      <c r="L575" t="str">
        <f t="shared" si="49"/>
        <v>Medium</v>
      </c>
      <c r="M575">
        <f>INDEX(products!$A$1:$I$49,MATCH(orders!$D575,products!$A$1:$A$49,0),MATCH(orders!M$1,products!$A$1:$D$1,0))</f>
        <v>1</v>
      </c>
      <c r="N575">
        <f>_xlfn.XLOOKUP(D575,products!$A$2:$A$49,products!$E$2:$E$49)</f>
        <v>11.25</v>
      </c>
      <c r="O575">
        <f>_xlfn.XLOOKUP(D575,products!$A$2:$A$49,products!$H$2:$H$49)</f>
        <v>10.237500000000001</v>
      </c>
      <c r="P575">
        <f t="shared" si="50"/>
        <v>67.5</v>
      </c>
      <c r="Q575">
        <f t="shared" si="51"/>
        <v>61.425000000000004</v>
      </c>
      <c r="R575">
        <f t="shared" si="52"/>
        <v>6.0749999999999957</v>
      </c>
      <c r="S575" s="4">
        <f t="shared" si="53"/>
        <v>8.9999999999999941E-2</v>
      </c>
      <c r="T575" t="str">
        <f>_xlfn.XLOOKUP(C575,customers!$A$1:$A$1001,customers!$I$1:$I$1001,,0)</f>
        <v>No</v>
      </c>
    </row>
    <row r="576" spans="1:20"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INDEX(products!$A$1:$I$49,MATCH(orders!$D576,products!$A$1:$A$49,0),MATCH(orders!I$1,products!$A$1:$D$1,0))</f>
        <v>Rob</v>
      </c>
      <c r="J576" t="str">
        <f t="shared" si="48"/>
        <v>Robusta</v>
      </c>
      <c r="K576" t="str">
        <f>INDEX(products!$A$1:$I$49,MATCH(orders!$D576,products!$A$1:$A$49,0),MATCH(orders!K$1,products!$A$1:$D$1,0))</f>
        <v>L</v>
      </c>
      <c r="L576" t="str">
        <f t="shared" si="49"/>
        <v>Light</v>
      </c>
      <c r="M576">
        <f>INDEX(products!$A$1:$I$49,MATCH(orders!$D576,products!$A$1:$A$49,0),MATCH(orders!M$1,products!$A$1:$D$1,0))</f>
        <v>0.2</v>
      </c>
      <c r="N576">
        <f>_xlfn.XLOOKUP(D576,products!$A$2:$A$49,products!$E$2:$E$49)</f>
        <v>3.5849999999999995</v>
      </c>
      <c r="O576">
        <f>_xlfn.XLOOKUP(D576,products!$A$2:$A$49,products!$H$2:$H$49)</f>
        <v>3.3698999999999995</v>
      </c>
      <c r="P576">
        <f t="shared" si="50"/>
        <v>21.509999999999998</v>
      </c>
      <c r="Q576">
        <f t="shared" si="51"/>
        <v>20.219399999999997</v>
      </c>
      <c r="R576">
        <f t="shared" si="52"/>
        <v>1.2906000000000013</v>
      </c>
      <c r="S576" s="4">
        <f t="shared" si="53"/>
        <v>6.0000000000000067E-2</v>
      </c>
      <c r="T576" t="str">
        <f>_xlfn.XLOOKUP(C576,customers!$A$1:$A$1001,customers!$I$1:$I$1001,,0)</f>
        <v>Yes</v>
      </c>
    </row>
    <row r="577" spans="1:20"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INDEX(products!$A$1:$I$49,MATCH(orders!$D577,products!$A$1:$A$49,0),MATCH(orders!I$1,products!$A$1:$D$1,0))</f>
        <v>Lib</v>
      </c>
      <c r="J577" t="str">
        <f t="shared" si="48"/>
        <v>Liberica</v>
      </c>
      <c r="K577" t="str">
        <f>INDEX(products!$A$1:$I$49,MATCH(orders!$D577,products!$A$1:$A$49,0),MATCH(orders!K$1,products!$A$1:$D$1,0))</f>
        <v>M</v>
      </c>
      <c r="L577" t="str">
        <f t="shared" si="49"/>
        <v>Medium</v>
      </c>
      <c r="M577">
        <f>INDEX(products!$A$1:$I$49,MATCH(orders!$D577,products!$A$1:$A$49,0),MATCH(orders!M$1,products!$A$1:$D$1,0))</f>
        <v>2.5</v>
      </c>
      <c r="N577">
        <f>_xlfn.XLOOKUP(D577,products!$A$2:$A$49,products!$E$2:$E$49)</f>
        <v>33.464999999999996</v>
      </c>
      <c r="O577">
        <f>_xlfn.XLOOKUP(D577,products!$A$2:$A$49,products!$H$2:$H$49)</f>
        <v>29.114549999999998</v>
      </c>
      <c r="P577">
        <f t="shared" si="50"/>
        <v>66.929999999999993</v>
      </c>
      <c r="Q577">
        <f t="shared" si="51"/>
        <v>58.229099999999995</v>
      </c>
      <c r="R577">
        <f t="shared" si="52"/>
        <v>8.7008999999999972</v>
      </c>
      <c r="S577" s="4">
        <f t="shared" si="53"/>
        <v>0.12999999999999998</v>
      </c>
      <c r="T577" t="str">
        <f>_xlfn.XLOOKUP(C577,customers!$A$1:$A$1001,customers!$I$1:$I$1001,,0)</f>
        <v>No</v>
      </c>
    </row>
    <row r="578" spans="1:20"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INDEX(products!$A$1:$I$49,MATCH(orders!$D578,products!$A$1:$A$49,0),MATCH(orders!I$1,products!$A$1:$D$1,0))</f>
        <v>Ara</v>
      </c>
      <c r="J578" t="str">
        <f t="shared" si="48"/>
        <v>Arabica</v>
      </c>
      <c r="K578" t="str">
        <f>INDEX(products!$A$1:$I$49,MATCH(orders!$D578,products!$A$1:$A$49,0),MATCH(orders!K$1,products!$A$1:$D$1,0))</f>
        <v>D</v>
      </c>
      <c r="L578" t="str">
        <f t="shared" si="49"/>
        <v>Dark</v>
      </c>
      <c r="M578">
        <f>INDEX(products!$A$1:$I$49,MATCH(orders!$D578,products!$A$1:$A$49,0),MATCH(orders!M$1,products!$A$1:$D$1,0))</f>
        <v>0.2</v>
      </c>
      <c r="N578">
        <f>_xlfn.XLOOKUP(D578,products!$A$2:$A$49,products!$E$2:$E$49)</f>
        <v>2.9849999999999999</v>
      </c>
      <c r="O578">
        <f>_xlfn.XLOOKUP(D578,products!$A$2:$A$49,products!$H$2:$H$49)</f>
        <v>2.7163499999999998</v>
      </c>
      <c r="P578">
        <f t="shared" si="50"/>
        <v>17.91</v>
      </c>
      <c r="Q578">
        <f t="shared" si="51"/>
        <v>16.298099999999998</v>
      </c>
      <c r="R578">
        <f t="shared" si="52"/>
        <v>1.6119000000000021</v>
      </c>
      <c r="S578" s="4">
        <f t="shared" si="53"/>
        <v>9.0000000000000122E-2</v>
      </c>
      <c r="T578" t="str">
        <f>_xlfn.XLOOKUP(C578,customers!$A$1:$A$1001,customers!$I$1:$I$1001,,0)</f>
        <v>No</v>
      </c>
    </row>
    <row r="579" spans="1:20"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INDEX(products!$A$1:$I$49,MATCH(orders!$D579,products!$A$1:$A$49,0),MATCH(orders!I$1,products!$A$1:$D$1,0))</f>
        <v>Lib</v>
      </c>
      <c r="J579" t="str">
        <f t="shared" ref="J579:J642" si="54">IF(I579="Rob","Robusta",IF(I579="Exc","Excelsa",IF(I579="Ara","Arabica",IF(I579="Lib","Liberica",""))))</f>
        <v>Liberica</v>
      </c>
      <c r="K579" t="str">
        <f>INDEX(products!$A$1:$I$49,MATCH(orders!$D579,products!$A$1:$A$49,0),MATCH(orders!K$1,products!$A$1:$D$1,0))</f>
        <v>M</v>
      </c>
      <c r="L579" t="str">
        <f t="shared" ref="L579:L642" si="55">IF(K579="M","Medium",IF(K579="L","Light",IF(K579="D","Dark","")))</f>
        <v>Medium</v>
      </c>
      <c r="M579">
        <f>INDEX(products!$A$1:$I$49,MATCH(orders!$D579,products!$A$1:$A$49,0),MATCH(orders!M$1,products!$A$1:$D$1,0))</f>
        <v>1</v>
      </c>
      <c r="N579">
        <f>_xlfn.XLOOKUP(D579,products!$A$2:$A$49,products!$E$2:$E$49)</f>
        <v>14.55</v>
      </c>
      <c r="O579">
        <f>_xlfn.XLOOKUP(D579,products!$A$2:$A$49,products!$H$2:$H$49)</f>
        <v>12.6585</v>
      </c>
      <c r="P579">
        <f t="shared" ref="P579:P642" si="56">N579*E579</f>
        <v>58.2</v>
      </c>
      <c r="Q579">
        <f t="shared" ref="Q579:Q642" si="57">O579*E579</f>
        <v>50.634</v>
      </c>
      <c r="R579">
        <f t="shared" ref="R579:R642" si="58">P579-Q579</f>
        <v>7.5660000000000025</v>
      </c>
      <c r="S579" s="4">
        <f t="shared" ref="S579:S642" si="59">R579/P579</f>
        <v>0.13000000000000003</v>
      </c>
      <c r="T579" t="str">
        <f>_xlfn.XLOOKUP(C579,customers!$A$1:$A$1001,customers!$I$1:$I$1001,,0)</f>
        <v>No</v>
      </c>
    </row>
    <row r="580" spans="1:20"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INDEX(products!$A$1:$I$49,MATCH(orders!$D580,products!$A$1:$A$49,0),MATCH(orders!I$1,products!$A$1:$D$1,0))</f>
        <v>Exc</v>
      </c>
      <c r="J580" t="str">
        <f t="shared" si="54"/>
        <v>Excelsa</v>
      </c>
      <c r="K580" t="str">
        <f>INDEX(products!$A$1:$I$49,MATCH(orders!$D580,products!$A$1:$A$49,0),MATCH(orders!K$1,products!$A$1:$D$1,0))</f>
        <v>L</v>
      </c>
      <c r="L580" t="str">
        <f t="shared" si="55"/>
        <v>Light</v>
      </c>
      <c r="M580">
        <f>INDEX(products!$A$1:$I$49,MATCH(orders!$D580,products!$A$1:$A$49,0),MATCH(orders!M$1,products!$A$1:$D$1,0))</f>
        <v>0.2</v>
      </c>
      <c r="N580">
        <f>_xlfn.XLOOKUP(D580,products!$A$2:$A$49,products!$E$2:$E$49)</f>
        <v>4.4550000000000001</v>
      </c>
      <c r="O580">
        <f>_xlfn.XLOOKUP(D580,products!$A$2:$A$49,products!$H$2:$H$49)</f>
        <v>3.96495</v>
      </c>
      <c r="P580">
        <f t="shared" si="56"/>
        <v>13.365</v>
      </c>
      <c r="Q580">
        <f t="shared" si="57"/>
        <v>11.89485</v>
      </c>
      <c r="R580">
        <f t="shared" si="58"/>
        <v>1.4701500000000003</v>
      </c>
      <c r="S580" s="4">
        <f t="shared" si="59"/>
        <v>0.11000000000000001</v>
      </c>
      <c r="T580" t="str">
        <f>_xlfn.XLOOKUP(C580,customers!$A$1:$A$1001,customers!$I$1:$I$1001,,0)</f>
        <v>No</v>
      </c>
    </row>
    <row r="581" spans="1:20"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INDEX(products!$A$1:$I$49,MATCH(orders!$D581,products!$A$1:$A$49,0),MATCH(orders!I$1,products!$A$1:$D$1,0))</f>
        <v>Ara</v>
      </c>
      <c r="J581" t="str">
        <f t="shared" si="54"/>
        <v>Arabica</v>
      </c>
      <c r="K581" t="str">
        <f>INDEX(products!$A$1:$I$49,MATCH(orders!$D581,products!$A$1:$A$49,0),MATCH(orders!K$1,products!$A$1:$D$1,0))</f>
        <v>M</v>
      </c>
      <c r="L581" t="str">
        <f t="shared" si="55"/>
        <v>Medium</v>
      </c>
      <c r="M581">
        <f>INDEX(products!$A$1:$I$49,MATCH(orders!$D581,products!$A$1:$A$49,0),MATCH(orders!M$1,products!$A$1:$D$1,0))</f>
        <v>0.5</v>
      </c>
      <c r="N581">
        <f>_xlfn.XLOOKUP(D581,products!$A$2:$A$49,products!$E$2:$E$49)</f>
        <v>6.75</v>
      </c>
      <c r="O581">
        <f>_xlfn.XLOOKUP(D581,products!$A$2:$A$49,products!$H$2:$H$49)</f>
        <v>6.1425000000000001</v>
      </c>
      <c r="P581">
        <f t="shared" si="56"/>
        <v>33.75</v>
      </c>
      <c r="Q581">
        <f t="shared" si="57"/>
        <v>30.712499999999999</v>
      </c>
      <c r="R581">
        <f t="shared" si="58"/>
        <v>3.0375000000000014</v>
      </c>
      <c r="S581" s="4">
        <f t="shared" si="59"/>
        <v>9.0000000000000038E-2</v>
      </c>
      <c r="T581" t="str">
        <f>_xlfn.XLOOKUP(C581,customers!$A$1:$A$1001,customers!$I$1:$I$1001,,0)</f>
        <v>No</v>
      </c>
    </row>
    <row r="582" spans="1:20"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INDEX(products!$A$1:$I$49,MATCH(orders!$D582,products!$A$1:$A$49,0),MATCH(orders!I$1,products!$A$1:$D$1,0))</f>
        <v>Exc</v>
      </c>
      <c r="J582" t="str">
        <f t="shared" si="54"/>
        <v>Excelsa</v>
      </c>
      <c r="K582" t="str">
        <f>INDEX(products!$A$1:$I$49,MATCH(orders!$D582,products!$A$1:$A$49,0),MATCH(orders!K$1,products!$A$1:$D$1,0))</f>
        <v>L</v>
      </c>
      <c r="L582" t="str">
        <f t="shared" si="55"/>
        <v>Light</v>
      </c>
      <c r="M582">
        <f>INDEX(products!$A$1:$I$49,MATCH(orders!$D582,products!$A$1:$A$49,0),MATCH(orders!M$1,products!$A$1:$D$1,0))</f>
        <v>1</v>
      </c>
      <c r="N582">
        <f>_xlfn.XLOOKUP(D582,products!$A$2:$A$49,products!$E$2:$E$49)</f>
        <v>14.85</v>
      </c>
      <c r="O582">
        <f>_xlfn.XLOOKUP(D582,products!$A$2:$A$49,products!$H$2:$H$49)</f>
        <v>13.2165</v>
      </c>
      <c r="P582">
        <f t="shared" si="56"/>
        <v>44.55</v>
      </c>
      <c r="Q582">
        <f t="shared" si="57"/>
        <v>39.649500000000003</v>
      </c>
      <c r="R582">
        <f t="shared" si="58"/>
        <v>4.9004999999999939</v>
      </c>
      <c r="S582" s="4">
        <f t="shared" si="59"/>
        <v>0.10999999999999988</v>
      </c>
      <c r="T582" t="str">
        <f>_xlfn.XLOOKUP(C582,customers!$A$1:$A$1001,customers!$I$1:$I$1001,,0)</f>
        <v>Yes</v>
      </c>
    </row>
    <row r="583" spans="1:20"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INDEX(products!$A$1:$I$49,MATCH(orders!$D583,products!$A$1:$A$49,0),MATCH(orders!I$1,products!$A$1:$D$1,0))</f>
        <v>Exc</v>
      </c>
      <c r="J583" t="str">
        <f t="shared" si="54"/>
        <v>Excelsa</v>
      </c>
      <c r="K583" t="str">
        <f>INDEX(products!$A$1:$I$49,MATCH(orders!$D583,products!$A$1:$A$49,0),MATCH(orders!K$1,products!$A$1:$D$1,0))</f>
        <v>L</v>
      </c>
      <c r="L583" t="str">
        <f t="shared" si="55"/>
        <v>Light</v>
      </c>
      <c r="M583">
        <f>INDEX(products!$A$1:$I$49,MATCH(orders!$D583,products!$A$1:$A$49,0),MATCH(orders!M$1,products!$A$1:$D$1,0))</f>
        <v>0.5</v>
      </c>
      <c r="N583">
        <f>_xlfn.XLOOKUP(D583,products!$A$2:$A$49,products!$E$2:$E$49)</f>
        <v>8.91</v>
      </c>
      <c r="O583">
        <f>_xlfn.XLOOKUP(D583,products!$A$2:$A$49,products!$H$2:$H$49)</f>
        <v>7.9298999999999999</v>
      </c>
      <c r="P583">
        <f t="shared" si="56"/>
        <v>44.55</v>
      </c>
      <c r="Q583">
        <f t="shared" si="57"/>
        <v>39.649500000000003</v>
      </c>
      <c r="R583">
        <f t="shared" si="58"/>
        <v>4.9004999999999939</v>
      </c>
      <c r="S583" s="4">
        <f t="shared" si="59"/>
        <v>0.10999999999999988</v>
      </c>
      <c r="T583" t="str">
        <f>_xlfn.XLOOKUP(C583,customers!$A$1:$A$1001,customers!$I$1:$I$1001,,0)</f>
        <v>Yes</v>
      </c>
    </row>
    <row r="584" spans="1:20"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INDEX(products!$A$1:$I$49,MATCH(orders!$D584,products!$A$1:$A$49,0),MATCH(orders!I$1,products!$A$1:$D$1,0))</f>
        <v>Exc</v>
      </c>
      <c r="J584" t="str">
        <f t="shared" si="54"/>
        <v>Excelsa</v>
      </c>
      <c r="K584" t="str">
        <f>INDEX(products!$A$1:$I$49,MATCH(orders!$D584,products!$A$1:$A$49,0),MATCH(orders!K$1,products!$A$1:$D$1,0))</f>
        <v>D</v>
      </c>
      <c r="L584" t="str">
        <f t="shared" si="55"/>
        <v>Dark</v>
      </c>
      <c r="M584">
        <f>INDEX(products!$A$1:$I$49,MATCH(orders!$D584,products!$A$1:$A$49,0),MATCH(orders!M$1,products!$A$1:$D$1,0))</f>
        <v>1</v>
      </c>
      <c r="N584">
        <f>_xlfn.XLOOKUP(D584,products!$A$2:$A$49,products!$E$2:$E$49)</f>
        <v>12.15</v>
      </c>
      <c r="O584">
        <f>_xlfn.XLOOKUP(D584,products!$A$2:$A$49,products!$H$2:$H$49)</f>
        <v>10.813500000000001</v>
      </c>
      <c r="P584">
        <f t="shared" si="56"/>
        <v>60.75</v>
      </c>
      <c r="Q584">
        <f t="shared" si="57"/>
        <v>54.06750000000001</v>
      </c>
      <c r="R584">
        <f t="shared" si="58"/>
        <v>6.6824999999999903</v>
      </c>
      <c r="S584" s="4">
        <f t="shared" si="59"/>
        <v>0.10999999999999983</v>
      </c>
      <c r="T584" t="str">
        <f>_xlfn.XLOOKUP(C584,customers!$A$1:$A$1001,customers!$I$1:$I$1001,,0)</f>
        <v>No</v>
      </c>
    </row>
    <row r="585" spans="1:20"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INDEX(products!$A$1:$I$49,MATCH(orders!$D585,products!$A$1:$A$49,0),MATCH(orders!I$1,products!$A$1:$D$1,0))</f>
        <v>Rob</v>
      </c>
      <c r="J585" t="str">
        <f t="shared" si="54"/>
        <v>Robusta</v>
      </c>
      <c r="K585" t="str">
        <f>INDEX(products!$A$1:$I$49,MATCH(orders!$D585,products!$A$1:$A$49,0),MATCH(orders!K$1,products!$A$1:$D$1,0))</f>
        <v>L</v>
      </c>
      <c r="L585" t="str">
        <f t="shared" si="55"/>
        <v>Light</v>
      </c>
      <c r="M585">
        <f>INDEX(products!$A$1:$I$49,MATCH(orders!$D585,products!$A$1:$A$49,0),MATCH(orders!M$1,products!$A$1:$D$1,0))</f>
        <v>0.2</v>
      </c>
      <c r="N585">
        <f>_xlfn.XLOOKUP(D585,products!$A$2:$A$49,products!$E$2:$E$49)</f>
        <v>3.5849999999999995</v>
      </c>
      <c r="O585">
        <f>_xlfn.XLOOKUP(D585,products!$A$2:$A$49,products!$H$2:$H$49)</f>
        <v>3.3698999999999995</v>
      </c>
      <c r="P585">
        <f t="shared" si="56"/>
        <v>3.5849999999999995</v>
      </c>
      <c r="Q585">
        <f t="shared" si="57"/>
        <v>3.3698999999999995</v>
      </c>
      <c r="R585">
        <f t="shared" si="58"/>
        <v>0.21510000000000007</v>
      </c>
      <c r="S585" s="4">
        <f t="shared" si="59"/>
        <v>6.0000000000000026E-2</v>
      </c>
      <c r="T585" t="str">
        <f>_xlfn.XLOOKUP(C585,customers!$A$1:$A$1001,customers!$I$1:$I$1001,,0)</f>
        <v>Yes</v>
      </c>
    </row>
    <row r="586" spans="1:20"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INDEX(products!$A$1:$I$49,MATCH(orders!$D586,products!$A$1:$A$49,0),MATCH(orders!I$1,products!$A$1:$D$1,0))</f>
        <v>Rob</v>
      </c>
      <c r="J586" t="str">
        <f t="shared" si="54"/>
        <v>Robusta</v>
      </c>
      <c r="K586" t="str">
        <f>INDEX(products!$A$1:$I$49,MATCH(orders!$D586,products!$A$1:$A$49,0),MATCH(orders!K$1,products!$A$1:$D$1,0))</f>
        <v>L</v>
      </c>
      <c r="L586" t="str">
        <f t="shared" si="55"/>
        <v>Light</v>
      </c>
      <c r="M586">
        <f>INDEX(products!$A$1:$I$49,MATCH(orders!$D586,products!$A$1:$A$49,0),MATCH(orders!M$1,products!$A$1:$D$1,0))</f>
        <v>0.2</v>
      </c>
      <c r="N586">
        <f>_xlfn.XLOOKUP(D586,products!$A$2:$A$49,products!$E$2:$E$49)</f>
        <v>3.5849999999999995</v>
      </c>
      <c r="O586">
        <f>_xlfn.XLOOKUP(D586,products!$A$2:$A$49,products!$H$2:$H$49)</f>
        <v>3.3698999999999995</v>
      </c>
      <c r="P586">
        <f t="shared" si="56"/>
        <v>21.509999999999998</v>
      </c>
      <c r="Q586">
        <f t="shared" si="57"/>
        <v>20.219399999999997</v>
      </c>
      <c r="R586">
        <f t="shared" si="58"/>
        <v>1.2906000000000013</v>
      </c>
      <c r="S586" s="4">
        <f t="shared" si="59"/>
        <v>6.0000000000000067E-2</v>
      </c>
      <c r="T586" t="str">
        <f>_xlfn.XLOOKUP(C586,customers!$A$1:$A$1001,customers!$I$1:$I$1001,,0)</f>
        <v>No</v>
      </c>
    </row>
    <row r="587" spans="1:20"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INDEX(products!$A$1:$I$49,MATCH(orders!$D587,products!$A$1:$A$49,0),MATCH(orders!I$1,products!$A$1:$D$1,0))</f>
        <v>Exc</v>
      </c>
      <c r="J587" t="str">
        <f t="shared" si="54"/>
        <v>Excelsa</v>
      </c>
      <c r="K587" t="str">
        <f>INDEX(products!$A$1:$I$49,MATCH(orders!$D587,products!$A$1:$A$49,0),MATCH(orders!K$1,products!$A$1:$D$1,0))</f>
        <v>M</v>
      </c>
      <c r="L587" t="str">
        <f t="shared" si="55"/>
        <v>Medium</v>
      </c>
      <c r="M587">
        <f>INDEX(products!$A$1:$I$49,MATCH(orders!$D587,products!$A$1:$A$49,0),MATCH(orders!M$1,products!$A$1:$D$1,0))</f>
        <v>0.5</v>
      </c>
      <c r="N587">
        <f>_xlfn.XLOOKUP(D587,products!$A$2:$A$49,products!$E$2:$E$49)</f>
        <v>8.25</v>
      </c>
      <c r="O587">
        <f>_xlfn.XLOOKUP(D587,products!$A$2:$A$49,products!$H$2:$H$49)</f>
        <v>7.3425000000000002</v>
      </c>
      <c r="P587">
        <f t="shared" si="56"/>
        <v>16.5</v>
      </c>
      <c r="Q587">
        <f t="shared" si="57"/>
        <v>14.685</v>
      </c>
      <c r="R587">
        <f t="shared" si="58"/>
        <v>1.8149999999999995</v>
      </c>
      <c r="S587" s="4">
        <f t="shared" si="59"/>
        <v>0.10999999999999997</v>
      </c>
      <c r="T587" t="str">
        <f>_xlfn.XLOOKUP(C587,customers!$A$1:$A$1001,customers!$I$1:$I$1001,,0)</f>
        <v>Yes</v>
      </c>
    </row>
    <row r="588" spans="1:20"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v>
      </c>
      <c r="H588" s="2" t="str">
        <f>_xlfn.XLOOKUP(C588,customers!$A$1:$A$1001,customers!$G$1:$G$1001,,0)</f>
        <v>United States</v>
      </c>
      <c r="I588" t="str">
        <f>INDEX(products!$A$1:$I$49,MATCH(orders!$D588,products!$A$1:$A$49,0),MATCH(orders!I$1,products!$A$1:$D$1,0))</f>
        <v>Rob</v>
      </c>
      <c r="J588" t="str">
        <f t="shared" si="54"/>
        <v>Robusta</v>
      </c>
      <c r="K588" t="str">
        <f>INDEX(products!$A$1:$I$49,MATCH(orders!$D588,products!$A$1:$A$49,0),MATCH(orders!K$1,products!$A$1:$D$1,0))</f>
        <v>L</v>
      </c>
      <c r="L588" t="str">
        <f t="shared" si="55"/>
        <v>Light</v>
      </c>
      <c r="M588">
        <f>INDEX(products!$A$1:$I$49,MATCH(orders!$D588,products!$A$1:$A$49,0),MATCH(orders!M$1,products!$A$1:$D$1,0))</f>
        <v>2.5</v>
      </c>
      <c r="N588">
        <f>_xlfn.XLOOKUP(D588,products!$A$2:$A$49,products!$E$2:$E$49)</f>
        <v>27.484999999999996</v>
      </c>
      <c r="O588">
        <f>_xlfn.XLOOKUP(D588,products!$A$2:$A$49,products!$H$2:$H$49)</f>
        <v>25.835899999999995</v>
      </c>
      <c r="P588">
        <f t="shared" si="56"/>
        <v>82.454999999999984</v>
      </c>
      <c r="Q588">
        <f t="shared" si="57"/>
        <v>77.507699999999986</v>
      </c>
      <c r="R588">
        <f t="shared" si="58"/>
        <v>4.9472999999999985</v>
      </c>
      <c r="S588" s="4">
        <f t="shared" si="59"/>
        <v>5.9999999999999991E-2</v>
      </c>
      <c r="T588" t="str">
        <f>_xlfn.XLOOKUP(C588,customers!$A$1:$A$1001,customers!$I$1:$I$1001,,0)</f>
        <v>No</v>
      </c>
    </row>
    <row r="589" spans="1:20"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INDEX(products!$A$1:$I$49,MATCH(orders!$D589,products!$A$1:$A$49,0),MATCH(orders!I$1,products!$A$1:$D$1,0))</f>
        <v>Lib</v>
      </c>
      <c r="J589" t="str">
        <f t="shared" si="54"/>
        <v>Liberica</v>
      </c>
      <c r="K589" t="str">
        <f>INDEX(products!$A$1:$I$49,MATCH(orders!$D589,products!$A$1:$A$49,0),MATCH(orders!K$1,products!$A$1:$D$1,0))</f>
        <v>D</v>
      </c>
      <c r="L589" t="str">
        <f t="shared" si="55"/>
        <v>Dark</v>
      </c>
      <c r="M589">
        <f>INDEX(products!$A$1:$I$49,MATCH(orders!$D589,products!$A$1:$A$49,0),MATCH(orders!M$1,products!$A$1:$D$1,0))</f>
        <v>0.5</v>
      </c>
      <c r="N589">
        <f>_xlfn.XLOOKUP(D589,products!$A$2:$A$49,products!$E$2:$E$49)</f>
        <v>7.77</v>
      </c>
      <c r="O589">
        <f>_xlfn.XLOOKUP(D589,products!$A$2:$A$49,products!$H$2:$H$49)</f>
        <v>6.7599</v>
      </c>
      <c r="P589">
        <f t="shared" si="56"/>
        <v>7.77</v>
      </c>
      <c r="Q589">
        <f t="shared" si="57"/>
        <v>6.7599</v>
      </c>
      <c r="R589">
        <f t="shared" si="58"/>
        <v>1.0100999999999996</v>
      </c>
      <c r="S589" s="4">
        <f t="shared" si="59"/>
        <v>0.12999999999999995</v>
      </c>
      <c r="T589" t="str">
        <f>_xlfn.XLOOKUP(C589,customers!$A$1:$A$1001,customers!$I$1:$I$1001,,0)</f>
        <v>Yes</v>
      </c>
    </row>
    <row r="590" spans="1:20"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INDEX(products!$A$1:$I$49,MATCH(orders!$D590,products!$A$1:$A$49,0),MATCH(orders!I$1,products!$A$1:$D$1,0))</f>
        <v>Rob</v>
      </c>
      <c r="J590" t="str">
        <f t="shared" si="54"/>
        <v>Robusta</v>
      </c>
      <c r="K590" t="str">
        <f>INDEX(products!$A$1:$I$49,MATCH(orders!$D590,products!$A$1:$A$49,0),MATCH(orders!K$1,products!$A$1:$D$1,0))</f>
        <v>M</v>
      </c>
      <c r="L590" t="str">
        <f t="shared" si="55"/>
        <v>Medium</v>
      </c>
      <c r="M590">
        <f>INDEX(products!$A$1:$I$49,MATCH(orders!$D590,products!$A$1:$A$49,0),MATCH(orders!M$1,products!$A$1:$D$1,0))</f>
        <v>0.5</v>
      </c>
      <c r="N590">
        <f>_xlfn.XLOOKUP(D590,products!$A$2:$A$49,products!$E$2:$E$49)</f>
        <v>5.97</v>
      </c>
      <c r="O590">
        <f>_xlfn.XLOOKUP(D590,products!$A$2:$A$49,products!$H$2:$H$49)</f>
        <v>5.6117999999999997</v>
      </c>
      <c r="P590">
        <f t="shared" si="56"/>
        <v>11.94</v>
      </c>
      <c r="Q590">
        <f t="shared" si="57"/>
        <v>11.223599999999999</v>
      </c>
      <c r="R590">
        <f t="shared" si="58"/>
        <v>0.71640000000000015</v>
      </c>
      <c r="S590" s="4">
        <f t="shared" si="59"/>
        <v>6.0000000000000012E-2</v>
      </c>
      <c r="T590" t="str">
        <f>_xlfn.XLOOKUP(C590,customers!$A$1:$A$1001,customers!$I$1:$I$1001,,0)</f>
        <v>Yes</v>
      </c>
    </row>
    <row r="591" spans="1:20"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INDEX(products!$A$1:$I$49,MATCH(orders!$D591,products!$A$1:$A$49,0),MATCH(orders!I$1,products!$A$1:$D$1,0))</f>
        <v>Exc</v>
      </c>
      <c r="J591" t="str">
        <f t="shared" si="54"/>
        <v>Excelsa</v>
      </c>
      <c r="K591" t="str">
        <f>INDEX(products!$A$1:$I$49,MATCH(orders!$D591,products!$A$1:$A$49,0),MATCH(orders!K$1,products!$A$1:$D$1,0))</f>
        <v>L</v>
      </c>
      <c r="L591" t="str">
        <f t="shared" si="55"/>
        <v>Light</v>
      </c>
      <c r="M591">
        <f>INDEX(products!$A$1:$I$49,MATCH(orders!$D591,products!$A$1:$A$49,0),MATCH(orders!M$1,products!$A$1:$D$1,0))</f>
        <v>2.5</v>
      </c>
      <c r="N591">
        <f>_xlfn.XLOOKUP(D591,products!$A$2:$A$49,products!$E$2:$E$49)</f>
        <v>34.154999999999994</v>
      </c>
      <c r="O591">
        <f>_xlfn.XLOOKUP(D591,products!$A$2:$A$49,products!$H$2:$H$49)</f>
        <v>30.397949999999994</v>
      </c>
      <c r="P591">
        <f t="shared" si="56"/>
        <v>204.92999999999995</v>
      </c>
      <c r="Q591">
        <f t="shared" si="57"/>
        <v>182.38769999999997</v>
      </c>
      <c r="R591">
        <f t="shared" si="58"/>
        <v>22.542299999999983</v>
      </c>
      <c r="S591" s="4">
        <f t="shared" si="59"/>
        <v>0.10999999999999995</v>
      </c>
      <c r="T591" t="str">
        <f>_xlfn.XLOOKUP(C591,customers!$A$1:$A$1001,customers!$I$1:$I$1001,,0)</f>
        <v>No</v>
      </c>
    </row>
    <row r="592" spans="1:20"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INDEX(products!$A$1:$I$49,MATCH(orders!$D592,products!$A$1:$A$49,0),MATCH(orders!I$1,products!$A$1:$D$1,0))</f>
        <v>Exc</v>
      </c>
      <c r="J592" t="str">
        <f t="shared" si="54"/>
        <v>Excelsa</v>
      </c>
      <c r="K592" t="str">
        <f>INDEX(products!$A$1:$I$49,MATCH(orders!$D592,products!$A$1:$A$49,0),MATCH(orders!K$1,products!$A$1:$D$1,0))</f>
        <v>M</v>
      </c>
      <c r="L592" t="str">
        <f t="shared" si="55"/>
        <v>Medium</v>
      </c>
      <c r="M592">
        <f>INDEX(products!$A$1:$I$49,MATCH(orders!$D592,products!$A$1:$A$49,0),MATCH(orders!M$1,products!$A$1:$D$1,0))</f>
        <v>2.5</v>
      </c>
      <c r="N592">
        <f>_xlfn.XLOOKUP(D592,products!$A$2:$A$49,products!$E$2:$E$49)</f>
        <v>31.624999999999996</v>
      </c>
      <c r="O592">
        <f>_xlfn.XLOOKUP(D592,products!$A$2:$A$49,products!$H$2:$H$49)</f>
        <v>28.146249999999995</v>
      </c>
      <c r="P592">
        <f t="shared" si="56"/>
        <v>63.249999999999993</v>
      </c>
      <c r="Q592">
        <f t="shared" si="57"/>
        <v>56.29249999999999</v>
      </c>
      <c r="R592">
        <f t="shared" si="58"/>
        <v>6.9575000000000031</v>
      </c>
      <c r="S592" s="4">
        <f t="shared" si="59"/>
        <v>0.11000000000000006</v>
      </c>
      <c r="T592" t="str">
        <f>_xlfn.XLOOKUP(C592,customers!$A$1:$A$1001,customers!$I$1:$I$1001,,0)</f>
        <v>Yes</v>
      </c>
    </row>
    <row r="593" spans="1:20"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INDEX(products!$A$1:$I$49,MATCH(orders!$D593,products!$A$1:$A$49,0),MATCH(orders!I$1,products!$A$1:$D$1,0))</f>
        <v>Rob</v>
      </c>
      <c r="J593" t="str">
        <f t="shared" si="54"/>
        <v>Robusta</v>
      </c>
      <c r="K593" t="str">
        <f>INDEX(products!$A$1:$I$49,MATCH(orders!$D593,products!$A$1:$A$49,0),MATCH(orders!K$1,products!$A$1:$D$1,0))</f>
        <v>D</v>
      </c>
      <c r="L593" t="str">
        <f t="shared" si="55"/>
        <v>Dark</v>
      </c>
      <c r="M593">
        <f>INDEX(products!$A$1:$I$49,MATCH(orders!$D593,products!$A$1:$A$49,0),MATCH(orders!M$1,products!$A$1:$D$1,0))</f>
        <v>0.2</v>
      </c>
      <c r="N593">
        <f>_xlfn.XLOOKUP(D593,products!$A$2:$A$49,products!$E$2:$E$49)</f>
        <v>2.6849999999999996</v>
      </c>
      <c r="O593">
        <f>_xlfn.XLOOKUP(D593,products!$A$2:$A$49,products!$H$2:$H$49)</f>
        <v>2.5238999999999998</v>
      </c>
      <c r="P593">
        <f t="shared" si="56"/>
        <v>8.0549999999999997</v>
      </c>
      <c r="Q593">
        <f t="shared" si="57"/>
        <v>7.5716999999999999</v>
      </c>
      <c r="R593">
        <f t="shared" si="58"/>
        <v>0.48329999999999984</v>
      </c>
      <c r="S593" s="4">
        <f t="shared" si="59"/>
        <v>5.9999999999999984E-2</v>
      </c>
      <c r="T593" t="str">
        <f>_xlfn.XLOOKUP(C593,customers!$A$1:$A$1001,customers!$I$1:$I$1001,,0)</f>
        <v>Yes</v>
      </c>
    </row>
    <row r="594" spans="1:20"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v>
      </c>
      <c r="H594" s="2" t="str">
        <f>_xlfn.XLOOKUP(C594,customers!$A$1:$A$1001,customers!$G$1:$G$1001,,0)</f>
        <v>United States</v>
      </c>
      <c r="I594" t="str">
        <f>INDEX(products!$A$1:$I$49,MATCH(orders!$D594,products!$A$1:$A$49,0),MATCH(orders!I$1,products!$A$1:$D$1,0))</f>
        <v>Ara</v>
      </c>
      <c r="J594" t="str">
        <f t="shared" si="54"/>
        <v>Arabica</v>
      </c>
      <c r="K594" t="str">
        <f>INDEX(products!$A$1:$I$49,MATCH(orders!$D594,products!$A$1:$A$49,0),MATCH(orders!K$1,products!$A$1:$D$1,0))</f>
        <v>M</v>
      </c>
      <c r="L594" t="str">
        <f t="shared" si="55"/>
        <v>Medium</v>
      </c>
      <c r="M594">
        <f>INDEX(products!$A$1:$I$49,MATCH(orders!$D594,products!$A$1:$A$49,0),MATCH(orders!M$1,products!$A$1:$D$1,0))</f>
        <v>2.5</v>
      </c>
      <c r="N594">
        <f>_xlfn.XLOOKUP(D594,products!$A$2:$A$49,products!$E$2:$E$49)</f>
        <v>25.874999999999996</v>
      </c>
      <c r="O594">
        <f>_xlfn.XLOOKUP(D594,products!$A$2:$A$49,products!$H$2:$H$49)</f>
        <v>23.546249999999997</v>
      </c>
      <c r="P594">
        <f t="shared" si="56"/>
        <v>51.749999999999993</v>
      </c>
      <c r="Q594">
        <f t="shared" si="57"/>
        <v>47.092499999999994</v>
      </c>
      <c r="R594">
        <f t="shared" si="58"/>
        <v>4.6574999999999989</v>
      </c>
      <c r="S594" s="4">
        <f t="shared" si="59"/>
        <v>0.09</v>
      </c>
      <c r="T594" t="str">
        <f>_xlfn.XLOOKUP(C594,customers!$A$1:$A$1001,customers!$I$1:$I$1001,,0)</f>
        <v>No</v>
      </c>
    </row>
    <row r="595" spans="1:20"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INDEX(products!$A$1:$I$49,MATCH(orders!$D595,products!$A$1:$A$49,0),MATCH(orders!I$1,products!$A$1:$D$1,0))</f>
        <v>Exc</v>
      </c>
      <c r="J595" t="str">
        <f t="shared" si="54"/>
        <v>Excelsa</v>
      </c>
      <c r="K595" t="str">
        <f>INDEX(products!$A$1:$I$49,MATCH(orders!$D595,products!$A$1:$A$49,0),MATCH(orders!K$1,products!$A$1:$D$1,0))</f>
        <v>D</v>
      </c>
      <c r="L595" t="str">
        <f t="shared" si="55"/>
        <v>Dark</v>
      </c>
      <c r="M595">
        <f>INDEX(products!$A$1:$I$49,MATCH(orders!$D595,products!$A$1:$A$49,0),MATCH(orders!M$1,products!$A$1:$D$1,0))</f>
        <v>2.5</v>
      </c>
      <c r="N595">
        <f>_xlfn.XLOOKUP(D595,products!$A$2:$A$49,products!$E$2:$E$49)</f>
        <v>27.945</v>
      </c>
      <c r="O595">
        <f>_xlfn.XLOOKUP(D595,products!$A$2:$A$49,products!$H$2:$H$49)</f>
        <v>24.87105</v>
      </c>
      <c r="P595">
        <f t="shared" si="56"/>
        <v>27.945</v>
      </c>
      <c r="Q595">
        <f t="shared" si="57"/>
        <v>24.87105</v>
      </c>
      <c r="R595">
        <f t="shared" si="58"/>
        <v>3.07395</v>
      </c>
      <c r="S595" s="4">
        <f t="shared" si="59"/>
        <v>0.11</v>
      </c>
      <c r="T595" t="str">
        <f>_xlfn.XLOOKUP(C595,customers!$A$1:$A$1001,customers!$I$1:$I$1001,,0)</f>
        <v>Yes</v>
      </c>
    </row>
    <row r="596" spans="1:20"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INDEX(products!$A$1:$I$49,MATCH(orders!$D596,products!$A$1:$A$49,0),MATCH(orders!I$1,products!$A$1:$D$1,0))</f>
        <v>Ara</v>
      </c>
      <c r="J596" t="str">
        <f t="shared" si="54"/>
        <v>Arabica</v>
      </c>
      <c r="K596" t="str">
        <f>INDEX(products!$A$1:$I$49,MATCH(orders!$D596,products!$A$1:$A$49,0),MATCH(orders!K$1,products!$A$1:$D$1,0))</f>
        <v>L</v>
      </c>
      <c r="L596" t="str">
        <f t="shared" si="55"/>
        <v>Light</v>
      </c>
      <c r="M596">
        <f>INDEX(products!$A$1:$I$49,MATCH(orders!$D596,products!$A$1:$A$49,0),MATCH(orders!M$1,products!$A$1:$D$1,0))</f>
        <v>2.5</v>
      </c>
      <c r="N596">
        <f>_xlfn.XLOOKUP(D596,products!$A$2:$A$49,products!$E$2:$E$49)</f>
        <v>29.784999999999997</v>
      </c>
      <c r="O596">
        <f>_xlfn.XLOOKUP(D596,products!$A$2:$A$49,products!$H$2:$H$49)</f>
        <v>27.104349999999997</v>
      </c>
      <c r="P596">
        <f t="shared" si="56"/>
        <v>59.569999999999993</v>
      </c>
      <c r="Q596">
        <f t="shared" si="57"/>
        <v>54.208699999999993</v>
      </c>
      <c r="R596">
        <f t="shared" si="58"/>
        <v>5.3613</v>
      </c>
      <c r="S596" s="4">
        <f t="shared" si="59"/>
        <v>9.0000000000000011E-2</v>
      </c>
      <c r="T596" t="str">
        <f>_xlfn.XLOOKUP(C596,customers!$A$1:$A$1001,customers!$I$1:$I$1001,,0)</f>
        <v>No</v>
      </c>
    </row>
    <row r="597" spans="1:20"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v>
      </c>
      <c r="H597" s="2" t="str">
        <f>_xlfn.XLOOKUP(C597,customers!$A$1:$A$1001,customers!$G$1:$G$1001,,0)</f>
        <v>United Kingdom</v>
      </c>
      <c r="I597" t="str">
        <f>INDEX(products!$A$1:$I$49,MATCH(orders!$D597,products!$A$1:$A$49,0),MATCH(orders!I$1,products!$A$1:$D$1,0))</f>
        <v>Exc</v>
      </c>
      <c r="J597" t="str">
        <f t="shared" si="54"/>
        <v>Excelsa</v>
      </c>
      <c r="K597" t="str">
        <f>INDEX(products!$A$1:$I$49,MATCH(orders!$D597,products!$A$1:$A$49,0),MATCH(orders!K$1,products!$A$1:$D$1,0))</f>
        <v>L</v>
      </c>
      <c r="L597" t="str">
        <f t="shared" si="55"/>
        <v>Light</v>
      </c>
      <c r="M597">
        <f>INDEX(products!$A$1:$I$49,MATCH(orders!$D597,products!$A$1:$A$49,0),MATCH(orders!M$1,products!$A$1:$D$1,0))</f>
        <v>1</v>
      </c>
      <c r="N597">
        <f>_xlfn.XLOOKUP(D597,products!$A$2:$A$49,products!$E$2:$E$49)</f>
        <v>14.85</v>
      </c>
      <c r="O597">
        <f>_xlfn.XLOOKUP(D597,products!$A$2:$A$49,products!$H$2:$H$49)</f>
        <v>13.2165</v>
      </c>
      <c r="P597">
        <f t="shared" si="56"/>
        <v>14.85</v>
      </c>
      <c r="Q597">
        <f t="shared" si="57"/>
        <v>13.2165</v>
      </c>
      <c r="R597">
        <f t="shared" si="58"/>
        <v>1.6334999999999997</v>
      </c>
      <c r="S597" s="4">
        <f t="shared" si="59"/>
        <v>0.10999999999999999</v>
      </c>
      <c r="T597" t="str">
        <f>_xlfn.XLOOKUP(C597,customers!$A$1:$A$1001,customers!$I$1:$I$1001,,0)</f>
        <v>No</v>
      </c>
    </row>
    <row r="598" spans="1:20"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INDEX(products!$A$1:$I$49,MATCH(orders!$D598,products!$A$1:$A$49,0),MATCH(orders!I$1,products!$A$1:$D$1,0))</f>
        <v>Ara</v>
      </c>
      <c r="J598" t="str">
        <f t="shared" si="54"/>
        <v>Arabica</v>
      </c>
      <c r="K598" t="str">
        <f>INDEX(products!$A$1:$I$49,MATCH(orders!$D598,products!$A$1:$A$49,0),MATCH(orders!K$1,products!$A$1:$D$1,0))</f>
        <v>M</v>
      </c>
      <c r="L598" t="str">
        <f t="shared" si="55"/>
        <v>Medium</v>
      </c>
      <c r="M598">
        <f>INDEX(products!$A$1:$I$49,MATCH(orders!$D598,products!$A$1:$A$49,0),MATCH(orders!M$1,products!$A$1:$D$1,0))</f>
        <v>0.5</v>
      </c>
      <c r="N598">
        <f>_xlfn.XLOOKUP(D598,products!$A$2:$A$49,products!$E$2:$E$49)</f>
        <v>6.75</v>
      </c>
      <c r="O598">
        <f>_xlfn.XLOOKUP(D598,products!$A$2:$A$49,products!$H$2:$H$49)</f>
        <v>6.1425000000000001</v>
      </c>
      <c r="P598">
        <f t="shared" si="56"/>
        <v>33.75</v>
      </c>
      <c r="Q598">
        <f t="shared" si="57"/>
        <v>30.712499999999999</v>
      </c>
      <c r="R598">
        <f t="shared" si="58"/>
        <v>3.0375000000000014</v>
      </c>
      <c r="S598" s="4">
        <f t="shared" si="59"/>
        <v>9.0000000000000038E-2</v>
      </c>
      <c r="T598" t="str">
        <f>_xlfn.XLOOKUP(C598,customers!$A$1:$A$1001,customers!$I$1:$I$1001,,0)</f>
        <v>No</v>
      </c>
    </row>
    <row r="599" spans="1:20"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INDEX(products!$A$1:$I$49,MATCH(orders!$D599,products!$A$1:$A$49,0),MATCH(orders!I$1,products!$A$1:$D$1,0))</f>
        <v>Lib</v>
      </c>
      <c r="J599" t="str">
        <f t="shared" si="54"/>
        <v>Liberica</v>
      </c>
      <c r="K599" t="str">
        <f>INDEX(products!$A$1:$I$49,MATCH(orders!$D599,products!$A$1:$A$49,0),MATCH(orders!K$1,products!$A$1:$D$1,0))</f>
        <v>L</v>
      </c>
      <c r="L599" t="str">
        <f t="shared" si="55"/>
        <v>Light</v>
      </c>
      <c r="M599">
        <f>INDEX(products!$A$1:$I$49,MATCH(orders!$D599,products!$A$1:$A$49,0),MATCH(orders!M$1,products!$A$1:$D$1,0))</f>
        <v>2.5</v>
      </c>
      <c r="N599">
        <f>_xlfn.XLOOKUP(D599,products!$A$2:$A$49,products!$E$2:$E$49)</f>
        <v>36.454999999999998</v>
      </c>
      <c r="O599">
        <f>_xlfn.XLOOKUP(D599,products!$A$2:$A$49,products!$H$2:$H$49)</f>
        <v>31.71585</v>
      </c>
      <c r="P599">
        <f t="shared" si="56"/>
        <v>145.82</v>
      </c>
      <c r="Q599">
        <f t="shared" si="57"/>
        <v>126.8634</v>
      </c>
      <c r="R599">
        <f t="shared" si="58"/>
        <v>18.956599999999995</v>
      </c>
      <c r="S599" s="4">
        <f t="shared" si="59"/>
        <v>0.12999999999999998</v>
      </c>
      <c r="T599" t="str">
        <f>_xlfn.XLOOKUP(C599,customers!$A$1:$A$1001,customers!$I$1:$I$1001,,0)</f>
        <v>Yes</v>
      </c>
    </row>
    <row r="600" spans="1:20"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INDEX(products!$A$1:$I$49,MATCH(orders!$D600,products!$A$1:$A$49,0),MATCH(orders!I$1,products!$A$1:$D$1,0))</f>
        <v>Rob</v>
      </c>
      <c r="J600" t="str">
        <f t="shared" si="54"/>
        <v>Robusta</v>
      </c>
      <c r="K600" t="str">
        <f>INDEX(products!$A$1:$I$49,MATCH(orders!$D600,products!$A$1:$A$49,0),MATCH(orders!K$1,products!$A$1:$D$1,0))</f>
        <v>M</v>
      </c>
      <c r="L600" t="str">
        <f t="shared" si="55"/>
        <v>Medium</v>
      </c>
      <c r="M600">
        <f>INDEX(products!$A$1:$I$49,MATCH(orders!$D600,products!$A$1:$A$49,0),MATCH(orders!M$1,products!$A$1:$D$1,0))</f>
        <v>0.2</v>
      </c>
      <c r="N600">
        <f>_xlfn.XLOOKUP(D600,products!$A$2:$A$49,products!$E$2:$E$49)</f>
        <v>2.9849999999999999</v>
      </c>
      <c r="O600">
        <f>_xlfn.XLOOKUP(D600,products!$A$2:$A$49,products!$H$2:$H$49)</f>
        <v>2.8058999999999998</v>
      </c>
      <c r="P600">
        <f t="shared" si="56"/>
        <v>11.94</v>
      </c>
      <c r="Q600">
        <f t="shared" si="57"/>
        <v>11.223599999999999</v>
      </c>
      <c r="R600">
        <f t="shared" si="58"/>
        <v>0.71640000000000015</v>
      </c>
      <c r="S600" s="4">
        <f t="shared" si="59"/>
        <v>6.0000000000000012E-2</v>
      </c>
      <c r="T600" t="str">
        <f>_xlfn.XLOOKUP(C600,customers!$A$1:$A$1001,customers!$I$1:$I$1001,,0)</f>
        <v>Yes</v>
      </c>
    </row>
    <row r="601" spans="1:20"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INDEX(products!$A$1:$I$49,MATCH(orders!$D601,products!$A$1:$A$49,0),MATCH(orders!I$1,products!$A$1:$D$1,0))</f>
        <v>Ara</v>
      </c>
      <c r="J601" t="str">
        <f t="shared" si="54"/>
        <v>Arabica</v>
      </c>
      <c r="K601" t="str">
        <f>INDEX(products!$A$1:$I$49,MATCH(orders!$D601,products!$A$1:$A$49,0),MATCH(orders!K$1,products!$A$1:$D$1,0))</f>
        <v>D</v>
      </c>
      <c r="L601" t="str">
        <f t="shared" si="55"/>
        <v>Dark</v>
      </c>
      <c r="M601">
        <f>INDEX(products!$A$1:$I$49,MATCH(orders!$D601,products!$A$1:$A$49,0),MATCH(orders!M$1,products!$A$1:$D$1,0))</f>
        <v>0.2</v>
      </c>
      <c r="N601">
        <f>_xlfn.XLOOKUP(D601,products!$A$2:$A$49,products!$E$2:$E$49)</f>
        <v>2.9849999999999999</v>
      </c>
      <c r="O601">
        <f>_xlfn.XLOOKUP(D601,products!$A$2:$A$49,products!$H$2:$H$49)</f>
        <v>2.7163499999999998</v>
      </c>
      <c r="P601">
        <f t="shared" si="56"/>
        <v>11.94</v>
      </c>
      <c r="Q601">
        <f t="shared" si="57"/>
        <v>10.865399999999999</v>
      </c>
      <c r="R601">
        <f t="shared" si="58"/>
        <v>1.0746000000000002</v>
      </c>
      <c r="S601" s="4">
        <f t="shared" si="59"/>
        <v>9.0000000000000024E-2</v>
      </c>
      <c r="T601" t="str">
        <f>_xlfn.XLOOKUP(C601,customers!$A$1:$A$1001,customers!$I$1:$I$1001,,0)</f>
        <v>Yes</v>
      </c>
    </row>
    <row r="602" spans="1:20"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INDEX(products!$A$1:$I$49,MATCH(orders!$D602,products!$A$1:$A$49,0),MATCH(orders!I$1,products!$A$1:$D$1,0))</f>
        <v>Lib</v>
      </c>
      <c r="J602" t="str">
        <f t="shared" si="54"/>
        <v>Liberica</v>
      </c>
      <c r="K602" t="str">
        <f>INDEX(products!$A$1:$I$49,MATCH(orders!$D602,products!$A$1:$A$49,0),MATCH(orders!K$1,products!$A$1:$D$1,0))</f>
        <v>D</v>
      </c>
      <c r="L602" t="str">
        <f t="shared" si="55"/>
        <v>Dark</v>
      </c>
      <c r="M602">
        <f>INDEX(products!$A$1:$I$49,MATCH(orders!$D602,products!$A$1:$A$49,0),MATCH(orders!M$1,products!$A$1:$D$1,0))</f>
        <v>0.5</v>
      </c>
      <c r="N602">
        <f>_xlfn.XLOOKUP(D602,products!$A$2:$A$49,products!$E$2:$E$49)</f>
        <v>7.77</v>
      </c>
      <c r="O602">
        <f>_xlfn.XLOOKUP(D602,products!$A$2:$A$49,products!$H$2:$H$49)</f>
        <v>6.7599</v>
      </c>
      <c r="P602">
        <f t="shared" si="56"/>
        <v>7.77</v>
      </c>
      <c r="Q602">
        <f t="shared" si="57"/>
        <v>6.7599</v>
      </c>
      <c r="R602">
        <f t="shared" si="58"/>
        <v>1.0100999999999996</v>
      </c>
      <c r="S602" s="4">
        <f t="shared" si="59"/>
        <v>0.12999999999999995</v>
      </c>
      <c r="T602" t="str">
        <f>_xlfn.XLOOKUP(C602,customers!$A$1:$A$1001,customers!$I$1:$I$1001,,0)</f>
        <v>No</v>
      </c>
    </row>
    <row r="603" spans="1:20"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INDEX(products!$A$1:$I$49,MATCH(orders!$D603,products!$A$1:$A$49,0),MATCH(orders!I$1,products!$A$1:$D$1,0))</f>
        <v>Rob</v>
      </c>
      <c r="J603" t="str">
        <f t="shared" si="54"/>
        <v>Robusta</v>
      </c>
      <c r="K603" t="str">
        <f>INDEX(products!$A$1:$I$49,MATCH(orders!$D603,products!$A$1:$A$49,0),MATCH(orders!K$1,products!$A$1:$D$1,0))</f>
        <v>L</v>
      </c>
      <c r="L603" t="str">
        <f t="shared" si="55"/>
        <v>Light</v>
      </c>
      <c r="M603">
        <f>INDEX(products!$A$1:$I$49,MATCH(orders!$D603,products!$A$1:$A$49,0),MATCH(orders!M$1,products!$A$1:$D$1,0))</f>
        <v>2.5</v>
      </c>
      <c r="N603">
        <f>_xlfn.XLOOKUP(D603,products!$A$2:$A$49,products!$E$2:$E$49)</f>
        <v>27.484999999999996</v>
      </c>
      <c r="O603">
        <f>_xlfn.XLOOKUP(D603,products!$A$2:$A$49,products!$H$2:$H$49)</f>
        <v>25.835899999999995</v>
      </c>
      <c r="P603">
        <f t="shared" si="56"/>
        <v>109.93999999999998</v>
      </c>
      <c r="Q603">
        <f t="shared" si="57"/>
        <v>103.34359999999998</v>
      </c>
      <c r="R603">
        <f t="shared" si="58"/>
        <v>6.5964000000000027</v>
      </c>
      <c r="S603" s="4">
        <f t="shared" si="59"/>
        <v>6.0000000000000032E-2</v>
      </c>
      <c r="T603" t="str">
        <f>_xlfn.XLOOKUP(C603,customers!$A$1:$A$1001,customers!$I$1:$I$1001,,0)</f>
        <v>Yes</v>
      </c>
    </row>
    <row r="604" spans="1:20"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INDEX(products!$A$1:$I$49,MATCH(orders!$D604,products!$A$1:$A$49,0),MATCH(orders!I$1,products!$A$1:$D$1,0))</f>
        <v>Exc</v>
      </c>
      <c r="J604" t="str">
        <f t="shared" si="54"/>
        <v>Excelsa</v>
      </c>
      <c r="K604" t="str">
        <f>INDEX(products!$A$1:$I$49,MATCH(orders!$D604,products!$A$1:$A$49,0),MATCH(orders!K$1,products!$A$1:$D$1,0))</f>
        <v>L</v>
      </c>
      <c r="L604" t="str">
        <f t="shared" si="55"/>
        <v>Light</v>
      </c>
      <c r="M604">
        <f>INDEX(products!$A$1:$I$49,MATCH(orders!$D604,products!$A$1:$A$49,0),MATCH(orders!M$1,products!$A$1:$D$1,0))</f>
        <v>0.2</v>
      </c>
      <c r="N604">
        <f>_xlfn.XLOOKUP(D604,products!$A$2:$A$49,products!$E$2:$E$49)</f>
        <v>4.4550000000000001</v>
      </c>
      <c r="O604">
        <f>_xlfn.XLOOKUP(D604,products!$A$2:$A$49,products!$H$2:$H$49)</f>
        <v>3.96495</v>
      </c>
      <c r="P604">
        <f t="shared" si="56"/>
        <v>22.274999999999999</v>
      </c>
      <c r="Q604">
        <f t="shared" si="57"/>
        <v>19.824750000000002</v>
      </c>
      <c r="R604">
        <f t="shared" si="58"/>
        <v>2.4502499999999969</v>
      </c>
      <c r="S604" s="4">
        <f t="shared" si="59"/>
        <v>0.10999999999999988</v>
      </c>
      <c r="T604" t="str">
        <f>_xlfn.XLOOKUP(C604,customers!$A$1:$A$1001,customers!$I$1:$I$1001,,0)</f>
        <v>Yes</v>
      </c>
    </row>
    <row r="605" spans="1:20"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INDEX(products!$A$1:$I$49,MATCH(orders!$D605,products!$A$1:$A$49,0),MATCH(orders!I$1,products!$A$1:$D$1,0))</f>
        <v>Rob</v>
      </c>
      <c r="J605" t="str">
        <f t="shared" si="54"/>
        <v>Robusta</v>
      </c>
      <c r="K605" t="str">
        <f>INDEX(products!$A$1:$I$49,MATCH(orders!$D605,products!$A$1:$A$49,0),MATCH(orders!K$1,products!$A$1:$D$1,0))</f>
        <v>M</v>
      </c>
      <c r="L605" t="str">
        <f t="shared" si="55"/>
        <v>Medium</v>
      </c>
      <c r="M605">
        <f>INDEX(products!$A$1:$I$49,MATCH(orders!$D605,products!$A$1:$A$49,0),MATCH(orders!M$1,products!$A$1:$D$1,0))</f>
        <v>0.2</v>
      </c>
      <c r="N605">
        <f>_xlfn.XLOOKUP(D605,products!$A$2:$A$49,products!$E$2:$E$49)</f>
        <v>2.9849999999999999</v>
      </c>
      <c r="O605">
        <f>_xlfn.XLOOKUP(D605,products!$A$2:$A$49,products!$H$2:$H$49)</f>
        <v>2.8058999999999998</v>
      </c>
      <c r="P605">
        <f t="shared" si="56"/>
        <v>8.9550000000000001</v>
      </c>
      <c r="Q605">
        <f t="shared" si="57"/>
        <v>8.4177</v>
      </c>
      <c r="R605">
        <f t="shared" si="58"/>
        <v>0.53730000000000011</v>
      </c>
      <c r="S605" s="4">
        <f t="shared" si="59"/>
        <v>6.0000000000000012E-2</v>
      </c>
      <c r="T605" t="str">
        <f>_xlfn.XLOOKUP(C605,customers!$A$1:$A$1001,customers!$I$1:$I$1001,,0)</f>
        <v>No</v>
      </c>
    </row>
    <row r="606" spans="1:20"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v>
      </c>
      <c r="H606" s="2" t="str">
        <f>_xlfn.XLOOKUP(C606,customers!$A$1:$A$1001,customers!$G$1:$G$1001,,0)</f>
        <v>Ireland</v>
      </c>
      <c r="I606" t="str">
        <f>INDEX(products!$A$1:$I$49,MATCH(orders!$D606,products!$A$1:$A$49,0),MATCH(orders!I$1,products!$A$1:$D$1,0))</f>
        <v>Lib</v>
      </c>
      <c r="J606" t="str">
        <f t="shared" si="54"/>
        <v>Liberica</v>
      </c>
      <c r="K606" t="str">
        <f>INDEX(products!$A$1:$I$49,MATCH(orders!$D606,products!$A$1:$A$49,0),MATCH(orders!K$1,products!$A$1:$D$1,0))</f>
        <v>D</v>
      </c>
      <c r="L606" t="str">
        <f t="shared" si="55"/>
        <v>Dark</v>
      </c>
      <c r="M606">
        <f>INDEX(products!$A$1:$I$49,MATCH(orders!$D606,products!$A$1:$A$49,0),MATCH(orders!M$1,products!$A$1:$D$1,0))</f>
        <v>2.5</v>
      </c>
      <c r="N606">
        <f>_xlfn.XLOOKUP(D606,products!$A$2:$A$49,products!$E$2:$E$49)</f>
        <v>29.784999999999997</v>
      </c>
      <c r="O606">
        <f>_xlfn.XLOOKUP(D606,products!$A$2:$A$49,products!$H$2:$H$49)</f>
        <v>25.912949999999995</v>
      </c>
      <c r="P606">
        <f t="shared" si="56"/>
        <v>119.13999999999999</v>
      </c>
      <c r="Q606">
        <f t="shared" si="57"/>
        <v>103.65179999999998</v>
      </c>
      <c r="R606">
        <f t="shared" si="58"/>
        <v>15.488200000000006</v>
      </c>
      <c r="S606" s="4">
        <f t="shared" si="59"/>
        <v>0.13000000000000006</v>
      </c>
      <c r="T606" t="str">
        <f>_xlfn.XLOOKUP(C606,customers!$A$1:$A$1001,customers!$I$1:$I$1001,,0)</f>
        <v>No</v>
      </c>
    </row>
    <row r="607" spans="1:20"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INDEX(products!$A$1:$I$49,MATCH(orders!$D607,products!$A$1:$A$49,0),MATCH(orders!I$1,products!$A$1:$D$1,0))</f>
        <v>Ara</v>
      </c>
      <c r="J607" t="str">
        <f t="shared" si="54"/>
        <v>Arabica</v>
      </c>
      <c r="K607" t="str">
        <f>INDEX(products!$A$1:$I$49,MATCH(orders!$D607,products!$A$1:$A$49,0),MATCH(orders!K$1,products!$A$1:$D$1,0))</f>
        <v>L</v>
      </c>
      <c r="L607" t="str">
        <f t="shared" si="55"/>
        <v>Light</v>
      </c>
      <c r="M607">
        <f>INDEX(products!$A$1:$I$49,MATCH(orders!$D607,products!$A$1:$A$49,0),MATCH(orders!M$1,products!$A$1:$D$1,0))</f>
        <v>2.5</v>
      </c>
      <c r="N607">
        <f>_xlfn.XLOOKUP(D607,products!$A$2:$A$49,products!$E$2:$E$49)</f>
        <v>29.784999999999997</v>
      </c>
      <c r="O607">
        <f>_xlfn.XLOOKUP(D607,products!$A$2:$A$49,products!$H$2:$H$49)</f>
        <v>27.104349999999997</v>
      </c>
      <c r="P607">
        <f t="shared" si="56"/>
        <v>148.92499999999998</v>
      </c>
      <c r="Q607">
        <f t="shared" si="57"/>
        <v>135.52175</v>
      </c>
      <c r="R607">
        <f t="shared" si="58"/>
        <v>13.403249999999986</v>
      </c>
      <c r="S607" s="4">
        <f t="shared" si="59"/>
        <v>8.9999999999999913E-2</v>
      </c>
      <c r="T607" t="str">
        <f>_xlfn.XLOOKUP(C607,customers!$A$1:$A$1001,customers!$I$1:$I$1001,,0)</f>
        <v>Yes</v>
      </c>
    </row>
    <row r="608" spans="1:20"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INDEX(products!$A$1:$I$49,MATCH(orders!$D608,products!$A$1:$A$49,0),MATCH(orders!I$1,products!$A$1:$D$1,0))</f>
        <v>Lib</v>
      </c>
      <c r="J608" t="str">
        <f t="shared" si="54"/>
        <v>Liberica</v>
      </c>
      <c r="K608" t="str">
        <f>INDEX(products!$A$1:$I$49,MATCH(orders!$D608,products!$A$1:$A$49,0),MATCH(orders!K$1,products!$A$1:$D$1,0))</f>
        <v>L</v>
      </c>
      <c r="L608" t="str">
        <f t="shared" si="55"/>
        <v>Light</v>
      </c>
      <c r="M608">
        <f>INDEX(products!$A$1:$I$49,MATCH(orders!$D608,products!$A$1:$A$49,0),MATCH(orders!M$1,products!$A$1:$D$1,0))</f>
        <v>2.5</v>
      </c>
      <c r="N608">
        <f>_xlfn.XLOOKUP(D608,products!$A$2:$A$49,products!$E$2:$E$49)</f>
        <v>36.454999999999998</v>
      </c>
      <c r="O608">
        <f>_xlfn.XLOOKUP(D608,products!$A$2:$A$49,products!$H$2:$H$49)</f>
        <v>31.71585</v>
      </c>
      <c r="P608">
        <f t="shared" si="56"/>
        <v>109.36499999999999</v>
      </c>
      <c r="Q608">
        <f t="shared" si="57"/>
        <v>95.147549999999995</v>
      </c>
      <c r="R608">
        <f t="shared" si="58"/>
        <v>14.217449999999999</v>
      </c>
      <c r="S608" s="4">
        <f t="shared" si="59"/>
        <v>0.13</v>
      </c>
      <c r="T608" t="str">
        <f>_xlfn.XLOOKUP(C608,customers!$A$1:$A$1001,customers!$I$1:$I$1001,,0)</f>
        <v>Yes</v>
      </c>
    </row>
    <row r="609" spans="1:20"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INDEX(products!$A$1:$I$49,MATCH(orders!$D609,products!$A$1:$A$49,0),MATCH(orders!I$1,products!$A$1:$D$1,0))</f>
        <v>Exc</v>
      </c>
      <c r="J609" t="str">
        <f t="shared" si="54"/>
        <v>Excelsa</v>
      </c>
      <c r="K609" t="str">
        <f>INDEX(products!$A$1:$I$49,MATCH(orders!$D609,products!$A$1:$A$49,0),MATCH(orders!K$1,products!$A$1:$D$1,0))</f>
        <v>D</v>
      </c>
      <c r="L609" t="str">
        <f t="shared" si="55"/>
        <v>Dark</v>
      </c>
      <c r="M609">
        <f>INDEX(products!$A$1:$I$49,MATCH(orders!$D609,products!$A$1:$A$49,0),MATCH(orders!M$1,products!$A$1:$D$1,0))</f>
        <v>0.2</v>
      </c>
      <c r="N609">
        <f>_xlfn.XLOOKUP(D609,products!$A$2:$A$49,products!$E$2:$E$49)</f>
        <v>3.645</v>
      </c>
      <c r="O609">
        <f>_xlfn.XLOOKUP(D609,products!$A$2:$A$49,products!$H$2:$H$49)</f>
        <v>3.2440500000000001</v>
      </c>
      <c r="P609">
        <f t="shared" si="56"/>
        <v>3.645</v>
      </c>
      <c r="Q609">
        <f t="shared" si="57"/>
        <v>3.2440500000000001</v>
      </c>
      <c r="R609">
        <f t="shared" si="58"/>
        <v>0.40094999999999992</v>
      </c>
      <c r="S609" s="4">
        <f t="shared" si="59"/>
        <v>0.10999999999999997</v>
      </c>
      <c r="T609" t="str">
        <f>_xlfn.XLOOKUP(C609,customers!$A$1:$A$1001,customers!$I$1:$I$1001,,0)</f>
        <v>Yes</v>
      </c>
    </row>
    <row r="610" spans="1:20"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v>
      </c>
      <c r="H610" s="2" t="str">
        <f>_xlfn.XLOOKUP(C610,customers!$A$1:$A$1001,customers!$G$1:$G$1001,,0)</f>
        <v>United States</v>
      </c>
      <c r="I610" t="str">
        <f>INDEX(products!$A$1:$I$49,MATCH(orders!$D610,products!$A$1:$A$49,0),MATCH(orders!I$1,products!$A$1:$D$1,0))</f>
        <v>Exc</v>
      </c>
      <c r="J610" t="str">
        <f t="shared" si="54"/>
        <v>Excelsa</v>
      </c>
      <c r="K610" t="str">
        <f>INDEX(products!$A$1:$I$49,MATCH(orders!$D610,products!$A$1:$A$49,0),MATCH(orders!K$1,products!$A$1:$D$1,0))</f>
        <v>D</v>
      </c>
      <c r="L610" t="str">
        <f t="shared" si="55"/>
        <v>Dark</v>
      </c>
      <c r="M610">
        <f>INDEX(products!$A$1:$I$49,MATCH(orders!$D610,products!$A$1:$A$49,0),MATCH(orders!M$1,products!$A$1:$D$1,0))</f>
        <v>2.5</v>
      </c>
      <c r="N610">
        <f>_xlfn.XLOOKUP(D610,products!$A$2:$A$49,products!$E$2:$E$49)</f>
        <v>27.945</v>
      </c>
      <c r="O610">
        <f>_xlfn.XLOOKUP(D610,products!$A$2:$A$49,products!$H$2:$H$49)</f>
        <v>24.87105</v>
      </c>
      <c r="P610">
        <f t="shared" si="56"/>
        <v>55.89</v>
      </c>
      <c r="Q610">
        <f t="shared" si="57"/>
        <v>49.742100000000001</v>
      </c>
      <c r="R610">
        <f t="shared" si="58"/>
        <v>6.1478999999999999</v>
      </c>
      <c r="S610" s="4">
        <f t="shared" si="59"/>
        <v>0.11</v>
      </c>
      <c r="T610" t="str">
        <f>_xlfn.XLOOKUP(C610,customers!$A$1:$A$1001,customers!$I$1:$I$1001,,0)</f>
        <v>No</v>
      </c>
    </row>
    <row r="611" spans="1:20"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INDEX(products!$A$1:$I$49,MATCH(orders!$D611,products!$A$1:$A$49,0),MATCH(orders!I$1,products!$A$1:$D$1,0))</f>
        <v>Lib</v>
      </c>
      <c r="J611" t="str">
        <f t="shared" si="54"/>
        <v>Liberica</v>
      </c>
      <c r="K611" t="str">
        <f>INDEX(products!$A$1:$I$49,MATCH(orders!$D611,products!$A$1:$A$49,0),MATCH(orders!K$1,products!$A$1:$D$1,0))</f>
        <v>M</v>
      </c>
      <c r="L611" t="str">
        <f t="shared" si="55"/>
        <v>Medium</v>
      </c>
      <c r="M611">
        <f>INDEX(products!$A$1:$I$49,MATCH(orders!$D611,products!$A$1:$A$49,0),MATCH(orders!M$1,products!$A$1:$D$1,0))</f>
        <v>0.2</v>
      </c>
      <c r="N611">
        <f>_xlfn.XLOOKUP(D611,products!$A$2:$A$49,products!$E$2:$E$49)</f>
        <v>4.3650000000000002</v>
      </c>
      <c r="O611">
        <f>_xlfn.XLOOKUP(D611,products!$A$2:$A$49,products!$H$2:$H$49)</f>
        <v>3.7975500000000002</v>
      </c>
      <c r="P611">
        <f t="shared" si="56"/>
        <v>26.19</v>
      </c>
      <c r="Q611">
        <f t="shared" si="57"/>
        <v>22.785299999999999</v>
      </c>
      <c r="R611">
        <f t="shared" si="58"/>
        <v>3.4047000000000018</v>
      </c>
      <c r="S611" s="4">
        <f t="shared" si="59"/>
        <v>0.13000000000000006</v>
      </c>
      <c r="T611" t="str">
        <f>_xlfn.XLOOKUP(C611,customers!$A$1:$A$1001,customers!$I$1:$I$1001,,0)</f>
        <v>Yes</v>
      </c>
    </row>
    <row r="612" spans="1:20"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INDEX(products!$A$1:$I$49,MATCH(orders!$D612,products!$A$1:$A$49,0),MATCH(orders!I$1,products!$A$1:$D$1,0))</f>
        <v>Rob</v>
      </c>
      <c r="J612" t="str">
        <f t="shared" si="54"/>
        <v>Robusta</v>
      </c>
      <c r="K612" t="str">
        <f>INDEX(products!$A$1:$I$49,MATCH(orders!$D612,products!$A$1:$A$49,0),MATCH(orders!K$1,products!$A$1:$D$1,0))</f>
        <v>M</v>
      </c>
      <c r="L612" t="str">
        <f t="shared" si="55"/>
        <v>Medium</v>
      </c>
      <c r="M612">
        <f>INDEX(products!$A$1:$I$49,MATCH(orders!$D612,products!$A$1:$A$49,0),MATCH(orders!M$1,products!$A$1:$D$1,0))</f>
        <v>1</v>
      </c>
      <c r="N612">
        <f>_xlfn.XLOOKUP(D612,products!$A$2:$A$49,products!$E$2:$E$49)</f>
        <v>9.9499999999999993</v>
      </c>
      <c r="O612">
        <f>_xlfn.XLOOKUP(D612,products!$A$2:$A$49,products!$H$2:$H$49)</f>
        <v>9.3529999999999998</v>
      </c>
      <c r="P612">
        <f t="shared" si="56"/>
        <v>39.799999999999997</v>
      </c>
      <c r="Q612">
        <f t="shared" si="57"/>
        <v>37.411999999999999</v>
      </c>
      <c r="R612">
        <f t="shared" si="58"/>
        <v>2.3879999999999981</v>
      </c>
      <c r="S612" s="4">
        <f t="shared" si="59"/>
        <v>5.9999999999999956E-2</v>
      </c>
      <c r="T612" t="str">
        <f>_xlfn.XLOOKUP(C612,customers!$A$1:$A$1001,customers!$I$1:$I$1001,,0)</f>
        <v>No</v>
      </c>
    </row>
    <row r="613" spans="1:20"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INDEX(products!$A$1:$I$49,MATCH(orders!$D613,products!$A$1:$A$49,0),MATCH(orders!I$1,products!$A$1:$D$1,0))</f>
        <v>Exc</v>
      </c>
      <c r="J613" t="str">
        <f t="shared" si="54"/>
        <v>Excelsa</v>
      </c>
      <c r="K613" t="str">
        <f>INDEX(products!$A$1:$I$49,MATCH(orders!$D613,products!$A$1:$A$49,0),MATCH(orders!K$1,products!$A$1:$D$1,0))</f>
        <v>L</v>
      </c>
      <c r="L613" t="str">
        <f t="shared" si="55"/>
        <v>Light</v>
      </c>
      <c r="M613">
        <f>INDEX(products!$A$1:$I$49,MATCH(orders!$D613,products!$A$1:$A$49,0),MATCH(orders!M$1,products!$A$1:$D$1,0))</f>
        <v>2.5</v>
      </c>
      <c r="N613">
        <f>_xlfn.XLOOKUP(D613,products!$A$2:$A$49,products!$E$2:$E$49)</f>
        <v>34.154999999999994</v>
      </c>
      <c r="O613">
        <f>_xlfn.XLOOKUP(D613,products!$A$2:$A$49,products!$H$2:$H$49)</f>
        <v>30.397949999999994</v>
      </c>
      <c r="P613">
        <f t="shared" si="56"/>
        <v>68.309999999999988</v>
      </c>
      <c r="Q613">
        <f t="shared" si="57"/>
        <v>60.795899999999989</v>
      </c>
      <c r="R613">
        <f t="shared" si="58"/>
        <v>7.5140999999999991</v>
      </c>
      <c r="S613" s="4">
        <f t="shared" si="59"/>
        <v>0.11</v>
      </c>
      <c r="T613" t="str">
        <f>_xlfn.XLOOKUP(C613,customers!$A$1:$A$1001,customers!$I$1:$I$1001,,0)</f>
        <v>No</v>
      </c>
    </row>
    <row r="614" spans="1:20"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v>
      </c>
      <c r="H614" s="2" t="str">
        <f>_xlfn.XLOOKUP(C614,customers!$A$1:$A$1001,customers!$G$1:$G$1001,,0)</f>
        <v>Ireland</v>
      </c>
      <c r="I614" t="str">
        <f>INDEX(products!$A$1:$I$49,MATCH(orders!$D614,products!$A$1:$A$49,0),MATCH(orders!I$1,products!$A$1:$D$1,0))</f>
        <v>Ara</v>
      </c>
      <c r="J614" t="str">
        <f t="shared" si="54"/>
        <v>Arabica</v>
      </c>
      <c r="K614" t="str">
        <f>INDEX(products!$A$1:$I$49,MATCH(orders!$D614,products!$A$1:$A$49,0),MATCH(orders!K$1,products!$A$1:$D$1,0))</f>
        <v>M</v>
      </c>
      <c r="L614" t="str">
        <f t="shared" si="55"/>
        <v>Medium</v>
      </c>
      <c r="M614">
        <f>INDEX(products!$A$1:$I$49,MATCH(orders!$D614,products!$A$1:$A$49,0),MATCH(orders!M$1,products!$A$1:$D$1,0))</f>
        <v>0.2</v>
      </c>
      <c r="N614">
        <f>_xlfn.XLOOKUP(D614,products!$A$2:$A$49,products!$E$2:$E$49)</f>
        <v>3.375</v>
      </c>
      <c r="O614">
        <f>_xlfn.XLOOKUP(D614,products!$A$2:$A$49,products!$H$2:$H$49)</f>
        <v>3.07125</v>
      </c>
      <c r="P614">
        <f t="shared" si="56"/>
        <v>13.5</v>
      </c>
      <c r="Q614">
        <f t="shared" si="57"/>
        <v>12.285</v>
      </c>
      <c r="R614">
        <f t="shared" si="58"/>
        <v>1.2149999999999999</v>
      </c>
      <c r="S614" s="4">
        <f t="shared" si="59"/>
        <v>8.9999999999999983E-2</v>
      </c>
      <c r="T614" t="str">
        <f>_xlfn.XLOOKUP(C614,customers!$A$1:$A$1001,customers!$I$1:$I$1001,,0)</f>
        <v>No</v>
      </c>
    </row>
    <row r="615" spans="1:20"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v>
      </c>
      <c r="H615" s="2" t="str">
        <f>_xlfn.XLOOKUP(C615,customers!$A$1:$A$1001,customers!$G$1:$G$1001,,0)</f>
        <v>United States</v>
      </c>
      <c r="I615" t="str">
        <f>INDEX(products!$A$1:$I$49,MATCH(orders!$D615,products!$A$1:$A$49,0),MATCH(orders!I$1,products!$A$1:$D$1,0))</f>
        <v>Rob</v>
      </c>
      <c r="J615" t="str">
        <f t="shared" si="54"/>
        <v>Robusta</v>
      </c>
      <c r="K615" t="str">
        <f>INDEX(products!$A$1:$I$49,MATCH(orders!$D615,products!$A$1:$A$49,0),MATCH(orders!K$1,products!$A$1:$D$1,0))</f>
        <v>M</v>
      </c>
      <c r="L615" t="str">
        <f t="shared" si="55"/>
        <v>Medium</v>
      </c>
      <c r="M615">
        <f>INDEX(products!$A$1:$I$49,MATCH(orders!$D615,products!$A$1:$A$49,0),MATCH(orders!M$1,products!$A$1:$D$1,0))</f>
        <v>0.5</v>
      </c>
      <c r="N615">
        <f>_xlfn.XLOOKUP(D615,products!$A$2:$A$49,products!$E$2:$E$49)</f>
        <v>5.97</v>
      </c>
      <c r="O615">
        <f>_xlfn.XLOOKUP(D615,products!$A$2:$A$49,products!$H$2:$H$49)</f>
        <v>5.6117999999999997</v>
      </c>
      <c r="P615">
        <f t="shared" si="56"/>
        <v>5.97</v>
      </c>
      <c r="Q615">
        <f t="shared" si="57"/>
        <v>5.6117999999999997</v>
      </c>
      <c r="R615">
        <f t="shared" si="58"/>
        <v>0.35820000000000007</v>
      </c>
      <c r="S615" s="4">
        <f t="shared" si="59"/>
        <v>6.0000000000000012E-2</v>
      </c>
      <c r="T615" t="str">
        <f>_xlfn.XLOOKUP(C615,customers!$A$1:$A$1001,customers!$I$1:$I$1001,,0)</f>
        <v>No</v>
      </c>
    </row>
    <row r="616" spans="1:20"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INDEX(products!$A$1:$I$49,MATCH(orders!$D616,products!$A$1:$A$49,0),MATCH(orders!I$1,products!$A$1:$D$1,0))</f>
        <v>Rob</v>
      </c>
      <c r="J616" t="str">
        <f t="shared" si="54"/>
        <v>Robusta</v>
      </c>
      <c r="K616" t="str">
        <f>INDEX(products!$A$1:$I$49,MATCH(orders!$D616,products!$A$1:$A$49,0),MATCH(orders!K$1,products!$A$1:$D$1,0))</f>
        <v>M</v>
      </c>
      <c r="L616" t="str">
        <f t="shared" si="55"/>
        <v>Medium</v>
      </c>
      <c r="M616">
        <f>INDEX(products!$A$1:$I$49,MATCH(orders!$D616,products!$A$1:$A$49,0),MATCH(orders!M$1,products!$A$1:$D$1,0))</f>
        <v>0.5</v>
      </c>
      <c r="N616">
        <f>_xlfn.XLOOKUP(D616,products!$A$2:$A$49,products!$E$2:$E$49)</f>
        <v>5.97</v>
      </c>
      <c r="O616">
        <f>_xlfn.XLOOKUP(D616,products!$A$2:$A$49,products!$H$2:$H$49)</f>
        <v>5.6117999999999997</v>
      </c>
      <c r="P616">
        <f t="shared" si="56"/>
        <v>29.849999999999998</v>
      </c>
      <c r="Q616">
        <f t="shared" si="57"/>
        <v>28.058999999999997</v>
      </c>
      <c r="R616">
        <f t="shared" si="58"/>
        <v>1.7910000000000004</v>
      </c>
      <c r="S616" s="4">
        <f t="shared" si="59"/>
        <v>6.0000000000000019E-2</v>
      </c>
      <c r="T616" t="str">
        <f>_xlfn.XLOOKUP(C616,customers!$A$1:$A$1001,customers!$I$1:$I$1001,,0)</f>
        <v>Yes</v>
      </c>
    </row>
    <row r="617" spans="1:20"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INDEX(products!$A$1:$I$49,MATCH(orders!$D617,products!$A$1:$A$49,0),MATCH(orders!I$1,products!$A$1:$D$1,0))</f>
        <v>Lib</v>
      </c>
      <c r="J617" t="str">
        <f t="shared" si="54"/>
        <v>Liberica</v>
      </c>
      <c r="K617" t="str">
        <f>INDEX(products!$A$1:$I$49,MATCH(orders!$D617,products!$A$1:$A$49,0),MATCH(orders!K$1,products!$A$1:$D$1,0))</f>
        <v>L</v>
      </c>
      <c r="L617" t="str">
        <f t="shared" si="55"/>
        <v>Light</v>
      </c>
      <c r="M617">
        <f>INDEX(products!$A$1:$I$49,MATCH(orders!$D617,products!$A$1:$A$49,0),MATCH(orders!M$1,products!$A$1:$D$1,0))</f>
        <v>2.5</v>
      </c>
      <c r="N617">
        <f>_xlfn.XLOOKUP(D617,products!$A$2:$A$49,products!$E$2:$E$49)</f>
        <v>36.454999999999998</v>
      </c>
      <c r="O617">
        <f>_xlfn.XLOOKUP(D617,products!$A$2:$A$49,products!$H$2:$H$49)</f>
        <v>31.71585</v>
      </c>
      <c r="P617">
        <f t="shared" si="56"/>
        <v>72.91</v>
      </c>
      <c r="Q617">
        <f t="shared" si="57"/>
        <v>63.431699999999999</v>
      </c>
      <c r="R617">
        <f t="shared" si="58"/>
        <v>9.4782999999999973</v>
      </c>
      <c r="S617" s="4">
        <f t="shared" si="59"/>
        <v>0.12999999999999998</v>
      </c>
      <c r="T617" t="str">
        <f>_xlfn.XLOOKUP(C617,customers!$A$1:$A$1001,customers!$I$1:$I$1001,,0)</f>
        <v>Yes</v>
      </c>
    </row>
    <row r="618" spans="1:20"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INDEX(products!$A$1:$I$49,MATCH(orders!$D618,products!$A$1:$A$49,0),MATCH(orders!I$1,products!$A$1:$D$1,0))</f>
        <v>Exc</v>
      </c>
      <c r="J618" t="str">
        <f t="shared" si="54"/>
        <v>Excelsa</v>
      </c>
      <c r="K618" t="str">
        <f>INDEX(products!$A$1:$I$49,MATCH(orders!$D618,products!$A$1:$A$49,0),MATCH(orders!K$1,products!$A$1:$D$1,0))</f>
        <v>M</v>
      </c>
      <c r="L618" t="str">
        <f t="shared" si="55"/>
        <v>Medium</v>
      </c>
      <c r="M618">
        <f>INDEX(products!$A$1:$I$49,MATCH(orders!$D618,products!$A$1:$A$49,0),MATCH(orders!M$1,products!$A$1:$D$1,0))</f>
        <v>2.5</v>
      </c>
      <c r="N618">
        <f>_xlfn.XLOOKUP(D618,products!$A$2:$A$49,products!$E$2:$E$49)</f>
        <v>31.624999999999996</v>
      </c>
      <c r="O618">
        <f>_xlfn.XLOOKUP(D618,products!$A$2:$A$49,products!$H$2:$H$49)</f>
        <v>28.146249999999995</v>
      </c>
      <c r="P618">
        <f t="shared" si="56"/>
        <v>126.49999999999999</v>
      </c>
      <c r="Q618">
        <f t="shared" si="57"/>
        <v>112.58499999999998</v>
      </c>
      <c r="R618">
        <f t="shared" si="58"/>
        <v>13.915000000000006</v>
      </c>
      <c r="S618" s="4">
        <f t="shared" si="59"/>
        <v>0.11000000000000006</v>
      </c>
      <c r="T618" t="str">
        <f>_xlfn.XLOOKUP(C618,customers!$A$1:$A$1001,customers!$I$1:$I$1001,,0)</f>
        <v>No</v>
      </c>
    </row>
    <row r="619" spans="1:20"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INDEX(products!$A$1:$I$49,MATCH(orders!$D619,products!$A$1:$A$49,0),MATCH(orders!I$1,products!$A$1:$D$1,0))</f>
        <v>Lib</v>
      </c>
      <c r="J619" t="str">
        <f t="shared" si="54"/>
        <v>Liberica</v>
      </c>
      <c r="K619" t="str">
        <f>INDEX(products!$A$1:$I$49,MATCH(orders!$D619,products!$A$1:$A$49,0),MATCH(orders!K$1,products!$A$1:$D$1,0))</f>
        <v>M</v>
      </c>
      <c r="L619" t="str">
        <f t="shared" si="55"/>
        <v>Medium</v>
      </c>
      <c r="M619">
        <f>INDEX(products!$A$1:$I$49,MATCH(orders!$D619,products!$A$1:$A$49,0),MATCH(orders!M$1,products!$A$1:$D$1,0))</f>
        <v>2.5</v>
      </c>
      <c r="N619">
        <f>_xlfn.XLOOKUP(D619,products!$A$2:$A$49,products!$E$2:$E$49)</f>
        <v>33.464999999999996</v>
      </c>
      <c r="O619">
        <f>_xlfn.XLOOKUP(D619,products!$A$2:$A$49,products!$H$2:$H$49)</f>
        <v>29.114549999999998</v>
      </c>
      <c r="P619">
        <f t="shared" si="56"/>
        <v>33.464999999999996</v>
      </c>
      <c r="Q619">
        <f t="shared" si="57"/>
        <v>29.114549999999998</v>
      </c>
      <c r="R619">
        <f t="shared" si="58"/>
        <v>4.3504499999999986</v>
      </c>
      <c r="S619" s="4">
        <f t="shared" si="59"/>
        <v>0.12999999999999998</v>
      </c>
      <c r="T619" t="str">
        <f>_xlfn.XLOOKUP(C619,customers!$A$1:$A$1001,customers!$I$1:$I$1001,,0)</f>
        <v>No</v>
      </c>
    </row>
    <row r="620" spans="1:20"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INDEX(products!$A$1:$I$49,MATCH(orders!$D620,products!$A$1:$A$49,0),MATCH(orders!I$1,products!$A$1:$D$1,0))</f>
        <v>Exc</v>
      </c>
      <c r="J620" t="str">
        <f t="shared" si="54"/>
        <v>Excelsa</v>
      </c>
      <c r="K620" t="str">
        <f>INDEX(products!$A$1:$I$49,MATCH(orders!$D620,products!$A$1:$A$49,0),MATCH(orders!K$1,products!$A$1:$D$1,0))</f>
        <v>D</v>
      </c>
      <c r="L620" t="str">
        <f t="shared" si="55"/>
        <v>Dark</v>
      </c>
      <c r="M620">
        <f>INDEX(products!$A$1:$I$49,MATCH(orders!$D620,products!$A$1:$A$49,0),MATCH(orders!M$1,products!$A$1:$D$1,0))</f>
        <v>1</v>
      </c>
      <c r="N620">
        <f>_xlfn.XLOOKUP(D620,products!$A$2:$A$49,products!$E$2:$E$49)</f>
        <v>12.15</v>
      </c>
      <c r="O620">
        <f>_xlfn.XLOOKUP(D620,products!$A$2:$A$49,products!$H$2:$H$49)</f>
        <v>10.813500000000001</v>
      </c>
      <c r="P620">
        <f t="shared" si="56"/>
        <v>72.900000000000006</v>
      </c>
      <c r="Q620">
        <f t="shared" si="57"/>
        <v>64.881</v>
      </c>
      <c r="R620">
        <f t="shared" si="58"/>
        <v>8.0190000000000055</v>
      </c>
      <c r="S620" s="4">
        <f t="shared" si="59"/>
        <v>0.11000000000000007</v>
      </c>
      <c r="T620" t="str">
        <f>_xlfn.XLOOKUP(C620,customers!$A$1:$A$1001,customers!$I$1:$I$1001,,0)</f>
        <v>Yes</v>
      </c>
    </row>
    <row r="621" spans="1:20"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INDEX(products!$A$1:$I$49,MATCH(orders!$D621,products!$A$1:$A$49,0),MATCH(orders!I$1,products!$A$1:$D$1,0))</f>
        <v>Lib</v>
      </c>
      <c r="J621" t="str">
        <f t="shared" si="54"/>
        <v>Liberica</v>
      </c>
      <c r="K621" t="str">
        <f>INDEX(products!$A$1:$I$49,MATCH(orders!$D621,products!$A$1:$A$49,0),MATCH(orders!K$1,products!$A$1:$D$1,0))</f>
        <v>D</v>
      </c>
      <c r="L621" t="str">
        <f t="shared" si="55"/>
        <v>Dark</v>
      </c>
      <c r="M621">
        <f>INDEX(products!$A$1:$I$49,MATCH(orders!$D621,products!$A$1:$A$49,0),MATCH(orders!M$1,products!$A$1:$D$1,0))</f>
        <v>0.5</v>
      </c>
      <c r="N621">
        <f>_xlfn.XLOOKUP(D621,products!$A$2:$A$49,products!$E$2:$E$49)</f>
        <v>7.77</v>
      </c>
      <c r="O621">
        <f>_xlfn.XLOOKUP(D621,products!$A$2:$A$49,products!$H$2:$H$49)</f>
        <v>6.7599</v>
      </c>
      <c r="P621">
        <f t="shared" si="56"/>
        <v>15.54</v>
      </c>
      <c r="Q621">
        <f t="shared" si="57"/>
        <v>13.5198</v>
      </c>
      <c r="R621">
        <f t="shared" si="58"/>
        <v>2.0201999999999991</v>
      </c>
      <c r="S621" s="4">
        <f t="shared" si="59"/>
        <v>0.12999999999999995</v>
      </c>
      <c r="T621" t="str">
        <f>_xlfn.XLOOKUP(C621,customers!$A$1:$A$1001,customers!$I$1:$I$1001,,0)</f>
        <v>Yes</v>
      </c>
    </row>
    <row r="622" spans="1:20"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INDEX(products!$A$1:$I$49,MATCH(orders!$D622,products!$A$1:$A$49,0),MATCH(orders!I$1,products!$A$1:$D$1,0))</f>
        <v>Ara</v>
      </c>
      <c r="J622" t="str">
        <f t="shared" si="54"/>
        <v>Arabica</v>
      </c>
      <c r="K622" t="str">
        <f>INDEX(products!$A$1:$I$49,MATCH(orders!$D622,products!$A$1:$A$49,0),MATCH(orders!K$1,products!$A$1:$D$1,0))</f>
        <v>M</v>
      </c>
      <c r="L622" t="str">
        <f t="shared" si="55"/>
        <v>Medium</v>
      </c>
      <c r="M622">
        <f>INDEX(products!$A$1:$I$49,MATCH(orders!$D622,products!$A$1:$A$49,0),MATCH(orders!M$1,products!$A$1:$D$1,0))</f>
        <v>0.2</v>
      </c>
      <c r="N622">
        <f>_xlfn.XLOOKUP(D622,products!$A$2:$A$49,products!$E$2:$E$49)</f>
        <v>3.375</v>
      </c>
      <c r="O622">
        <f>_xlfn.XLOOKUP(D622,products!$A$2:$A$49,products!$H$2:$H$49)</f>
        <v>3.07125</v>
      </c>
      <c r="P622">
        <f t="shared" si="56"/>
        <v>20.25</v>
      </c>
      <c r="Q622">
        <f t="shared" si="57"/>
        <v>18.427500000000002</v>
      </c>
      <c r="R622">
        <f t="shared" si="58"/>
        <v>1.822499999999998</v>
      </c>
      <c r="S622" s="4">
        <f t="shared" si="59"/>
        <v>8.99999999999999E-2</v>
      </c>
      <c r="T622" t="str">
        <f>_xlfn.XLOOKUP(C622,customers!$A$1:$A$1001,customers!$I$1:$I$1001,,0)</f>
        <v>No</v>
      </c>
    </row>
    <row r="623" spans="1:20"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INDEX(products!$A$1:$I$49,MATCH(orders!$D623,products!$A$1:$A$49,0),MATCH(orders!I$1,products!$A$1:$D$1,0))</f>
        <v>Ara</v>
      </c>
      <c r="J623" t="str">
        <f t="shared" si="54"/>
        <v>Arabica</v>
      </c>
      <c r="K623" t="str">
        <f>INDEX(products!$A$1:$I$49,MATCH(orders!$D623,products!$A$1:$A$49,0),MATCH(orders!K$1,products!$A$1:$D$1,0))</f>
        <v>L</v>
      </c>
      <c r="L623" t="str">
        <f t="shared" si="55"/>
        <v>Light</v>
      </c>
      <c r="M623">
        <f>INDEX(products!$A$1:$I$49,MATCH(orders!$D623,products!$A$1:$A$49,0),MATCH(orders!M$1,products!$A$1:$D$1,0))</f>
        <v>1</v>
      </c>
      <c r="N623">
        <f>_xlfn.XLOOKUP(D623,products!$A$2:$A$49,products!$E$2:$E$49)</f>
        <v>12.95</v>
      </c>
      <c r="O623">
        <f>_xlfn.XLOOKUP(D623,products!$A$2:$A$49,products!$H$2:$H$49)</f>
        <v>11.7845</v>
      </c>
      <c r="P623">
        <f t="shared" si="56"/>
        <v>77.699999999999989</v>
      </c>
      <c r="Q623">
        <f t="shared" si="57"/>
        <v>70.706999999999994</v>
      </c>
      <c r="R623">
        <f t="shared" si="58"/>
        <v>6.992999999999995</v>
      </c>
      <c r="S623" s="4">
        <f t="shared" si="59"/>
        <v>8.9999999999999955E-2</v>
      </c>
      <c r="T623" t="str">
        <f>_xlfn.XLOOKUP(C623,customers!$A$1:$A$1001,customers!$I$1:$I$1001,,0)</f>
        <v>No</v>
      </c>
    </row>
    <row r="624" spans="1:20"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INDEX(products!$A$1:$I$49,MATCH(orders!$D624,products!$A$1:$A$49,0),MATCH(orders!I$1,products!$A$1:$D$1,0))</f>
        <v>Lib</v>
      </c>
      <c r="J624" t="str">
        <f t="shared" si="54"/>
        <v>Liberica</v>
      </c>
      <c r="K624" t="str">
        <f>INDEX(products!$A$1:$I$49,MATCH(orders!$D624,products!$A$1:$A$49,0),MATCH(orders!K$1,products!$A$1:$D$1,0))</f>
        <v>M</v>
      </c>
      <c r="L624" t="str">
        <f t="shared" si="55"/>
        <v>Medium</v>
      </c>
      <c r="M624">
        <f>INDEX(products!$A$1:$I$49,MATCH(orders!$D624,products!$A$1:$A$49,0),MATCH(orders!M$1,products!$A$1:$D$1,0))</f>
        <v>2.5</v>
      </c>
      <c r="N624">
        <f>_xlfn.XLOOKUP(D624,products!$A$2:$A$49,products!$E$2:$E$49)</f>
        <v>33.464999999999996</v>
      </c>
      <c r="O624">
        <f>_xlfn.XLOOKUP(D624,products!$A$2:$A$49,products!$H$2:$H$49)</f>
        <v>29.114549999999998</v>
      </c>
      <c r="P624">
        <f t="shared" si="56"/>
        <v>133.85999999999999</v>
      </c>
      <c r="Q624">
        <f t="shared" si="57"/>
        <v>116.45819999999999</v>
      </c>
      <c r="R624">
        <f t="shared" si="58"/>
        <v>17.401799999999994</v>
      </c>
      <c r="S624" s="4">
        <f t="shared" si="59"/>
        <v>0.12999999999999998</v>
      </c>
      <c r="T624" t="str">
        <f>_xlfn.XLOOKUP(C624,customers!$A$1:$A$1001,customers!$I$1:$I$1001,,0)</f>
        <v>No</v>
      </c>
    </row>
    <row r="625" spans="1:20"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v>
      </c>
      <c r="H625" s="2" t="str">
        <f>_xlfn.XLOOKUP(C625,customers!$A$1:$A$1001,customers!$G$1:$G$1001,,0)</f>
        <v>United Kingdom</v>
      </c>
      <c r="I625" t="str">
        <f>INDEX(products!$A$1:$I$49,MATCH(orders!$D625,products!$A$1:$A$49,0),MATCH(orders!I$1,products!$A$1:$D$1,0))</f>
        <v>Exc</v>
      </c>
      <c r="J625" t="str">
        <f t="shared" si="54"/>
        <v>Excelsa</v>
      </c>
      <c r="K625" t="str">
        <f>INDEX(products!$A$1:$I$49,MATCH(orders!$D625,products!$A$1:$A$49,0),MATCH(orders!K$1,products!$A$1:$D$1,0))</f>
        <v>D</v>
      </c>
      <c r="L625" t="str">
        <f t="shared" si="55"/>
        <v>Dark</v>
      </c>
      <c r="M625">
        <f>INDEX(products!$A$1:$I$49,MATCH(orders!$D625,products!$A$1:$A$49,0),MATCH(orders!M$1,products!$A$1:$D$1,0))</f>
        <v>1</v>
      </c>
      <c r="N625">
        <f>_xlfn.XLOOKUP(D625,products!$A$2:$A$49,products!$E$2:$E$49)</f>
        <v>12.15</v>
      </c>
      <c r="O625">
        <f>_xlfn.XLOOKUP(D625,products!$A$2:$A$49,products!$H$2:$H$49)</f>
        <v>10.813500000000001</v>
      </c>
      <c r="P625">
        <f t="shared" si="56"/>
        <v>12.15</v>
      </c>
      <c r="Q625">
        <f t="shared" si="57"/>
        <v>10.813500000000001</v>
      </c>
      <c r="R625">
        <f t="shared" si="58"/>
        <v>1.3364999999999991</v>
      </c>
      <c r="S625" s="4">
        <f t="shared" si="59"/>
        <v>0.10999999999999993</v>
      </c>
      <c r="T625" t="str">
        <f>_xlfn.XLOOKUP(C625,customers!$A$1:$A$1001,customers!$I$1:$I$1001,,0)</f>
        <v>No</v>
      </c>
    </row>
    <row r="626" spans="1:20"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INDEX(products!$A$1:$I$49,MATCH(orders!$D626,products!$A$1:$A$49,0),MATCH(orders!I$1,products!$A$1:$D$1,0))</f>
        <v>Exc</v>
      </c>
      <c r="J626" t="str">
        <f t="shared" si="54"/>
        <v>Excelsa</v>
      </c>
      <c r="K626" t="str">
        <f>INDEX(products!$A$1:$I$49,MATCH(orders!$D626,products!$A$1:$A$49,0),MATCH(orders!K$1,products!$A$1:$D$1,0))</f>
        <v>M</v>
      </c>
      <c r="L626" t="str">
        <f t="shared" si="55"/>
        <v>Medium</v>
      </c>
      <c r="M626">
        <f>INDEX(products!$A$1:$I$49,MATCH(orders!$D626,products!$A$1:$A$49,0),MATCH(orders!M$1,products!$A$1:$D$1,0))</f>
        <v>2.5</v>
      </c>
      <c r="N626">
        <f>_xlfn.XLOOKUP(D626,products!$A$2:$A$49,products!$E$2:$E$49)</f>
        <v>31.624999999999996</v>
      </c>
      <c r="O626">
        <f>_xlfn.XLOOKUP(D626,products!$A$2:$A$49,products!$H$2:$H$49)</f>
        <v>28.146249999999995</v>
      </c>
      <c r="P626">
        <f t="shared" si="56"/>
        <v>63.249999999999993</v>
      </c>
      <c r="Q626">
        <f t="shared" si="57"/>
        <v>56.29249999999999</v>
      </c>
      <c r="R626">
        <f t="shared" si="58"/>
        <v>6.9575000000000031</v>
      </c>
      <c r="S626" s="4">
        <f t="shared" si="59"/>
        <v>0.11000000000000006</v>
      </c>
      <c r="T626" t="str">
        <f>_xlfn.XLOOKUP(C626,customers!$A$1:$A$1001,customers!$I$1:$I$1001,,0)</f>
        <v>Yes</v>
      </c>
    </row>
    <row r="627" spans="1:20"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INDEX(products!$A$1:$I$49,MATCH(orders!$D627,products!$A$1:$A$49,0),MATCH(orders!I$1,products!$A$1:$D$1,0))</f>
        <v>Rob</v>
      </c>
      <c r="J627" t="str">
        <f t="shared" si="54"/>
        <v>Robusta</v>
      </c>
      <c r="K627" t="str">
        <f>INDEX(products!$A$1:$I$49,MATCH(orders!$D627,products!$A$1:$A$49,0),MATCH(orders!K$1,products!$A$1:$D$1,0))</f>
        <v>L</v>
      </c>
      <c r="L627" t="str">
        <f t="shared" si="55"/>
        <v>Light</v>
      </c>
      <c r="M627">
        <f>INDEX(products!$A$1:$I$49,MATCH(orders!$D627,products!$A$1:$A$49,0),MATCH(orders!M$1,products!$A$1:$D$1,0))</f>
        <v>0.5</v>
      </c>
      <c r="N627">
        <f>_xlfn.XLOOKUP(D627,products!$A$2:$A$49,products!$E$2:$E$49)</f>
        <v>7.169999999999999</v>
      </c>
      <c r="O627">
        <f>_xlfn.XLOOKUP(D627,products!$A$2:$A$49,products!$H$2:$H$49)</f>
        <v>6.7397999999999989</v>
      </c>
      <c r="P627">
        <f t="shared" si="56"/>
        <v>35.849999999999994</v>
      </c>
      <c r="Q627">
        <f t="shared" si="57"/>
        <v>33.698999999999998</v>
      </c>
      <c r="R627">
        <f t="shared" si="58"/>
        <v>2.1509999999999962</v>
      </c>
      <c r="S627" s="4">
        <f t="shared" si="59"/>
        <v>5.9999999999999908E-2</v>
      </c>
      <c r="T627" t="str">
        <f>_xlfn.XLOOKUP(C627,customers!$A$1:$A$1001,customers!$I$1:$I$1001,,0)</f>
        <v>No</v>
      </c>
    </row>
    <row r="628" spans="1:20"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INDEX(products!$A$1:$I$49,MATCH(orders!$D628,products!$A$1:$A$49,0),MATCH(orders!I$1,products!$A$1:$D$1,0))</f>
        <v>Ara</v>
      </c>
      <c r="J628" t="str">
        <f t="shared" si="54"/>
        <v>Arabica</v>
      </c>
      <c r="K628" t="str">
        <f>INDEX(products!$A$1:$I$49,MATCH(orders!$D628,products!$A$1:$A$49,0),MATCH(orders!K$1,products!$A$1:$D$1,0))</f>
        <v>M</v>
      </c>
      <c r="L628" t="str">
        <f t="shared" si="55"/>
        <v>Medium</v>
      </c>
      <c r="M628">
        <f>INDEX(products!$A$1:$I$49,MATCH(orders!$D628,products!$A$1:$A$49,0),MATCH(orders!M$1,products!$A$1:$D$1,0))</f>
        <v>2.5</v>
      </c>
      <c r="N628">
        <f>_xlfn.XLOOKUP(D628,products!$A$2:$A$49,products!$E$2:$E$49)</f>
        <v>25.874999999999996</v>
      </c>
      <c r="O628">
        <f>_xlfn.XLOOKUP(D628,products!$A$2:$A$49,products!$H$2:$H$49)</f>
        <v>23.546249999999997</v>
      </c>
      <c r="P628">
        <f t="shared" si="56"/>
        <v>77.624999999999986</v>
      </c>
      <c r="Q628">
        <f t="shared" si="57"/>
        <v>70.638749999999987</v>
      </c>
      <c r="R628">
        <f t="shared" si="58"/>
        <v>6.9862499999999983</v>
      </c>
      <c r="S628" s="4">
        <f t="shared" si="59"/>
        <v>0.09</v>
      </c>
      <c r="T628" t="str">
        <f>_xlfn.XLOOKUP(C628,customers!$A$1:$A$1001,customers!$I$1:$I$1001,,0)</f>
        <v>No</v>
      </c>
    </row>
    <row r="629" spans="1:20"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INDEX(products!$A$1:$I$49,MATCH(orders!$D629,products!$A$1:$A$49,0),MATCH(orders!I$1,products!$A$1:$D$1,0))</f>
        <v>Exc</v>
      </c>
      <c r="J629" t="str">
        <f t="shared" si="54"/>
        <v>Excelsa</v>
      </c>
      <c r="K629" t="str">
        <f>INDEX(products!$A$1:$I$49,MATCH(orders!$D629,products!$A$1:$A$49,0),MATCH(orders!K$1,products!$A$1:$D$1,0))</f>
        <v>M</v>
      </c>
      <c r="L629" t="str">
        <f t="shared" si="55"/>
        <v>Medium</v>
      </c>
      <c r="M629">
        <f>INDEX(products!$A$1:$I$49,MATCH(orders!$D629,products!$A$1:$A$49,0),MATCH(orders!M$1,products!$A$1:$D$1,0))</f>
        <v>2.5</v>
      </c>
      <c r="N629">
        <f>_xlfn.XLOOKUP(D629,products!$A$2:$A$49,products!$E$2:$E$49)</f>
        <v>31.624999999999996</v>
      </c>
      <c r="O629">
        <f>_xlfn.XLOOKUP(D629,products!$A$2:$A$49,products!$H$2:$H$49)</f>
        <v>28.146249999999995</v>
      </c>
      <c r="P629">
        <f t="shared" si="56"/>
        <v>63.249999999999993</v>
      </c>
      <c r="Q629">
        <f t="shared" si="57"/>
        <v>56.29249999999999</v>
      </c>
      <c r="R629">
        <f t="shared" si="58"/>
        <v>6.9575000000000031</v>
      </c>
      <c r="S629" s="4">
        <f t="shared" si="59"/>
        <v>0.11000000000000006</v>
      </c>
      <c r="T629" t="str">
        <f>_xlfn.XLOOKUP(C629,customers!$A$1:$A$1001,customers!$I$1:$I$1001,,0)</f>
        <v>Yes</v>
      </c>
    </row>
    <row r="630" spans="1:20"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INDEX(products!$A$1:$I$49,MATCH(orders!$D630,products!$A$1:$A$49,0),MATCH(orders!I$1,products!$A$1:$D$1,0))</f>
        <v>Exc</v>
      </c>
      <c r="J630" t="str">
        <f t="shared" si="54"/>
        <v>Excelsa</v>
      </c>
      <c r="K630" t="str">
        <f>INDEX(products!$A$1:$I$49,MATCH(orders!$D630,products!$A$1:$A$49,0),MATCH(orders!K$1,products!$A$1:$D$1,0))</f>
        <v>L</v>
      </c>
      <c r="L630" t="str">
        <f t="shared" si="55"/>
        <v>Light</v>
      </c>
      <c r="M630">
        <f>INDEX(products!$A$1:$I$49,MATCH(orders!$D630,products!$A$1:$A$49,0),MATCH(orders!M$1,products!$A$1:$D$1,0))</f>
        <v>0.2</v>
      </c>
      <c r="N630">
        <f>_xlfn.XLOOKUP(D630,products!$A$2:$A$49,products!$E$2:$E$49)</f>
        <v>4.4550000000000001</v>
      </c>
      <c r="O630">
        <f>_xlfn.XLOOKUP(D630,products!$A$2:$A$49,products!$H$2:$H$49)</f>
        <v>3.96495</v>
      </c>
      <c r="P630">
        <f t="shared" si="56"/>
        <v>26.73</v>
      </c>
      <c r="Q630">
        <f t="shared" si="57"/>
        <v>23.7897</v>
      </c>
      <c r="R630">
        <f t="shared" si="58"/>
        <v>2.9403000000000006</v>
      </c>
      <c r="S630" s="4">
        <f t="shared" si="59"/>
        <v>0.11000000000000001</v>
      </c>
      <c r="T630" t="str">
        <f>_xlfn.XLOOKUP(C630,customers!$A$1:$A$1001,customers!$I$1:$I$1001,,0)</f>
        <v>Yes</v>
      </c>
    </row>
    <row r="631" spans="1:20"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INDEX(products!$A$1:$I$49,MATCH(orders!$D631,products!$A$1:$A$49,0),MATCH(orders!I$1,products!$A$1:$D$1,0))</f>
        <v>Lib</v>
      </c>
      <c r="J631" t="str">
        <f t="shared" si="54"/>
        <v>Liberica</v>
      </c>
      <c r="K631" t="str">
        <f>INDEX(products!$A$1:$I$49,MATCH(orders!$D631,products!$A$1:$A$49,0),MATCH(orders!K$1,products!$A$1:$D$1,0))</f>
        <v>D</v>
      </c>
      <c r="L631" t="str">
        <f t="shared" si="55"/>
        <v>Dark</v>
      </c>
      <c r="M631">
        <f>INDEX(products!$A$1:$I$49,MATCH(orders!$D631,products!$A$1:$A$49,0),MATCH(orders!M$1,products!$A$1:$D$1,0))</f>
        <v>0.5</v>
      </c>
      <c r="N631">
        <f>_xlfn.XLOOKUP(D631,products!$A$2:$A$49,products!$E$2:$E$49)</f>
        <v>7.77</v>
      </c>
      <c r="O631">
        <f>_xlfn.XLOOKUP(D631,products!$A$2:$A$49,products!$H$2:$H$49)</f>
        <v>6.7599</v>
      </c>
      <c r="P631">
        <f t="shared" si="56"/>
        <v>31.08</v>
      </c>
      <c r="Q631">
        <f t="shared" si="57"/>
        <v>27.0396</v>
      </c>
      <c r="R631">
        <f t="shared" si="58"/>
        <v>4.0403999999999982</v>
      </c>
      <c r="S631" s="4">
        <f t="shared" si="59"/>
        <v>0.12999999999999995</v>
      </c>
      <c r="T631" t="str">
        <f>_xlfn.XLOOKUP(C631,customers!$A$1:$A$1001,customers!$I$1:$I$1001,,0)</f>
        <v>Yes</v>
      </c>
    </row>
    <row r="632" spans="1:20"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INDEX(products!$A$1:$I$49,MATCH(orders!$D632,products!$A$1:$A$49,0),MATCH(orders!I$1,products!$A$1:$D$1,0))</f>
        <v>Ara</v>
      </c>
      <c r="J632" t="str">
        <f t="shared" si="54"/>
        <v>Arabica</v>
      </c>
      <c r="K632" t="str">
        <f>INDEX(products!$A$1:$I$49,MATCH(orders!$D632,products!$A$1:$A$49,0),MATCH(orders!K$1,products!$A$1:$D$1,0))</f>
        <v>D</v>
      </c>
      <c r="L632" t="str">
        <f t="shared" si="55"/>
        <v>Dark</v>
      </c>
      <c r="M632">
        <f>INDEX(products!$A$1:$I$49,MATCH(orders!$D632,products!$A$1:$A$49,0),MATCH(orders!M$1,products!$A$1:$D$1,0))</f>
        <v>0.2</v>
      </c>
      <c r="N632">
        <f>_xlfn.XLOOKUP(D632,products!$A$2:$A$49,products!$E$2:$E$49)</f>
        <v>2.9849999999999999</v>
      </c>
      <c r="O632">
        <f>_xlfn.XLOOKUP(D632,products!$A$2:$A$49,products!$H$2:$H$49)</f>
        <v>2.7163499999999998</v>
      </c>
      <c r="P632">
        <f t="shared" si="56"/>
        <v>2.9849999999999999</v>
      </c>
      <c r="Q632">
        <f t="shared" si="57"/>
        <v>2.7163499999999998</v>
      </c>
      <c r="R632">
        <f t="shared" si="58"/>
        <v>0.26865000000000006</v>
      </c>
      <c r="S632" s="4">
        <f t="shared" si="59"/>
        <v>9.0000000000000024E-2</v>
      </c>
      <c r="T632" t="str">
        <f>_xlfn.XLOOKUP(C632,customers!$A$1:$A$1001,customers!$I$1:$I$1001,,0)</f>
        <v>Yes</v>
      </c>
    </row>
    <row r="633" spans="1:20"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INDEX(products!$A$1:$I$49,MATCH(orders!$D633,products!$A$1:$A$49,0),MATCH(orders!I$1,products!$A$1:$D$1,0))</f>
        <v>Rob</v>
      </c>
      <c r="J633" t="str">
        <f t="shared" si="54"/>
        <v>Robusta</v>
      </c>
      <c r="K633" t="str">
        <f>INDEX(products!$A$1:$I$49,MATCH(orders!$D633,products!$A$1:$A$49,0),MATCH(orders!K$1,products!$A$1:$D$1,0))</f>
        <v>D</v>
      </c>
      <c r="L633" t="str">
        <f t="shared" si="55"/>
        <v>Dark</v>
      </c>
      <c r="M633">
        <f>INDEX(products!$A$1:$I$49,MATCH(orders!$D633,products!$A$1:$A$49,0),MATCH(orders!M$1,products!$A$1:$D$1,0))</f>
        <v>2.5</v>
      </c>
      <c r="N633">
        <f>_xlfn.XLOOKUP(D633,products!$A$2:$A$49,products!$E$2:$E$49)</f>
        <v>20.584999999999997</v>
      </c>
      <c r="O633">
        <f>_xlfn.XLOOKUP(D633,products!$A$2:$A$49,products!$H$2:$H$49)</f>
        <v>19.349899999999998</v>
      </c>
      <c r="P633">
        <f t="shared" si="56"/>
        <v>102.92499999999998</v>
      </c>
      <c r="Q633">
        <f t="shared" si="57"/>
        <v>96.749499999999983</v>
      </c>
      <c r="R633">
        <f t="shared" si="58"/>
        <v>6.1754999999999995</v>
      </c>
      <c r="S633" s="4">
        <f t="shared" si="59"/>
        <v>6.0000000000000005E-2</v>
      </c>
      <c r="T633" t="str">
        <f>_xlfn.XLOOKUP(C633,customers!$A$1:$A$1001,customers!$I$1:$I$1001,,0)</f>
        <v>Yes</v>
      </c>
    </row>
    <row r="634" spans="1:20"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INDEX(products!$A$1:$I$49,MATCH(orders!$D634,products!$A$1:$A$49,0),MATCH(orders!I$1,products!$A$1:$D$1,0))</f>
        <v>Exc</v>
      </c>
      <c r="J634" t="str">
        <f t="shared" si="54"/>
        <v>Excelsa</v>
      </c>
      <c r="K634" t="str">
        <f>INDEX(products!$A$1:$I$49,MATCH(orders!$D634,products!$A$1:$A$49,0),MATCH(orders!K$1,products!$A$1:$D$1,0))</f>
        <v>L</v>
      </c>
      <c r="L634" t="str">
        <f t="shared" si="55"/>
        <v>Light</v>
      </c>
      <c r="M634">
        <f>INDEX(products!$A$1:$I$49,MATCH(orders!$D634,products!$A$1:$A$49,0),MATCH(orders!M$1,products!$A$1:$D$1,0))</f>
        <v>0.5</v>
      </c>
      <c r="N634">
        <f>_xlfn.XLOOKUP(D634,products!$A$2:$A$49,products!$E$2:$E$49)</f>
        <v>8.91</v>
      </c>
      <c r="O634">
        <f>_xlfn.XLOOKUP(D634,products!$A$2:$A$49,products!$H$2:$H$49)</f>
        <v>7.9298999999999999</v>
      </c>
      <c r="P634">
        <f t="shared" si="56"/>
        <v>35.64</v>
      </c>
      <c r="Q634">
        <f t="shared" si="57"/>
        <v>31.7196</v>
      </c>
      <c r="R634">
        <f t="shared" si="58"/>
        <v>3.9204000000000008</v>
      </c>
      <c r="S634" s="4">
        <f t="shared" si="59"/>
        <v>0.11000000000000001</v>
      </c>
      <c r="T634" t="str">
        <f>_xlfn.XLOOKUP(C634,customers!$A$1:$A$1001,customers!$I$1:$I$1001,,0)</f>
        <v>No</v>
      </c>
    </row>
    <row r="635" spans="1:20"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INDEX(products!$A$1:$I$49,MATCH(orders!$D635,products!$A$1:$A$49,0),MATCH(orders!I$1,products!$A$1:$D$1,0))</f>
        <v>Rob</v>
      </c>
      <c r="J635" t="str">
        <f t="shared" si="54"/>
        <v>Robusta</v>
      </c>
      <c r="K635" t="str">
        <f>INDEX(products!$A$1:$I$49,MATCH(orders!$D635,products!$A$1:$A$49,0),MATCH(orders!K$1,products!$A$1:$D$1,0))</f>
        <v>L</v>
      </c>
      <c r="L635" t="str">
        <f t="shared" si="55"/>
        <v>Light</v>
      </c>
      <c r="M635">
        <f>INDEX(products!$A$1:$I$49,MATCH(orders!$D635,products!$A$1:$A$49,0),MATCH(orders!M$1,products!$A$1:$D$1,0))</f>
        <v>1</v>
      </c>
      <c r="N635">
        <f>_xlfn.XLOOKUP(D635,products!$A$2:$A$49,products!$E$2:$E$49)</f>
        <v>11.95</v>
      </c>
      <c r="O635">
        <f>_xlfn.XLOOKUP(D635,products!$A$2:$A$49,products!$H$2:$H$49)</f>
        <v>11.232999999999999</v>
      </c>
      <c r="P635">
        <f t="shared" si="56"/>
        <v>47.8</v>
      </c>
      <c r="Q635">
        <f t="shared" si="57"/>
        <v>44.931999999999995</v>
      </c>
      <c r="R635">
        <f t="shared" si="58"/>
        <v>2.8680000000000021</v>
      </c>
      <c r="S635" s="4">
        <f t="shared" si="59"/>
        <v>6.0000000000000046E-2</v>
      </c>
      <c r="T635" t="str">
        <f>_xlfn.XLOOKUP(C635,customers!$A$1:$A$1001,customers!$I$1:$I$1001,,0)</f>
        <v>No</v>
      </c>
    </row>
    <row r="636" spans="1:20"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INDEX(products!$A$1:$I$49,MATCH(orders!$D636,products!$A$1:$A$49,0),MATCH(orders!I$1,products!$A$1:$D$1,0))</f>
        <v>Lib</v>
      </c>
      <c r="J636" t="str">
        <f t="shared" si="54"/>
        <v>Liberica</v>
      </c>
      <c r="K636" t="str">
        <f>INDEX(products!$A$1:$I$49,MATCH(orders!$D636,products!$A$1:$A$49,0),MATCH(orders!K$1,products!$A$1:$D$1,0))</f>
        <v>M</v>
      </c>
      <c r="L636" t="str">
        <f t="shared" si="55"/>
        <v>Medium</v>
      </c>
      <c r="M636">
        <f>INDEX(products!$A$1:$I$49,MATCH(orders!$D636,products!$A$1:$A$49,0),MATCH(orders!M$1,products!$A$1:$D$1,0))</f>
        <v>1</v>
      </c>
      <c r="N636">
        <f>_xlfn.XLOOKUP(D636,products!$A$2:$A$49,products!$E$2:$E$49)</f>
        <v>14.55</v>
      </c>
      <c r="O636">
        <f>_xlfn.XLOOKUP(D636,products!$A$2:$A$49,products!$H$2:$H$49)</f>
        <v>12.6585</v>
      </c>
      <c r="P636">
        <f t="shared" si="56"/>
        <v>43.650000000000006</v>
      </c>
      <c r="Q636">
        <f t="shared" si="57"/>
        <v>37.975499999999997</v>
      </c>
      <c r="R636">
        <f t="shared" si="58"/>
        <v>5.674500000000009</v>
      </c>
      <c r="S636" s="4">
        <f t="shared" si="59"/>
        <v>0.1300000000000002</v>
      </c>
      <c r="T636" t="str">
        <f>_xlfn.XLOOKUP(C636,customers!$A$1:$A$1001,customers!$I$1:$I$1001,,0)</f>
        <v>No</v>
      </c>
    </row>
    <row r="637" spans="1:20"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INDEX(products!$A$1:$I$49,MATCH(orders!$D637,products!$A$1:$A$49,0),MATCH(orders!I$1,products!$A$1:$D$1,0))</f>
        <v>Exc</v>
      </c>
      <c r="J637" t="str">
        <f t="shared" si="54"/>
        <v>Excelsa</v>
      </c>
      <c r="K637" t="str">
        <f>INDEX(products!$A$1:$I$49,MATCH(orders!$D637,products!$A$1:$A$49,0),MATCH(orders!K$1,products!$A$1:$D$1,0))</f>
        <v>L</v>
      </c>
      <c r="L637" t="str">
        <f t="shared" si="55"/>
        <v>Light</v>
      </c>
      <c r="M637">
        <f>INDEX(products!$A$1:$I$49,MATCH(orders!$D637,products!$A$1:$A$49,0),MATCH(orders!M$1,products!$A$1:$D$1,0))</f>
        <v>0.5</v>
      </c>
      <c r="N637">
        <f>_xlfn.XLOOKUP(D637,products!$A$2:$A$49,products!$E$2:$E$49)</f>
        <v>8.91</v>
      </c>
      <c r="O637">
        <f>_xlfn.XLOOKUP(D637,products!$A$2:$A$49,products!$H$2:$H$49)</f>
        <v>7.9298999999999999</v>
      </c>
      <c r="P637">
        <f t="shared" si="56"/>
        <v>35.64</v>
      </c>
      <c r="Q637">
        <f t="shared" si="57"/>
        <v>31.7196</v>
      </c>
      <c r="R637">
        <f t="shared" si="58"/>
        <v>3.9204000000000008</v>
      </c>
      <c r="S637" s="4">
        <f t="shared" si="59"/>
        <v>0.11000000000000001</v>
      </c>
      <c r="T637" t="str">
        <f>_xlfn.XLOOKUP(C637,customers!$A$1:$A$1001,customers!$I$1:$I$1001,,0)</f>
        <v>Yes</v>
      </c>
    </row>
    <row r="638" spans="1:20"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INDEX(products!$A$1:$I$49,MATCH(orders!$D638,products!$A$1:$A$49,0),MATCH(orders!I$1,products!$A$1:$D$1,0))</f>
        <v>Lib</v>
      </c>
      <c r="J638" t="str">
        <f t="shared" si="54"/>
        <v>Liberica</v>
      </c>
      <c r="K638" t="str">
        <f>INDEX(products!$A$1:$I$49,MATCH(orders!$D638,products!$A$1:$A$49,0),MATCH(orders!K$1,products!$A$1:$D$1,0))</f>
        <v>L</v>
      </c>
      <c r="L638" t="str">
        <f t="shared" si="55"/>
        <v>Light</v>
      </c>
      <c r="M638">
        <f>INDEX(products!$A$1:$I$49,MATCH(orders!$D638,products!$A$1:$A$49,0),MATCH(orders!M$1,products!$A$1:$D$1,0))</f>
        <v>1</v>
      </c>
      <c r="N638">
        <f>_xlfn.XLOOKUP(D638,products!$A$2:$A$49,products!$E$2:$E$49)</f>
        <v>15.85</v>
      </c>
      <c r="O638">
        <f>_xlfn.XLOOKUP(D638,products!$A$2:$A$49,products!$H$2:$H$49)</f>
        <v>13.7895</v>
      </c>
      <c r="P638">
        <f t="shared" si="56"/>
        <v>95.1</v>
      </c>
      <c r="Q638">
        <f t="shared" si="57"/>
        <v>82.736999999999995</v>
      </c>
      <c r="R638">
        <f t="shared" si="58"/>
        <v>12.363</v>
      </c>
      <c r="S638" s="4">
        <f t="shared" si="59"/>
        <v>0.13</v>
      </c>
      <c r="T638" t="str">
        <f>_xlfn.XLOOKUP(C638,customers!$A$1:$A$1001,customers!$I$1:$I$1001,,0)</f>
        <v>Yes</v>
      </c>
    </row>
    <row r="639" spans="1:20"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INDEX(products!$A$1:$I$49,MATCH(orders!$D639,products!$A$1:$A$49,0),MATCH(orders!I$1,products!$A$1:$D$1,0))</f>
        <v>Exc</v>
      </c>
      <c r="J639" t="str">
        <f t="shared" si="54"/>
        <v>Excelsa</v>
      </c>
      <c r="K639" t="str">
        <f>INDEX(products!$A$1:$I$49,MATCH(orders!$D639,products!$A$1:$A$49,0),MATCH(orders!K$1,products!$A$1:$D$1,0))</f>
        <v>M</v>
      </c>
      <c r="L639" t="str">
        <f t="shared" si="55"/>
        <v>Medium</v>
      </c>
      <c r="M639">
        <f>INDEX(products!$A$1:$I$49,MATCH(orders!$D639,products!$A$1:$A$49,0),MATCH(orders!M$1,products!$A$1:$D$1,0))</f>
        <v>2.5</v>
      </c>
      <c r="N639">
        <f>_xlfn.XLOOKUP(D639,products!$A$2:$A$49,products!$E$2:$E$49)</f>
        <v>31.624999999999996</v>
      </c>
      <c r="O639">
        <f>_xlfn.XLOOKUP(D639,products!$A$2:$A$49,products!$H$2:$H$49)</f>
        <v>28.146249999999995</v>
      </c>
      <c r="P639">
        <f t="shared" si="56"/>
        <v>31.624999999999996</v>
      </c>
      <c r="Q639">
        <f t="shared" si="57"/>
        <v>28.146249999999995</v>
      </c>
      <c r="R639">
        <f t="shared" si="58"/>
        <v>3.4787500000000016</v>
      </c>
      <c r="S639" s="4">
        <f t="shared" si="59"/>
        <v>0.11000000000000006</v>
      </c>
      <c r="T639" t="str">
        <f>_xlfn.XLOOKUP(C639,customers!$A$1:$A$1001,customers!$I$1:$I$1001,,0)</f>
        <v>Yes</v>
      </c>
    </row>
    <row r="640" spans="1:20"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v>
      </c>
      <c r="H640" s="2" t="str">
        <f>_xlfn.XLOOKUP(C640,customers!$A$1:$A$1001,customers!$G$1:$G$1001,,0)</f>
        <v>Ireland</v>
      </c>
      <c r="I640" t="str">
        <f>INDEX(products!$A$1:$I$49,MATCH(orders!$D640,products!$A$1:$A$49,0),MATCH(orders!I$1,products!$A$1:$D$1,0))</f>
        <v>Ara</v>
      </c>
      <c r="J640" t="str">
        <f t="shared" si="54"/>
        <v>Arabica</v>
      </c>
      <c r="K640" t="str">
        <f>INDEX(products!$A$1:$I$49,MATCH(orders!$D640,products!$A$1:$A$49,0),MATCH(orders!K$1,products!$A$1:$D$1,0))</f>
        <v>M</v>
      </c>
      <c r="L640" t="str">
        <f t="shared" si="55"/>
        <v>Medium</v>
      </c>
      <c r="M640">
        <f>INDEX(products!$A$1:$I$49,MATCH(orders!$D640,products!$A$1:$A$49,0),MATCH(orders!M$1,products!$A$1:$D$1,0))</f>
        <v>2.5</v>
      </c>
      <c r="N640">
        <f>_xlfn.XLOOKUP(D640,products!$A$2:$A$49,products!$E$2:$E$49)</f>
        <v>25.874999999999996</v>
      </c>
      <c r="O640">
        <f>_xlfn.XLOOKUP(D640,products!$A$2:$A$49,products!$H$2:$H$49)</f>
        <v>23.546249999999997</v>
      </c>
      <c r="P640">
        <f t="shared" si="56"/>
        <v>77.624999999999986</v>
      </c>
      <c r="Q640">
        <f t="shared" si="57"/>
        <v>70.638749999999987</v>
      </c>
      <c r="R640">
        <f t="shared" si="58"/>
        <v>6.9862499999999983</v>
      </c>
      <c r="S640" s="4">
        <f t="shared" si="59"/>
        <v>0.09</v>
      </c>
      <c r="T640" t="str">
        <f>_xlfn.XLOOKUP(C640,customers!$A$1:$A$1001,customers!$I$1:$I$1001,,0)</f>
        <v>Yes</v>
      </c>
    </row>
    <row r="641" spans="1:20"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INDEX(products!$A$1:$I$49,MATCH(orders!$D641,products!$A$1:$A$49,0),MATCH(orders!I$1,products!$A$1:$D$1,0))</f>
        <v>Lib</v>
      </c>
      <c r="J641" t="str">
        <f t="shared" si="54"/>
        <v>Liberica</v>
      </c>
      <c r="K641" t="str">
        <f>INDEX(products!$A$1:$I$49,MATCH(orders!$D641,products!$A$1:$A$49,0),MATCH(orders!K$1,products!$A$1:$D$1,0))</f>
        <v>D</v>
      </c>
      <c r="L641" t="str">
        <f t="shared" si="55"/>
        <v>Dark</v>
      </c>
      <c r="M641">
        <f>INDEX(products!$A$1:$I$49,MATCH(orders!$D641,products!$A$1:$A$49,0),MATCH(orders!M$1,products!$A$1:$D$1,0))</f>
        <v>0.2</v>
      </c>
      <c r="N641">
        <f>_xlfn.XLOOKUP(D641,products!$A$2:$A$49,products!$E$2:$E$49)</f>
        <v>3.8849999999999998</v>
      </c>
      <c r="O641">
        <f>_xlfn.XLOOKUP(D641,products!$A$2:$A$49,products!$H$2:$H$49)</f>
        <v>3.37995</v>
      </c>
      <c r="P641">
        <f t="shared" si="56"/>
        <v>3.8849999999999998</v>
      </c>
      <c r="Q641">
        <f t="shared" si="57"/>
        <v>3.37995</v>
      </c>
      <c r="R641">
        <f t="shared" si="58"/>
        <v>0.50504999999999978</v>
      </c>
      <c r="S641" s="4">
        <f t="shared" si="59"/>
        <v>0.12999999999999995</v>
      </c>
      <c r="T641" t="str">
        <f>_xlfn.XLOOKUP(C641,customers!$A$1:$A$1001,customers!$I$1:$I$1001,,0)</f>
        <v>Yes</v>
      </c>
    </row>
    <row r="642" spans="1:20"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INDEX(products!$A$1:$I$49,MATCH(orders!$D642,products!$A$1:$A$49,0),MATCH(orders!I$1,products!$A$1:$D$1,0))</f>
        <v>Rob</v>
      </c>
      <c r="J642" t="str">
        <f t="shared" si="54"/>
        <v>Robusta</v>
      </c>
      <c r="K642" t="str">
        <f>INDEX(products!$A$1:$I$49,MATCH(orders!$D642,products!$A$1:$A$49,0),MATCH(orders!K$1,products!$A$1:$D$1,0))</f>
        <v>L</v>
      </c>
      <c r="L642" t="str">
        <f t="shared" si="55"/>
        <v>Light</v>
      </c>
      <c r="M642">
        <f>INDEX(products!$A$1:$I$49,MATCH(orders!$D642,products!$A$1:$A$49,0),MATCH(orders!M$1,products!$A$1:$D$1,0))</f>
        <v>2.5</v>
      </c>
      <c r="N642">
        <f>_xlfn.XLOOKUP(D642,products!$A$2:$A$49,products!$E$2:$E$49)</f>
        <v>27.484999999999996</v>
      </c>
      <c r="O642">
        <f>_xlfn.XLOOKUP(D642,products!$A$2:$A$49,products!$H$2:$H$49)</f>
        <v>25.835899999999995</v>
      </c>
      <c r="P642">
        <f t="shared" si="56"/>
        <v>137.42499999999998</v>
      </c>
      <c r="Q642">
        <f t="shared" si="57"/>
        <v>129.17949999999996</v>
      </c>
      <c r="R642">
        <f t="shared" si="58"/>
        <v>8.2455000000000211</v>
      </c>
      <c r="S642" s="4">
        <f t="shared" si="59"/>
        <v>6.0000000000000164E-2</v>
      </c>
      <c r="T642" t="str">
        <f>_xlfn.XLOOKUP(C642,customers!$A$1:$A$1001,customers!$I$1:$I$1001,,0)</f>
        <v>No</v>
      </c>
    </row>
    <row r="643" spans="1:20"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INDEX(products!$A$1:$I$49,MATCH(orders!$D643,products!$A$1:$A$49,0),MATCH(orders!I$1,products!$A$1:$D$1,0))</f>
        <v>Rob</v>
      </c>
      <c r="J643" t="str">
        <f t="shared" ref="J643:J706" si="60">IF(I643="Rob","Robusta",IF(I643="Exc","Excelsa",IF(I643="Ara","Arabica",IF(I643="Lib","Liberica",""))))</f>
        <v>Robusta</v>
      </c>
      <c r="K643" t="str">
        <f>INDEX(products!$A$1:$I$49,MATCH(orders!$D643,products!$A$1:$A$49,0),MATCH(orders!K$1,products!$A$1:$D$1,0))</f>
        <v>L</v>
      </c>
      <c r="L643" t="str">
        <f t="shared" ref="L643:L706" si="61">IF(K643="M","Medium",IF(K643="L","Light",IF(K643="D","Dark","")))</f>
        <v>Light</v>
      </c>
      <c r="M643">
        <f>INDEX(products!$A$1:$I$49,MATCH(orders!$D643,products!$A$1:$A$49,0),MATCH(orders!M$1,products!$A$1:$D$1,0))</f>
        <v>1</v>
      </c>
      <c r="N643">
        <f>_xlfn.XLOOKUP(D643,products!$A$2:$A$49,products!$E$2:$E$49)</f>
        <v>11.95</v>
      </c>
      <c r="O643">
        <f>_xlfn.XLOOKUP(D643,products!$A$2:$A$49,products!$H$2:$H$49)</f>
        <v>11.232999999999999</v>
      </c>
      <c r="P643">
        <f t="shared" ref="P643:P706" si="62">N643*E643</f>
        <v>35.849999999999994</v>
      </c>
      <c r="Q643">
        <f t="shared" ref="Q643:Q706" si="63">O643*E643</f>
        <v>33.698999999999998</v>
      </c>
      <c r="R643">
        <f t="shared" ref="R643:R706" si="64">P643-Q643</f>
        <v>2.1509999999999962</v>
      </c>
      <c r="S643" s="4">
        <f t="shared" ref="S643:S706" si="65">R643/P643</f>
        <v>5.9999999999999908E-2</v>
      </c>
      <c r="T643" t="str">
        <f>_xlfn.XLOOKUP(C643,customers!$A$1:$A$1001,customers!$I$1:$I$1001,,0)</f>
        <v>Yes</v>
      </c>
    </row>
    <row r="644" spans="1:20"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INDEX(products!$A$1:$I$49,MATCH(orders!$D644,products!$A$1:$A$49,0),MATCH(orders!I$1,products!$A$1:$D$1,0))</f>
        <v>Exc</v>
      </c>
      <c r="J644" t="str">
        <f t="shared" si="60"/>
        <v>Excelsa</v>
      </c>
      <c r="K644" t="str">
        <f>INDEX(products!$A$1:$I$49,MATCH(orders!$D644,products!$A$1:$A$49,0),MATCH(orders!K$1,products!$A$1:$D$1,0))</f>
        <v>M</v>
      </c>
      <c r="L644" t="str">
        <f t="shared" si="61"/>
        <v>Medium</v>
      </c>
      <c r="M644">
        <f>INDEX(products!$A$1:$I$49,MATCH(orders!$D644,products!$A$1:$A$49,0),MATCH(orders!M$1,products!$A$1:$D$1,0))</f>
        <v>0.2</v>
      </c>
      <c r="N644">
        <f>_xlfn.XLOOKUP(D644,products!$A$2:$A$49,products!$E$2:$E$49)</f>
        <v>4.125</v>
      </c>
      <c r="O644">
        <f>_xlfn.XLOOKUP(D644,products!$A$2:$A$49,products!$H$2:$H$49)</f>
        <v>3.6712500000000001</v>
      </c>
      <c r="P644">
        <f t="shared" si="62"/>
        <v>8.25</v>
      </c>
      <c r="Q644">
        <f t="shared" si="63"/>
        <v>7.3425000000000002</v>
      </c>
      <c r="R644">
        <f t="shared" si="64"/>
        <v>0.90749999999999975</v>
      </c>
      <c r="S644" s="4">
        <f t="shared" si="65"/>
        <v>0.10999999999999997</v>
      </c>
      <c r="T644" t="str">
        <f>_xlfn.XLOOKUP(C644,customers!$A$1:$A$1001,customers!$I$1:$I$1001,,0)</f>
        <v>Yes</v>
      </c>
    </row>
    <row r="645" spans="1:20"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INDEX(products!$A$1:$I$49,MATCH(orders!$D645,products!$A$1:$A$49,0),MATCH(orders!I$1,products!$A$1:$D$1,0))</f>
        <v>Exc</v>
      </c>
      <c r="J645" t="str">
        <f t="shared" si="60"/>
        <v>Excelsa</v>
      </c>
      <c r="K645" t="str">
        <f>INDEX(products!$A$1:$I$49,MATCH(orders!$D645,products!$A$1:$A$49,0),MATCH(orders!K$1,products!$A$1:$D$1,0))</f>
        <v>L</v>
      </c>
      <c r="L645" t="str">
        <f t="shared" si="61"/>
        <v>Light</v>
      </c>
      <c r="M645">
        <f>INDEX(products!$A$1:$I$49,MATCH(orders!$D645,products!$A$1:$A$49,0),MATCH(orders!M$1,products!$A$1:$D$1,0))</f>
        <v>2.5</v>
      </c>
      <c r="N645">
        <f>_xlfn.XLOOKUP(D645,products!$A$2:$A$49,products!$E$2:$E$49)</f>
        <v>34.154999999999994</v>
      </c>
      <c r="O645">
        <f>_xlfn.XLOOKUP(D645,products!$A$2:$A$49,products!$H$2:$H$49)</f>
        <v>30.397949999999994</v>
      </c>
      <c r="P645">
        <f t="shared" si="62"/>
        <v>102.46499999999997</v>
      </c>
      <c r="Q645">
        <f t="shared" si="63"/>
        <v>91.193849999999983</v>
      </c>
      <c r="R645">
        <f t="shared" si="64"/>
        <v>11.271149999999992</v>
      </c>
      <c r="S645" s="4">
        <f t="shared" si="65"/>
        <v>0.10999999999999995</v>
      </c>
      <c r="T645" t="str">
        <f>_xlfn.XLOOKUP(C645,customers!$A$1:$A$1001,customers!$I$1:$I$1001,,0)</f>
        <v>Yes</v>
      </c>
    </row>
    <row r="646" spans="1:20"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v>
      </c>
      <c r="H646" s="2" t="str">
        <f>_xlfn.XLOOKUP(C646,customers!$A$1:$A$1001,customers!$G$1:$G$1001,,0)</f>
        <v>United States</v>
      </c>
      <c r="I646" t="str">
        <f>INDEX(products!$A$1:$I$49,MATCH(orders!$D646,products!$A$1:$A$49,0),MATCH(orders!I$1,products!$A$1:$D$1,0))</f>
        <v>Rob</v>
      </c>
      <c r="J646" t="str">
        <f t="shared" si="60"/>
        <v>Robusta</v>
      </c>
      <c r="K646" t="str">
        <f>INDEX(products!$A$1:$I$49,MATCH(orders!$D646,products!$A$1:$A$49,0),MATCH(orders!K$1,products!$A$1:$D$1,0))</f>
        <v>D</v>
      </c>
      <c r="L646" t="str">
        <f t="shared" si="61"/>
        <v>Dark</v>
      </c>
      <c r="M646">
        <f>INDEX(products!$A$1:$I$49,MATCH(orders!$D646,products!$A$1:$A$49,0),MATCH(orders!M$1,products!$A$1:$D$1,0))</f>
        <v>2.5</v>
      </c>
      <c r="N646">
        <f>_xlfn.XLOOKUP(D646,products!$A$2:$A$49,products!$E$2:$E$49)</f>
        <v>20.584999999999997</v>
      </c>
      <c r="O646">
        <f>_xlfn.XLOOKUP(D646,products!$A$2:$A$49,products!$H$2:$H$49)</f>
        <v>19.349899999999998</v>
      </c>
      <c r="P646">
        <f t="shared" si="62"/>
        <v>41.169999999999995</v>
      </c>
      <c r="Q646">
        <f t="shared" si="63"/>
        <v>38.699799999999996</v>
      </c>
      <c r="R646">
        <f t="shared" si="64"/>
        <v>2.4701999999999984</v>
      </c>
      <c r="S646" s="4">
        <f t="shared" si="65"/>
        <v>5.999999999999997E-2</v>
      </c>
      <c r="T646" t="str">
        <f>_xlfn.XLOOKUP(C646,customers!$A$1:$A$1001,customers!$I$1:$I$1001,,0)</f>
        <v>No</v>
      </c>
    </row>
    <row r="647" spans="1:20"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INDEX(products!$A$1:$I$49,MATCH(orders!$D647,products!$A$1:$A$49,0),MATCH(orders!I$1,products!$A$1:$D$1,0))</f>
        <v>Ara</v>
      </c>
      <c r="J647" t="str">
        <f t="shared" si="60"/>
        <v>Arabica</v>
      </c>
      <c r="K647" t="str">
        <f>INDEX(products!$A$1:$I$49,MATCH(orders!$D647,products!$A$1:$A$49,0),MATCH(orders!K$1,products!$A$1:$D$1,0))</f>
        <v>D</v>
      </c>
      <c r="L647" t="str">
        <f t="shared" si="61"/>
        <v>Dark</v>
      </c>
      <c r="M647">
        <f>INDEX(products!$A$1:$I$49,MATCH(orders!$D647,products!$A$1:$A$49,0),MATCH(orders!M$1,products!$A$1:$D$1,0))</f>
        <v>2.5</v>
      </c>
      <c r="N647">
        <f>_xlfn.XLOOKUP(D647,products!$A$2:$A$49,products!$E$2:$E$49)</f>
        <v>22.884999999999998</v>
      </c>
      <c r="O647">
        <f>_xlfn.XLOOKUP(D647,products!$A$2:$A$49,products!$H$2:$H$49)</f>
        <v>20.82535</v>
      </c>
      <c r="P647">
        <f t="shared" si="62"/>
        <v>68.655000000000001</v>
      </c>
      <c r="Q647">
        <f t="shared" si="63"/>
        <v>62.476050000000001</v>
      </c>
      <c r="R647">
        <f t="shared" si="64"/>
        <v>6.1789500000000004</v>
      </c>
      <c r="S647" s="4">
        <f t="shared" si="65"/>
        <v>9.0000000000000011E-2</v>
      </c>
      <c r="T647" t="str">
        <f>_xlfn.XLOOKUP(C647,customers!$A$1:$A$1001,customers!$I$1:$I$1001,,0)</f>
        <v>Yes</v>
      </c>
    </row>
    <row r="648" spans="1:20"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INDEX(products!$A$1:$I$49,MATCH(orders!$D648,products!$A$1:$A$49,0),MATCH(orders!I$1,products!$A$1:$D$1,0))</f>
        <v>Ara</v>
      </c>
      <c r="J648" t="str">
        <f t="shared" si="60"/>
        <v>Arabica</v>
      </c>
      <c r="K648" t="str">
        <f>INDEX(products!$A$1:$I$49,MATCH(orders!$D648,products!$A$1:$A$49,0),MATCH(orders!K$1,products!$A$1:$D$1,0))</f>
        <v>D</v>
      </c>
      <c r="L648" t="str">
        <f t="shared" si="61"/>
        <v>Dark</v>
      </c>
      <c r="M648">
        <f>INDEX(products!$A$1:$I$49,MATCH(orders!$D648,products!$A$1:$A$49,0),MATCH(orders!M$1,products!$A$1:$D$1,0))</f>
        <v>1</v>
      </c>
      <c r="N648">
        <f>_xlfn.XLOOKUP(D648,products!$A$2:$A$49,products!$E$2:$E$49)</f>
        <v>9.9499999999999993</v>
      </c>
      <c r="O648">
        <f>_xlfn.XLOOKUP(D648,products!$A$2:$A$49,products!$H$2:$H$49)</f>
        <v>9.0544999999999991</v>
      </c>
      <c r="P648">
        <f t="shared" si="62"/>
        <v>9.9499999999999993</v>
      </c>
      <c r="Q648">
        <f t="shared" si="63"/>
        <v>9.0544999999999991</v>
      </c>
      <c r="R648">
        <f t="shared" si="64"/>
        <v>0.89550000000000018</v>
      </c>
      <c r="S648" s="4">
        <f t="shared" si="65"/>
        <v>9.0000000000000024E-2</v>
      </c>
      <c r="T648" t="str">
        <f>_xlfn.XLOOKUP(C648,customers!$A$1:$A$1001,customers!$I$1:$I$1001,,0)</f>
        <v>Yes</v>
      </c>
    </row>
    <row r="649" spans="1:20"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INDEX(products!$A$1:$I$49,MATCH(orders!$D649,products!$A$1:$A$49,0),MATCH(orders!I$1,products!$A$1:$D$1,0))</f>
        <v>Lib</v>
      </c>
      <c r="J649" t="str">
        <f t="shared" si="60"/>
        <v>Liberica</v>
      </c>
      <c r="K649" t="str">
        <f>INDEX(products!$A$1:$I$49,MATCH(orders!$D649,products!$A$1:$A$49,0),MATCH(orders!K$1,products!$A$1:$D$1,0))</f>
        <v>L</v>
      </c>
      <c r="L649" t="str">
        <f t="shared" si="61"/>
        <v>Light</v>
      </c>
      <c r="M649">
        <f>INDEX(products!$A$1:$I$49,MATCH(orders!$D649,products!$A$1:$A$49,0),MATCH(orders!M$1,products!$A$1:$D$1,0))</f>
        <v>0.5</v>
      </c>
      <c r="N649">
        <f>_xlfn.XLOOKUP(D649,products!$A$2:$A$49,products!$E$2:$E$49)</f>
        <v>9.51</v>
      </c>
      <c r="O649">
        <f>_xlfn.XLOOKUP(D649,products!$A$2:$A$49,products!$H$2:$H$49)</f>
        <v>8.2736999999999998</v>
      </c>
      <c r="P649">
        <f t="shared" si="62"/>
        <v>28.53</v>
      </c>
      <c r="Q649">
        <f t="shared" si="63"/>
        <v>24.821100000000001</v>
      </c>
      <c r="R649">
        <f t="shared" si="64"/>
        <v>3.7088999999999999</v>
      </c>
      <c r="S649" s="4">
        <f t="shared" si="65"/>
        <v>0.12999999999999998</v>
      </c>
      <c r="T649" t="str">
        <f>_xlfn.XLOOKUP(C649,customers!$A$1:$A$1001,customers!$I$1:$I$1001,,0)</f>
        <v>Yes</v>
      </c>
    </row>
    <row r="650" spans="1:20"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INDEX(products!$A$1:$I$49,MATCH(orders!$D650,products!$A$1:$A$49,0),MATCH(orders!I$1,products!$A$1:$D$1,0))</f>
        <v>Rob</v>
      </c>
      <c r="J650" t="str">
        <f t="shared" si="60"/>
        <v>Robusta</v>
      </c>
      <c r="K650" t="str">
        <f>INDEX(products!$A$1:$I$49,MATCH(orders!$D650,products!$A$1:$A$49,0),MATCH(orders!K$1,products!$A$1:$D$1,0))</f>
        <v>D</v>
      </c>
      <c r="L650" t="str">
        <f t="shared" si="61"/>
        <v>Dark</v>
      </c>
      <c r="M650">
        <f>INDEX(products!$A$1:$I$49,MATCH(orders!$D650,products!$A$1:$A$49,0),MATCH(orders!M$1,products!$A$1:$D$1,0))</f>
        <v>0.2</v>
      </c>
      <c r="N650">
        <f>_xlfn.XLOOKUP(D650,products!$A$2:$A$49,products!$E$2:$E$49)</f>
        <v>2.6849999999999996</v>
      </c>
      <c r="O650">
        <f>_xlfn.XLOOKUP(D650,products!$A$2:$A$49,products!$H$2:$H$49)</f>
        <v>2.5238999999999998</v>
      </c>
      <c r="P650">
        <f t="shared" si="62"/>
        <v>16.11</v>
      </c>
      <c r="Q650">
        <f t="shared" si="63"/>
        <v>15.1434</v>
      </c>
      <c r="R650">
        <f t="shared" si="64"/>
        <v>0.96659999999999968</v>
      </c>
      <c r="S650" s="4">
        <f t="shared" si="65"/>
        <v>5.9999999999999984E-2</v>
      </c>
      <c r="T650" t="str">
        <f>_xlfn.XLOOKUP(C650,customers!$A$1:$A$1001,customers!$I$1:$I$1001,,0)</f>
        <v>No</v>
      </c>
    </row>
    <row r="651" spans="1:20"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INDEX(products!$A$1:$I$49,MATCH(orders!$D651,products!$A$1:$A$49,0),MATCH(orders!I$1,products!$A$1:$D$1,0))</f>
        <v>Lib</v>
      </c>
      <c r="J651" t="str">
        <f t="shared" si="60"/>
        <v>Liberica</v>
      </c>
      <c r="K651" t="str">
        <f>INDEX(products!$A$1:$I$49,MATCH(orders!$D651,products!$A$1:$A$49,0),MATCH(orders!K$1,products!$A$1:$D$1,0))</f>
        <v>L</v>
      </c>
      <c r="L651" t="str">
        <f t="shared" si="61"/>
        <v>Light</v>
      </c>
      <c r="M651">
        <f>INDEX(products!$A$1:$I$49,MATCH(orders!$D651,products!$A$1:$A$49,0),MATCH(orders!M$1,products!$A$1:$D$1,0))</f>
        <v>1</v>
      </c>
      <c r="N651">
        <f>_xlfn.XLOOKUP(D651,products!$A$2:$A$49,products!$E$2:$E$49)</f>
        <v>15.85</v>
      </c>
      <c r="O651">
        <f>_xlfn.XLOOKUP(D651,products!$A$2:$A$49,products!$H$2:$H$49)</f>
        <v>13.7895</v>
      </c>
      <c r="P651">
        <f t="shared" si="62"/>
        <v>95.1</v>
      </c>
      <c r="Q651">
        <f t="shared" si="63"/>
        <v>82.736999999999995</v>
      </c>
      <c r="R651">
        <f t="shared" si="64"/>
        <v>12.363</v>
      </c>
      <c r="S651" s="4">
        <f t="shared" si="65"/>
        <v>0.13</v>
      </c>
      <c r="T651" t="str">
        <f>_xlfn.XLOOKUP(C651,customers!$A$1:$A$1001,customers!$I$1:$I$1001,,0)</f>
        <v>No</v>
      </c>
    </row>
    <row r="652" spans="1:20"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INDEX(products!$A$1:$I$49,MATCH(orders!$D652,products!$A$1:$A$49,0),MATCH(orders!I$1,products!$A$1:$D$1,0))</f>
        <v>Rob</v>
      </c>
      <c r="J652" t="str">
        <f t="shared" si="60"/>
        <v>Robusta</v>
      </c>
      <c r="K652" t="str">
        <f>INDEX(products!$A$1:$I$49,MATCH(orders!$D652,products!$A$1:$A$49,0),MATCH(orders!K$1,products!$A$1:$D$1,0))</f>
        <v>D</v>
      </c>
      <c r="L652" t="str">
        <f t="shared" si="61"/>
        <v>Dark</v>
      </c>
      <c r="M652">
        <f>INDEX(products!$A$1:$I$49,MATCH(orders!$D652,products!$A$1:$A$49,0),MATCH(orders!M$1,products!$A$1:$D$1,0))</f>
        <v>0.5</v>
      </c>
      <c r="N652">
        <f>_xlfn.XLOOKUP(D652,products!$A$2:$A$49,products!$E$2:$E$49)</f>
        <v>5.3699999999999992</v>
      </c>
      <c r="O652">
        <f>_xlfn.XLOOKUP(D652,products!$A$2:$A$49,products!$H$2:$H$49)</f>
        <v>5.0477999999999996</v>
      </c>
      <c r="P652">
        <f t="shared" si="62"/>
        <v>5.3699999999999992</v>
      </c>
      <c r="Q652">
        <f t="shared" si="63"/>
        <v>5.0477999999999996</v>
      </c>
      <c r="R652">
        <f t="shared" si="64"/>
        <v>0.3221999999999996</v>
      </c>
      <c r="S652" s="4">
        <f t="shared" si="65"/>
        <v>5.9999999999999935E-2</v>
      </c>
      <c r="T652" t="str">
        <f>_xlfn.XLOOKUP(C652,customers!$A$1:$A$1001,customers!$I$1:$I$1001,,0)</f>
        <v>Yes</v>
      </c>
    </row>
    <row r="653" spans="1:20"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v>
      </c>
      <c r="H653" s="2" t="str">
        <f>_xlfn.XLOOKUP(C653,customers!$A$1:$A$1001,customers!$G$1:$G$1001,,0)</f>
        <v>United States</v>
      </c>
      <c r="I653" t="str">
        <f>INDEX(products!$A$1:$I$49,MATCH(orders!$D653,products!$A$1:$A$49,0),MATCH(orders!I$1,products!$A$1:$D$1,0))</f>
        <v>Rob</v>
      </c>
      <c r="J653" t="str">
        <f t="shared" si="60"/>
        <v>Robusta</v>
      </c>
      <c r="K653" t="str">
        <f>INDEX(products!$A$1:$I$49,MATCH(orders!$D653,products!$A$1:$A$49,0),MATCH(orders!K$1,products!$A$1:$D$1,0))</f>
        <v>L</v>
      </c>
      <c r="L653" t="str">
        <f t="shared" si="61"/>
        <v>Light</v>
      </c>
      <c r="M653">
        <f>INDEX(products!$A$1:$I$49,MATCH(orders!$D653,products!$A$1:$A$49,0),MATCH(orders!M$1,products!$A$1:$D$1,0))</f>
        <v>1</v>
      </c>
      <c r="N653">
        <f>_xlfn.XLOOKUP(D653,products!$A$2:$A$49,products!$E$2:$E$49)</f>
        <v>11.95</v>
      </c>
      <c r="O653">
        <f>_xlfn.XLOOKUP(D653,products!$A$2:$A$49,products!$H$2:$H$49)</f>
        <v>11.232999999999999</v>
      </c>
      <c r="P653">
        <f t="shared" si="62"/>
        <v>47.8</v>
      </c>
      <c r="Q653">
        <f t="shared" si="63"/>
        <v>44.931999999999995</v>
      </c>
      <c r="R653">
        <f t="shared" si="64"/>
        <v>2.8680000000000021</v>
      </c>
      <c r="S653" s="4">
        <f t="shared" si="65"/>
        <v>6.0000000000000046E-2</v>
      </c>
      <c r="T653" t="str">
        <f>_xlfn.XLOOKUP(C653,customers!$A$1:$A$1001,customers!$I$1:$I$1001,,0)</f>
        <v>No</v>
      </c>
    </row>
    <row r="654" spans="1:20"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INDEX(products!$A$1:$I$49,MATCH(orders!$D654,products!$A$1:$A$49,0),MATCH(orders!I$1,products!$A$1:$D$1,0))</f>
        <v>Lib</v>
      </c>
      <c r="J654" t="str">
        <f t="shared" si="60"/>
        <v>Liberica</v>
      </c>
      <c r="K654" t="str">
        <f>INDEX(products!$A$1:$I$49,MATCH(orders!$D654,products!$A$1:$A$49,0),MATCH(orders!K$1,products!$A$1:$D$1,0))</f>
        <v>L</v>
      </c>
      <c r="L654" t="str">
        <f t="shared" si="61"/>
        <v>Light</v>
      </c>
      <c r="M654">
        <f>INDEX(products!$A$1:$I$49,MATCH(orders!$D654,products!$A$1:$A$49,0),MATCH(orders!M$1,products!$A$1:$D$1,0))</f>
        <v>1</v>
      </c>
      <c r="N654">
        <f>_xlfn.XLOOKUP(D654,products!$A$2:$A$49,products!$E$2:$E$49)</f>
        <v>15.85</v>
      </c>
      <c r="O654">
        <f>_xlfn.XLOOKUP(D654,products!$A$2:$A$49,products!$H$2:$H$49)</f>
        <v>13.7895</v>
      </c>
      <c r="P654">
        <f t="shared" si="62"/>
        <v>63.4</v>
      </c>
      <c r="Q654">
        <f t="shared" si="63"/>
        <v>55.158000000000001</v>
      </c>
      <c r="R654">
        <f t="shared" si="64"/>
        <v>8.2419999999999973</v>
      </c>
      <c r="S654" s="4">
        <f t="shared" si="65"/>
        <v>0.12999999999999995</v>
      </c>
      <c r="T654" t="str">
        <f>_xlfn.XLOOKUP(C654,customers!$A$1:$A$1001,customers!$I$1:$I$1001,,0)</f>
        <v>No</v>
      </c>
    </row>
    <row r="655" spans="1:20"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INDEX(products!$A$1:$I$49,MATCH(orders!$D655,products!$A$1:$A$49,0),MATCH(orders!I$1,products!$A$1:$D$1,0))</f>
        <v>Ara</v>
      </c>
      <c r="J655" t="str">
        <f t="shared" si="60"/>
        <v>Arabica</v>
      </c>
      <c r="K655" t="str">
        <f>INDEX(products!$A$1:$I$49,MATCH(orders!$D655,products!$A$1:$A$49,0),MATCH(orders!K$1,products!$A$1:$D$1,0))</f>
        <v>M</v>
      </c>
      <c r="L655" t="str">
        <f t="shared" si="61"/>
        <v>Medium</v>
      </c>
      <c r="M655">
        <f>INDEX(products!$A$1:$I$49,MATCH(orders!$D655,products!$A$1:$A$49,0),MATCH(orders!M$1,products!$A$1:$D$1,0))</f>
        <v>2.5</v>
      </c>
      <c r="N655">
        <f>_xlfn.XLOOKUP(D655,products!$A$2:$A$49,products!$E$2:$E$49)</f>
        <v>25.874999999999996</v>
      </c>
      <c r="O655">
        <f>_xlfn.XLOOKUP(D655,products!$A$2:$A$49,products!$H$2:$H$49)</f>
        <v>23.546249999999997</v>
      </c>
      <c r="P655">
        <f t="shared" si="62"/>
        <v>103.49999999999999</v>
      </c>
      <c r="Q655">
        <f t="shared" si="63"/>
        <v>94.184999999999988</v>
      </c>
      <c r="R655">
        <f t="shared" si="64"/>
        <v>9.3149999999999977</v>
      </c>
      <c r="S655" s="4">
        <f t="shared" si="65"/>
        <v>0.09</v>
      </c>
      <c r="T655" t="str">
        <f>_xlfn.XLOOKUP(C655,customers!$A$1:$A$1001,customers!$I$1:$I$1001,,0)</f>
        <v>No</v>
      </c>
    </row>
    <row r="656" spans="1:20"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INDEX(products!$A$1:$I$49,MATCH(orders!$D656,products!$A$1:$A$49,0),MATCH(orders!I$1,products!$A$1:$D$1,0))</f>
        <v>Ara</v>
      </c>
      <c r="J656" t="str">
        <f t="shared" si="60"/>
        <v>Arabica</v>
      </c>
      <c r="K656" t="str">
        <f>INDEX(products!$A$1:$I$49,MATCH(orders!$D656,products!$A$1:$A$49,0),MATCH(orders!K$1,products!$A$1:$D$1,0))</f>
        <v>D</v>
      </c>
      <c r="L656" t="str">
        <f t="shared" si="61"/>
        <v>Dark</v>
      </c>
      <c r="M656">
        <f>INDEX(products!$A$1:$I$49,MATCH(orders!$D656,products!$A$1:$A$49,0),MATCH(orders!M$1,products!$A$1:$D$1,0))</f>
        <v>2.5</v>
      </c>
      <c r="N656">
        <f>_xlfn.XLOOKUP(D656,products!$A$2:$A$49,products!$E$2:$E$49)</f>
        <v>22.884999999999998</v>
      </c>
      <c r="O656">
        <f>_xlfn.XLOOKUP(D656,products!$A$2:$A$49,products!$H$2:$H$49)</f>
        <v>20.82535</v>
      </c>
      <c r="P656">
        <f t="shared" si="62"/>
        <v>68.655000000000001</v>
      </c>
      <c r="Q656">
        <f t="shared" si="63"/>
        <v>62.476050000000001</v>
      </c>
      <c r="R656">
        <f t="shared" si="64"/>
        <v>6.1789500000000004</v>
      </c>
      <c r="S656" s="4">
        <f t="shared" si="65"/>
        <v>9.0000000000000011E-2</v>
      </c>
      <c r="T656" t="str">
        <f>_xlfn.XLOOKUP(C656,customers!$A$1:$A$1001,customers!$I$1:$I$1001,,0)</f>
        <v>No</v>
      </c>
    </row>
    <row r="657" spans="1:20"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INDEX(products!$A$1:$I$49,MATCH(orders!$D657,products!$A$1:$A$49,0),MATCH(orders!I$1,products!$A$1:$D$1,0))</f>
        <v>Rob</v>
      </c>
      <c r="J657" t="str">
        <f t="shared" si="60"/>
        <v>Robusta</v>
      </c>
      <c r="K657" t="str">
        <f>INDEX(products!$A$1:$I$49,MATCH(orders!$D657,products!$A$1:$A$49,0),MATCH(orders!K$1,products!$A$1:$D$1,0))</f>
        <v>M</v>
      </c>
      <c r="L657" t="str">
        <f t="shared" si="61"/>
        <v>Medium</v>
      </c>
      <c r="M657">
        <f>INDEX(products!$A$1:$I$49,MATCH(orders!$D657,products!$A$1:$A$49,0),MATCH(orders!M$1,products!$A$1:$D$1,0))</f>
        <v>2.5</v>
      </c>
      <c r="N657">
        <f>_xlfn.XLOOKUP(D657,products!$A$2:$A$49,products!$E$2:$E$49)</f>
        <v>22.884999999999998</v>
      </c>
      <c r="O657">
        <f>_xlfn.XLOOKUP(D657,products!$A$2:$A$49,products!$H$2:$H$49)</f>
        <v>21.511899999999997</v>
      </c>
      <c r="P657">
        <f t="shared" si="62"/>
        <v>45.769999999999996</v>
      </c>
      <c r="Q657">
        <f t="shared" si="63"/>
        <v>43.023799999999994</v>
      </c>
      <c r="R657">
        <f t="shared" si="64"/>
        <v>2.7462000000000018</v>
      </c>
      <c r="S657" s="4">
        <f t="shared" si="65"/>
        <v>6.0000000000000046E-2</v>
      </c>
      <c r="T657" t="str">
        <f>_xlfn.XLOOKUP(C657,customers!$A$1:$A$1001,customers!$I$1:$I$1001,,0)</f>
        <v>Yes</v>
      </c>
    </row>
    <row r="658" spans="1:20"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INDEX(products!$A$1:$I$49,MATCH(orders!$D658,products!$A$1:$A$49,0),MATCH(orders!I$1,products!$A$1:$D$1,0))</f>
        <v>Lib</v>
      </c>
      <c r="J658" t="str">
        <f t="shared" si="60"/>
        <v>Liberica</v>
      </c>
      <c r="K658" t="str">
        <f>INDEX(products!$A$1:$I$49,MATCH(orders!$D658,products!$A$1:$A$49,0),MATCH(orders!K$1,products!$A$1:$D$1,0))</f>
        <v>D</v>
      </c>
      <c r="L658" t="str">
        <f t="shared" si="61"/>
        <v>Dark</v>
      </c>
      <c r="M658">
        <f>INDEX(products!$A$1:$I$49,MATCH(orders!$D658,products!$A$1:$A$49,0),MATCH(orders!M$1,products!$A$1:$D$1,0))</f>
        <v>1</v>
      </c>
      <c r="N658">
        <f>_xlfn.XLOOKUP(D658,products!$A$2:$A$49,products!$E$2:$E$49)</f>
        <v>12.95</v>
      </c>
      <c r="O658">
        <f>_xlfn.XLOOKUP(D658,products!$A$2:$A$49,products!$H$2:$H$49)</f>
        <v>11.266499999999999</v>
      </c>
      <c r="P658">
        <f t="shared" si="62"/>
        <v>51.8</v>
      </c>
      <c r="Q658">
        <f t="shared" si="63"/>
        <v>45.065999999999995</v>
      </c>
      <c r="R658">
        <f t="shared" si="64"/>
        <v>6.7340000000000018</v>
      </c>
      <c r="S658" s="4">
        <f t="shared" si="65"/>
        <v>0.13000000000000003</v>
      </c>
      <c r="T658" t="str">
        <f>_xlfn.XLOOKUP(C658,customers!$A$1:$A$1001,customers!$I$1:$I$1001,,0)</f>
        <v>No</v>
      </c>
    </row>
    <row r="659" spans="1:20"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INDEX(products!$A$1:$I$49,MATCH(orders!$D659,products!$A$1:$A$49,0),MATCH(orders!I$1,products!$A$1:$D$1,0))</f>
        <v>Ara</v>
      </c>
      <c r="J659" t="str">
        <f t="shared" si="60"/>
        <v>Arabica</v>
      </c>
      <c r="K659" t="str">
        <f>INDEX(products!$A$1:$I$49,MATCH(orders!$D659,products!$A$1:$A$49,0),MATCH(orders!K$1,products!$A$1:$D$1,0))</f>
        <v>M</v>
      </c>
      <c r="L659" t="str">
        <f t="shared" si="61"/>
        <v>Medium</v>
      </c>
      <c r="M659">
        <f>INDEX(products!$A$1:$I$49,MATCH(orders!$D659,products!$A$1:$A$49,0),MATCH(orders!M$1,products!$A$1:$D$1,0))</f>
        <v>0.5</v>
      </c>
      <c r="N659">
        <f>_xlfn.XLOOKUP(D659,products!$A$2:$A$49,products!$E$2:$E$49)</f>
        <v>6.75</v>
      </c>
      <c r="O659">
        <f>_xlfn.XLOOKUP(D659,products!$A$2:$A$49,products!$H$2:$H$49)</f>
        <v>6.1425000000000001</v>
      </c>
      <c r="P659">
        <f t="shared" si="62"/>
        <v>13.5</v>
      </c>
      <c r="Q659">
        <f t="shared" si="63"/>
        <v>12.285</v>
      </c>
      <c r="R659">
        <f t="shared" si="64"/>
        <v>1.2149999999999999</v>
      </c>
      <c r="S659" s="4">
        <f t="shared" si="65"/>
        <v>8.9999999999999983E-2</v>
      </c>
      <c r="T659" t="str">
        <f>_xlfn.XLOOKUP(C659,customers!$A$1:$A$1001,customers!$I$1:$I$1001,,0)</f>
        <v>Yes</v>
      </c>
    </row>
    <row r="660" spans="1:20"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INDEX(products!$A$1:$I$49,MATCH(orders!$D660,products!$A$1:$A$49,0),MATCH(orders!I$1,products!$A$1:$D$1,0))</f>
        <v>Exc</v>
      </c>
      <c r="J660" t="str">
        <f t="shared" si="60"/>
        <v>Excelsa</v>
      </c>
      <c r="K660" t="str">
        <f>INDEX(products!$A$1:$I$49,MATCH(orders!$D660,products!$A$1:$A$49,0),MATCH(orders!K$1,products!$A$1:$D$1,0))</f>
        <v>M</v>
      </c>
      <c r="L660" t="str">
        <f t="shared" si="61"/>
        <v>Medium</v>
      </c>
      <c r="M660">
        <f>INDEX(products!$A$1:$I$49,MATCH(orders!$D660,products!$A$1:$A$49,0),MATCH(orders!M$1,products!$A$1:$D$1,0))</f>
        <v>0.5</v>
      </c>
      <c r="N660">
        <f>_xlfn.XLOOKUP(D660,products!$A$2:$A$49,products!$E$2:$E$49)</f>
        <v>8.25</v>
      </c>
      <c r="O660">
        <f>_xlfn.XLOOKUP(D660,products!$A$2:$A$49,products!$H$2:$H$49)</f>
        <v>7.3425000000000002</v>
      </c>
      <c r="P660">
        <f t="shared" si="62"/>
        <v>24.75</v>
      </c>
      <c r="Q660">
        <f t="shared" si="63"/>
        <v>22.0275</v>
      </c>
      <c r="R660">
        <f t="shared" si="64"/>
        <v>2.7225000000000001</v>
      </c>
      <c r="S660" s="4">
        <f t="shared" si="65"/>
        <v>0.11</v>
      </c>
      <c r="T660" t="str">
        <f>_xlfn.XLOOKUP(C660,customers!$A$1:$A$1001,customers!$I$1:$I$1001,,0)</f>
        <v>Yes</v>
      </c>
    </row>
    <row r="661" spans="1:20"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INDEX(products!$A$1:$I$49,MATCH(orders!$D661,products!$A$1:$A$49,0),MATCH(orders!I$1,products!$A$1:$D$1,0))</f>
        <v>Ara</v>
      </c>
      <c r="J661" t="str">
        <f t="shared" si="60"/>
        <v>Arabica</v>
      </c>
      <c r="K661" t="str">
        <f>INDEX(products!$A$1:$I$49,MATCH(orders!$D661,products!$A$1:$A$49,0),MATCH(orders!K$1,products!$A$1:$D$1,0))</f>
        <v>D</v>
      </c>
      <c r="L661" t="str">
        <f t="shared" si="61"/>
        <v>Dark</v>
      </c>
      <c r="M661">
        <f>INDEX(products!$A$1:$I$49,MATCH(orders!$D661,products!$A$1:$A$49,0),MATCH(orders!M$1,products!$A$1:$D$1,0))</f>
        <v>2.5</v>
      </c>
      <c r="N661">
        <f>_xlfn.XLOOKUP(D661,products!$A$2:$A$49,products!$E$2:$E$49)</f>
        <v>22.884999999999998</v>
      </c>
      <c r="O661">
        <f>_xlfn.XLOOKUP(D661,products!$A$2:$A$49,products!$H$2:$H$49)</f>
        <v>20.82535</v>
      </c>
      <c r="P661">
        <f t="shared" si="62"/>
        <v>45.769999999999996</v>
      </c>
      <c r="Q661">
        <f t="shared" si="63"/>
        <v>41.650700000000001</v>
      </c>
      <c r="R661">
        <f t="shared" si="64"/>
        <v>4.1192999999999955</v>
      </c>
      <c r="S661" s="4">
        <f t="shared" si="65"/>
        <v>8.9999999999999913E-2</v>
      </c>
      <c r="T661" t="str">
        <f>_xlfn.XLOOKUP(C661,customers!$A$1:$A$1001,customers!$I$1:$I$1001,,0)</f>
        <v>Yes</v>
      </c>
    </row>
    <row r="662" spans="1:20"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INDEX(products!$A$1:$I$49,MATCH(orders!$D662,products!$A$1:$A$49,0),MATCH(orders!I$1,products!$A$1:$D$1,0))</f>
        <v>Exc</v>
      </c>
      <c r="J662" t="str">
        <f t="shared" si="60"/>
        <v>Excelsa</v>
      </c>
      <c r="K662" t="str">
        <f>INDEX(products!$A$1:$I$49,MATCH(orders!$D662,products!$A$1:$A$49,0),MATCH(orders!K$1,products!$A$1:$D$1,0))</f>
        <v>L</v>
      </c>
      <c r="L662" t="str">
        <f t="shared" si="61"/>
        <v>Light</v>
      </c>
      <c r="M662">
        <f>INDEX(products!$A$1:$I$49,MATCH(orders!$D662,products!$A$1:$A$49,0),MATCH(orders!M$1,products!$A$1:$D$1,0))</f>
        <v>0.5</v>
      </c>
      <c r="N662">
        <f>_xlfn.XLOOKUP(D662,products!$A$2:$A$49,products!$E$2:$E$49)</f>
        <v>8.91</v>
      </c>
      <c r="O662">
        <f>_xlfn.XLOOKUP(D662,products!$A$2:$A$49,products!$H$2:$H$49)</f>
        <v>7.9298999999999999</v>
      </c>
      <c r="P662">
        <f t="shared" si="62"/>
        <v>53.46</v>
      </c>
      <c r="Q662">
        <f t="shared" si="63"/>
        <v>47.5794</v>
      </c>
      <c r="R662">
        <f t="shared" si="64"/>
        <v>5.8806000000000012</v>
      </c>
      <c r="S662" s="4">
        <f t="shared" si="65"/>
        <v>0.11000000000000001</v>
      </c>
      <c r="T662" t="str">
        <f>_xlfn.XLOOKUP(C662,customers!$A$1:$A$1001,customers!$I$1:$I$1001,,0)</f>
        <v>No</v>
      </c>
    </row>
    <row r="663" spans="1:20"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INDEX(products!$A$1:$I$49,MATCH(orders!$D663,products!$A$1:$A$49,0),MATCH(orders!I$1,products!$A$1:$D$1,0))</f>
        <v>Ara</v>
      </c>
      <c r="J663" t="str">
        <f t="shared" si="60"/>
        <v>Arabica</v>
      </c>
      <c r="K663" t="str">
        <f>INDEX(products!$A$1:$I$49,MATCH(orders!$D663,products!$A$1:$A$49,0),MATCH(orders!K$1,products!$A$1:$D$1,0))</f>
        <v>M</v>
      </c>
      <c r="L663" t="str">
        <f t="shared" si="61"/>
        <v>Medium</v>
      </c>
      <c r="M663">
        <f>INDEX(products!$A$1:$I$49,MATCH(orders!$D663,products!$A$1:$A$49,0),MATCH(orders!M$1,products!$A$1:$D$1,0))</f>
        <v>0.2</v>
      </c>
      <c r="N663">
        <f>_xlfn.XLOOKUP(D663,products!$A$2:$A$49,products!$E$2:$E$49)</f>
        <v>3.375</v>
      </c>
      <c r="O663">
        <f>_xlfn.XLOOKUP(D663,products!$A$2:$A$49,products!$H$2:$H$49)</f>
        <v>3.07125</v>
      </c>
      <c r="P663">
        <f t="shared" si="62"/>
        <v>20.25</v>
      </c>
      <c r="Q663">
        <f t="shared" si="63"/>
        <v>18.427500000000002</v>
      </c>
      <c r="R663">
        <f t="shared" si="64"/>
        <v>1.822499999999998</v>
      </c>
      <c r="S663" s="4">
        <f t="shared" si="65"/>
        <v>8.99999999999999E-2</v>
      </c>
      <c r="T663" t="str">
        <f>_xlfn.XLOOKUP(C663,customers!$A$1:$A$1001,customers!$I$1:$I$1001,,0)</f>
        <v>Yes</v>
      </c>
    </row>
    <row r="664" spans="1:20"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INDEX(products!$A$1:$I$49,MATCH(orders!$D664,products!$A$1:$A$49,0),MATCH(orders!I$1,products!$A$1:$D$1,0))</f>
        <v>Lib</v>
      </c>
      <c r="J664" t="str">
        <f t="shared" si="60"/>
        <v>Liberica</v>
      </c>
      <c r="K664" t="str">
        <f>INDEX(products!$A$1:$I$49,MATCH(orders!$D664,products!$A$1:$A$49,0),MATCH(orders!K$1,products!$A$1:$D$1,0))</f>
        <v>D</v>
      </c>
      <c r="L664" t="str">
        <f t="shared" si="61"/>
        <v>Dark</v>
      </c>
      <c r="M664">
        <f>INDEX(products!$A$1:$I$49,MATCH(orders!$D664,products!$A$1:$A$49,0),MATCH(orders!M$1,products!$A$1:$D$1,0))</f>
        <v>2.5</v>
      </c>
      <c r="N664">
        <f>_xlfn.XLOOKUP(D664,products!$A$2:$A$49,products!$E$2:$E$49)</f>
        <v>29.784999999999997</v>
      </c>
      <c r="O664">
        <f>_xlfn.XLOOKUP(D664,products!$A$2:$A$49,products!$H$2:$H$49)</f>
        <v>25.912949999999995</v>
      </c>
      <c r="P664">
        <f t="shared" si="62"/>
        <v>148.92499999999998</v>
      </c>
      <c r="Q664">
        <f t="shared" si="63"/>
        <v>129.56474999999998</v>
      </c>
      <c r="R664">
        <f t="shared" si="64"/>
        <v>19.360250000000008</v>
      </c>
      <c r="S664" s="4">
        <f t="shared" si="65"/>
        <v>0.13000000000000006</v>
      </c>
      <c r="T664" t="str">
        <f>_xlfn.XLOOKUP(C664,customers!$A$1:$A$1001,customers!$I$1:$I$1001,,0)</f>
        <v>No</v>
      </c>
    </row>
    <row r="665" spans="1:20"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INDEX(products!$A$1:$I$49,MATCH(orders!$D665,products!$A$1:$A$49,0),MATCH(orders!I$1,products!$A$1:$D$1,0))</f>
        <v>Ara</v>
      </c>
      <c r="J665" t="str">
        <f t="shared" si="60"/>
        <v>Arabica</v>
      </c>
      <c r="K665" t="str">
        <f>INDEX(products!$A$1:$I$49,MATCH(orders!$D665,products!$A$1:$A$49,0),MATCH(orders!K$1,products!$A$1:$D$1,0))</f>
        <v>M</v>
      </c>
      <c r="L665" t="str">
        <f t="shared" si="61"/>
        <v>Medium</v>
      </c>
      <c r="M665">
        <f>INDEX(products!$A$1:$I$49,MATCH(orders!$D665,products!$A$1:$A$49,0),MATCH(orders!M$1,products!$A$1:$D$1,0))</f>
        <v>1</v>
      </c>
      <c r="N665">
        <f>_xlfn.XLOOKUP(D665,products!$A$2:$A$49,products!$E$2:$E$49)</f>
        <v>11.25</v>
      </c>
      <c r="O665">
        <f>_xlfn.XLOOKUP(D665,products!$A$2:$A$49,products!$H$2:$H$49)</f>
        <v>10.237500000000001</v>
      </c>
      <c r="P665">
        <f t="shared" si="62"/>
        <v>67.5</v>
      </c>
      <c r="Q665">
        <f t="shared" si="63"/>
        <v>61.425000000000004</v>
      </c>
      <c r="R665">
        <f t="shared" si="64"/>
        <v>6.0749999999999957</v>
      </c>
      <c r="S665" s="4">
        <f t="shared" si="65"/>
        <v>8.9999999999999941E-2</v>
      </c>
      <c r="T665" t="str">
        <f>_xlfn.XLOOKUP(C665,customers!$A$1:$A$1001,customers!$I$1:$I$1001,,0)</f>
        <v>No</v>
      </c>
    </row>
    <row r="666" spans="1:20"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INDEX(products!$A$1:$I$49,MATCH(orders!$D666,products!$A$1:$A$49,0),MATCH(orders!I$1,products!$A$1:$D$1,0))</f>
        <v>Exc</v>
      </c>
      <c r="J666" t="str">
        <f t="shared" si="60"/>
        <v>Excelsa</v>
      </c>
      <c r="K666" t="str">
        <f>INDEX(products!$A$1:$I$49,MATCH(orders!$D666,products!$A$1:$A$49,0),MATCH(orders!K$1,products!$A$1:$D$1,0))</f>
        <v>D</v>
      </c>
      <c r="L666" t="str">
        <f t="shared" si="61"/>
        <v>Dark</v>
      </c>
      <c r="M666">
        <f>INDEX(products!$A$1:$I$49,MATCH(orders!$D666,products!$A$1:$A$49,0),MATCH(orders!M$1,products!$A$1:$D$1,0))</f>
        <v>1</v>
      </c>
      <c r="N666">
        <f>_xlfn.XLOOKUP(D666,products!$A$2:$A$49,products!$E$2:$E$49)</f>
        <v>12.15</v>
      </c>
      <c r="O666">
        <f>_xlfn.XLOOKUP(D666,products!$A$2:$A$49,products!$H$2:$H$49)</f>
        <v>10.813500000000001</v>
      </c>
      <c r="P666">
        <f t="shared" si="62"/>
        <v>72.900000000000006</v>
      </c>
      <c r="Q666">
        <f t="shared" si="63"/>
        <v>64.881</v>
      </c>
      <c r="R666">
        <f t="shared" si="64"/>
        <v>8.0190000000000055</v>
      </c>
      <c r="S666" s="4">
        <f t="shared" si="65"/>
        <v>0.11000000000000007</v>
      </c>
      <c r="T666" t="str">
        <f>_xlfn.XLOOKUP(C666,customers!$A$1:$A$1001,customers!$I$1:$I$1001,,0)</f>
        <v>No</v>
      </c>
    </row>
    <row r="667" spans="1:20"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INDEX(products!$A$1:$I$49,MATCH(orders!$D667,products!$A$1:$A$49,0),MATCH(orders!I$1,products!$A$1:$D$1,0))</f>
        <v>Lib</v>
      </c>
      <c r="J667" t="str">
        <f t="shared" si="60"/>
        <v>Liberica</v>
      </c>
      <c r="K667" t="str">
        <f>INDEX(products!$A$1:$I$49,MATCH(orders!$D667,products!$A$1:$A$49,0),MATCH(orders!K$1,products!$A$1:$D$1,0))</f>
        <v>D</v>
      </c>
      <c r="L667" t="str">
        <f t="shared" si="61"/>
        <v>Dark</v>
      </c>
      <c r="M667">
        <f>INDEX(products!$A$1:$I$49,MATCH(orders!$D667,products!$A$1:$A$49,0),MATCH(orders!M$1,products!$A$1:$D$1,0))</f>
        <v>0.2</v>
      </c>
      <c r="N667">
        <f>_xlfn.XLOOKUP(D667,products!$A$2:$A$49,products!$E$2:$E$49)</f>
        <v>3.8849999999999998</v>
      </c>
      <c r="O667">
        <f>_xlfn.XLOOKUP(D667,products!$A$2:$A$49,products!$H$2:$H$49)</f>
        <v>3.37995</v>
      </c>
      <c r="P667">
        <f t="shared" si="62"/>
        <v>7.77</v>
      </c>
      <c r="Q667">
        <f t="shared" si="63"/>
        <v>6.7599</v>
      </c>
      <c r="R667">
        <f t="shared" si="64"/>
        <v>1.0100999999999996</v>
      </c>
      <c r="S667" s="4">
        <f t="shared" si="65"/>
        <v>0.12999999999999995</v>
      </c>
      <c r="T667" t="str">
        <f>_xlfn.XLOOKUP(C667,customers!$A$1:$A$1001,customers!$I$1:$I$1001,,0)</f>
        <v>No</v>
      </c>
    </row>
    <row r="668" spans="1:20"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INDEX(products!$A$1:$I$49,MATCH(orders!$D668,products!$A$1:$A$49,0),MATCH(orders!I$1,products!$A$1:$D$1,0))</f>
        <v>Ara</v>
      </c>
      <c r="J668" t="str">
        <f t="shared" si="60"/>
        <v>Arabica</v>
      </c>
      <c r="K668" t="str">
        <f>INDEX(products!$A$1:$I$49,MATCH(orders!$D668,products!$A$1:$A$49,0),MATCH(orders!K$1,products!$A$1:$D$1,0))</f>
        <v>D</v>
      </c>
      <c r="L668" t="str">
        <f t="shared" si="61"/>
        <v>Dark</v>
      </c>
      <c r="M668">
        <f>INDEX(products!$A$1:$I$49,MATCH(orders!$D668,products!$A$1:$A$49,0),MATCH(orders!M$1,products!$A$1:$D$1,0))</f>
        <v>2.5</v>
      </c>
      <c r="N668">
        <f>_xlfn.XLOOKUP(D668,products!$A$2:$A$49,products!$E$2:$E$49)</f>
        <v>22.884999999999998</v>
      </c>
      <c r="O668">
        <f>_xlfn.XLOOKUP(D668,products!$A$2:$A$49,products!$H$2:$H$49)</f>
        <v>20.82535</v>
      </c>
      <c r="P668">
        <f t="shared" si="62"/>
        <v>91.539999999999992</v>
      </c>
      <c r="Q668">
        <f t="shared" si="63"/>
        <v>83.301400000000001</v>
      </c>
      <c r="R668">
        <f t="shared" si="64"/>
        <v>8.238599999999991</v>
      </c>
      <c r="S668" s="4">
        <f t="shared" si="65"/>
        <v>8.9999999999999913E-2</v>
      </c>
      <c r="T668" t="str">
        <f>_xlfn.XLOOKUP(C668,customers!$A$1:$A$1001,customers!$I$1:$I$1001,,0)</f>
        <v>No</v>
      </c>
    </row>
    <row r="669" spans="1:20"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INDEX(products!$A$1:$I$49,MATCH(orders!$D669,products!$A$1:$A$49,0),MATCH(orders!I$1,products!$A$1:$D$1,0))</f>
        <v>Ara</v>
      </c>
      <c r="J669" t="str">
        <f t="shared" si="60"/>
        <v>Arabica</v>
      </c>
      <c r="K669" t="str">
        <f>INDEX(products!$A$1:$I$49,MATCH(orders!$D669,products!$A$1:$A$49,0),MATCH(orders!K$1,products!$A$1:$D$1,0))</f>
        <v>D</v>
      </c>
      <c r="L669" t="str">
        <f t="shared" si="61"/>
        <v>Dark</v>
      </c>
      <c r="M669">
        <f>INDEX(products!$A$1:$I$49,MATCH(orders!$D669,products!$A$1:$A$49,0),MATCH(orders!M$1,products!$A$1:$D$1,0))</f>
        <v>1</v>
      </c>
      <c r="N669">
        <f>_xlfn.XLOOKUP(D669,products!$A$2:$A$49,products!$E$2:$E$49)</f>
        <v>9.9499999999999993</v>
      </c>
      <c r="O669">
        <f>_xlfn.XLOOKUP(D669,products!$A$2:$A$49,products!$H$2:$H$49)</f>
        <v>9.0544999999999991</v>
      </c>
      <c r="P669">
        <f t="shared" si="62"/>
        <v>59.699999999999996</v>
      </c>
      <c r="Q669">
        <f t="shared" si="63"/>
        <v>54.326999999999998</v>
      </c>
      <c r="R669">
        <f t="shared" si="64"/>
        <v>5.3729999999999976</v>
      </c>
      <c r="S669" s="4">
        <f t="shared" si="65"/>
        <v>8.9999999999999969E-2</v>
      </c>
      <c r="T669" t="str">
        <f>_xlfn.XLOOKUP(C669,customers!$A$1:$A$1001,customers!$I$1:$I$1001,,0)</f>
        <v>No</v>
      </c>
    </row>
    <row r="670" spans="1:20"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INDEX(products!$A$1:$I$49,MATCH(orders!$D670,products!$A$1:$A$49,0),MATCH(orders!I$1,products!$A$1:$D$1,0))</f>
        <v>Rob</v>
      </c>
      <c r="J670" t="str">
        <f t="shared" si="60"/>
        <v>Robusta</v>
      </c>
      <c r="K670" t="str">
        <f>INDEX(products!$A$1:$I$49,MATCH(orders!$D670,products!$A$1:$A$49,0),MATCH(orders!K$1,products!$A$1:$D$1,0))</f>
        <v>L</v>
      </c>
      <c r="L670" t="str">
        <f t="shared" si="61"/>
        <v>Light</v>
      </c>
      <c r="M670">
        <f>INDEX(products!$A$1:$I$49,MATCH(orders!$D670,products!$A$1:$A$49,0),MATCH(orders!M$1,products!$A$1:$D$1,0))</f>
        <v>2.5</v>
      </c>
      <c r="N670">
        <f>_xlfn.XLOOKUP(D670,products!$A$2:$A$49,products!$E$2:$E$49)</f>
        <v>27.484999999999996</v>
      </c>
      <c r="O670">
        <f>_xlfn.XLOOKUP(D670,products!$A$2:$A$49,products!$H$2:$H$49)</f>
        <v>25.835899999999995</v>
      </c>
      <c r="P670">
        <f t="shared" si="62"/>
        <v>137.42499999999998</v>
      </c>
      <c r="Q670">
        <f t="shared" si="63"/>
        <v>129.17949999999996</v>
      </c>
      <c r="R670">
        <f t="shared" si="64"/>
        <v>8.2455000000000211</v>
      </c>
      <c r="S670" s="4">
        <f t="shared" si="65"/>
        <v>6.0000000000000164E-2</v>
      </c>
      <c r="T670" t="str">
        <f>_xlfn.XLOOKUP(C670,customers!$A$1:$A$1001,customers!$I$1:$I$1001,,0)</f>
        <v>Yes</v>
      </c>
    </row>
    <row r="671" spans="1:20"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INDEX(products!$A$1:$I$49,MATCH(orders!$D671,products!$A$1:$A$49,0),MATCH(orders!I$1,products!$A$1:$D$1,0))</f>
        <v>Lib</v>
      </c>
      <c r="J671" t="str">
        <f t="shared" si="60"/>
        <v>Liberica</v>
      </c>
      <c r="K671" t="str">
        <f>INDEX(products!$A$1:$I$49,MATCH(orders!$D671,products!$A$1:$A$49,0),MATCH(orders!K$1,products!$A$1:$D$1,0))</f>
        <v>M</v>
      </c>
      <c r="L671" t="str">
        <f t="shared" si="61"/>
        <v>Medium</v>
      </c>
      <c r="M671">
        <f>INDEX(products!$A$1:$I$49,MATCH(orders!$D671,products!$A$1:$A$49,0),MATCH(orders!M$1,products!$A$1:$D$1,0))</f>
        <v>2.5</v>
      </c>
      <c r="N671">
        <f>_xlfn.XLOOKUP(D671,products!$A$2:$A$49,products!$E$2:$E$49)</f>
        <v>33.464999999999996</v>
      </c>
      <c r="O671">
        <f>_xlfn.XLOOKUP(D671,products!$A$2:$A$49,products!$H$2:$H$49)</f>
        <v>29.114549999999998</v>
      </c>
      <c r="P671">
        <f t="shared" si="62"/>
        <v>66.929999999999993</v>
      </c>
      <c r="Q671">
        <f t="shared" si="63"/>
        <v>58.229099999999995</v>
      </c>
      <c r="R671">
        <f t="shared" si="64"/>
        <v>8.7008999999999972</v>
      </c>
      <c r="S671" s="4">
        <f t="shared" si="65"/>
        <v>0.12999999999999998</v>
      </c>
      <c r="T671" t="str">
        <f>_xlfn.XLOOKUP(C671,customers!$A$1:$A$1001,customers!$I$1:$I$1001,,0)</f>
        <v>No</v>
      </c>
    </row>
    <row r="672" spans="1:20"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INDEX(products!$A$1:$I$49,MATCH(orders!$D672,products!$A$1:$A$49,0),MATCH(orders!I$1,products!$A$1:$D$1,0))</f>
        <v>Lib</v>
      </c>
      <c r="J672" t="str">
        <f t="shared" si="60"/>
        <v>Liberica</v>
      </c>
      <c r="K672" t="str">
        <f>INDEX(products!$A$1:$I$49,MATCH(orders!$D672,products!$A$1:$A$49,0),MATCH(orders!K$1,products!$A$1:$D$1,0))</f>
        <v>M</v>
      </c>
      <c r="L672" t="str">
        <f t="shared" si="61"/>
        <v>Medium</v>
      </c>
      <c r="M672">
        <f>INDEX(products!$A$1:$I$49,MATCH(orders!$D672,products!$A$1:$A$49,0),MATCH(orders!M$1,products!$A$1:$D$1,0))</f>
        <v>0.2</v>
      </c>
      <c r="N672">
        <f>_xlfn.XLOOKUP(D672,products!$A$2:$A$49,products!$E$2:$E$49)</f>
        <v>4.3650000000000002</v>
      </c>
      <c r="O672">
        <f>_xlfn.XLOOKUP(D672,products!$A$2:$A$49,products!$H$2:$H$49)</f>
        <v>3.7975500000000002</v>
      </c>
      <c r="P672">
        <f t="shared" si="62"/>
        <v>13.095000000000001</v>
      </c>
      <c r="Q672">
        <f t="shared" si="63"/>
        <v>11.39265</v>
      </c>
      <c r="R672">
        <f t="shared" si="64"/>
        <v>1.7023500000000009</v>
      </c>
      <c r="S672" s="4">
        <f t="shared" si="65"/>
        <v>0.13000000000000006</v>
      </c>
      <c r="T672" t="str">
        <f>_xlfn.XLOOKUP(C672,customers!$A$1:$A$1001,customers!$I$1:$I$1001,,0)</f>
        <v>Yes</v>
      </c>
    </row>
    <row r="673" spans="1:20"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INDEX(products!$A$1:$I$49,MATCH(orders!$D673,products!$A$1:$A$49,0),MATCH(orders!I$1,products!$A$1:$D$1,0))</f>
        <v>Rob</v>
      </c>
      <c r="J673" t="str">
        <f t="shared" si="60"/>
        <v>Robusta</v>
      </c>
      <c r="K673" t="str">
        <f>INDEX(products!$A$1:$I$49,MATCH(orders!$D673,products!$A$1:$A$49,0),MATCH(orders!K$1,products!$A$1:$D$1,0))</f>
        <v>L</v>
      </c>
      <c r="L673" t="str">
        <f t="shared" si="61"/>
        <v>Light</v>
      </c>
      <c r="M673">
        <f>INDEX(products!$A$1:$I$49,MATCH(orders!$D673,products!$A$1:$A$49,0),MATCH(orders!M$1,products!$A$1:$D$1,0))</f>
        <v>1</v>
      </c>
      <c r="N673">
        <f>_xlfn.XLOOKUP(D673,products!$A$2:$A$49,products!$E$2:$E$49)</f>
        <v>11.95</v>
      </c>
      <c r="O673">
        <f>_xlfn.XLOOKUP(D673,products!$A$2:$A$49,products!$H$2:$H$49)</f>
        <v>11.232999999999999</v>
      </c>
      <c r="P673">
        <f t="shared" si="62"/>
        <v>59.75</v>
      </c>
      <c r="Q673">
        <f t="shared" si="63"/>
        <v>56.164999999999992</v>
      </c>
      <c r="R673">
        <f t="shared" si="64"/>
        <v>3.585000000000008</v>
      </c>
      <c r="S673" s="4">
        <f t="shared" si="65"/>
        <v>6.0000000000000137E-2</v>
      </c>
      <c r="T673" t="str">
        <f>_xlfn.XLOOKUP(C673,customers!$A$1:$A$1001,customers!$I$1:$I$1001,,0)</f>
        <v>No</v>
      </c>
    </row>
    <row r="674" spans="1:20"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INDEX(products!$A$1:$I$49,MATCH(orders!$D674,products!$A$1:$A$49,0),MATCH(orders!I$1,products!$A$1:$D$1,0))</f>
        <v>Lib</v>
      </c>
      <c r="J674" t="str">
        <f t="shared" si="60"/>
        <v>Liberica</v>
      </c>
      <c r="K674" t="str">
        <f>INDEX(products!$A$1:$I$49,MATCH(orders!$D674,products!$A$1:$A$49,0),MATCH(orders!K$1,products!$A$1:$D$1,0))</f>
        <v>M</v>
      </c>
      <c r="L674" t="str">
        <f t="shared" si="61"/>
        <v>Medium</v>
      </c>
      <c r="M674">
        <f>INDEX(products!$A$1:$I$49,MATCH(orders!$D674,products!$A$1:$A$49,0),MATCH(orders!M$1,products!$A$1:$D$1,0))</f>
        <v>0.5</v>
      </c>
      <c r="N674">
        <f>_xlfn.XLOOKUP(D674,products!$A$2:$A$49,products!$E$2:$E$49)</f>
        <v>8.73</v>
      </c>
      <c r="O674">
        <f>_xlfn.XLOOKUP(D674,products!$A$2:$A$49,products!$H$2:$H$49)</f>
        <v>7.5951000000000004</v>
      </c>
      <c r="P674">
        <f t="shared" si="62"/>
        <v>43.650000000000006</v>
      </c>
      <c r="Q674">
        <f t="shared" si="63"/>
        <v>37.975500000000004</v>
      </c>
      <c r="R674">
        <f t="shared" si="64"/>
        <v>5.6745000000000019</v>
      </c>
      <c r="S674" s="4">
        <f t="shared" si="65"/>
        <v>0.13000000000000003</v>
      </c>
      <c r="T674" t="str">
        <f>_xlfn.XLOOKUP(C674,customers!$A$1:$A$1001,customers!$I$1:$I$1001,,0)</f>
        <v>Yes</v>
      </c>
    </row>
    <row r="675" spans="1:20"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INDEX(products!$A$1:$I$49,MATCH(orders!$D675,products!$A$1:$A$49,0),MATCH(orders!I$1,products!$A$1:$D$1,0))</f>
        <v>Exc</v>
      </c>
      <c r="J675" t="str">
        <f t="shared" si="60"/>
        <v>Excelsa</v>
      </c>
      <c r="K675" t="str">
        <f>INDEX(products!$A$1:$I$49,MATCH(orders!$D675,products!$A$1:$A$49,0),MATCH(orders!K$1,products!$A$1:$D$1,0))</f>
        <v>M</v>
      </c>
      <c r="L675" t="str">
        <f t="shared" si="61"/>
        <v>Medium</v>
      </c>
      <c r="M675">
        <f>INDEX(products!$A$1:$I$49,MATCH(orders!$D675,products!$A$1:$A$49,0),MATCH(orders!M$1,products!$A$1:$D$1,0))</f>
        <v>1</v>
      </c>
      <c r="N675">
        <f>_xlfn.XLOOKUP(D675,products!$A$2:$A$49,products!$E$2:$E$49)</f>
        <v>13.75</v>
      </c>
      <c r="O675">
        <f>_xlfn.XLOOKUP(D675,products!$A$2:$A$49,products!$H$2:$H$49)</f>
        <v>12.237500000000001</v>
      </c>
      <c r="P675">
        <f t="shared" si="62"/>
        <v>82.5</v>
      </c>
      <c r="Q675">
        <f t="shared" si="63"/>
        <v>73.425000000000011</v>
      </c>
      <c r="R675">
        <f t="shared" si="64"/>
        <v>9.0749999999999886</v>
      </c>
      <c r="S675" s="4">
        <f t="shared" si="65"/>
        <v>0.10999999999999986</v>
      </c>
      <c r="T675" t="str">
        <f>_xlfn.XLOOKUP(C675,customers!$A$1:$A$1001,customers!$I$1:$I$1001,,0)</f>
        <v>Yes</v>
      </c>
    </row>
    <row r="676" spans="1:20"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INDEX(products!$A$1:$I$49,MATCH(orders!$D676,products!$A$1:$A$49,0),MATCH(orders!I$1,products!$A$1:$D$1,0))</f>
        <v>Ara</v>
      </c>
      <c r="J676" t="str">
        <f t="shared" si="60"/>
        <v>Arabica</v>
      </c>
      <c r="K676" t="str">
        <f>INDEX(products!$A$1:$I$49,MATCH(orders!$D676,products!$A$1:$A$49,0),MATCH(orders!K$1,products!$A$1:$D$1,0))</f>
        <v>L</v>
      </c>
      <c r="L676" t="str">
        <f t="shared" si="61"/>
        <v>Light</v>
      </c>
      <c r="M676">
        <f>INDEX(products!$A$1:$I$49,MATCH(orders!$D676,products!$A$1:$A$49,0),MATCH(orders!M$1,products!$A$1:$D$1,0))</f>
        <v>2.5</v>
      </c>
      <c r="N676">
        <f>_xlfn.XLOOKUP(D676,products!$A$2:$A$49,products!$E$2:$E$49)</f>
        <v>29.784999999999997</v>
      </c>
      <c r="O676">
        <f>_xlfn.XLOOKUP(D676,products!$A$2:$A$49,products!$H$2:$H$49)</f>
        <v>27.104349999999997</v>
      </c>
      <c r="P676">
        <f t="shared" si="62"/>
        <v>178.70999999999998</v>
      </c>
      <c r="Q676">
        <f t="shared" si="63"/>
        <v>162.62609999999998</v>
      </c>
      <c r="R676">
        <f t="shared" si="64"/>
        <v>16.0839</v>
      </c>
      <c r="S676" s="4">
        <f t="shared" si="65"/>
        <v>9.0000000000000011E-2</v>
      </c>
      <c r="T676" t="str">
        <f>_xlfn.XLOOKUP(C676,customers!$A$1:$A$1001,customers!$I$1:$I$1001,,0)</f>
        <v>Yes</v>
      </c>
    </row>
    <row r="677" spans="1:20"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v>
      </c>
      <c r="H677" s="2" t="str">
        <f>_xlfn.XLOOKUP(C677,customers!$A$1:$A$1001,customers!$G$1:$G$1001,,0)</f>
        <v>United States</v>
      </c>
      <c r="I677" t="str">
        <f>INDEX(products!$A$1:$I$49,MATCH(orders!$D677,products!$A$1:$A$49,0),MATCH(orders!I$1,products!$A$1:$D$1,0))</f>
        <v>Lib</v>
      </c>
      <c r="J677" t="str">
        <f t="shared" si="60"/>
        <v>Liberica</v>
      </c>
      <c r="K677" t="str">
        <f>INDEX(products!$A$1:$I$49,MATCH(orders!$D677,products!$A$1:$A$49,0),MATCH(orders!K$1,products!$A$1:$D$1,0))</f>
        <v>D</v>
      </c>
      <c r="L677" t="str">
        <f t="shared" si="61"/>
        <v>Dark</v>
      </c>
      <c r="M677">
        <f>INDEX(products!$A$1:$I$49,MATCH(orders!$D677,products!$A$1:$A$49,0),MATCH(orders!M$1,products!$A$1:$D$1,0))</f>
        <v>2.5</v>
      </c>
      <c r="N677">
        <f>_xlfn.XLOOKUP(D677,products!$A$2:$A$49,products!$E$2:$E$49)</f>
        <v>29.784999999999997</v>
      </c>
      <c r="O677">
        <f>_xlfn.XLOOKUP(D677,products!$A$2:$A$49,products!$H$2:$H$49)</f>
        <v>25.912949999999995</v>
      </c>
      <c r="P677">
        <f t="shared" si="62"/>
        <v>119.13999999999999</v>
      </c>
      <c r="Q677">
        <f t="shared" si="63"/>
        <v>103.65179999999998</v>
      </c>
      <c r="R677">
        <f t="shared" si="64"/>
        <v>15.488200000000006</v>
      </c>
      <c r="S677" s="4">
        <f t="shared" si="65"/>
        <v>0.13000000000000006</v>
      </c>
      <c r="T677" t="str">
        <f>_xlfn.XLOOKUP(C677,customers!$A$1:$A$1001,customers!$I$1:$I$1001,,0)</f>
        <v>Yes</v>
      </c>
    </row>
    <row r="678" spans="1:20"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v>
      </c>
      <c r="H678" s="2" t="str">
        <f>_xlfn.XLOOKUP(C678,customers!$A$1:$A$1001,customers!$G$1:$G$1001,,0)</f>
        <v>United States</v>
      </c>
      <c r="I678" t="str">
        <f>INDEX(products!$A$1:$I$49,MATCH(orders!$D678,products!$A$1:$A$49,0),MATCH(orders!I$1,products!$A$1:$D$1,0))</f>
        <v>Lib</v>
      </c>
      <c r="J678" t="str">
        <f t="shared" si="60"/>
        <v>Liberica</v>
      </c>
      <c r="K678" t="str">
        <f>INDEX(products!$A$1:$I$49,MATCH(orders!$D678,products!$A$1:$A$49,0),MATCH(orders!K$1,products!$A$1:$D$1,0))</f>
        <v>L</v>
      </c>
      <c r="L678" t="str">
        <f t="shared" si="61"/>
        <v>Light</v>
      </c>
      <c r="M678">
        <f>INDEX(products!$A$1:$I$49,MATCH(orders!$D678,products!$A$1:$A$49,0),MATCH(orders!M$1,products!$A$1:$D$1,0))</f>
        <v>0.5</v>
      </c>
      <c r="N678">
        <f>_xlfn.XLOOKUP(D678,products!$A$2:$A$49,products!$E$2:$E$49)</f>
        <v>9.51</v>
      </c>
      <c r="O678">
        <f>_xlfn.XLOOKUP(D678,products!$A$2:$A$49,products!$H$2:$H$49)</f>
        <v>8.2736999999999998</v>
      </c>
      <c r="P678">
        <f t="shared" si="62"/>
        <v>47.55</v>
      </c>
      <c r="Q678">
        <f t="shared" si="63"/>
        <v>41.368499999999997</v>
      </c>
      <c r="R678">
        <f t="shared" si="64"/>
        <v>6.1814999999999998</v>
      </c>
      <c r="S678" s="4">
        <f t="shared" si="65"/>
        <v>0.13</v>
      </c>
      <c r="T678" t="str">
        <f>_xlfn.XLOOKUP(C678,customers!$A$1:$A$1001,customers!$I$1:$I$1001,,0)</f>
        <v>No</v>
      </c>
    </row>
    <row r="679" spans="1:20"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INDEX(products!$A$1:$I$49,MATCH(orders!$D679,products!$A$1:$A$49,0),MATCH(orders!I$1,products!$A$1:$D$1,0))</f>
        <v>Lib</v>
      </c>
      <c r="J679" t="str">
        <f t="shared" si="60"/>
        <v>Liberica</v>
      </c>
      <c r="K679" t="str">
        <f>INDEX(products!$A$1:$I$49,MATCH(orders!$D679,products!$A$1:$A$49,0),MATCH(orders!K$1,products!$A$1:$D$1,0))</f>
        <v>M</v>
      </c>
      <c r="L679" t="str">
        <f t="shared" si="61"/>
        <v>Medium</v>
      </c>
      <c r="M679">
        <f>INDEX(products!$A$1:$I$49,MATCH(orders!$D679,products!$A$1:$A$49,0),MATCH(orders!M$1,products!$A$1:$D$1,0))</f>
        <v>0.5</v>
      </c>
      <c r="N679">
        <f>_xlfn.XLOOKUP(D679,products!$A$2:$A$49,products!$E$2:$E$49)</f>
        <v>8.73</v>
      </c>
      <c r="O679">
        <f>_xlfn.XLOOKUP(D679,products!$A$2:$A$49,products!$H$2:$H$49)</f>
        <v>7.5951000000000004</v>
      </c>
      <c r="P679">
        <f t="shared" si="62"/>
        <v>43.650000000000006</v>
      </c>
      <c r="Q679">
        <f t="shared" si="63"/>
        <v>37.975500000000004</v>
      </c>
      <c r="R679">
        <f t="shared" si="64"/>
        <v>5.6745000000000019</v>
      </c>
      <c r="S679" s="4">
        <f t="shared" si="65"/>
        <v>0.13000000000000003</v>
      </c>
      <c r="T679" t="str">
        <f>_xlfn.XLOOKUP(C679,customers!$A$1:$A$1001,customers!$I$1:$I$1001,,0)</f>
        <v>No</v>
      </c>
    </row>
    <row r="680" spans="1:20"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INDEX(products!$A$1:$I$49,MATCH(orders!$D680,products!$A$1:$A$49,0),MATCH(orders!I$1,products!$A$1:$D$1,0))</f>
        <v>Ara</v>
      </c>
      <c r="J680" t="str">
        <f t="shared" si="60"/>
        <v>Arabica</v>
      </c>
      <c r="K680" t="str">
        <f>INDEX(products!$A$1:$I$49,MATCH(orders!$D680,products!$A$1:$A$49,0),MATCH(orders!K$1,products!$A$1:$D$1,0))</f>
        <v>L</v>
      </c>
      <c r="L680" t="str">
        <f t="shared" si="61"/>
        <v>Light</v>
      </c>
      <c r="M680">
        <f>INDEX(products!$A$1:$I$49,MATCH(orders!$D680,products!$A$1:$A$49,0),MATCH(orders!M$1,products!$A$1:$D$1,0))</f>
        <v>2.5</v>
      </c>
      <c r="N680">
        <f>_xlfn.XLOOKUP(D680,products!$A$2:$A$49,products!$E$2:$E$49)</f>
        <v>29.784999999999997</v>
      </c>
      <c r="O680">
        <f>_xlfn.XLOOKUP(D680,products!$A$2:$A$49,products!$H$2:$H$49)</f>
        <v>27.104349999999997</v>
      </c>
      <c r="P680">
        <f t="shared" si="62"/>
        <v>178.70999999999998</v>
      </c>
      <c r="Q680">
        <f t="shared" si="63"/>
        <v>162.62609999999998</v>
      </c>
      <c r="R680">
        <f t="shared" si="64"/>
        <v>16.0839</v>
      </c>
      <c r="S680" s="4">
        <f t="shared" si="65"/>
        <v>9.0000000000000011E-2</v>
      </c>
      <c r="T680" t="str">
        <f>_xlfn.XLOOKUP(C680,customers!$A$1:$A$1001,customers!$I$1:$I$1001,,0)</f>
        <v>Yes</v>
      </c>
    </row>
    <row r="681" spans="1:20"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INDEX(products!$A$1:$I$49,MATCH(orders!$D681,products!$A$1:$A$49,0),MATCH(orders!I$1,products!$A$1:$D$1,0))</f>
        <v>Rob</v>
      </c>
      <c r="J681" t="str">
        <f t="shared" si="60"/>
        <v>Robusta</v>
      </c>
      <c r="K681" t="str">
        <f>INDEX(products!$A$1:$I$49,MATCH(orders!$D681,products!$A$1:$A$49,0),MATCH(orders!K$1,products!$A$1:$D$1,0))</f>
        <v>L</v>
      </c>
      <c r="L681" t="str">
        <f t="shared" si="61"/>
        <v>Light</v>
      </c>
      <c r="M681">
        <f>INDEX(products!$A$1:$I$49,MATCH(orders!$D681,products!$A$1:$A$49,0),MATCH(orders!M$1,products!$A$1:$D$1,0))</f>
        <v>2.5</v>
      </c>
      <c r="N681">
        <f>_xlfn.XLOOKUP(D681,products!$A$2:$A$49,products!$E$2:$E$49)</f>
        <v>27.484999999999996</v>
      </c>
      <c r="O681">
        <f>_xlfn.XLOOKUP(D681,products!$A$2:$A$49,products!$H$2:$H$49)</f>
        <v>25.835899999999995</v>
      </c>
      <c r="P681">
        <f t="shared" si="62"/>
        <v>27.484999999999996</v>
      </c>
      <c r="Q681">
        <f t="shared" si="63"/>
        <v>25.835899999999995</v>
      </c>
      <c r="R681">
        <f t="shared" si="64"/>
        <v>1.6491000000000007</v>
      </c>
      <c r="S681" s="4">
        <f t="shared" si="65"/>
        <v>6.0000000000000032E-2</v>
      </c>
      <c r="T681" t="str">
        <f>_xlfn.XLOOKUP(C681,customers!$A$1:$A$1001,customers!$I$1:$I$1001,,0)</f>
        <v>No</v>
      </c>
    </row>
    <row r="682" spans="1:20"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INDEX(products!$A$1:$I$49,MATCH(orders!$D682,products!$A$1:$A$49,0),MATCH(orders!I$1,products!$A$1:$D$1,0))</f>
        <v>Ara</v>
      </c>
      <c r="J682" t="str">
        <f t="shared" si="60"/>
        <v>Arabica</v>
      </c>
      <c r="K682" t="str">
        <f>INDEX(products!$A$1:$I$49,MATCH(orders!$D682,products!$A$1:$A$49,0),MATCH(orders!K$1,products!$A$1:$D$1,0))</f>
        <v>M</v>
      </c>
      <c r="L682" t="str">
        <f t="shared" si="61"/>
        <v>Medium</v>
      </c>
      <c r="M682">
        <f>INDEX(products!$A$1:$I$49,MATCH(orders!$D682,products!$A$1:$A$49,0),MATCH(orders!M$1,products!$A$1:$D$1,0))</f>
        <v>1</v>
      </c>
      <c r="N682">
        <f>_xlfn.XLOOKUP(D682,products!$A$2:$A$49,products!$E$2:$E$49)</f>
        <v>11.25</v>
      </c>
      <c r="O682">
        <f>_xlfn.XLOOKUP(D682,products!$A$2:$A$49,products!$H$2:$H$49)</f>
        <v>10.237500000000001</v>
      </c>
      <c r="P682">
        <f t="shared" si="62"/>
        <v>56.25</v>
      </c>
      <c r="Q682">
        <f t="shared" si="63"/>
        <v>51.1875</v>
      </c>
      <c r="R682">
        <f t="shared" si="64"/>
        <v>5.0625</v>
      </c>
      <c r="S682" s="4">
        <f t="shared" si="65"/>
        <v>0.09</v>
      </c>
      <c r="T682" t="str">
        <f>_xlfn.XLOOKUP(C682,customers!$A$1:$A$1001,customers!$I$1:$I$1001,,0)</f>
        <v>No</v>
      </c>
    </row>
    <row r="683" spans="1:20"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INDEX(products!$A$1:$I$49,MATCH(orders!$D683,products!$A$1:$A$49,0),MATCH(orders!I$1,products!$A$1:$D$1,0))</f>
        <v>Lib</v>
      </c>
      <c r="J683" t="str">
        <f t="shared" si="60"/>
        <v>Liberica</v>
      </c>
      <c r="K683" t="str">
        <f>INDEX(products!$A$1:$I$49,MATCH(orders!$D683,products!$A$1:$A$49,0),MATCH(orders!K$1,products!$A$1:$D$1,0))</f>
        <v>L</v>
      </c>
      <c r="L683" t="str">
        <f t="shared" si="61"/>
        <v>Light</v>
      </c>
      <c r="M683">
        <f>INDEX(products!$A$1:$I$49,MATCH(orders!$D683,products!$A$1:$A$49,0),MATCH(orders!M$1,products!$A$1:$D$1,0))</f>
        <v>0.2</v>
      </c>
      <c r="N683">
        <f>_xlfn.XLOOKUP(D683,products!$A$2:$A$49,products!$E$2:$E$49)</f>
        <v>4.7549999999999999</v>
      </c>
      <c r="O683">
        <f>_xlfn.XLOOKUP(D683,products!$A$2:$A$49,products!$H$2:$H$49)</f>
        <v>4.1368499999999999</v>
      </c>
      <c r="P683">
        <f t="shared" si="62"/>
        <v>9.51</v>
      </c>
      <c r="Q683">
        <f t="shared" si="63"/>
        <v>8.2736999999999998</v>
      </c>
      <c r="R683">
        <f t="shared" si="64"/>
        <v>1.2363</v>
      </c>
      <c r="S683" s="4">
        <f t="shared" si="65"/>
        <v>0.13</v>
      </c>
      <c r="T683" t="str">
        <f>_xlfn.XLOOKUP(C683,customers!$A$1:$A$1001,customers!$I$1:$I$1001,,0)</f>
        <v>Yes</v>
      </c>
    </row>
    <row r="684" spans="1:20"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INDEX(products!$A$1:$I$49,MATCH(orders!$D684,products!$A$1:$A$49,0),MATCH(orders!I$1,products!$A$1:$D$1,0))</f>
        <v>Exc</v>
      </c>
      <c r="J684" t="str">
        <f t="shared" si="60"/>
        <v>Excelsa</v>
      </c>
      <c r="K684" t="str">
        <f>INDEX(products!$A$1:$I$49,MATCH(orders!$D684,products!$A$1:$A$49,0),MATCH(orders!K$1,products!$A$1:$D$1,0))</f>
        <v>M</v>
      </c>
      <c r="L684" t="str">
        <f t="shared" si="61"/>
        <v>Medium</v>
      </c>
      <c r="M684">
        <f>INDEX(products!$A$1:$I$49,MATCH(orders!$D684,products!$A$1:$A$49,0),MATCH(orders!M$1,products!$A$1:$D$1,0))</f>
        <v>0.2</v>
      </c>
      <c r="N684">
        <f>_xlfn.XLOOKUP(D684,products!$A$2:$A$49,products!$E$2:$E$49)</f>
        <v>4.125</v>
      </c>
      <c r="O684">
        <f>_xlfn.XLOOKUP(D684,products!$A$2:$A$49,products!$H$2:$H$49)</f>
        <v>3.6712500000000001</v>
      </c>
      <c r="P684">
        <f t="shared" si="62"/>
        <v>8.25</v>
      </c>
      <c r="Q684">
        <f t="shared" si="63"/>
        <v>7.3425000000000002</v>
      </c>
      <c r="R684">
        <f t="shared" si="64"/>
        <v>0.90749999999999975</v>
      </c>
      <c r="S684" s="4">
        <f t="shared" si="65"/>
        <v>0.10999999999999997</v>
      </c>
      <c r="T684" t="str">
        <f>_xlfn.XLOOKUP(C684,customers!$A$1:$A$1001,customers!$I$1:$I$1001,,0)</f>
        <v>Yes</v>
      </c>
    </row>
    <row r="685" spans="1:20"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INDEX(products!$A$1:$I$49,MATCH(orders!$D685,products!$A$1:$A$49,0),MATCH(orders!I$1,products!$A$1:$D$1,0))</f>
        <v>Lib</v>
      </c>
      <c r="J685" t="str">
        <f t="shared" si="60"/>
        <v>Liberica</v>
      </c>
      <c r="K685" t="str">
        <f>INDEX(products!$A$1:$I$49,MATCH(orders!$D685,products!$A$1:$A$49,0),MATCH(orders!K$1,products!$A$1:$D$1,0))</f>
        <v>D</v>
      </c>
      <c r="L685" t="str">
        <f t="shared" si="61"/>
        <v>Dark</v>
      </c>
      <c r="M685">
        <f>INDEX(products!$A$1:$I$49,MATCH(orders!$D685,products!$A$1:$A$49,0),MATCH(orders!M$1,products!$A$1:$D$1,0))</f>
        <v>0.5</v>
      </c>
      <c r="N685">
        <f>_xlfn.XLOOKUP(D685,products!$A$2:$A$49,products!$E$2:$E$49)</f>
        <v>7.77</v>
      </c>
      <c r="O685">
        <f>_xlfn.XLOOKUP(D685,products!$A$2:$A$49,products!$H$2:$H$49)</f>
        <v>6.7599</v>
      </c>
      <c r="P685">
        <f t="shared" si="62"/>
        <v>46.62</v>
      </c>
      <c r="Q685">
        <f t="shared" si="63"/>
        <v>40.559399999999997</v>
      </c>
      <c r="R685">
        <f t="shared" si="64"/>
        <v>6.0606000000000009</v>
      </c>
      <c r="S685" s="4">
        <f t="shared" si="65"/>
        <v>0.13000000000000003</v>
      </c>
      <c r="T685" t="str">
        <f>_xlfn.XLOOKUP(C685,customers!$A$1:$A$1001,customers!$I$1:$I$1001,,0)</f>
        <v>No</v>
      </c>
    </row>
    <row r="686" spans="1:20"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v>
      </c>
      <c r="H686" s="2" t="str">
        <f>_xlfn.XLOOKUP(C686,customers!$A$1:$A$1001,customers!$G$1:$G$1001,,0)</f>
        <v>United States</v>
      </c>
      <c r="I686" t="str">
        <f>INDEX(products!$A$1:$I$49,MATCH(orders!$D686,products!$A$1:$A$49,0),MATCH(orders!I$1,products!$A$1:$D$1,0))</f>
        <v>Rob</v>
      </c>
      <c r="J686" t="str">
        <f t="shared" si="60"/>
        <v>Robusta</v>
      </c>
      <c r="K686" t="str">
        <f>INDEX(products!$A$1:$I$49,MATCH(orders!$D686,products!$A$1:$A$49,0),MATCH(orders!K$1,products!$A$1:$D$1,0))</f>
        <v>L</v>
      </c>
      <c r="L686" t="str">
        <f t="shared" si="61"/>
        <v>Light</v>
      </c>
      <c r="M686">
        <f>INDEX(products!$A$1:$I$49,MATCH(orders!$D686,products!$A$1:$A$49,0),MATCH(orders!M$1,products!$A$1:$D$1,0))</f>
        <v>1</v>
      </c>
      <c r="N686">
        <f>_xlfn.XLOOKUP(D686,products!$A$2:$A$49,products!$E$2:$E$49)</f>
        <v>11.95</v>
      </c>
      <c r="O686">
        <f>_xlfn.XLOOKUP(D686,products!$A$2:$A$49,products!$H$2:$H$49)</f>
        <v>11.232999999999999</v>
      </c>
      <c r="P686">
        <f t="shared" si="62"/>
        <v>71.699999999999989</v>
      </c>
      <c r="Q686">
        <f t="shared" si="63"/>
        <v>67.397999999999996</v>
      </c>
      <c r="R686">
        <f t="shared" si="64"/>
        <v>4.3019999999999925</v>
      </c>
      <c r="S686" s="4">
        <f t="shared" si="65"/>
        <v>5.9999999999999908E-2</v>
      </c>
      <c r="T686" t="str">
        <f>_xlfn.XLOOKUP(C686,customers!$A$1:$A$1001,customers!$I$1:$I$1001,,0)</f>
        <v>No</v>
      </c>
    </row>
    <row r="687" spans="1:20"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INDEX(products!$A$1:$I$49,MATCH(orders!$D687,products!$A$1:$A$49,0),MATCH(orders!I$1,products!$A$1:$D$1,0))</f>
        <v>Lib</v>
      </c>
      <c r="J687" t="str">
        <f t="shared" si="60"/>
        <v>Liberica</v>
      </c>
      <c r="K687" t="str">
        <f>INDEX(products!$A$1:$I$49,MATCH(orders!$D687,products!$A$1:$A$49,0),MATCH(orders!K$1,products!$A$1:$D$1,0))</f>
        <v>L</v>
      </c>
      <c r="L687" t="str">
        <f t="shared" si="61"/>
        <v>Light</v>
      </c>
      <c r="M687">
        <f>INDEX(products!$A$1:$I$49,MATCH(orders!$D687,products!$A$1:$A$49,0),MATCH(orders!M$1,products!$A$1:$D$1,0))</f>
        <v>2.5</v>
      </c>
      <c r="N687">
        <f>_xlfn.XLOOKUP(D687,products!$A$2:$A$49,products!$E$2:$E$49)</f>
        <v>36.454999999999998</v>
      </c>
      <c r="O687">
        <f>_xlfn.XLOOKUP(D687,products!$A$2:$A$49,products!$H$2:$H$49)</f>
        <v>31.71585</v>
      </c>
      <c r="P687">
        <f t="shared" si="62"/>
        <v>72.91</v>
      </c>
      <c r="Q687">
        <f t="shared" si="63"/>
        <v>63.431699999999999</v>
      </c>
      <c r="R687">
        <f t="shared" si="64"/>
        <v>9.4782999999999973</v>
      </c>
      <c r="S687" s="4">
        <f t="shared" si="65"/>
        <v>0.12999999999999998</v>
      </c>
      <c r="T687" t="str">
        <f>_xlfn.XLOOKUP(C687,customers!$A$1:$A$1001,customers!$I$1:$I$1001,,0)</f>
        <v>Yes</v>
      </c>
    </row>
    <row r="688" spans="1:20"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INDEX(products!$A$1:$I$49,MATCH(orders!$D688,products!$A$1:$A$49,0),MATCH(orders!I$1,products!$A$1:$D$1,0))</f>
        <v>Rob</v>
      </c>
      <c r="J688" t="str">
        <f t="shared" si="60"/>
        <v>Robusta</v>
      </c>
      <c r="K688" t="str">
        <f>INDEX(products!$A$1:$I$49,MATCH(orders!$D688,products!$A$1:$A$49,0),MATCH(orders!K$1,products!$A$1:$D$1,0))</f>
        <v>D</v>
      </c>
      <c r="L688" t="str">
        <f t="shared" si="61"/>
        <v>Dark</v>
      </c>
      <c r="M688">
        <f>INDEX(products!$A$1:$I$49,MATCH(orders!$D688,products!$A$1:$A$49,0),MATCH(orders!M$1,products!$A$1:$D$1,0))</f>
        <v>0.2</v>
      </c>
      <c r="N688">
        <f>_xlfn.XLOOKUP(D688,products!$A$2:$A$49,products!$E$2:$E$49)</f>
        <v>2.6849999999999996</v>
      </c>
      <c r="O688">
        <f>_xlfn.XLOOKUP(D688,products!$A$2:$A$49,products!$H$2:$H$49)</f>
        <v>2.5238999999999998</v>
      </c>
      <c r="P688">
        <f t="shared" si="62"/>
        <v>8.0549999999999997</v>
      </c>
      <c r="Q688">
        <f t="shared" si="63"/>
        <v>7.5716999999999999</v>
      </c>
      <c r="R688">
        <f t="shared" si="64"/>
        <v>0.48329999999999984</v>
      </c>
      <c r="S688" s="4">
        <f t="shared" si="65"/>
        <v>5.9999999999999984E-2</v>
      </c>
      <c r="T688" t="str">
        <f>_xlfn.XLOOKUP(C688,customers!$A$1:$A$1001,customers!$I$1:$I$1001,,0)</f>
        <v>Yes</v>
      </c>
    </row>
    <row r="689" spans="1:20"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INDEX(products!$A$1:$I$49,MATCH(orders!$D689,products!$A$1:$A$49,0),MATCH(orders!I$1,products!$A$1:$D$1,0))</f>
        <v>Exc</v>
      </c>
      <c r="J689" t="str">
        <f t="shared" si="60"/>
        <v>Excelsa</v>
      </c>
      <c r="K689" t="str">
        <f>INDEX(products!$A$1:$I$49,MATCH(orders!$D689,products!$A$1:$A$49,0),MATCH(orders!K$1,products!$A$1:$D$1,0))</f>
        <v>M</v>
      </c>
      <c r="L689" t="str">
        <f t="shared" si="61"/>
        <v>Medium</v>
      </c>
      <c r="M689">
        <f>INDEX(products!$A$1:$I$49,MATCH(orders!$D689,products!$A$1:$A$49,0),MATCH(orders!M$1,products!$A$1:$D$1,0))</f>
        <v>0.5</v>
      </c>
      <c r="N689">
        <f>_xlfn.XLOOKUP(D689,products!$A$2:$A$49,products!$E$2:$E$49)</f>
        <v>8.25</v>
      </c>
      <c r="O689">
        <f>_xlfn.XLOOKUP(D689,products!$A$2:$A$49,products!$H$2:$H$49)</f>
        <v>7.3425000000000002</v>
      </c>
      <c r="P689">
        <f t="shared" si="62"/>
        <v>16.5</v>
      </c>
      <c r="Q689">
        <f t="shared" si="63"/>
        <v>14.685</v>
      </c>
      <c r="R689">
        <f t="shared" si="64"/>
        <v>1.8149999999999995</v>
      </c>
      <c r="S689" s="4">
        <f t="shared" si="65"/>
        <v>0.10999999999999997</v>
      </c>
      <c r="T689" t="str">
        <f>_xlfn.XLOOKUP(C689,customers!$A$1:$A$1001,customers!$I$1:$I$1001,,0)</f>
        <v>No</v>
      </c>
    </row>
    <row r="690" spans="1:20"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INDEX(products!$A$1:$I$49,MATCH(orders!$D690,products!$A$1:$A$49,0),MATCH(orders!I$1,products!$A$1:$D$1,0))</f>
        <v>Ara</v>
      </c>
      <c r="J690" t="str">
        <f t="shared" si="60"/>
        <v>Arabica</v>
      </c>
      <c r="K690" t="str">
        <f>INDEX(products!$A$1:$I$49,MATCH(orders!$D690,products!$A$1:$A$49,0),MATCH(orders!K$1,products!$A$1:$D$1,0))</f>
        <v>L</v>
      </c>
      <c r="L690" t="str">
        <f t="shared" si="61"/>
        <v>Light</v>
      </c>
      <c r="M690">
        <f>INDEX(products!$A$1:$I$49,MATCH(orders!$D690,products!$A$1:$A$49,0),MATCH(orders!M$1,products!$A$1:$D$1,0))</f>
        <v>1</v>
      </c>
      <c r="N690">
        <f>_xlfn.XLOOKUP(D690,products!$A$2:$A$49,products!$E$2:$E$49)</f>
        <v>12.95</v>
      </c>
      <c r="O690">
        <f>_xlfn.XLOOKUP(D690,products!$A$2:$A$49,products!$H$2:$H$49)</f>
        <v>11.7845</v>
      </c>
      <c r="P690">
        <f t="shared" si="62"/>
        <v>64.75</v>
      </c>
      <c r="Q690">
        <f t="shared" si="63"/>
        <v>58.922499999999999</v>
      </c>
      <c r="R690">
        <f t="shared" si="64"/>
        <v>5.8275000000000006</v>
      </c>
      <c r="S690" s="4">
        <f t="shared" si="65"/>
        <v>9.0000000000000011E-2</v>
      </c>
      <c r="T690" t="str">
        <f>_xlfn.XLOOKUP(C690,customers!$A$1:$A$1001,customers!$I$1:$I$1001,,0)</f>
        <v>No</v>
      </c>
    </row>
    <row r="691" spans="1:20"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INDEX(products!$A$1:$I$49,MATCH(orders!$D691,products!$A$1:$A$49,0),MATCH(orders!I$1,products!$A$1:$D$1,0))</f>
        <v>Ara</v>
      </c>
      <c r="J691" t="str">
        <f t="shared" si="60"/>
        <v>Arabica</v>
      </c>
      <c r="K691" t="str">
        <f>INDEX(products!$A$1:$I$49,MATCH(orders!$D691,products!$A$1:$A$49,0),MATCH(orders!K$1,products!$A$1:$D$1,0))</f>
        <v>M</v>
      </c>
      <c r="L691" t="str">
        <f t="shared" si="61"/>
        <v>Medium</v>
      </c>
      <c r="M691">
        <f>INDEX(products!$A$1:$I$49,MATCH(orders!$D691,products!$A$1:$A$49,0),MATCH(orders!M$1,products!$A$1:$D$1,0))</f>
        <v>0.5</v>
      </c>
      <c r="N691">
        <f>_xlfn.XLOOKUP(D691,products!$A$2:$A$49,products!$E$2:$E$49)</f>
        <v>6.75</v>
      </c>
      <c r="O691">
        <f>_xlfn.XLOOKUP(D691,products!$A$2:$A$49,products!$H$2:$H$49)</f>
        <v>6.1425000000000001</v>
      </c>
      <c r="P691">
        <f t="shared" si="62"/>
        <v>33.75</v>
      </c>
      <c r="Q691">
        <f t="shared" si="63"/>
        <v>30.712499999999999</v>
      </c>
      <c r="R691">
        <f t="shared" si="64"/>
        <v>3.0375000000000014</v>
      </c>
      <c r="S691" s="4">
        <f t="shared" si="65"/>
        <v>9.0000000000000038E-2</v>
      </c>
      <c r="T691" t="str">
        <f>_xlfn.XLOOKUP(C691,customers!$A$1:$A$1001,customers!$I$1:$I$1001,,0)</f>
        <v>No</v>
      </c>
    </row>
    <row r="692" spans="1:20"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v>
      </c>
      <c r="H692" s="2" t="str">
        <f>_xlfn.XLOOKUP(C692,customers!$A$1:$A$1001,customers!$G$1:$G$1001,,0)</f>
        <v>United States</v>
      </c>
      <c r="I692" t="str">
        <f>INDEX(products!$A$1:$I$49,MATCH(orders!$D692,products!$A$1:$A$49,0),MATCH(orders!I$1,products!$A$1:$D$1,0))</f>
        <v>Lib</v>
      </c>
      <c r="J692" t="str">
        <f t="shared" si="60"/>
        <v>Liberica</v>
      </c>
      <c r="K692" t="str">
        <f>INDEX(products!$A$1:$I$49,MATCH(orders!$D692,products!$A$1:$A$49,0),MATCH(orders!K$1,products!$A$1:$D$1,0))</f>
        <v>D</v>
      </c>
      <c r="L692" t="str">
        <f t="shared" si="61"/>
        <v>Dark</v>
      </c>
      <c r="M692">
        <f>INDEX(products!$A$1:$I$49,MATCH(orders!$D692,products!$A$1:$A$49,0),MATCH(orders!M$1,products!$A$1:$D$1,0))</f>
        <v>2.5</v>
      </c>
      <c r="N692">
        <f>_xlfn.XLOOKUP(D692,products!$A$2:$A$49,products!$E$2:$E$49)</f>
        <v>29.784999999999997</v>
      </c>
      <c r="O692">
        <f>_xlfn.XLOOKUP(D692,products!$A$2:$A$49,products!$H$2:$H$49)</f>
        <v>25.912949999999995</v>
      </c>
      <c r="P692">
        <f t="shared" si="62"/>
        <v>178.70999999999998</v>
      </c>
      <c r="Q692">
        <f t="shared" si="63"/>
        <v>155.47769999999997</v>
      </c>
      <c r="R692">
        <f t="shared" si="64"/>
        <v>23.232300000000009</v>
      </c>
      <c r="S692" s="4">
        <f t="shared" si="65"/>
        <v>0.13000000000000006</v>
      </c>
      <c r="T692" t="str">
        <f>_xlfn.XLOOKUP(C692,customers!$A$1:$A$1001,customers!$I$1:$I$1001,,0)</f>
        <v>No</v>
      </c>
    </row>
    <row r="693" spans="1:20"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INDEX(products!$A$1:$I$49,MATCH(orders!$D693,products!$A$1:$A$49,0),MATCH(orders!I$1,products!$A$1:$D$1,0))</f>
        <v>Ara</v>
      </c>
      <c r="J693" t="str">
        <f t="shared" si="60"/>
        <v>Arabica</v>
      </c>
      <c r="K693" t="str">
        <f>INDEX(products!$A$1:$I$49,MATCH(orders!$D693,products!$A$1:$A$49,0),MATCH(orders!K$1,products!$A$1:$D$1,0))</f>
        <v>M</v>
      </c>
      <c r="L693" t="str">
        <f t="shared" si="61"/>
        <v>Medium</v>
      </c>
      <c r="M693">
        <f>INDEX(products!$A$1:$I$49,MATCH(orders!$D693,products!$A$1:$A$49,0),MATCH(orders!M$1,products!$A$1:$D$1,0))</f>
        <v>1</v>
      </c>
      <c r="N693">
        <f>_xlfn.XLOOKUP(D693,products!$A$2:$A$49,products!$E$2:$E$49)</f>
        <v>11.25</v>
      </c>
      <c r="O693">
        <f>_xlfn.XLOOKUP(D693,products!$A$2:$A$49,products!$H$2:$H$49)</f>
        <v>10.237500000000001</v>
      </c>
      <c r="P693">
        <f t="shared" si="62"/>
        <v>22.5</v>
      </c>
      <c r="Q693">
        <f t="shared" si="63"/>
        <v>20.475000000000001</v>
      </c>
      <c r="R693">
        <f t="shared" si="64"/>
        <v>2.0249999999999986</v>
      </c>
      <c r="S693" s="4">
        <f t="shared" si="65"/>
        <v>8.9999999999999941E-2</v>
      </c>
      <c r="T693" t="str">
        <f>_xlfn.XLOOKUP(C693,customers!$A$1:$A$1001,customers!$I$1:$I$1001,,0)</f>
        <v>No</v>
      </c>
    </row>
    <row r="694" spans="1:20"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INDEX(products!$A$1:$I$49,MATCH(orders!$D694,products!$A$1:$A$49,0),MATCH(orders!I$1,products!$A$1:$D$1,0))</f>
        <v>Lib</v>
      </c>
      <c r="J694" t="str">
        <f t="shared" si="60"/>
        <v>Liberica</v>
      </c>
      <c r="K694" t="str">
        <f>INDEX(products!$A$1:$I$49,MATCH(orders!$D694,products!$A$1:$A$49,0),MATCH(orders!K$1,products!$A$1:$D$1,0))</f>
        <v>D</v>
      </c>
      <c r="L694" t="str">
        <f t="shared" si="61"/>
        <v>Dark</v>
      </c>
      <c r="M694">
        <f>INDEX(products!$A$1:$I$49,MATCH(orders!$D694,products!$A$1:$A$49,0),MATCH(orders!M$1,products!$A$1:$D$1,0))</f>
        <v>1</v>
      </c>
      <c r="N694">
        <f>_xlfn.XLOOKUP(D694,products!$A$2:$A$49,products!$E$2:$E$49)</f>
        <v>12.95</v>
      </c>
      <c r="O694">
        <f>_xlfn.XLOOKUP(D694,products!$A$2:$A$49,products!$H$2:$H$49)</f>
        <v>11.266499999999999</v>
      </c>
      <c r="P694">
        <f t="shared" si="62"/>
        <v>12.95</v>
      </c>
      <c r="Q694">
        <f t="shared" si="63"/>
        <v>11.266499999999999</v>
      </c>
      <c r="R694">
        <f t="shared" si="64"/>
        <v>1.6835000000000004</v>
      </c>
      <c r="S694" s="4">
        <f t="shared" si="65"/>
        <v>0.13000000000000003</v>
      </c>
      <c r="T694" t="str">
        <f>_xlfn.XLOOKUP(C694,customers!$A$1:$A$1001,customers!$I$1:$I$1001,,0)</f>
        <v>No</v>
      </c>
    </row>
    <row r="695" spans="1:20"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INDEX(products!$A$1:$I$49,MATCH(orders!$D695,products!$A$1:$A$49,0),MATCH(orders!I$1,products!$A$1:$D$1,0))</f>
        <v>Ara</v>
      </c>
      <c r="J695" t="str">
        <f t="shared" si="60"/>
        <v>Arabica</v>
      </c>
      <c r="K695" t="str">
        <f>INDEX(products!$A$1:$I$49,MATCH(orders!$D695,products!$A$1:$A$49,0),MATCH(orders!K$1,products!$A$1:$D$1,0))</f>
        <v>M</v>
      </c>
      <c r="L695" t="str">
        <f t="shared" si="61"/>
        <v>Medium</v>
      </c>
      <c r="M695">
        <f>INDEX(products!$A$1:$I$49,MATCH(orders!$D695,products!$A$1:$A$49,0),MATCH(orders!M$1,products!$A$1:$D$1,0))</f>
        <v>2.5</v>
      </c>
      <c r="N695">
        <f>_xlfn.XLOOKUP(D695,products!$A$2:$A$49,products!$E$2:$E$49)</f>
        <v>25.874999999999996</v>
      </c>
      <c r="O695">
        <f>_xlfn.XLOOKUP(D695,products!$A$2:$A$49,products!$H$2:$H$49)</f>
        <v>23.546249999999997</v>
      </c>
      <c r="P695">
        <f t="shared" si="62"/>
        <v>51.749999999999993</v>
      </c>
      <c r="Q695">
        <f t="shared" si="63"/>
        <v>47.092499999999994</v>
      </c>
      <c r="R695">
        <f t="shared" si="64"/>
        <v>4.6574999999999989</v>
      </c>
      <c r="S695" s="4">
        <f t="shared" si="65"/>
        <v>0.09</v>
      </c>
      <c r="T695" t="str">
        <f>_xlfn.XLOOKUP(C695,customers!$A$1:$A$1001,customers!$I$1:$I$1001,,0)</f>
        <v>Yes</v>
      </c>
    </row>
    <row r="696" spans="1:20"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INDEX(products!$A$1:$I$49,MATCH(orders!$D696,products!$A$1:$A$49,0),MATCH(orders!I$1,products!$A$1:$D$1,0))</f>
        <v>Exc</v>
      </c>
      <c r="J696" t="str">
        <f t="shared" si="60"/>
        <v>Excelsa</v>
      </c>
      <c r="K696" t="str">
        <f>INDEX(products!$A$1:$I$49,MATCH(orders!$D696,products!$A$1:$A$49,0),MATCH(orders!K$1,products!$A$1:$D$1,0))</f>
        <v>D</v>
      </c>
      <c r="L696" t="str">
        <f t="shared" si="61"/>
        <v>Dark</v>
      </c>
      <c r="M696">
        <f>INDEX(products!$A$1:$I$49,MATCH(orders!$D696,products!$A$1:$A$49,0),MATCH(orders!M$1,products!$A$1:$D$1,0))</f>
        <v>0.5</v>
      </c>
      <c r="N696">
        <f>_xlfn.XLOOKUP(D696,products!$A$2:$A$49,products!$E$2:$E$49)</f>
        <v>7.29</v>
      </c>
      <c r="O696">
        <f>_xlfn.XLOOKUP(D696,products!$A$2:$A$49,products!$H$2:$H$49)</f>
        <v>6.4881000000000002</v>
      </c>
      <c r="P696">
        <f t="shared" si="62"/>
        <v>36.450000000000003</v>
      </c>
      <c r="Q696">
        <f t="shared" si="63"/>
        <v>32.4405</v>
      </c>
      <c r="R696">
        <f t="shared" si="64"/>
        <v>4.0095000000000027</v>
      </c>
      <c r="S696" s="4">
        <f t="shared" si="65"/>
        <v>0.11000000000000007</v>
      </c>
      <c r="T696" t="str">
        <f>_xlfn.XLOOKUP(C696,customers!$A$1:$A$1001,customers!$I$1:$I$1001,,0)</f>
        <v>No</v>
      </c>
    </row>
    <row r="697" spans="1:20"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INDEX(products!$A$1:$I$49,MATCH(orders!$D697,products!$A$1:$A$49,0),MATCH(orders!I$1,products!$A$1:$D$1,0))</f>
        <v>Lib</v>
      </c>
      <c r="J697" t="str">
        <f t="shared" si="60"/>
        <v>Liberica</v>
      </c>
      <c r="K697" t="str">
        <f>INDEX(products!$A$1:$I$49,MATCH(orders!$D697,products!$A$1:$A$49,0),MATCH(orders!K$1,products!$A$1:$D$1,0))</f>
        <v>L</v>
      </c>
      <c r="L697" t="str">
        <f t="shared" si="61"/>
        <v>Light</v>
      </c>
      <c r="M697">
        <f>INDEX(products!$A$1:$I$49,MATCH(orders!$D697,products!$A$1:$A$49,0),MATCH(orders!M$1,products!$A$1:$D$1,0))</f>
        <v>2.5</v>
      </c>
      <c r="N697">
        <f>_xlfn.XLOOKUP(D697,products!$A$2:$A$49,products!$E$2:$E$49)</f>
        <v>36.454999999999998</v>
      </c>
      <c r="O697">
        <f>_xlfn.XLOOKUP(D697,products!$A$2:$A$49,products!$H$2:$H$49)</f>
        <v>31.71585</v>
      </c>
      <c r="P697">
        <f t="shared" si="62"/>
        <v>182.27499999999998</v>
      </c>
      <c r="Q697">
        <f t="shared" si="63"/>
        <v>158.57925</v>
      </c>
      <c r="R697">
        <f t="shared" si="64"/>
        <v>23.695749999999975</v>
      </c>
      <c r="S697" s="4">
        <f t="shared" si="65"/>
        <v>0.12999999999999989</v>
      </c>
      <c r="T697" t="str">
        <f>_xlfn.XLOOKUP(C697,customers!$A$1:$A$1001,customers!$I$1:$I$1001,,0)</f>
        <v>Yes</v>
      </c>
    </row>
    <row r="698" spans="1:20"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INDEX(products!$A$1:$I$49,MATCH(orders!$D698,products!$A$1:$A$49,0),MATCH(orders!I$1,products!$A$1:$D$1,0))</f>
        <v>Lib</v>
      </c>
      <c r="J698" t="str">
        <f t="shared" si="60"/>
        <v>Liberica</v>
      </c>
      <c r="K698" t="str">
        <f>INDEX(products!$A$1:$I$49,MATCH(orders!$D698,products!$A$1:$A$49,0),MATCH(orders!K$1,products!$A$1:$D$1,0))</f>
        <v>D</v>
      </c>
      <c r="L698" t="str">
        <f t="shared" si="61"/>
        <v>Dark</v>
      </c>
      <c r="M698">
        <f>INDEX(products!$A$1:$I$49,MATCH(orders!$D698,products!$A$1:$A$49,0),MATCH(orders!M$1,products!$A$1:$D$1,0))</f>
        <v>0.5</v>
      </c>
      <c r="N698">
        <f>_xlfn.XLOOKUP(D698,products!$A$2:$A$49,products!$E$2:$E$49)</f>
        <v>7.77</v>
      </c>
      <c r="O698">
        <f>_xlfn.XLOOKUP(D698,products!$A$2:$A$49,products!$H$2:$H$49)</f>
        <v>6.7599</v>
      </c>
      <c r="P698">
        <f t="shared" si="62"/>
        <v>31.08</v>
      </c>
      <c r="Q698">
        <f t="shared" si="63"/>
        <v>27.0396</v>
      </c>
      <c r="R698">
        <f t="shared" si="64"/>
        <v>4.0403999999999982</v>
      </c>
      <c r="S698" s="4">
        <f t="shared" si="65"/>
        <v>0.12999999999999995</v>
      </c>
      <c r="T698" t="str">
        <f>_xlfn.XLOOKUP(C698,customers!$A$1:$A$1001,customers!$I$1:$I$1001,,0)</f>
        <v>No</v>
      </c>
    </row>
    <row r="699" spans="1:20"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v>
      </c>
      <c r="H699" s="2" t="str">
        <f>_xlfn.XLOOKUP(C699,customers!$A$1:$A$1001,customers!$G$1:$G$1001,,0)</f>
        <v>Ireland</v>
      </c>
      <c r="I699" t="str">
        <f>INDEX(products!$A$1:$I$49,MATCH(orders!$D699,products!$A$1:$A$49,0),MATCH(orders!I$1,products!$A$1:$D$1,0))</f>
        <v>Ara</v>
      </c>
      <c r="J699" t="str">
        <f t="shared" si="60"/>
        <v>Arabica</v>
      </c>
      <c r="K699" t="str">
        <f>INDEX(products!$A$1:$I$49,MATCH(orders!$D699,products!$A$1:$A$49,0),MATCH(orders!K$1,products!$A$1:$D$1,0))</f>
        <v>M</v>
      </c>
      <c r="L699" t="str">
        <f t="shared" si="61"/>
        <v>Medium</v>
      </c>
      <c r="M699">
        <f>INDEX(products!$A$1:$I$49,MATCH(orders!$D699,products!$A$1:$A$49,0),MATCH(orders!M$1,products!$A$1:$D$1,0))</f>
        <v>0.5</v>
      </c>
      <c r="N699">
        <f>_xlfn.XLOOKUP(D699,products!$A$2:$A$49,products!$E$2:$E$49)</f>
        <v>6.75</v>
      </c>
      <c r="O699">
        <f>_xlfn.XLOOKUP(D699,products!$A$2:$A$49,products!$H$2:$H$49)</f>
        <v>6.1425000000000001</v>
      </c>
      <c r="P699">
        <f t="shared" si="62"/>
        <v>20.25</v>
      </c>
      <c r="Q699">
        <f t="shared" si="63"/>
        <v>18.427500000000002</v>
      </c>
      <c r="R699">
        <f t="shared" si="64"/>
        <v>1.822499999999998</v>
      </c>
      <c r="S699" s="4">
        <f t="shared" si="65"/>
        <v>8.99999999999999E-2</v>
      </c>
      <c r="T699" t="str">
        <f>_xlfn.XLOOKUP(C699,customers!$A$1:$A$1001,customers!$I$1:$I$1001,,0)</f>
        <v>No</v>
      </c>
    </row>
    <row r="700" spans="1:20"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INDEX(products!$A$1:$I$49,MATCH(orders!$D700,products!$A$1:$A$49,0),MATCH(orders!I$1,products!$A$1:$D$1,0))</f>
        <v>Lib</v>
      </c>
      <c r="J700" t="str">
        <f t="shared" si="60"/>
        <v>Liberica</v>
      </c>
      <c r="K700" t="str">
        <f>INDEX(products!$A$1:$I$49,MATCH(orders!$D700,products!$A$1:$A$49,0),MATCH(orders!K$1,products!$A$1:$D$1,0))</f>
        <v>D</v>
      </c>
      <c r="L700" t="str">
        <f t="shared" si="61"/>
        <v>Dark</v>
      </c>
      <c r="M700">
        <f>INDEX(products!$A$1:$I$49,MATCH(orders!$D700,products!$A$1:$A$49,0),MATCH(orders!M$1,products!$A$1:$D$1,0))</f>
        <v>1</v>
      </c>
      <c r="N700">
        <f>_xlfn.XLOOKUP(D700,products!$A$2:$A$49,products!$E$2:$E$49)</f>
        <v>12.95</v>
      </c>
      <c r="O700">
        <f>_xlfn.XLOOKUP(D700,products!$A$2:$A$49,products!$H$2:$H$49)</f>
        <v>11.266499999999999</v>
      </c>
      <c r="P700">
        <f t="shared" si="62"/>
        <v>25.9</v>
      </c>
      <c r="Q700">
        <f t="shared" si="63"/>
        <v>22.532999999999998</v>
      </c>
      <c r="R700">
        <f t="shared" si="64"/>
        <v>3.3670000000000009</v>
      </c>
      <c r="S700" s="4">
        <f t="shared" si="65"/>
        <v>0.13000000000000003</v>
      </c>
      <c r="T700" t="str">
        <f>_xlfn.XLOOKUP(C700,customers!$A$1:$A$1001,customers!$I$1:$I$1001,,0)</f>
        <v>No</v>
      </c>
    </row>
    <row r="701" spans="1:20"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INDEX(products!$A$1:$I$49,MATCH(orders!$D701,products!$A$1:$A$49,0),MATCH(orders!I$1,products!$A$1:$D$1,0))</f>
        <v>Ara</v>
      </c>
      <c r="J701" t="str">
        <f t="shared" si="60"/>
        <v>Arabica</v>
      </c>
      <c r="K701" t="str">
        <f>INDEX(products!$A$1:$I$49,MATCH(orders!$D701,products!$A$1:$A$49,0),MATCH(orders!K$1,products!$A$1:$D$1,0))</f>
        <v>D</v>
      </c>
      <c r="L701" t="str">
        <f t="shared" si="61"/>
        <v>Dark</v>
      </c>
      <c r="M701">
        <f>INDEX(products!$A$1:$I$49,MATCH(orders!$D701,products!$A$1:$A$49,0),MATCH(orders!M$1,products!$A$1:$D$1,0))</f>
        <v>0.5</v>
      </c>
      <c r="N701">
        <f>_xlfn.XLOOKUP(D701,products!$A$2:$A$49,products!$E$2:$E$49)</f>
        <v>5.97</v>
      </c>
      <c r="O701">
        <f>_xlfn.XLOOKUP(D701,products!$A$2:$A$49,products!$H$2:$H$49)</f>
        <v>5.4326999999999996</v>
      </c>
      <c r="P701">
        <f t="shared" si="62"/>
        <v>23.88</v>
      </c>
      <c r="Q701">
        <f t="shared" si="63"/>
        <v>21.730799999999999</v>
      </c>
      <c r="R701">
        <f t="shared" si="64"/>
        <v>2.1492000000000004</v>
      </c>
      <c r="S701" s="4">
        <f t="shared" si="65"/>
        <v>9.0000000000000024E-2</v>
      </c>
      <c r="T701" t="str">
        <f>_xlfn.XLOOKUP(C701,customers!$A$1:$A$1001,customers!$I$1:$I$1001,,0)</f>
        <v>Yes</v>
      </c>
    </row>
    <row r="702" spans="1:20"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INDEX(products!$A$1:$I$49,MATCH(orders!$D702,products!$A$1:$A$49,0),MATCH(orders!I$1,products!$A$1:$D$1,0))</f>
        <v>Lib</v>
      </c>
      <c r="J702" t="str">
        <f t="shared" si="60"/>
        <v>Liberica</v>
      </c>
      <c r="K702" t="str">
        <f>INDEX(products!$A$1:$I$49,MATCH(orders!$D702,products!$A$1:$A$49,0),MATCH(orders!K$1,products!$A$1:$D$1,0))</f>
        <v>L</v>
      </c>
      <c r="L702" t="str">
        <f t="shared" si="61"/>
        <v>Light</v>
      </c>
      <c r="M702">
        <f>INDEX(products!$A$1:$I$49,MATCH(orders!$D702,products!$A$1:$A$49,0),MATCH(orders!M$1,products!$A$1:$D$1,0))</f>
        <v>0.5</v>
      </c>
      <c r="N702">
        <f>_xlfn.XLOOKUP(D702,products!$A$2:$A$49,products!$E$2:$E$49)</f>
        <v>9.51</v>
      </c>
      <c r="O702">
        <f>_xlfn.XLOOKUP(D702,products!$A$2:$A$49,products!$H$2:$H$49)</f>
        <v>8.2736999999999998</v>
      </c>
      <c r="P702">
        <f t="shared" si="62"/>
        <v>19.02</v>
      </c>
      <c r="Q702">
        <f t="shared" si="63"/>
        <v>16.5474</v>
      </c>
      <c r="R702">
        <f t="shared" si="64"/>
        <v>2.4725999999999999</v>
      </c>
      <c r="S702" s="4">
        <f t="shared" si="65"/>
        <v>0.13</v>
      </c>
      <c r="T702" t="str">
        <f>_xlfn.XLOOKUP(C702,customers!$A$1:$A$1001,customers!$I$1:$I$1001,,0)</f>
        <v>No</v>
      </c>
    </row>
    <row r="703" spans="1:20"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INDEX(products!$A$1:$I$49,MATCH(orders!$D703,products!$A$1:$A$49,0),MATCH(orders!I$1,products!$A$1:$D$1,0))</f>
        <v>Ara</v>
      </c>
      <c r="J703" t="str">
        <f t="shared" si="60"/>
        <v>Arabica</v>
      </c>
      <c r="K703" t="str">
        <f>INDEX(products!$A$1:$I$49,MATCH(orders!$D703,products!$A$1:$A$49,0),MATCH(orders!K$1,products!$A$1:$D$1,0))</f>
        <v>D</v>
      </c>
      <c r="L703" t="str">
        <f t="shared" si="61"/>
        <v>Dark</v>
      </c>
      <c r="M703">
        <f>INDEX(products!$A$1:$I$49,MATCH(orders!$D703,products!$A$1:$A$49,0),MATCH(orders!M$1,products!$A$1:$D$1,0))</f>
        <v>0.5</v>
      </c>
      <c r="N703">
        <f>_xlfn.XLOOKUP(D703,products!$A$2:$A$49,products!$E$2:$E$49)</f>
        <v>5.97</v>
      </c>
      <c r="O703">
        <f>_xlfn.XLOOKUP(D703,products!$A$2:$A$49,products!$H$2:$H$49)</f>
        <v>5.4326999999999996</v>
      </c>
      <c r="P703">
        <f t="shared" si="62"/>
        <v>29.849999999999998</v>
      </c>
      <c r="Q703">
        <f t="shared" si="63"/>
        <v>27.163499999999999</v>
      </c>
      <c r="R703">
        <f t="shared" si="64"/>
        <v>2.6864999999999988</v>
      </c>
      <c r="S703" s="4">
        <f t="shared" si="65"/>
        <v>8.9999999999999969E-2</v>
      </c>
      <c r="T703" t="str">
        <f>_xlfn.XLOOKUP(C703,customers!$A$1:$A$1001,customers!$I$1:$I$1001,,0)</f>
        <v>Yes</v>
      </c>
    </row>
    <row r="704" spans="1:20"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INDEX(products!$A$1:$I$49,MATCH(orders!$D704,products!$A$1:$A$49,0),MATCH(orders!I$1,products!$A$1:$D$1,0))</f>
        <v>Ara</v>
      </c>
      <c r="J704" t="str">
        <f t="shared" si="60"/>
        <v>Arabica</v>
      </c>
      <c r="K704" t="str">
        <f>INDEX(products!$A$1:$I$49,MATCH(orders!$D704,products!$A$1:$A$49,0),MATCH(orders!K$1,products!$A$1:$D$1,0))</f>
        <v>L</v>
      </c>
      <c r="L704" t="str">
        <f t="shared" si="61"/>
        <v>Light</v>
      </c>
      <c r="M704">
        <f>INDEX(products!$A$1:$I$49,MATCH(orders!$D704,products!$A$1:$A$49,0),MATCH(orders!M$1,products!$A$1:$D$1,0))</f>
        <v>0.5</v>
      </c>
      <c r="N704">
        <f>_xlfn.XLOOKUP(D704,products!$A$2:$A$49,products!$E$2:$E$49)</f>
        <v>7.77</v>
      </c>
      <c r="O704">
        <f>_xlfn.XLOOKUP(D704,products!$A$2:$A$49,products!$H$2:$H$49)</f>
        <v>7.0706999999999995</v>
      </c>
      <c r="P704">
        <f t="shared" si="62"/>
        <v>7.77</v>
      </c>
      <c r="Q704">
        <f t="shared" si="63"/>
        <v>7.0706999999999995</v>
      </c>
      <c r="R704">
        <f t="shared" si="64"/>
        <v>0.69930000000000003</v>
      </c>
      <c r="S704" s="4">
        <f t="shared" si="65"/>
        <v>9.0000000000000011E-2</v>
      </c>
      <c r="T704" t="str">
        <f>_xlfn.XLOOKUP(C704,customers!$A$1:$A$1001,customers!$I$1:$I$1001,,0)</f>
        <v>Yes</v>
      </c>
    </row>
    <row r="705" spans="1:20"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v>
      </c>
      <c r="H705" s="2" t="str">
        <f>_xlfn.XLOOKUP(C705,customers!$A$1:$A$1001,customers!$G$1:$G$1001,,0)</f>
        <v>Ireland</v>
      </c>
      <c r="I705" t="str">
        <f>INDEX(products!$A$1:$I$49,MATCH(orders!$D705,products!$A$1:$A$49,0),MATCH(orders!I$1,products!$A$1:$D$1,0))</f>
        <v>Lib</v>
      </c>
      <c r="J705" t="str">
        <f t="shared" si="60"/>
        <v>Liberica</v>
      </c>
      <c r="K705" t="str">
        <f>INDEX(products!$A$1:$I$49,MATCH(orders!$D705,products!$A$1:$A$49,0),MATCH(orders!K$1,products!$A$1:$D$1,0))</f>
        <v>D</v>
      </c>
      <c r="L705" t="str">
        <f t="shared" si="61"/>
        <v>Dark</v>
      </c>
      <c r="M705">
        <f>INDEX(products!$A$1:$I$49,MATCH(orders!$D705,products!$A$1:$A$49,0),MATCH(orders!M$1,products!$A$1:$D$1,0))</f>
        <v>2.5</v>
      </c>
      <c r="N705">
        <f>_xlfn.XLOOKUP(D705,products!$A$2:$A$49,products!$E$2:$E$49)</f>
        <v>29.784999999999997</v>
      </c>
      <c r="O705">
        <f>_xlfn.XLOOKUP(D705,products!$A$2:$A$49,products!$H$2:$H$49)</f>
        <v>25.912949999999995</v>
      </c>
      <c r="P705">
        <f t="shared" si="62"/>
        <v>119.13999999999999</v>
      </c>
      <c r="Q705">
        <f t="shared" si="63"/>
        <v>103.65179999999998</v>
      </c>
      <c r="R705">
        <f t="shared" si="64"/>
        <v>15.488200000000006</v>
      </c>
      <c r="S705" s="4">
        <f t="shared" si="65"/>
        <v>0.13000000000000006</v>
      </c>
      <c r="T705" t="str">
        <f>_xlfn.XLOOKUP(C705,customers!$A$1:$A$1001,customers!$I$1:$I$1001,,0)</f>
        <v>Yes</v>
      </c>
    </row>
    <row r="706" spans="1:20"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v>
      </c>
      <c r="H706" s="2" t="str">
        <f>_xlfn.XLOOKUP(C706,customers!$A$1:$A$1001,customers!$G$1:$G$1001,,0)</f>
        <v>United States</v>
      </c>
      <c r="I706" t="str">
        <f>INDEX(products!$A$1:$I$49,MATCH(orders!$D706,products!$A$1:$A$49,0),MATCH(orders!I$1,products!$A$1:$D$1,0))</f>
        <v>Exc</v>
      </c>
      <c r="J706" t="str">
        <f t="shared" si="60"/>
        <v>Excelsa</v>
      </c>
      <c r="K706" t="str">
        <f>INDEX(products!$A$1:$I$49,MATCH(orders!$D706,products!$A$1:$A$49,0),MATCH(orders!K$1,products!$A$1:$D$1,0))</f>
        <v>D</v>
      </c>
      <c r="L706" t="str">
        <f t="shared" si="61"/>
        <v>Dark</v>
      </c>
      <c r="M706">
        <f>INDEX(products!$A$1:$I$49,MATCH(orders!$D706,products!$A$1:$A$49,0),MATCH(orders!M$1,products!$A$1:$D$1,0))</f>
        <v>0.2</v>
      </c>
      <c r="N706">
        <f>_xlfn.XLOOKUP(D706,products!$A$2:$A$49,products!$E$2:$E$49)</f>
        <v>3.645</v>
      </c>
      <c r="O706">
        <f>_xlfn.XLOOKUP(D706,products!$A$2:$A$49,products!$H$2:$H$49)</f>
        <v>3.2440500000000001</v>
      </c>
      <c r="P706">
        <f t="shared" si="62"/>
        <v>21.87</v>
      </c>
      <c r="Q706">
        <f t="shared" si="63"/>
        <v>19.464300000000001</v>
      </c>
      <c r="R706">
        <f t="shared" si="64"/>
        <v>2.4056999999999995</v>
      </c>
      <c r="S706" s="4">
        <f t="shared" si="65"/>
        <v>0.10999999999999997</v>
      </c>
      <c r="T706" t="str">
        <f>_xlfn.XLOOKUP(C706,customers!$A$1:$A$1001,customers!$I$1:$I$1001,,0)</f>
        <v>Yes</v>
      </c>
    </row>
    <row r="707" spans="1:20"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INDEX(products!$A$1:$I$49,MATCH(orders!$D707,products!$A$1:$A$49,0),MATCH(orders!I$1,products!$A$1:$D$1,0))</f>
        <v>Exc</v>
      </c>
      <c r="J707" t="str">
        <f t="shared" ref="J707:J770" si="66">IF(I707="Rob","Robusta",IF(I707="Exc","Excelsa",IF(I707="Ara","Arabica",IF(I707="Lib","Liberica",""))))</f>
        <v>Excelsa</v>
      </c>
      <c r="K707" t="str">
        <f>INDEX(products!$A$1:$I$49,MATCH(orders!$D707,products!$A$1:$A$49,0),MATCH(orders!K$1,products!$A$1:$D$1,0))</f>
        <v>L</v>
      </c>
      <c r="L707" t="str">
        <f t="shared" ref="L707:L770" si="67">IF(K707="M","Medium",IF(K707="L","Light",IF(K707="D","Dark","")))</f>
        <v>Light</v>
      </c>
      <c r="M707">
        <f>INDEX(products!$A$1:$I$49,MATCH(orders!$D707,products!$A$1:$A$49,0),MATCH(orders!M$1,products!$A$1:$D$1,0))</f>
        <v>0.5</v>
      </c>
      <c r="N707">
        <f>_xlfn.XLOOKUP(D707,products!$A$2:$A$49,products!$E$2:$E$49)</f>
        <v>8.91</v>
      </c>
      <c r="O707">
        <f>_xlfn.XLOOKUP(D707,products!$A$2:$A$49,products!$H$2:$H$49)</f>
        <v>7.9298999999999999</v>
      </c>
      <c r="P707">
        <f t="shared" ref="P707:P770" si="68">N707*E707</f>
        <v>17.82</v>
      </c>
      <c r="Q707">
        <f t="shared" ref="Q707:Q770" si="69">O707*E707</f>
        <v>15.8598</v>
      </c>
      <c r="R707">
        <f t="shared" ref="R707:R770" si="70">P707-Q707</f>
        <v>1.9602000000000004</v>
      </c>
      <c r="S707" s="4">
        <f t="shared" ref="S707:S770" si="71">R707/P707</f>
        <v>0.11000000000000001</v>
      </c>
      <c r="T707" t="str">
        <f>_xlfn.XLOOKUP(C707,customers!$A$1:$A$1001,customers!$I$1:$I$1001,,0)</f>
        <v>No</v>
      </c>
    </row>
    <row r="708" spans="1:20"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INDEX(products!$A$1:$I$49,MATCH(orders!$D708,products!$A$1:$A$49,0),MATCH(orders!I$1,products!$A$1:$D$1,0))</f>
        <v>Exc</v>
      </c>
      <c r="J708" t="str">
        <f t="shared" si="66"/>
        <v>Excelsa</v>
      </c>
      <c r="K708" t="str">
        <f>INDEX(products!$A$1:$I$49,MATCH(orders!$D708,products!$A$1:$A$49,0),MATCH(orders!K$1,products!$A$1:$D$1,0))</f>
        <v>M</v>
      </c>
      <c r="L708" t="str">
        <f t="shared" si="67"/>
        <v>Medium</v>
      </c>
      <c r="M708">
        <f>INDEX(products!$A$1:$I$49,MATCH(orders!$D708,products!$A$1:$A$49,0),MATCH(orders!M$1,products!$A$1:$D$1,0))</f>
        <v>0.2</v>
      </c>
      <c r="N708">
        <f>_xlfn.XLOOKUP(D708,products!$A$2:$A$49,products!$E$2:$E$49)</f>
        <v>4.125</v>
      </c>
      <c r="O708">
        <f>_xlfn.XLOOKUP(D708,products!$A$2:$A$49,products!$H$2:$H$49)</f>
        <v>3.6712500000000001</v>
      </c>
      <c r="P708">
        <f t="shared" si="68"/>
        <v>12.375</v>
      </c>
      <c r="Q708">
        <f t="shared" si="69"/>
        <v>11.01375</v>
      </c>
      <c r="R708">
        <f t="shared" si="70"/>
        <v>1.3612500000000001</v>
      </c>
      <c r="S708" s="4">
        <f t="shared" si="71"/>
        <v>0.11</v>
      </c>
      <c r="T708" t="str">
        <f>_xlfn.XLOOKUP(C708,customers!$A$1:$A$1001,customers!$I$1:$I$1001,,0)</f>
        <v>No</v>
      </c>
    </row>
    <row r="709" spans="1:20"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v>
      </c>
      <c r="H709" s="2" t="str">
        <f>_xlfn.XLOOKUP(C709,customers!$A$1:$A$1001,customers!$G$1:$G$1001,,0)</f>
        <v>Ireland</v>
      </c>
      <c r="I709" t="str">
        <f>INDEX(products!$A$1:$I$49,MATCH(orders!$D709,products!$A$1:$A$49,0),MATCH(orders!I$1,products!$A$1:$D$1,0))</f>
        <v>Lib</v>
      </c>
      <c r="J709" t="str">
        <f t="shared" si="66"/>
        <v>Liberica</v>
      </c>
      <c r="K709" t="str">
        <f>INDEX(products!$A$1:$I$49,MATCH(orders!$D709,products!$A$1:$A$49,0),MATCH(orders!K$1,products!$A$1:$D$1,0))</f>
        <v>D</v>
      </c>
      <c r="L709" t="str">
        <f t="shared" si="67"/>
        <v>Dark</v>
      </c>
      <c r="M709">
        <f>INDEX(products!$A$1:$I$49,MATCH(orders!$D709,products!$A$1:$A$49,0),MATCH(orders!M$1,products!$A$1:$D$1,0))</f>
        <v>1</v>
      </c>
      <c r="N709">
        <f>_xlfn.XLOOKUP(D709,products!$A$2:$A$49,products!$E$2:$E$49)</f>
        <v>12.95</v>
      </c>
      <c r="O709">
        <f>_xlfn.XLOOKUP(D709,products!$A$2:$A$49,products!$H$2:$H$49)</f>
        <v>11.266499999999999</v>
      </c>
      <c r="P709">
        <f t="shared" si="68"/>
        <v>25.9</v>
      </c>
      <c r="Q709">
        <f t="shared" si="69"/>
        <v>22.532999999999998</v>
      </c>
      <c r="R709">
        <f t="shared" si="70"/>
        <v>3.3670000000000009</v>
      </c>
      <c r="S709" s="4">
        <f t="shared" si="71"/>
        <v>0.13000000000000003</v>
      </c>
      <c r="T709" t="str">
        <f>_xlfn.XLOOKUP(C709,customers!$A$1:$A$1001,customers!$I$1:$I$1001,,0)</f>
        <v>No</v>
      </c>
    </row>
    <row r="710" spans="1:20"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INDEX(products!$A$1:$I$49,MATCH(orders!$D710,products!$A$1:$A$49,0),MATCH(orders!I$1,products!$A$1:$D$1,0))</f>
        <v>Ara</v>
      </c>
      <c r="J710" t="str">
        <f t="shared" si="66"/>
        <v>Arabica</v>
      </c>
      <c r="K710" t="str">
        <f>INDEX(products!$A$1:$I$49,MATCH(orders!$D710,products!$A$1:$A$49,0),MATCH(orders!K$1,products!$A$1:$D$1,0))</f>
        <v>M</v>
      </c>
      <c r="L710" t="str">
        <f t="shared" si="67"/>
        <v>Medium</v>
      </c>
      <c r="M710">
        <f>INDEX(products!$A$1:$I$49,MATCH(orders!$D710,products!$A$1:$A$49,0),MATCH(orders!M$1,products!$A$1:$D$1,0))</f>
        <v>0.5</v>
      </c>
      <c r="N710">
        <f>_xlfn.XLOOKUP(D710,products!$A$2:$A$49,products!$E$2:$E$49)</f>
        <v>6.75</v>
      </c>
      <c r="O710">
        <f>_xlfn.XLOOKUP(D710,products!$A$2:$A$49,products!$H$2:$H$49)</f>
        <v>6.1425000000000001</v>
      </c>
      <c r="P710">
        <f t="shared" si="68"/>
        <v>13.5</v>
      </c>
      <c r="Q710">
        <f t="shared" si="69"/>
        <v>12.285</v>
      </c>
      <c r="R710">
        <f t="shared" si="70"/>
        <v>1.2149999999999999</v>
      </c>
      <c r="S710" s="4">
        <f t="shared" si="71"/>
        <v>8.9999999999999983E-2</v>
      </c>
      <c r="T710" t="str">
        <f>_xlfn.XLOOKUP(C710,customers!$A$1:$A$1001,customers!$I$1:$I$1001,,0)</f>
        <v>Yes</v>
      </c>
    </row>
    <row r="711" spans="1:20"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v>
      </c>
      <c r="H711" s="2" t="str">
        <f>_xlfn.XLOOKUP(C711,customers!$A$1:$A$1001,customers!$G$1:$G$1001,,0)</f>
        <v>United States</v>
      </c>
      <c r="I711" t="str">
        <f>INDEX(products!$A$1:$I$49,MATCH(orders!$D711,products!$A$1:$A$49,0),MATCH(orders!I$1,products!$A$1:$D$1,0))</f>
        <v>Exc</v>
      </c>
      <c r="J711" t="str">
        <f t="shared" si="66"/>
        <v>Excelsa</v>
      </c>
      <c r="K711" t="str">
        <f>INDEX(products!$A$1:$I$49,MATCH(orders!$D711,products!$A$1:$A$49,0),MATCH(orders!K$1,products!$A$1:$D$1,0))</f>
        <v>L</v>
      </c>
      <c r="L711" t="str">
        <f t="shared" si="67"/>
        <v>Light</v>
      </c>
      <c r="M711">
        <f>INDEX(products!$A$1:$I$49,MATCH(orders!$D711,products!$A$1:$A$49,0),MATCH(orders!M$1,products!$A$1:$D$1,0))</f>
        <v>0.5</v>
      </c>
      <c r="N711">
        <f>_xlfn.XLOOKUP(D711,products!$A$2:$A$49,products!$E$2:$E$49)</f>
        <v>8.91</v>
      </c>
      <c r="O711">
        <f>_xlfn.XLOOKUP(D711,products!$A$2:$A$49,products!$H$2:$H$49)</f>
        <v>7.9298999999999999</v>
      </c>
      <c r="P711">
        <f t="shared" si="68"/>
        <v>17.82</v>
      </c>
      <c r="Q711">
        <f t="shared" si="69"/>
        <v>15.8598</v>
      </c>
      <c r="R711">
        <f t="shared" si="70"/>
        <v>1.9602000000000004</v>
      </c>
      <c r="S711" s="4">
        <f t="shared" si="71"/>
        <v>0.11000000000000001</v>
      </c>
      <c r="T711" t="str">
        <f>_xlfn.XLOOKUP(C711,customers!$A$1:$A$1001,customers!$I$1:$I$1001,,0)</f>
        <v>Yes</v>
      </c>
    </row>
    <row r="712" spans="1:20"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INDEX(products!$A$1:$I$49,MATCH(orders!$D712,products!$A$1:$A$49,0),MATCH(orders!I$1,products!$A$1:$D$1,0))</f>
        <v>Exc</v>
      </c>
      <c r="J712" t="str">
        <f t="shared" si="66"/>
        <v>Excelsa</v>
      </c>
      <c r="K712" t="str">
        <f>INDEX(products!$A$1:$I$49,MATCH(orders!$D712,products!$A$1:$A$49,0),MATCH(orders!K$1,products!$A$1:$D$1,0))</f>
        <v>M</v>
      </c>
      <c r="L712" t="str">
        <f t="shared" si="67"/>
        <v>Medium</v>
      </c>
      <c r="M712">
        <f>INDEX(products!$A$1:$I$49,MATCH(orders!$D712,products!$A$1:$A$49,0),MATCH(orders!M$1,products!$A$1:$D$1,0))</f>
        <v>0.5</v>
      </c>
      <c r="N712">
        <f>_xlfn.XLOOKUP(D712,products!$A$2:$A$49,products!$E$2:$E$49)</f>
        <v>8.25</v>
      </c>
      <c r="O712">
        <f>_xlfn.XLOOKUP(D712,products!$A$2:$A$49,products!$H$2:$H$49)</f>
        <v>7.3425000000000002</v>
      </c>
      <c r="P712">
        <f t="shared" si="68"/>
        <v>24.75</v>
      </c>
      <c r="Q712">
        <f t="shared" si="69"/>
        <v>22.0275</v>
      </c>
      <c r="R712">
        <f t="shared" si="70"/>
        <v>2.7225000000000001</v>
      </c>
      <c r="S712" s="4">
        <f t="shared" si="71"/>
        <v>0.11</v>
      </c>
      <c r="T712" t="str">
        <f>_xlfn.XLOOKUP(C712,customers!$A$1:$A$1001,customers!$I$1:$I$1001,,0)</f>
        <v>No</v>
      </c>
    </row>
    <row r="713" spans="1:20"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INDEX(products!$A$1:$I$49,MATCH(orders!$D713,products!$A$1:$A$49,0),MATCH(orders!I$1,products!$A$1:$D$1,0))</f>
        <v>Rob</v>
      </c>
      <c r="J713" t="str">
        <f t="shared" si="66"/>
        <v>Robusta</v>
      </c>
      <c r="K713" t="str">
        <f>INDEX(products!$A$1:$I$49,MATCH(orders!$D713,products!$A$1:$A$49,0),MATCH(orders!K$1,products!$A$1:$D$1,0))</f>
        <v>M</v>
      </c>
      <c r="L713" t="str">
        <f t="shared" si="67"/>
        <v>Medium</v>
      </c>
      <c r="M713">
        <f>INDEX(products!$A$1:$I$49,MATCH(orders!$D713,products!$A$1:$A$49,0),MATCH(orders!M$1,products!$A$1:$D$1,0))</f>
        <v>0.2</v>
      </c>
      <c r="N713">
        <f>_xlfn.XLOOKUP(D713,products!$A$2:$A$49,products!$E$2:$E$49)</f>
        <v>2.9849999999999999</v>
      </c>
      <c r="O713">
        <f>_xlfn.XLOOKUP(D713,products!$A$2:$A$49,products!$H$2:$H$49)</f>
        <v>2.8058999999999998</v>
      </c>
      <c r="P713">
        <f t="shared" si="68"/>
        <v>17.91</v>
      </c>
      <c r="Q713">
        <f t="shared" si="69"/>
        <v>16.8354</v>
      </c>
      <c r="R713">
        <f t="shared" si="70"/>
        <v>1.0746000000000002</v>
      </c>
      <c r="S713" s="4">
        <f t="shared" si="71"/>
        <v>6.0000000000000012E-2</v>
      </c>
      <c r="T713" t="str">
        <f>_xlfn.XLOOKUP(C713,customers!$A$1:$A$1001,customers!$I$1:$I$1001,,0)</f>
        <v>No</v>
      </c>
    </row>
    <row r="714" spans="1:20"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v>
      </c>
      <c r="H714" s="2" t="str">
        <f>_xlfn.XLOOKUP(C714,customers!$A$1:$A$1001,customers!$G$1:$G$1001,,0)</f>
        <v>United Kingdom</v>
      </c>
      <c r="I714" t="str">
        <f>INDEX(products!$A$1:$I$49,MATCH(orders!$D714,products!$A$1:$A$49,0),MATCH(orders!I$1,products!$A$1:$D$1,0))</f>
        <v>Exc</v>
      </c>
      <c r="J714" t="str">
        <f t="shared" si="66"/>
        <v>Excelsa</v>
      </c>
      <c r="K714" t="str">
        <f>INDEX(products!$A$1:$I$49,MATCH(orders!$D714,products!$A$1:$A$49,0),MATCH(orders!K$1,products!$A$1:$D$1,0))</f>
        <v>M</v>
      </c>
      <c r="L714" t="str">
        <f t="shared" si="67"/>
        <v>Medium</v>
      </c>
      <c r="M714">
        <f>INDEX(products!$A$1:$I$49,MATCH(orders!$D714,products!$A$1:$A$49,0),MATCH(orders!M$1,products!$A$1:$D$1,0))</f>
        <v>0.5</v>
      </c>
      <c r="N714">
        <f>_xlfn.XLOOKUP(D714,products!$A$2:$A$49,products!$E$2:$E$49)</f>
        <v>8.25</v>
      </c>
      <c r="O714">
        <f>_xlfn.XLOOKUP(D714,products!$A$2:$A$49,products!$H$2:$H$49)</f>
        <v>7.3425000000000002</v>
      </c>
      <c r="P714">
        <f t="shared" si="68"/>
        <v>16.5</v>
      </c>
      <c r="Q714">
        <f t="shared" si="69"/>
        <v>14.685</v>
      </c>
      <c r="R714">
        <f t="shared" si="70"/>
        <v>1.8149999999999995</v>
      </c>
      <c r="S714" s="4">
        <f t="shared" si="71"/>
        <v>0.10999999999999997</v>
      </c>
      <c r="T714" t="str">
        <f>_xlfn.XLOOKUP(C714,customers!$A$1:$A$1001,customers!$I$1:$I$1001,,0)</f>
        <v>No</v>
      </c>
    </row>
    <row r="715" spans="1:20"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INDEX(products!$A$1:$I$49,MATCH(orders!$D715,products!$A$1:$A$49,0),MATCH(orders!I$1,products!$A$1:$D$1,0))</f>
        <v>Rob</v>
      </c>
      <c r="J715" t="str">
        <f t="shared" si="66"/>
        <v>Robusta</v>
      </c>
      <c r="K715" t="str">
        <f>INDEX(products!$A$1:$I$49,MATCH(orders!$D715,products!$A$1:$A$49,0),MATCH(orders!K$1,products!$A$1:$D$1,0))</f>
        <v>M</v>
      </c>
      <c r="L715" t="str">
        <f t="shared" si="67"/>
        <v>Medium</v>
      </c>
      <c r="M715">
        <f>INDEX(products!$A$1:$I$49,MATCH(orders!$D715,products!$A$1:$A$49,0),MATCH(orders!M$1,products!$A$1:$D$1,0))</f>
        <v>0.2</v>
      </c>
      <c r="N715">
        <f>_xlfn.XLOOKUP(D715,products!$A$2:$A$49,products!$E$2:$E$49)</f>
        <v>2.9849999999999999</v>
      </c>
      <c r="O715">
        <f>_xlfn.XLOOKUP(D715,products!$A$2:$A$49,products!$H$2:$H$49)</f>
        <v>2.8058999999999998</v>
      </c>
      <c r="P715">
        <f t="shared" si="68"/>
        <v>2.9849999999999999</v>
      </c>
      <c r="Q715">
        <f t="shared" si="69"/>
        <v>2.8058999999999998</v>
      </c>
      <c r="R715">
        <f t="shared" si="70"/>
        <v>0.17910000000000004</v>
      </c>
      <c r="S715" s="4">
        <f t="shared" si="71"/>
        <v>6.0000000000000012E-2</v>
      </c>
      <c r="T715" t="str">
        <f>_xlfn.XLOOKUP(C715,customers!$A$1:$A$1001,customers!$I$1:$I$1001,,0)</f>
        <v>No</v>
      </c>
    </row>
    <row r="716" spans="1:20"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INDEX(products!$A$1:$I$49,MATCH(orders!$D716,products!$A$1:$A$49,0),MATCH(orders!I$1,products!$A$1:$D$1,0))</f>
        <v>Exc</v>
      </c>
      <c r="J716" t="str">
        <f t="shared" si="66"/>
        <v>Excelsa</v>
      </c>
      <c r="K716" t="str">
        <f>INDEX(products!$A$1:$I$49,MATCH(orders!$D716,products!$A$1:$A$49,0),MATCH(orders!K$1,products!$A$1:$D$1,0))</f>
        <v>D</v>
      </c>
      <c r="L716" t="str">
        <f t="shared" si="67"/>
        <v>Dark</v>
      </c>
      <c r="M716">
        <f>INDEX(products!$A$1:$I$49,MATCH(orders!$D716,products!$A$1:$A$49,0),MATCH(orders!M$1,products!$A$1:$D$1,0))</f>
        <v>0.2</v>
      </c>
      <c r="N716">
        <f>_xlfn.XLOOKUP(D716,products!$A$2:$A$49,products!$E$2:$E$49)</f>
        <v>3.645</v>
      </c>
      <c r="O716">
        <f>_xlfn.XLOOKUP(D716,products!$A$2:$A$49,products!$H$2:$H$49)</f>
        <v>3.2440500000000001</v>
      </c>
      <c r="P716">
        <f t="shared" si="68"/>
        <v>14.58</v>
      </c>
      <c r="Q716">
        <f t="shared" si="69"/>
        <v>12.9762</v>
      </c>
      <c r="R716">
        <f t="shared" si="70"/>
        <v>1.6037999999999997</v>
      </c>
      <c r="S716" s="4">
        <f t="shared" si="71"/>
        <v>0.10999999999999997</v>
      </c>
      <c r="T716" t="str">
        <f>_xlfn.XLOOKUP(C716,customers!$A$1:$A$1001,customers!$I$1:$I$1001,,0)</f>
        <v>Yes</v>
      </c>
    </row>
    <row r="717" spans="1:20"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INDEX(products!$A$1:$I$49,MATCH(orders!$D717,products!$A$1:$A$49,0),MATCH(orders!I$1,products!$A$1:$D$1,0))</f>
        <v>Exc</v>
      </c>
      <c r="J717" t="str">
        <f t="shared" si="66"/>
        <v>Excelsa</v>
      </c>
      <c r="K717" t="str">
        <f>INDEX(products!$A$1:$I$49,MATCH(orders!$D717,products!$A$1:$A$49,0),MATCH(orders!K$1,products!$A$1:$D$1,0))</f>
        <v>L</v>
      </c>
      <c r="L717" t="str">
        <f t="shared" si="67"/>
        <v>Light</v>
      </c>
      <c r="M717">
        <f>INDEX(products!$A$1:$I$49,MATCH(orders!$D717,products!$A$1:$A$49,0),MATCH(orders!M$1,products!$A$1:$D$1,0))</f>
        <v>1</v>
      </c>
      <c r="N717">
        <f>_xlfn.XLOOKUP(D717,products!$A$2:$A$49,products!$E$2:$E$49)</f>
        <v>14.85</v>
      </c>
      <c r="O717">
        <f>_xlfn.XLOOKUP(D717,products!$A$2:$A$49,products!$H$2:$H$49)</f>
        <v>13.2165</v>
      </c>
      <c r="P717">
        <f t="shared" si="68"/>
        <v>89.1</v>
      </c>
      <c r="Q717">
        <f t="shared" si="69"/>
        <v>79.299000000000007</v>
      </c>
      <c r="R717">
        <f t="shared" si="70"/>
        <v>9.8009999999999877</v>
      </c>
      <c r="S717" s="4">
        <f t="shared" si="71"/>
        <v>0.10999999999999988</v>
      </c>
      <c r="T717" t="str">
        <f>_xlfn.XLOOKUP(C717,customers!$A$1:$A$1001,customers!$I$1:$I$1001,,0)</f>
        <v>No</v>
      </c>
    </row>
    <row r="718" spans="1:20"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INDEX(products!$A$1:$I$49,MATCH(orders!$D718,products!$A$1:$A$49,0),MATCH(orders!I$1,products!$A$1:$D$1,0))</f>
        <v>Rob</v>
      </c>
      <c r="J718" t="str">
        <f t="shared" si="66"/>
        <v>Robusta</v>
      </c>
      <c r="K718" t="str">
        <f>INDEX(products!$A$1:$I$49,MATCH(orders!$D718,products!$A$1:$A$49,0),MATCH(orders!K$1,products!$A$1:$D$1,0))</f>
        <v>L</v>
      </c>
      <c r="L718" t="str">
        <f t="shared" si="67"/>
        <v>Light</v>
      </c>
      <c r="M718">
        <f>INDEX(products!$A$1:$I$49,MATCH(orders!$D718,products!$A$1:$A$49,0),MATCH(orders!M$1,products!$A$1:$D$1,0))</f>
        <v>1</v>
      </c>
      <c r="N718">
        <f>_xlfn.XLOOKUP(D718,products!$A$2:$A$49,products!$E$2:$E$49)</f>
        <v>11.95</v>
      </c>
      <c r="O718">
        <f>_xlfn.XLOOKUP(D718,products!$A$2:$A$49,products!$H$2:$H$49)</f>
        <v>11.232999999999999</v>
      </c>
      <c r="P718">
        <f t="shared" si="68"/>
        <v>35.849999999999994</v>
      </c>
      <c r="Q718">
        <f t="shared" si="69"/>
        <v>33.698999999999998</v>
      </c>
      <c r="R718">
        <f t="shared" si="70"/>
        <v>2.1509999999999962</v>
      </c>
      <c r="S718" s="4">
        <f t="shared" si="71"/>
        <v>5.9999999999999908E-2</v>
      </c>
      <c r="T718" t="str">
        <f>_xlfn.XLOOKUP(C718,customers!$A$1:$A$1001,customers!$I$1:$I$1001,,0)</f>
        <v>No</v>
      </c>
    </row>
    <row r="719" spans="1:20"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INDEX(products!$A$1:$I$49,MATCH(orders!$D719,products!$A$1:$A$49,0),MATCH(orders!I$1,products!$A$1:$D$1,0))</f>
        <v>Ara</v>
      </c>
      <c r="J719" t="str">
        <f t="shared" si="66"/>
        <v>Arabica</v>
      </c>
      <c r="K719" t="str">
        <f>INDEX(products!$A$1:$I$49,MATCH(orders!$D719,products!$A$1:$A$49,0),MATCH(orders!K$1,products!$A$1:$D$1,0))</f>
        <v>D</v>
      </c>
      <c r="L719" t="str">
        <f t="shared" si="67"/>
        <v>Dark</v>
      </c>
      <c r="M719">
        <f>INDEX(products!$A$1:$I$49,MATCH(orders!$D719,products!$A$1:$A$49,0),MATCH(orders!M$1,products!$A$1:$D$1,0))</f>
        <v>2.5</v>
      </c>
      <c r="N719">
        <f>_xlfn.XLOOKUP(D719,products!$A$2:$A$49,products!$E$2:$E$49)</f>
        <v>22.884999999999998</v>
      </c>
      <c r="O719">
        <f>_xlfn.XLOOKUP(D719,products!$A$2:$A$49,products!$H$2:$H$49)</f>
        <v>20.82535</v>
      </c>
      <c r="P719">
        <f t="shared" si="68"/>
        <v>68.655000000000001</v>
      </c>
      <c r="Q719">
        <f t="shared" si="69"/>
        <v>62.476050000000001</v>
      </c>
      <c r="R719">
        <f t="shared" si="70"/>
        <v>6.1789500000000004</v>
      </c>
      <c r="S719" s="4">
        <f t="shared" si="71"/>
        <v>9.0000000000000011E-2</v>
      </c>
      <c r="T719" t="str">
        <f>_xlfn.XLOOKUP(C719,customers!$A$1:$A$1001,customers!$I$1:$I$1001,,0)</f>
        <v>No</v>
      </c>
    </row>
    <row r="720" spans="1:20"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INDEX(products!$A$1:$I$49,MATCH(orders!$D720,products!$A$1:$A$49,0),MATCH(orders!I$1,products!$A$1:$D$1,0))</f>
        <v>Lib</v>
      </c>
      <c r="J720" t="str">
        <f t="shared" si="66"/>
        <v>Liberica</v>
      </c>
      <c r="K720" t="str">
        <f>INDEX(products!$A$1:$I$49,MATCH(orders!$D720,products!$A$1:$A$49,0),MATCH(orders!K$1,products!$A$1:$D$1,0))</f>
        <v>D</v>
      </c>
      <c r="L720" t="str">
        <f t="shared" si="67"/>
        <v>Dark</v>
      </c>
      <c r="M720">
        <f>INDEX(products!$A$1:$I$49,MATCH(orders!$D720,products!$A$1:$A$49,0),MATCH(orders!M$1,products!$A$1:$D$1,0))</f>
        <v>1</v>
      </c>
      <c r="N720">
        <f>_xlfn.XLOOKUP(D720,products!$A$2:$A$49,products!$E$2:$E$49)</f>
        <v>12.95</v>
      </c>
      <c r="O720">
        <f>_xlfn.XLOOKUP(D720,products!$A$2:$A$49,products!$H$2:$H$49)</f>
        <v>11.266499999999999</v>
      </c>
      <c r="P720">
        <f t="shared" si="68"/>
        <v>38.849999999999994</v>
      </c>
      <c r="Q720">
        <f t="shared" si="69"/>
        <v>33.799499999999995</v>
      </c>
      <c r="R720">
        <f t="shared" si="70"/>
        <v>5.0504999999999995</v>
      </c>
      <c r="S720" s="4">
        <f t="shared" si="71"/>
        <v>0.13</v>
      </c>
      <c r="T720" t="str">
        <f>_xlfn.XLOOKUP(C720,customers!$A$1:$A$1001,customers!$I$1:$I$1001,,0)</f>
        <v>No</v>
      </c>
    </row>
    <row r="721" spans="1:20"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INDEX(products!$A$1:$I$49,MATCH(orders!$D721,products!$A$1:$A$49,0),MATCH(orders!I$1,products!$A$1:$D$1,0))</f>
        <v>Lib</v>
      </c>
      <c r="J721" t="str">
        <f t="shared" si="66"/>
        <v>Liberica</v>
      </c>
      <c r="K721" t="str">
        <f>INDEX(products!$A$1:$I$49,MATCH(orders!$D721,products!$A$1:$A$49,0),MATCH(orders!K$1,products!$A$1:$D$1,0))</f>
        <v>L</v>
      </c>
      <c r="L721" t="str">
        <f t="shared" si="67"/>
        <v>Light</v>
      </c>
      <c r="M721">
        <f>INDEX(products!$A$1:$I$49,MATCH(orders!$D721,products!$A$1:$A$49,0),MATCH(orders!M$1,products!$A$1:$D$1,0))</f>
        <v>1</v>
      </c>
      <c r="N721">
        <f>_xlfn.XLOOKUP(D721,products!$A$2:$A$49,products!$E$2:$E$49)</f>
        <v>15.85</v>
      </c>
      <c r="O721">
        <f>_xlfn.XLOOKUP(D721,products!$A$2:$A$49,products!$H$2:$H$49)</f>
        <v>13.7895</v>
      </c>
      <c r="P721">
        <f t="shared" si="68"/>
        <v>79.25</v>
      </c>
      <c r="Q721">
        <f t="shared" si="69"/>
        <v>68.947500000000005</v>
      </c>
      <c r="R721">
        <f t="shared" si="70"/>
        <v>10.302499999999995</v>
      </c>
      <c r="S721" s="4">
        <f t="shared" si="71"/>
        <v>0.12999999999999995</v>
      </c>
      <c r="T721" t="str">
        <f>_xlfn.XLOOKUP(C721,customers!$A$1:$A$1001,customers!$I$1:$I$1001,,0)</f>
        <v>Yes</v>
      </c>
    </row>
    <row r="722" spans="1:20"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INDEX(products!$A$1:$I$49,MATCH(orders!$D722,products!$A$1:$A$49,0),MATCH(orders!I$1,products!$A$1:$D$1,0))</f>
        <v>Exc</v>
      </c>
      <c r="J722" t="str">
        <f t="shared" si="66"/>
        <v>Excelsa</v>
      </c>
      <c r="K722" t="str">
        <f>INDEX(products!$A$1:$I$49,MATCH(orders!$D722,products!$A$1:$A$49,0),MATCH(orders!K$1,products!$A$1:$D$1,0))</f>
        <v>D</v>
      </c>
      <c r="L722" t="str">
        <f t="shared" si="67"/>
        <v>Dark</v>
      </c>
      <c r="M722">
        <f>INDEX(products!$A$1:$I$49,MATCH(orders!$D722,products!$A$1:$A$49,0),MATCH(orders!M$1,products!$A$1:$D$1,0))</f>
        <v>0.5</v>
      </c>
      <c r="N722">
        <f>_xlfn.XLOOKUP(D722,products!$A$2:$A$49,products!$E$2:$E$49)</f>
        <v>7.29</v>
      </c>
      <c r="O722">
        <f>_xlfn.XLOOKUP(D722,products!$A$2:$A$49,products!$H$2:$H$49)</f>
        <v>6.4881000000000002</v>
      </c>
      <c r="P722">
        <f t="shared" si="68"/>
        <v>36.450000000000003</v>
      </c>
      <c r="Q722">
        <f t="shared" si="69"/>
        <v>32.4405</v>
      </c>
      <c r="R722">
        <f t="shared" si="70"/>
        <v>4.0095000000000027</v>
      </c>
      <c r="S722" s="4">
        <f t="shared" si="71"/>
        <v>0.11000000000000007</v>
      </c>
      <c r="T722" t="str">
        <f>_xlfn.XLOOKUP(C722,customers!$A$1:$A$1001,customers!$I$1:$I$1001,,0)</f>
        <v>Yes</v>
      </c>
    </row>
    <row r="723" spans="1:20"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INDEX(products!$A$1:$I$49,MATCH(orders!$D723,products!$A$1:$A$49,0),MATCH(orders!I$1,products!$A$1:$D$1,0))</f>
        <v>Rob</v>
      </c>
      <c r="J723" t="str">
        <f t="shared" si="66"/>
        <v>Robusta</v>
      </c>
      <c r="K723" t="str">
        <f>INDEX(products!$A$1:$I$49,MATCH(orders!$D723,products!$A$1:$A$49,0),MATCH(orders!K$1,products!$A$1:$D$1,0))</f>
        <v>M</v>
      </c>
      <c r="L723" t="str">
        <f t="shared" si="67"/>
        <v>Medium</v>
      </c>
      <c r="M723">
        <f>INDEX(products!$A$1:$I$49,MATCH(orders!$D723,products!$A$1:$A$49,0),MATCH(orders!M$1,products!$A$1:$D$1,0))</f>
        <v>0.2</v>
      </c>
      <c r="N723">
        <f>_xlfn.XLOOKUP(D723,products!$A$2:$A$49,products!$E$2:$E$49)</f>
        <v>2.9849999999999999</v>
      </c>
      <c r="O723">
        <f>_xlfn.XLOOKUP(D723,products!$A$2:$A$49,products!$H$2:$H$49)</f>
        <v>2.8058999999999998</v>
      </c>
      <c r="P723">
        <f t="shared" si="68"/>
        <v>8.9550000000000001</v>
      </c>
      <c r="Q723">
        <f t="shared" si="69"/>
        <v>8.4177</v>
      </c>
      <c r="R723">
        <f t="shared" si="70"/>
        <v>0.53730000000000011</v>
      </c>
      <c r="S723" s="4">
        <f t="shared" si="71"/>
        <v>6.0000000000000012E-2</v>
      </c>
      <c r="T723" t="str">
        <f>_xlfn.XLOOKUP(C723,customers!$A$1:$A$1001,customers!$I$1:$I$1001,,0)</f>
        <v>Yes</v>
      </c>
    </row>
    <row r="724" spans="1:20"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v>
      </c>
      <c r="H724" s="2" t="str">
        <f>_xlfn.XLOOKUP(C724,customers!$A$1:$A$1001,customers!$G$1:$G$1001,,0)</f>
        <v>United States</v>
      </c>
      <c r="I724" t="str">
        <f>INDEX(products!$A$1:$I$49,MATCH(orders!$D724,products!$A$1:$A$49,0),MATCH(orders!I$1,products!$A$1:$D$1,0))</f>
        <v>Exc</v>
      </c>
      <c r="J724" t="str">
        <f t="shared" si="66"/>
        <v>Excelsa</v>
      </c>
      <c r="K724" t="str">
        <f>INDEX(products!$A$1:$I$49,MATCH(orders!$D724,products!$A$1:$A$49,0),MATCH(orders!K$1,products!$A$1:$D$1,0))</f>
        <v>D</v>
      </c>
      <c r="L724" t="str">
        <f t="shared" si="67"/>
        <v>Dark</v>
      </c>
      <c r="M724">
        <f>INDEX(products!$A$1:$I$49,MATCH(orders!$D724,products!$A$1:$A$49,0),MATCH(orders!M$1,products!$A$1:$D$1,0))</f>
        <v>1</v>
      </c>
      <c r="N724">
        <f>_xlfn.XLOOKUP(D724,products!$A$2:$A$49,products!$E$2:$E$49)</f>
        <v>12.15</v>
      </c>
      <c r="O724">
        <f>_xlfn.XLOOKUP(D724,products!$A$2:$A$49,products!$H$2:$H$49)</f>
        <v>10.813500000000001</v>
      </c>
      <c r="P724">
        <f t="shared" si="68"/>
        <v>24.3</v>
      </c>
      <c r="Q724">
        <f t="shared" si="69"/>
        <v>21.627000000000002</v>
      </c>
      <c r="R724">
        <f t="shared" si="70"/>
        <v>2.6729999999999983</v>
      </c>
      <c r="S724" s="4">
        <f t="shared" si="71"/>
        <v>0.10999999999999993</v>
      </c>
      <c r="T724" t="str">
        <f>_xlfn.XLOOKUP(C724,customers!$A$1:$A$1001,customers!$I$1:$I$1001,,0)</f>
        <v>No</v>
      </c>
    </row>
    <row r="725" spans="1:20"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INDEX(products!$A$1:$I$49,MATCH(orders!$D725,products!$A$1:$A$49,0),MATCH(orders!I$1,products!$A$1:$D$1,0))</f>
        <v>Exc</v>
      </c>
      <c r="J725" t="str">
        <f t="shared" si="66"/>
        <v>Excelsa</v>
      </c>
      <c r="K725" t="str">
        <f>INDEX(products!$A$1:$I$49,MATCH(orders!$D725,products!$A$1:$A$49,0),MATCH(orders!K$1,products!$A$1:$D$1,0))</f>
        <v>M</v>
      </c>
      <c r="L725" t="str">
        <f t="shared" si="67"/>
        <v>Medium</v>
      </c>
      <c r="M725">
        <f>INDEX(products!$A$1:$I$49,MATCH(orders!$D725,products!$A$1:$A$49,0),MATCH(orders!M$1,products!$A$1:$D$1,0))</f>
        <v>2.5</v>
      </c>
      <c r="N725">
        <f>_xlfn.XLOOKUP(D725,products!$A$2:$A$49,products!$E$2:$E$49)</f>
        <v>31.624999999999996</v>
      </c>
      <c r="O725">
        <f>_xlfn.XLOOKUP(D725,products!$A$2:$A$49,products!$H$2:$H$49)</f>
        <v>28.146249999999995</v>
      </c>
      <c r="P725">
        <f t="shared" si="68"/>
        <v>63.249999999999993</v>
      </c>
      <c r="Q725">
        <f t="shared" si="69"/>
        <v>56.29249999999999</v>
      </c>
      <c r="R725">
        <f t="shared" si="70"/>
        <v>6.9575000000000031</v>
      </c>
      <c r="S725" s="4">
        <f t="shared" si="71"/>
        <v>0.11000000000000006</v>
      </c>
      <c r="T725" t="str">
        <f>_xlfn.XLOOKUP(C725,customers!$A$1:$A$1001,customers!$I$1:$I$1001,,0)</f>
        <v>No</v>
      </c>
    </row>
    <row r="726" spans="1:20"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v>
      </c>
      <c r="H726" s="2" t="str">
        <f>_xlfn.XLOOKUP(C726,customers!$A$1:$A$1001,customers!$G$1:$G$1001,,0)</f>
        <v>United States</v>
      </c>
      <c r="I726" t="str">
        <f>INDEX(products!$A$1:$I$49,MATCH(orders!$D726,products!$A$1:$A$49,0),MATCH(orders!I$1,products!$A$1:$D$1,0))</f>
        <v>Ara</v>
      </c>
      <c r="J726" t="str">
        <f t="shared" si="66"/>
        <v>Arabica</v>
      </c>
      <c r="K726" t="str">
        <f>INDEX(products!$A$1:$I$49,MATCH(orders!$D726,products!$A$1:$A$49,0),MATCH(orders!K$1,products!$A$1:$D$1,0))</f>
        <v>M</v>
      </c>
      <c r="L726" t="str">
        <f t="shared" si="67"/>
        <v>Medium</v>
      </c>
      <c r="M726">
        <f>INDEX(products!$A$1:$I$49,MATCH(orders!$D726,products!$A$1:$A$49,0),MATCH(orders!M$1,products!$A$1:$D$1,0))</f>
        <v>0.2</v>
      </c>
      <c r="N726">
        <f>_xlfn.XLOOKUP(D726,products!$A$2:$A$49,products!$E$2:$E$49)</f>
        <v>3.375</v>
      </c>
      <c r="O726">
        <f>_xlfn.XLOOKUP(D726,products!$A$2:$A$49,products!$H$2:$H$49)</f>
        <v>3.07125</v>
      </c>
      <c r="P726">
        <f t="shared" si="68"/>
        <v>6.75</v>
      </c>
      <c r="Q726">
        <f t="shared" si="69"/>
        <v>6.1425000000000001</v>
      </c>
      <c r="R726">
        <f t="shared" si="70"/>
        <v>0.60749999999999993</v>
      </c>
      <c r="S726" s="4">
        <f t="shared" si="71"/>
        <v>8.9999999999999983E-2</v>
      </c>
      <c r="T726" t="str">
        <f>_xlfn.XLOOKUP(C726,customers!$A$1:$A$1001,customers!$I$1:$I$1001,,0)</f>
        <v>Yes</v>
      </c>
    </row>
    <row r="727" spans="1:20"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INDEX(products!$A$1:$I$49,MATCH(orders!$D727,products!$A$1:$A$49,0),MATCH(orders!I$1,products!$A$1:$D$1,0))</f>
        <v>Ara</v>
      </c>
      <c r="J727" t="str">
        <f t="shared" si="66"/>
        <v>Arabica</v>
      </c>
      <c r="K727" t="str">
        <f>INDEX(products!$A$1:$I$49,MATCH(orders!$D727,products!$A$1:$A$49,0),MATCH(orders!K$1,products!$A$1:$D$1,0))</f>
        <v>L</v>
      </c>
      <c r="L727" t="str">
        <f t="shared" si="67"/>
        <v>Light</v>
      </c>
      <c r="M727">
        <f>INDEX(products!$A$1:$I$49,MATCH(orders!$D727,products!$A$1:$A$49,0),MATCH(orders!M$1,products!$A$1:$D$1,0))</f>
        <v>0.2</v>
      </c>
      <c r="N727">
        <f>_xlfn.XLOOKUP(D727,products!$A$2:$A$49,products!$E$2:$E$49)</f>
        <v>3.8849999999999998</v>
      </c>
      <c r="O727">
        <f>_xlfn.XLOOKUP(D727,products!$A$2:$A$49,products!$H$2:$H$49)</f>
        <v>3.5353499999999998</v>
      </c>
      <c r="P727">
        <f t="shared" si="68"/>
        <v>23.31</v>
      </c>
      <c r="Q727">
        <f t="shared" si="69"/>
        <v>21.2121</v>
      </c>
      <c r="R727">
        <f t="shared" si="70"/>
        <v>2.0978999999999992</v>
      </c>
      <c r="S727" s="4">
        <f t="shared" si="71"/>
        <v>8.9999999999999969E-2</v>
      </c>
      <c r="T727" t="str">
        <f>_xlfn.XLOOKUP(C727,customers!$A$1:$A$1001,customers!$I$1:$I$1001,,0)</f>
        <v>No</v>
      </c>
    </row>
    <row r="728" spans="1:20"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v>
      </c>
      <c r="H728" s="2" t="str">
        <f>_xlfn.XLOOKUP(C728,customers!$A$1:$A$1001,customers!$G$1:$G$1001,,0)</f>
        <v>United States</v>
      </c>
      <c r="I728" t="str">
        <f>INDEX(products!$A$1:$I$49,MATCH(orders!$D728,products!$A$1:$A$49,0),MATCH(orders!I$1,products!$A$1:$D$1,0))</f>
        <v>Lib</v>
      </c>
      <c r="J728" t="str">
        <f t="shared" si="66"/>
        <v>Liberica</v>
      </c>
      <c r="K728" t="str">
        <f>INDEX(products!$A$1:$I$49,MATCH(orders!$D728,products!$A$1:$A$49,0),MATCH(orders!K$1,products!$A$1:$D$1,0))</f>
        <v>L</v>
      </c>
      <c r="L728" t="str">
        <f t="shared" si="67"/>
        <v>Light</v>
      </c>
      <c r="M728">
        <f>INDEX(products!$A$1:$I$49,MATCH(orders!$D728,products!$A$1:$A$49,0),MATCH(orders!M$1,products!$A$1:$D$1,0))</f>
        <v>2.5</v>
      </c>
      <c r="N728">
        <f>_xlfn.XLOOKUP(D728,products!$A$2:$A$49,products!$E$2:$E$49)</f>
        <v>36.454999999999998</v>
      </c>
      <c r="O728">
        <f>_xlfn.XLOOKUP(D728,products!$A$2:$A$49,products!$H$2:$H$49)</f>
        <v>31.71585</v>
      </c>
      <c r="P728">
        <f t="shared" si="68"/>
        <v>145.82</v>
      </c>
      <c r="Q728">
        <f t="shared" si="69"/>
        <v>126.8634</v>
      </c>
      <c r="R728">
        <f t="shared" si="70"/>
        <v>18.956599999999995</v>
      </c>
      <c r="S728" s="4">
        <f t="shared" si="71"/>
        <v>0.12999999999999998</v>
      </c>
      <c r="T728" t="str">
        <f>_xlfn.XLOOKUP(C728,customers!$A$1:$A$1001,customers!$I$1:$I$1001,,0)</f>
        <v>No</v>
      </c>
    </row>
    <row r="729" spans="1:20"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INDEX(products!$A$1:$I$49,MATCH(orders!$D729,products!$A$1:$A$49,0),MATCH(orders!I$1,products!$A$1:$D$1,0))</f>
        <v>Rob</v>
      </c>
      <c r="J729" t="str">
        <f t="shared" si="66"/>
        <v>Robusta</v>
      </c>
      <c r="K729" t="str">
        <f>INDEX(products!$A$1:$I$49,MATCH(orders!$D729,products!$A$1:$A$49,0),MATCH(orders!K$1,products!$A$1:$D$1,0))</f>
        <v>M</v>
      </c>
      <c r="L729" t="str">
        <f t="shared" si="67"/>
        <v>Medium</v>
      </c>
      <c r="M729">
        <f>INDEX(products!$A$1:$I$49,MATCH(orders!$D729,products!$A$1:$A$49,0),MATCH(orders!M$1,products!$A$1:$D$1,0))</f>
        <v>0.5</v>
      </c>
      <c r="N729">
        <f>_xlfn.XLOOKUP(D729,products!$A$2:$A$49,products!$E$2:$E$49)</f>
        <v>5.97</v>
      </c>
      <c r="O729">
        <f>_xlfn.XLOOKUP(D729,products!$A$2:$A$49,products!$H$2:$H$49)</f>
        <v>5.6117999999999997</v>
      </c>
      <c r="P729">
        <f t="shared" si="68"/>
        <v>29.849999999999998</v>
      </c>
      <c r="Q729">
        <f t="shared" si="69"/>
        <v>28.058999999999997</v>
      </c>
      <c r="R729">
        <f t="shared" si="70"/>
        <v>1.7910000000000004</v>
      </c>
      <c r="S729" s="4">
        <f t="shared" si="71"/>
        <v>6.0000000000000019E-2</v>
      </c>
      <c r="T729" t="str">
        <f>_xlfn.XLOOKUP(C729,customers!$A$1:$A$1001,customers!$I$1:$I$1001,,0)</f>
        <v>Yes</v>
      </c>
    </row>
    <row r="730" spans="1:20"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INDEX(products!$A$1:$I$49,MATCH(orders!$D730,products!$A$1:$A$49,0),MATCH(orders!I$1,products!$A$1:$D$1,0))</f>
        <v>Exc</v>
      </c>
      <c r="J730" t="str">
        <f t="shared" si="66"/>
        <v>Excelsa</v>
      </c>
      <c r="K730" t="str">
        <f>INDEX(products!$A$1:$I$49,MATCH(orders!$D730,products!$A$1:$A$49,0),MATCH(orders!K$1,products!$A$1:$D$1,0))</f>
        <v>D</v>
      </c>
      <c r="L730" t="str">
        <f t="shared" si="67"/>
        <v>Dark</v>
      </c>
      <c r="M730">
        <f>INDEX(products!$A$1:$I$49,MATCH(orders!$D730,products!$A$1:$A$49,0),MATCH(orders!M$1,products!$A$1:$D$1,0))</f>
        <v>0.5</v>
      </c>
      <c r="N730">
        <f>_xlfn.XLOOKUP(D730,products!$A$2:$A$49,products!$E$2:$E$49)</f>
        <v>7.29</v>
      </c>
      <c r="O730">
        <f>_xlfn.XLOOKUP(D730,products!$A$2:$A$49,products!$H$2:$H$49)</f>
        <v>6.4881000000000002</v>
      </c>
      <c r="P730">
        <f t="shared" si="68"/>
        <v>21.87</v>
      </c>
      <c r="Q730">
        <f t="shared" si="69"/>
        <v>19.464300000000001</v>
      </c>
      <c r="R730">
        <f t="shared" si="70"/>
        <v>2.4056999999999995</v>
      </c>
      <c r="S730" s="4">
        <f t="shared" si="71"/>
        <v>0.10999999999999997</v>
      </c>
      <c r="T730" t="str">
        <f>_xlfn.XLOOKUP(C730,customers!$A$1:$A$1001,customers!$I$1:$I$1001,,0)</f>
        <v>Yes</v>
      </c>
    </row>
    <row r="731" spans="1:20"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INDEX(products!$A$1:$I$49,MATCH(orders!$D731,products!$A$1:$A$49,0),MATCH(orders!I$1,products!$A$1:$D$1,0))</f>
        <v>Lib</v>
      </c>
      <c r="J731" t="str">
        <f t="shared" si="66"/>
        <v>Liberica</v>
      </c>
      <c r="K731" t="str">
        <f>INDEX(products!$A$1:$I$49,MATCH(orders!$D731,products!$A$1:$A$49,0),MATCH(orders!K$1,products!$A$1:$D$1,0))</f>
        <v>M</v>
      </c>
      <c r="L731" t="str">
        <f t="shared" si="67"/>
        <v>Medium</v>
      </c>
      <c r="M731">
        <f>INDEX(products!$A$1:$I$49,MATCH(orders!$D731,products!$A$1:$A$49,0),MATCH(orders!M$1,products!$A$1:$D$1,0))</f>
        <v>0.2</v>
      </c>
      <c r="N731">
        <f>_xlfn.XLOOKUP(D731,products!$A$2:$A$49,products!$E$2:$E$49)</f>
        <v>4.3650000000000002</v>
      </c>
      <c r="O731">
        <f>_xlfn.XLOOKUP(D731,products!$A$2:$A$49,products!$H$2:$H$49)</f>
        <v>3.7975500000000002</v>
      </c>
      <c r="P731">
        <f t="shared" si="68"/>
        <v>4.3650000000000002</v>
      </c>
      <c r="Q731">
        <f t="shared" si="69"/>
        <v>3.7975500000000002</v>
      </c>
      <c r="R731">
        <f t="shared" si="70"/>
        <v>0.56745000000000001</v>
      </c>
      <c r="S731" s="4">
        <f t="shared" si="71"/>
        <v>0.13</v>
      </c>
      <c r="T731" t="str">
        <f>_xlfn.XLOOKUP(C731,customers!$A$1:$A$1001,customers!$I$1:$I$1001,,0)</f>
        <v>No</v>
      </c>
    </row>
    <row r="732" spans="1:20"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INDEX(products!$A$1:$I$49,MATCH(orders!$D732,products!$A$1:$A$49,0),MATCH(orders!I$1,products!$A$1:$D$1,0))</f>
        <v>Lib</v>
      </c>
      <c r="J732" t="str">
        <f t="shared" si="66"/>
        <v>Liberica</v>
      </c>
      <c r="K732" t="str">
        <f>INDEX(products!$A$1:$I$49,MATCH(orders!$D732,products!$A$1:$A$49,0),MATCH(orders!K$1,products!$A$1:$D$1,0))</f>
        <v>L</v>
      </c>
      <c r="L732" t="str">
        <f t="shared" si="67"/>
        <v>Light</v>
      </c>
      <c r="M732">
        <f>INDEX(products!$A$1:$I$49,MATCH(orders!$D732,products!$A$1:$A$49,0),MATCH(orders!M$1,products!$A$1:$D$1,0))</f>
        <v>2.5</v>
      </c>
      <c r="N732">
        <f>_xlfn.XLOOKUP(D732,products!$A$2:$A$49,products!$E$2:$E$49)</f>
        <v>36.454999999999998</v>
      </c>
      <c r="O732">
        <f>_xlfn.XLOOKUP(D732,products!$A$2:$A$49,products!$H$2:$H$49)</f>
        <v>31.71585</v>
      </c>
      <c r="P732">
        <f t="shared" si="68"/>
        <v>36.454999999999998</v>
      </c>
      <c r="Q732">
        <f t="shared" si="69"/>
        <v>31.71585</v>
      </c>
      <c r="R732">
        <f t="shared" si="70"/>
        <v>4.7391499999999986</v>
      </c>
      <c r="S732" s="4">
        <f t="shared" si="71"/>
        <v>0.12999999999999998</v>
      </c>
      <c r="T732" t="str">
        <f>_xlfn.XLOOKUP(C732,customers!$A$1:$A$1001,customers!$I$1:$I$1001,,0)</f>
        <v>No</v>
      </c>
    </row>
    <row r="733" spans="1:20"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v>
      </c>
      <c r="H733" s="2" t="str">
        <f>_xlfn.XLOOKUP(C733,customers!$A$1:$A$1001,customers!$G$1:$G$1001,,0)</f>
        <v>United States</v>
      </c>
      <c r="I733" t="str">
        <f>INDEX(products!$A$1:$I$49,MATCH(orders!$D733,products!$A$1:$A$49,0),MATCH(orders!I$1,products!$A$1:$D$1,0))</f>
        <v>Lib</v>
      </c>
      <c r="J733" t="str">
        <f t="shared" si="66"/>
        <v>Liberica</v>
      </c>
      <c r="K733" t="str">
        <f>INDEX(products!$A$1:$I$49,MATCH(orders!$D733,products!$A$1:$A$49,0),MATCH(orders!K$1,products!$A$1:$D$1,0))</f>
        <v>D</v>
      </c>
      <c r="L733" t="str">
        <f t="shared" si="67"/>
        <v>Dark</v>
      </c>
      <c r="M733">
        <f>INDEX(products!$A$1:$I$49,MATCH(orders!$D733,products!$A$1:$A$49,0),MATCH(orders!M$1,products!$A$1:$D$1,0))</f>
        <v>0.2</v>
      </c>
      <c r="N733">
        <f>_xlfn.XLOOKUP(D733,products!$A$2:$A$49,products!$E$2:$E$49)</f>
        <v>3.8849999999999998</v>
      </c>
      <c r="O733">
        <f>_xlfn.XLOOKUP(D733,products!$A$2:$A$49,products!$H$2:$H$49)</f>
        <v>3.37995</v>
      </c>
      <c r="P733">
        <f t="shared" si="68"/>
        <v>15.54</v>
      </c>
      <c r="Q733">
        <f t="shared" si="69"/>
        <v>13.5198</v>
      </c>
      <c r="R733">
        <f t="shared" si="70"/>
        <v>2.0201999999999991</v>
      </c>
      <c r="S733" s="4">
        <f t="shared" si="71"/>
        <v>0.12999999999999995</v>
      </c>
      <c r="T733" t="str">
        <f>_xlfn.XLOOKUP(C733,customers!$A$1:$A$1001,customers!$I$1:$I$1001,,0)</f>
        <v>Yes</v>
      </c>
    </row>
    <row r="734" spans="1:20"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INDEX(products!$A$1:$I$49,MATCH(orders!$D734,products!$A$1:$A$49,0),MATCH(orders!I$1,products!$A$1:$D$1,0))</f>
        <v>Exc</v>
      </c>
      <c r="J734" t="str">
        <f t="shared" si="66"/>
        <v>Excelsa</v>
      </c>
      <c r="K734" t="str">
        <f>INDEX(products!$A$1:$I$49,MATCH(orders!$D734,products!$A$1:$A$49,0),MATCH(orders!K$1,products!$A$1:$D$1,0))</f>
        <v>L</v>
      </c>
      <c r="L734" t="str">
        <f t="shared" si="67"/>
        <v>Light</v>
      </c>
      <c r="M734">
        <f>INDEX(products!$A$1:$I$49,MATCH(orders!$D734,products!$A$1:$A$49,0),MATCH(orders!M$1,products!$A$1:$D$1,0))</f>
        <v>0.2</v>
      </c>
      <c r="N734">
        <f>_xlfn.XLOOKUP(D734,products!$A$2:$A$49,products!$E$2:$E$49)</f>
        <v>4.4550000000000001</v>
      </c>
      <c r="O734">
        <f>_xlfn.XLOOKUP(D734,products!$A$2:$A$49,products!$H$2:$H$49)</f>
        <v>3.96495</v>
      </c>
      <c r="P734">
        <f t="shared" si="68"/>
        <v>8.91</v>
      </c>
      <c r="Q734">
        <f t="shared" si="69"/>
        <v>7.9298999999999999</v>
      </c>
      <c r="R734">
        <f t="shared" si="70"/>
        <v>0.98010000000000019</v>
      </c>
      <c r="S734" s="4">
        <f t="shared" si="71"/>
        <v>0.11000000000000001</v>
      </c>
      <c r="T734" t="str">
        <f>_xlfn.XLOOKUP(C734,customers!$A$1:$A$1001,customers!$I$1:$I$1001,,0)</f>
        <v>No</v>
      </c>
    </row>
    <row r="735" spans="1:20"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INDEX(products!$A$1:$I$49,MATCH(orders!$D735,products!$A$1:$A$49,0),MATCH(orders!I$1,products!$A$1:$D$1,0))</f>
        <v>Lib</v>
      </c>
      <c r="J735" t="str">
        <f t="shared" si="66"/>
        <v>Liberica</v>
      </c>
      <c r="K735" t="str">
        <f>INDEX(products!$A$1:$I$49,MATCH(orders!$D735,products!$A$1:$A$49,0),MATCH(orders!K$1,products!$A$1:$D$1,0))</f>
        <v>M</v>
      </c>
      <c r="L735" t="str">
        <f t="shared" si="67"/>
        <v>Medium</v>
      </c>
      <c r="M735">
        <f>INDEX(products!$A$1:$I$49,MATCH(orders!$D735,products!$A$1:$A$49,0),MATCH(orders!M$1,products!$A$1:$D$1,0))</f>
        <v>2.5</v>
      </c>
      <c r="N735">
        <f>_xlfn.XLOOKUP(D735,products!$A$2:$A$49,products!$E$2:$E$49)</f>
        <v>33.464999999999996</v>
      </c>
      <c r="O735">
        <f>_xlfn.XLOOKUP(D735,products!$A$2:$A$49,products!$H$2:$H$49)</f>
        <v>29.114549999999998</v>
      </c>
      <c r="P735">
        <f t="shared" si="68"/>
        <v>100.39499999999998</v>
      </c>
      <c r="Q735">
        <f t="shared" si="69"/>
        <v>87.343649999999997</v>
      </c>
      <c r="R735">
        <f t="shared" si="70"/>
        <v>13.051349999999985</v>
      </c>
      <c r="S735" s="4">
        <f t="shared" si="71"/>
        <v>0.12999999999999987</v>
      </c>
      <c r="T735" t="str">
        <f>_xlfn.XLOOKUP(C735,customers!$A$1:$A$1001,customers!$I$1:$I$1001,,0)</f>
        <v>Yes</v>
      </c>
    </row>
    <row r="736" spans="1:20"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v>
      </c>
      <c r="H736" s="2" t="str">
        <f>_xlfn.XLOOKUP(C736,customers!$A$1:$A$1001,customers!$G$1:$G$1001,,0)</f>
        <v>United States</v>
      </c>
      <c r="I736" t="str">
        <f>INDEX(products!$A$1:$I$49,MATCH(orders!$D736,products!$A$1:$A$49,0),MATCH(orders!I$1,products!$A$1:$D$1,0))</f>
        <v>Rob</v>
      </c>
      <c r="J736" t="str">
        <f t="shared" si="66"/>
        <v>Robusta</v>
      </c>
      <c r="K736" t="str">
        <f>INDEX(products!$A$1:$I$49,MATCH(orders!$D736,products!$A$1:$A$49,0),MATCH(orders!K$1,products!$A$1:$D$1,0))</f>
        <v>D</v>
      </c>
      <c r="L736" t="str">
        <f t="shared" si="67"/>
        <v>Dark</v>
      </c>
      <c r="M736">
        <f>INDEX(products!$A$1:$I$49,MATCH(orders!$D736,products!$A$1:$A$49,0),MATCH(orders!M$1,products!$A$1:$D$1,0))</f>
        <v>0.2</v>
      </c>
      <c r="N736">
        <f>_xlfn.XLOOKUP(D736,products!$A$2:$A$49,products!$E$2:$E$49)</f>
        <v>2.6849999999999996</v>
      </c>
      <c r="O736">
        <f>_xlfn.XLOOKUP(D736,products!$A$2:$A$49,products!$H$2:$H$49)</f>
        <v>2.5238999999999998</v>
      </c>
      <c r="P736">
        <f t="shared" si="68"/>
        <v>13.424999999999997</v>
      </c>
      <c r="Q736">
        <f t="shared" si="69"/>
        <v>12.619499999999999</v>
      </c>
      <c r="R736">
        <f t="shared" si="70"/>
        <v>0.80549999999999855</v>
      </c>
      <c r="S736" s="4">
        <f t="shared" si="71"/>
        <v>5.9999999999999908E-2</v>
      </c>
      <c r="T736" t="str">
        <f>_xlfn.XLOOKUP(C736,customers!$A$1:$A$1001,customers!$I$1:$I$1001,,0)</f>
        <v>No</v>
      </c>
    </row>
    <row r="737" spans="1:20"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INDEX(products!$A$1:$I$49,MATCH(orders!$D737,products!$A$1:$A$49,0),MATCH(orders!I$1,products!$A$1:$D$1,0))</f>
        <v>Exc</v>
      </c>
      <c r="J737" t="str">
        <f t="shared" si="66"/>
        <v>Excelsa</v>
      </c>
      <c r="K737" t="str">
        <f>INDEX(products!$A$1:$I$49,MATCH(orders!$D737,products!$A$1:$A$49,0),MATCH(orders!K$1,products!$A$1:$D$1,0))</f>
        <v>D</v>
      </c>
      <c r="L737" t="str">
        <f t="shared" si="67"/>
        <v>Dark</v>
      </c>
      <c r="M737">
        <f>INDEX(products!$A$1:$I$49,MATCH(orders!$D737,products!$A$1:$A$49,0),MATCH(orders!M$1,products!$A$1:$D$1,0))</f>
        <v>0.2</v>
      </c>
      <c r="N737">
        <f>_xlfn.XLOOKUP(D737,products!$A$2:$A$49,products!$E$2:$E$49)</f>
        <v>3.645</v>
      </c>
      <c r="O737">
        <f>_xlfn.XLOOKUP(D737,products!$A$2:$A$49,products!$H$2:$H$49)</f>
        <v>3.2440500000000001</v>
      </c>
      <c r="P737">
        <f t="shared" si="68"/>
        <v>21.87</v>
      </c>
      <c r="Q737">
        <f t="shared" si="69"/>
        <v>19.464300000000001</v>
      </c>
      <c r="R737">
        <f t="shared" si="70"/>
        <v>2.4056999999999995</v>
      </c>
      <c r="S737" s="4">
        <f t="shared" si="71"/>
        <v>0.10999999999999997</v>
      </c>
      <c r="T737" t="str">
        <f>_xlfn.XLOOKUP(C737,customers!$A$1:$A$1001,customers!$I$1:$I$1001,,0)</f>
        <v>No</v>
      </c>
    </row>
    <row r="738" spans="1:20"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INDEX(products!$A$1:$I$49,MATCH(orders!$D738,products!$A$1:$A$49,0),MATCH(orders!I$1,products!$A$1:$D$1,0))</f>
        <v>Lib</v>
      </c>
      <c r="J738" t="str">
        <f t="shared" si="66"/>
        <v>Liberica</v>
      </c>
      <c r="K738" t="str">
        <f>INDEX(products!$A$1:$I$49,MATCH(orders!$D738,products!$A$1:$A$49,0),MATCH(orders!K$1,products!$A$1:$D$1,0))</f>
        <v>D</v>
      </c>
      <c r="L738" t="str">
        <f t="shared" si="67"/>
        <v>Dark</v>
      </c>
      <c r="M738">
        <f>INDEX(products!$A$1:$I$49,MATCH(orders!$D738,products!$A$1:$A$49,0),MATCH(orders!M$1,products!$A$1:$D$1,0))</f>
        <v>1</v>
      </c>
      <c r="N738">
        <f>_xlfn.XLOOKUP(D738,products!$A$2:$A$49,products!$E$2:$E$49)</f>
        <v>12.95</v>
      </c>
      <c r="O738">
        <f>_xlfn.XLOOKUP(D738,products!$A$2:$A$49,products!$H$2:$H$49)</f>
        <v>11.266499999999999</v>
      </c>
      <c r="P738">
        <f t="shared" si="68"/>
        <v>25.9</v>
      </c>
      <c r="Q738">
        <f t="shared" si="69"/>
        <v>22.532999999999998</v>
      </c>
      <c r="R738">
        <f t="shared" si="70"/>
        <v>3.3670000000000009</v>
      </c>
      <c r="S738" s="4">
        <f t="shared" si="71"/>
        <v>0.13000000000000003</v>
      </c>
      <c r="T738" t="str">
        <f>_xlfn.XLOOKUP(C738,customers!$A$1:$A$1001,customers!$I$1:$I$1001,,0)</f>
        <v>Yes</v>
      </c>
    </row>
    <row r="739" spans="1:20"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INDEX(products!$A$1:$I$49,MATCH(orders!$D739,products!$A$1:$A$49,0),MATCH(orders!I$1,products!$A$1:$D$1,0))</f>
        <v>Ara</v>
      </c>
      <c r="J739" t="str">
        <f t="shared" si="66"/>
        <v>Arabica</v>
      </c>
      <c r="K739" t="str">
        <f>INDEX(products!$A$1:$I$49,MATCH(orders!$D739,products!$A$1:$A$49,0),MATCH(orders!K$1,products!$A$1:$D$1,0))</f>
        <v>M</v>
      </c>
      <c r="L739" t="str">
        <f t="shared" si="67"/>
        <v>Medium</v>
      </c>
      <c r="M739">
        <f>INDEX(products!$A$1:$I$49,MATCH(orders!$D739,products!$A$1:$A$49,0),MATCH(orders!M$1,products!$A$1:$D$1,0))</f>
        <v>1</v>
      </c>
      <c r="N739">
        <f>_xlfn.XLOOKUP(D739,products!$A$2:$A$49,products!$E$2:$E$49)</f>
        <v>11.25</v>
      </c>
      <c r="O739">
        <f>_xlfn.XLOOKUP(D739,products!$A$2:$A$49,products!$H$2:$H$49)</f>
        <v>10.237500000000001</v>
      </c>
      <c r="P739">
        <f t="shared" si="68"/>
        <v>56.25</v>
      </c>
      <c r="Q739">
        <f t="shared" si="69"/>
        <v>51.1875</v>
      </c>
      <c r="R739">
        <f t="shared" si="70"/>
        <v>5.0625</v>
      </c>
      <c r="S739" s="4">
        <f t="shared" si="71"/>
        <v>0.09</v>
      </c>
      <c r="T739" t="str">
        <f>_xlfn.XLOOKUP(C739,customers!$A$1:$A$1001,customers!$I$1:$I$1001,,0)</f>
        <v>No</v>
      </c>
    </row>
    <row r="740" spans="1:20"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INDEX(products!$A$1:$I$49,MATCH(orders!$D740,products!$A$1:$A$49,0),MATCH(orders!I$1,products!$A$1:$D$1,0))</f>
        <v>Rob</v>
      </c>
      <c r="J740" t="str">
        <f t="shared" si="66"/>
        <v>Robusta</v>
      </c>
      <c r="K740" t="str">
        <f>INDEX(products!$A$1:$I$49,MATCH(orders!$D740,products!$A$1:$A$49,0),MATCH(orders!K$1,products!$A$1:$D$1,0))</f>
        <v>L</v>
      </c>
      <c r="L740" t="str">
        <f t="shared" si="67"/>
        <v>Light</v>
      </c>
      <c r="M740">
        <f>INDEX(products!$A$1:$I$49,MATCH(orders!$D740,products!$A$1:$A$49,0),MATCH(orders!M$1,products!$A$1:$D$1,0))</f>
        <v>0.2</v>
      </c>
      <c r="N740">
        <f>_xlfn.XLOOKUP(D740,products!$A$2:$A$49,products!$E$2:$E$49)</f>
        <v>3.5849999999999995</v>
      </c>
      <c r="O740">
        <f>_xlfn.XLOOKUP(D740,products!$A$2:$A$49,products!$H$2:$H$49)</f>
        <v>3.3698999999999995</v>
      </c>
      <c r="P740">
        <f t="shared" si="68"/>
        <v>10.754999999999999</v>
      </c>
      <c r="Q740">
        <f t="shared" si="69"/>
        <v>10.109699999999998</v>
      </c>
      <c r="R740">
        <f t="shared" si="70"/>
        <v>0.64530000000000065</v>
      </c>
      <c r="S740" s="4">
        <f t="shared" si="71"/>
        <v>6.0000000000000067E-2</v>
      </c>
      <c r="T740" t="str">
        <f>_xlfn.XLOOKUP(C740,customers!$A$1:$A$1001,customers!$I$1:$I$1001,,0)</f>
        <v>No</v>
      </c>
    </row>
    <row r="741" spans="1:20"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INDEX(products!$A$1:$I$49,MATCH(orders!$D741,products!$A$1:$A$49,0),MATCH(orders!I$1,products!$A$1:$D$1,0))</f>
        <v>Exc</v>
      </c>
      <c r="J741" t="str">
        <f t="shared" si="66"/>
        <v>Excelsa</v>
      </c>
      <c r="K741" t="str">
        <f>INDEX(products!$A$1:$I$49,MATCH(orders!$D741,products!$A$1:$A$49,0),MATCH(orders!K$1,products!$A$1:$D$1,0))</f>
        <v>D</v>
      </c>
      <c r="L741" t="str">
        <f t="shared" si="67"/>
        <v>Dark</v>
      </c>
      <c r="M741">
        <f>INDEX(products!$A$1:$I$49,MATCH(orders!$D741,products!$A$1:$A$49,0),MATCH(orders!M$1,products!$A$1:$D$1,0))</f>
        <v>0.2</v>
      </c>
      <c r="N741">
        <f>_xlfn.XLOOKUP(D741,products!$A$2:$A$49,products!$E$2:$E$49)</f>
        <v>3.645</v>
      </c>
      <c r="O741">
        <f>_xlfn.XLOOKUP(D741,products!$A$2:$A$49,products!$H$2:$H$49)</f>
        <v>3.2440500000000001</v>
      </c>
      <c r="P741">
        <f t="shared" si="68"/>
        <v>18.225000000000001</v>
      </c>
      <c r="Q741">
        <f t="shared" si="69"/>
        <v>16.22025</v>
      </c>
      <c r="R741">
        <f t="shared" si="70"/>
        <v>2.0047500000000014</v>
      </c>
      <c r="S741" s="4">
        <f t="shared" si="71"/>
        <v>0.11000000000000007</v>
      </c>
      <c r="T741" t="str">
        <f>_xlfn.XLOOKUP(C741,customers!$A$1:$A$1001,customers!$I$1:$I$1001,,0)</f>
        <v>No</v>
      </c>
    </row>
    <row r="742" spans="1:20"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INDEX(products!$A$1:$I$49,MATCH(orders!$D742,products!$A$1:$A$49,0),MATCH(orders!I$1,products!$A$1:$D$1,0))</f>
        <v>Rob</v>
      </c>
      <c r="J742" t="str">
        <f t="shared" si="66"/>
        <v>Robusta</v>
      </c>
      <c r="K742" t="str">
        <f>INDEX(products!$A$1:$I$49,MATCH(orders!$D742,products!$A$1:$A$49,0),MATCH(orders!K$1,products!$A$1:$D$1,0))</f>
        <v>L</v>
      </c>
      <c r="L742" t="str">
        <f t="shared" si="67"/>
        <v>Light</v>
      </c>
      <c r="M742">
        <f>INDEX(products!$A$1:$I$49,MATCH(orders!$D742,products!$A$1:$A$49,0),MATCH(orders!M$1,products!$A$1:$D$1,0))</f>
        <v>0.5</v>
      </c>
      <c r="N742">
        <f>_xlfn.XLOOKUP(D742,products!$A$2:$A$49,products!$E$2:$E$49)</f>
        <v>7.169999999999999</v>
      </c>
      <c r="O742">
        <f>_xlfn.XLOOKUP(D742,products!$A$2:$A$49,products!$H$2:$H$49)</f>
        <v>6.7397999999999989</v>
      </c>
      <c r="P742">
        <f t="shared" si="68"/>
        <v>28.679999999999996</v>
      </c>
      <c r="Q742">
        <f t="shared" si="69"/>
        <v>26.959199999999996</v>
      </c>
      <c r="R742">
        <f t="shared" si="70"/>
        <v>1.7208000000000006</v>
      </c>
      <c r="S742" s="4">
        <f t="shared" si="71"/>
        <v>6.0000000000000026E-2</v>
      </c>
      <c r="T742" t="str">
        <f>_xlfn.XLOOKUP(C742,customers!$A$1:$A$1001,customers!$I$1:$I$1001,,0)</f>
        <v>No</v>
      </c>
    </row>
    <row r="743" spans="1:20"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INDEX(products!$A$1:$I$49,MATCH(orders!$D743,products!$A$1:$A$49,0),MATCH(orders!I$1,products!$A$1:$D$1,0))</f>
        <v>Lib</v>
      </c>
      <c r="J743" t="str">
        <f t="shared" si="66"/>
        <v>Liberica</v>
      </c>
      <c r="K743" t="str">
        <f>INDEX(products!$A$1:$I$49,MATCH(orders!$D743,products!$A$1:$A$49,0),MATCH(orders!K$1,products!$A$1:$D$1,0))</f>
        <v>M</v>
      </c>
      <c r="L743" t="str">
        <f t="shared" si="67"/>
        <v>Medium</v>
      </c>
      <c r="M743">
        <f>INDEX(products!$A$1:$I$49,MATCH(orders!$D743,products!$A$1:$A$49,0),MATCH(orders!M$1,products!$A$1:$D$1,0))</f>
        <v>0.2</v>
      </c>
      <c r="N743">
        <f>_xlfn.XLOOKUP(D743,products!$A$2:$A$49,products!$E$2:$E$49)</f>
        <v>4.3650000000000002</v>
      </c>
      <c r="O743">
        <f>_xlfn.XLOOKUP(D743,products!$A$2:$A$49,products!$H$2:$H$49)</f>
        <v>3.7975500000000002</v>
      </c>
      <c r="P743">
        <f t="shared" si="68"/>
        <v>8.73</v>
      </c>
      <c r="Q743">
        <f t="shared" si="69"/>
        <v>7.5951000000000004</v>
      </c>
      <c r="R743">
        <f t="shared" si="70"/>
        <v>1.1349</v>
      </c>
      <c r="S743" s="4">
        <f t="shared" si="71"/>
        <v>0.13</v>
      </c>
      <c r="T743" t="str">
        <f>_xlfn.XLOOKUP(C743,customers!$A$1:$A$1001,customers!$I$1:$I$1001,,0)</f>
        <v>No</v>
      </c>
    </row>
    <row r="744" spans="1:20"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INDEX(products!$A$1:$I$49,MATCH(orders!$D744,products!$A$1:$A$49,0),MATCH(orders!I$1,products!$A$1:$D$1,0))</f>
        <v>Lib</v>
      </c>
      <c r="J744" t="str">
        <f t="shared" si="66"/>
        <v>Liberica</v>
      </c>
      <c r="K744" t="str">
        <f>INDEX(products!$A$1:$I$49,MATCH(orders!$D744,products!$A$1:$A$49,0),MATCH(orders!K$1,products!$A$1:$D$1,0))</f>
        <v>M</v>
      </c>
      <c r="L744" t="str">
        <f t="shared" si="67"/>
        <v>Medium</v>
      </c>
      <c r="M744">
        <f>INDEX(products!$A$1:$I$49,MATCH(orders!$D744,products!$A$1:$A$49,0),MATCH(orders!M$1,products!$A$1:$D$1,0))</f>
        <v>1</v>
      </c>
      <c r="N744">
        <f>_xlfn.XLOOKUP(D744,products!$A$2:$A$49,products!$E$2:$E$49)</f>
        <v>14.55</v>
      </c>
      <c r="O744">
        <f>_xlfn.XLOOKUP(D744,products!$A$2:$A$49,products!$H$2:$H$49)</f>
        <v>12.6585</v>
      </c>
      <c r="P744">
        <f t="shared" si="68"/>
        <v>58.2</v>
      </c>
      <c r="Q744">
        <f t="shared" si="69"/>
        <v>50.634</v>
      </c>
      <c r="R744">
        <f t="shared" si="70"/>
        <v>7.5660000000000025</v>
      </c>
      <c r="S744" s="4">
        <f t="shared" si="71"/>
        <v>0.13000000000000003</v>
      </c>
      <c r="T744" t="str">
        <f>_xlfn.XLOOKUP(C744,customers!$A$1:$A$1001,customers!$I$1:$I$1001,,0)</f>
        <v>No</v>
      </c>
    </row>
    <row r="745" spans="1:20"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INDEX(products!$A$1:$I$49,MATCH(orders!$D745,products!$A$1:$A$49,0),MATCH(orders!I$1,products!$A$1:$D$1,0))</f>
        <v>Ara</v>
      </c>
      <c r="J745" t="str">
        <f t="shared" si="66"/>
        <v>Arabica</v>
      </c>
      <c r="K745" t="str">
        <f>INDEX(products!$A$1:$I$49,MATCH(orders!$D745,products!$A$1:$A$49,0),MATCH(orders!K$1,products!$A$1:$D$1,0))</f>
        <v>D</v>
      </c>
      <c r="L745" t="str">
        <f t="shared" si="67"/>
        <v>Dark</v>
      </c>
      <c r="M745">
        <f>INDEX(products!$A$1:$I$49,MATCH(orders!$D745,products!$A$1:$A$49,0),MATCH(orders!M$1,products!$A$1:$D$1,0))</f>
        <v>0.5</v>
      </c>
      <c r="N745">
        <f>_xlfn.XLOOKUP(D745,products!$A$2:$A$49,products!$E$2:$E$49)</f>
        <v>5.97</v>
      </c>
      <c r="O745">
        <f>_xlfn.XLOOKUP(D745,products!$A$2:$A$49,products!$H$2:$H$49)</f>
        <v>5.4326999999999996</v>
      </c>
      <c r="P745">
        <f t="shared" si="68"/>
        <v>17.91</v>
      </c>
      <c r="Q745">
        <f t="shared" si="69"/>
        <v>16.298099999999998</v>
      </c>
      <c r="R745">
        <f t="shared" si="70"/>
        <v>1.6119000000000021</v>
      </c>
      <c r="S745" s="4">
        <f t="shared" si="71"/>
        <v>9.0000000000000122E-2</v>
      </c>
      <c r="T745" t="str">
        <f>_xlfn.XLOOKUP(C745,customers!$A$1:$A$1001,customers!$I$1:$I$1001,,0)</f>
        <v>No</v>
      </c>
    </row>
    <row r="746" spans="1:20"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v>
      </c>
      <c r="H746" s="2" t="str">
        <f>_xlfn.XLOOKUP(C746,customers!$A$1:$A$1001,customers!$G$1:$G$1001,,0)</f>
        <v>United States</v>
      </c>
      <c r="I746" t="str">
        <f>INDEX(products!$A$1:$I$49,MATCH(orders!$D746,products!$A$1:$A$49,0),MATCH(orders!I$1,products!$A$1:$D$1,0))</f>
        <v>Rob</v>
      </c>
      <c r="J746" t="str">
        <f t="shared" si="66"/>
        <v>Robusta</v>
      </c>
      <c r="K746" t="str">
        <f>INDEX(products!$A$1:$I$49,MATCH(orders!$D746,products!$A$1:$A$49,0),MATCH(orders!K$1,products!$A$1:$D$1,0))</f>
        <v>M</v>
      </c>
      <c r="L746" t="str">
        <f t="shared" si="67"/>
        <v>Medium</v>
      </c>
      <c r="M746">
        <f>INDEX(products!$A$1:$I$49,MATCH(orders!$D746,products!$A$1:$A$49,0),MATCH(orders!M$1,products!$A$1:$D$1,0))</f>
        <v>0.2</v>
      </c>
      <c r="N746">
        <f>_xlfn.XLOOKUP(D746,products!$A$2:$A$49,products!$E$2:$E$49)</f>
        <v>2.9849999999999999</v>
      </c>
      <c r="O746">
        <f>_xlfn.XLOOKUP(D746,products!$A$2:$A$49,products!$H$2:$H$49)</f>
        <v>2.8058999999999998</v>
      </c>
      <c r="P746">
        <f t="shared" si="68"/>
        <v>17.91</v>
      </c>
      <c r="Q746">
        <f t="shared" si="69"/>
        <v>16.8354</v>
      </c>
      <c r="R746">
        <f t="shared" si="70"/>
        <v>1.0746000000000002</v>
      </c>
      <c r="S746" s="4">
        <f t="shared" si="71"/>
        <v>6.0000000000000012E-2</v>
      </c>
      <c r="T746" t="str">
        <f>_xlfn.XLOOKUP(C746,customers!$A$1:$A$1001,customers!$I$1:$I$1001,,0)</f>
        <v>Yes</v>
      </c>
    </row>
    <row r="747" spans="1:20"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INDEX(products!$A$1:$I$49,MATCH(orders!$D747,products!$A$1:$A$49,0),MATCH(orders!I$1,products!$A$1:$D$1,0))</f>
        <v>Exc</v>
      </c>
      <c r="J747" t="str">
        <f t="shared" si="66"/>
        <v>Excelsa</v>
      </c>
      <c r="K747" t="str">
        <f>INDEX(products!$A$1:$I$49,MATCH(orders!$D747,products!$A$1:$A$49,0),MATCH(orders!K$1,products!$A$1:$D$1,0))</f>
        <v>D</v>
      </c>
      <c r="L747" t="str">
        <f t="shared" si="67"/>
        <v>Dark</v>
      </c>
      <c r="M747">
        <f>INDEX(products!$A$1:$I$49,MATCH(orders!$D747,products!$A$1:$A$49,0),MATCH(orders!M$1,products!$A$1:$D$1,0))</f>
        <v>0.5</v>
      </c>
      <c r="N747">
        <f>_xlfn.XLOOKUP(D747,products!$A$2:$A$49,products!$E$2:$E$49)</f>
        <v>7.29</v>
      </c>
      <c r="O747">
        <f>_xlfn.XLOOKUP(D747,products!$A$2:$A$49,products!$H$2:$H$49)</f>
        <v>6.4881000000000002</v>
      </c>
      <c r="P747">
        <f t="shared" si="68"/>
        <v>14.58</v>
      </c>
      <c r="Q747">
        <f t="shared" si="69"/>
        <v>12.9762</v>
      </c>
      <c r="R747">
        <f t="shared" si="70"/>
        <v>1.6037999999999997</v>
      </c>
      <c r="S747" s="4">
        <f t="shared" si="71"/>
        <v>0.10999999999999997</v>
      </c>
      <c r="T747" t="str">
        <f>_xlfn.XLOOKUP(C747,customers!$A$1:$A$1001,customers!$I$1:$I$1001,,0)</f>
        <v>No</v>
      </c>
    </row>
    <row r="748" spans="1:20"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INDEX(products!$A$1:$I$49,MATCH(orders!$D748,products!$A$1:$A$49,0),MATCH(orders!I$1,products!$A$1:$D$1,0))</f>
        <v>Ara</v>
      </c>
      <c r="J748" t="str">
        <f t="shared" si="66"/>
        <v>Arabica</v>
      </c>
      <c r="K748" t="str">
        <f>INDEX(products!$A$1:$I$49,MATCH(orders!$D748,products!$A$1:$A$49,0),MATCH(orders!K$1,products!$A$1:$D$1,0))</f>
        <v>M</v>
      </c>
      <c r="L748" t="str">
        <f t="shared" si="67"/>
        <v>Medium</v>
      </c>
      <c r="M748">
        <f>INDEX(products!$A$1:$I$49,MATCH(orders!$D748,products!$A$1:$A$49,0),MATCH(orders!M$1,products!$A$1:$D$1,0))</f>
        <v>1</v>
      </c>
      <c r="N748">
        <f>_xlfn.XLOOKUP(D748,products!$A$2:$A$49,products!$E$2:$E$49)</f>
        <v>11.25</v>
      </c>
      <c r="O748">
        <f>_xlfn.XLOOKUP(D748,products!$A$2:$A$49,products!$H$2:$H$49)</f>
        <v>10.237500000000001</v>
      </c>
      <c r="P748">
        <f t="shared" si="68"/>
        <v>33.75</v>
      </c>
      <c r="Q748">
        <f t="shared" si="69"/>
        <v>30.712500000000002</v>
      </c>
      <c r="R748">
        <f t="shared" si="70"/>
        <v>3.0374999999999979</v>
      </c>
      <c r="S748" s="4">
        <f t="shared" si="71"/>
        <v>8.9999999999999941E-2</v>
      </c>
      <c r="T748" t="str">
        <f>_xlfn.XLOOKUP(C748,customers!$A$1:$A$1001,customers!$I$1:$I$1001,,0)</f>
        <v>No</v>
      </c>
    </row>
    <row r="749" spans="1:20"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INDEX(products!$A$1:$I$49,MATCH(orders!$D749,products!$A$1:$A$49,0),MATCH(orders!I$1,products!$A$1:$D$1,0))</f>
        <v>Lib</v>
      </c>
      <c r="J749" t="str">
        <f t="shared" si="66"/>
        <v>Liberica</v>
      </c>
      <c r="K749" t="str">
        <f>INDEX(products!$A$1:$I$49,MATCH(orders!$D749,products!$A$1:$A$49,0),MATCH(orders!K$1,products!$A$1:$D$1,0))</f>
        <v>M</v>
      </c>
      <c r="L749" t="str">
        <f t="shared" si="67"/>
        <v>Medium</v>
      </c>
      <c r="M749">
        <f>INDEX(products!$A$1:$I$49,MATCH(orders!$D749,products!$A$1:$A$49,0),MATCH(orders!M$1,products!$A$1:$D$1,0))</f>
        <v>0.5</v>
      </c>
      <c r="N749">
        <f>_xlfn.XLOOKUP(D749,products!$A$2:$A$49,products!$E$2:$E$49)</f>
        <v>8.73</v>
      </c>
      <c r="O749">
        <f>_xlfn.XLOOKUP(D749,products!$A$2:$A$49,products!$H$2:$H$49)</f>
        <v>7.5951000000000004</v>
      </c>
      <c r="P749">
        <f t="shared" si="68"/>
        <v>34.92</v>
      </c>
      <c r="Q749">
        <f t="shared" si="69"/>
        <v>30.380400000000002</v>
      </c>
      <c r="R749">
        <f t="shared" si="70"/>
        <v>4.5396000000000001</v>
      </c>
      <c r="S749" s="4">
        <f t="shared" si="71"/>
        <v>0.13</v>
      </c>
      <c r="T749" t="str">
        <f>_xlfn.XLOOKUP(C749,customers!$A$1:$A$1001,customers!$I$1:$I$1001,,0)</f>
        <v>Yes</v>
      </c>
    </row>
    <row r="750" spans="1:20"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INDEX(products!$A$1:$I$49,MATCH(orders!$D750,products!$A$1:$A$49,0),MATCH(orders!I$1,products!$A$1:$D$1,0))</f>
        <v>Exc</v>
      </c>
      <c r="J750" t="str">
        <f t="shared" si="66"/>
        <v>Excelsa</v>
      </c>
      <c r="K750" t="str">
        <f>INDEX(products!$A$1:$I$49,MATCH(orders!$D750,products!$A$1:$A$49,0),MATCH(orders!K$1,products!$A$1:$D$1,0))</f>
        <v>D</v>
      </c>
      <c r="L750" t="str">
        <f t="shared" si="67"/>
        <v>Dark</v>
      </c>
      <c r="M750">
        <f>INDEX(products!$A$1:$I$49,MATCH(orders!$D750,products!$A$1:$A$49,0),MATCH(orders!M$1,products!$A$1:$D$1,0))</f>
        <v>0.5</v>
      </c>
      <c r="N750">
        <f>_xlfn.XLOOKUP(D750,products!$A$2:$A$49,products!$E$2:$E$49)</f>
        <v>7.29</v>
      </c>
      <c r="O750">
        <f>_xlfn.XLOOKUP(D750,products!$A$2:$A$49,products!$H$2:$H$49)</f>
        <v>6.4881000000000002</v>
      </c>
      <c r="P750">
        <f t="shared" si="68"/>
        <v>14.58</v>
      </c>
      <c r="Q750">
        <f t="shared" si="69"/>
        <v>12.9762</v>
      </c>
      <c r="R750">
        <f t="shared" si="70"/>
        <v>1.6037999999999997</v>
      </c>
      <c r="S750" s="4">
        <f t="shared" si="71"/>
        <v>0.10999999999999997</v>
      </c>
      <c r="T750" t="str">
        <f>_xlfn.XLOOKUP(C750,customers!$A$1:$A$1001,customers!$I$1:$I$1001,,0)</f>
        <v>No</v>
      </c>
    </row>
    <row r="751" spans="1:20"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INDEX(products!$A$1:$I$49,MATCH(orders!$D751,products!$A$1:$A$49,0),MATCH(orders!I$1,products!$A$1:$D$1,0))</f>
        <v>Rob</v>
      </c>
      <c r="J751" t="str">
        <f t="shared" si="66"/>
        <v>Robusta</v>
      </c>
      <c r="K751" t="str">
        <f>INDEX(products!$A$1:$I$49,MATCH(orders!$D751,products!$A$1:$A$49,0),MATCH(orders!K$1,products!$A$1:$D$1,0))</f>
        <v>D</v>
      </c>
      <c r="L751" t="str">
        <f t="shared" si="67"/>
        <v>Dark</v>
      </c>
      <c r="M751">
        <f>INDEX(products!$A$1:$I$49,MATCH(orders!$D751,products!$A$1:$A$49,0),MATCH(orders!M$1,products!$A$1:$D$1,0))</f>
        <v>0.2</v>
      </c>
      <c r="N751">
        <f>_xlfn.XLOOKUP(D751,products!$A$2:$A$49,products!$E$2:$E$49)</f>
        <v>2.6849999999999996</v>
      </c>
      <c r="O751">
        <f>_xlfn.XLOOKUP(D751,products!$A$2:$A$49,products!$H$2:$H$49)</f>
        <v>2.5238999999999998</v>
      </c>
      <c r="P751">
        <f t="shared" si="68"/>
        <v>5.3699999999999992</v>
      </c>
      <c r="Q751">
        <f t="shared" si="69"/>
        <v>5.0477999999999996</v>
      </c>
      <c r="R751">
        <f t="shared" si="70"/>
        <v>0.3221999999999996</v>
      </c>
      <c r="S751" s="4">
        <f t="shared" si="71"/>
        <v>5.9999999999999935E-2</v>
      </c>
      <c r="T751" t="str">
        <f>_xlfn.XLOOKUP(C751,customers!$A$1:$A$1001,customers!$I$1:$I$1001,,0)</f>
        <v>Yes</v>
      </c>
    </row>
    <row r="752" spans="1:20"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v>
      </c>
      <c r="H752" s="2" t="str">
        <f>_xlfn.XLOOKUP(C752,customers!$A$1:$A$1001,customers!$G$1:$G$1001,,0)</f>
        <v>United States</v>
      </c>
      <c r="I752" t="str">
        <f>INDEX(products!$A$1:$I$49,MATCH(orders!$D752,products!$A$1:$A$49,0),MATCH(orders!I$1,products!$A$1:$D$1,0))</f>
        <v>Rob</v>
      </c>
      <c r="J752" t="str">
        <f t="shared" si="66"/>
        <v>Robusta</v>
      </c>
      <c r="K752" t="str">
        <f>INDEX(products!$A$1:$I$49,MATCH(orders!$D752,products!$A$1:$A$49,0),MATCH(orders!K$1,products!$A$1:$D$1,0))</f>
        <v>M</v>
      </c>
      <c r="L752" t="str">
        <f t="shared" si="67"/>
        <v>Medium</v>
      </c>
      <c r="M752">
        <f>INDEX(products!$A$1:$I$49,MATCH(orders!$D752,products!$A$1:$A$49,0),MATCH(orders!M$1,products!$A$1:$D$1,0))</f>
        <v>0.5</v>
      </c>
      <c r="N752">
        <f>_xlfn.XLOOKUP(D752,products!$A$2:$A$49,products!$E$2:$E$49)</f>
        <v>5.97</v>
      </c>
      <c r="O752">
        <f>_xlfn.XLOOKUP(D752,products!$A$2:$A$49,products!$H$2:$H$49)</f>
        <v>5.6117999999999997</v>
      </c>
      <c r="P752">
        <f t="shared" si="68"/>
        <v>5.97</v>
      </c>
      <c r="Q752">
        <f t="shared" si="69"/>
        <v>5.6117999999999997</v>
      </c>
      <c r="R752">
        <f t="shared" si="70"/>
        <v>0.35820000000000007</v>
      </c>
      <c r="S752" s="4">
        <f t="shared" si="71"/>
        <v>6.0000000000000012E-2</v>
      </c>
      <c r="T752" t="str">
        <f>_xlfn.XLOOKUP(C752,customers!$A$1:$A$1001,customers!$I$1:$I$1001,,0)</f>
        <v>Yes</v>
      </c>
    </row>
    <row r="753" spans="1:20"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INDEX(products!$A$1:$I$49,MATCH(orders!$D753,products!$A$1:$A$49,0),MATCH(orders!I$1,products!$A$1:$D$1,0))</f>
        <v>Lib</v>
      </c>
      <c r="J753" t="str">
        <f t="shared" si="66"/>
        <v>Liberica</v>
      </c>
      <c r="K753" t="str">
        <f>INDEX(products!$A$1:$I$49,MATCH(orders!$D753,products!$A$1:$A$49,0),MATCH(orders!K$1,products!$A$1:$D$1,0))</f>
        <v>L</v>
      </c>
      <c r="L753" t="str">
        <f t="shared" si="67"/>
        <v>Light</v>
      </c>
      <c r="M753">
        <f>INDEX(products!$A$1:$I$49,MATCH(orders!$D753,products!$A$1:$A$49,0),MATCH(orders!M$1,products!$A$1:$D$1,0))</f>
        <v>0.5</v>
      </c>
      <c r="N753">
        <f>_xlfn.XLOOKUP(D753,products!$A$2:$A$49,products!$E$2:$E$49)</f>
        <v>9.51</v>
      </c>
      <c r="O753">
        <f>_xlfn.XLOOKUP(D753,products!$A$2:$A$49,products!$H$2:$H$49)</f>
        <v>8.2736999999999998</v>
      </c>
      <c r="P753">
        <f t="shared" si="68"/>
        <v>19.02</v>
      </c>
      <c r="Q753">
        <f t="shared" si="69"/>
        <v>16.5474</v>
      </c>
      <c r="R753">
        <f t="shared" si="70"/>
        <v>2.4725999999999999</v>
      </c>
      <c r="S753" s="4">
        <f t="shared" si="71"/>
        <v>0.13</v>
      </c>
      <c r="T753" t="str">
        <f>_xlfn.XLOOKUP(C753,customers!$A$1:$A$1001,customers!$I$1:$I$1001,,0)</f>
        <v>No</v>
      </c>
    </row>
    <row r="754" spans="1:20"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INDEX(products!$A$1:$I$49,MATCH(orders!$D754,products!$A$1:$A$49,0),MATCH(orders!I$1,products!$A$1:$D$1,0))</f>
        <v>Exc</v>
      </c>
      <c r="J754" t="str">
        <f t="shared" si="66"/>
        <v>Excelsa</v>
      </c>
      <c r="K754" t="str">
        <f>INDEX(products!$A$1:$I$49,MATCH(orders!$D754,products!$A$1:$A$49,0),MATCH(orders!K$1,products!$A$1:$D$1,0))</f>
        <v>M</v>
      </c>
      <c r="L754" t="str">
        <f t="shared" si="67"/>
        <v>Medium</v>
      </c>
      <c r="M754">
        <f>INDEX(products!$A$1:$I$49,MATCH(orders!$D754,products!$A$1:$A$49,0),MATCH(orders!M$1,products!$A$1:$D$1,0))</f>
        <v>1</v>
      </c>
      <c r="N754">
        <f>_xlfn.XLOOKUP(D754,products!$A$2:$A$49,products!$E$2:$E$49)</f>
        <v>13.75</v>
      </c>
      <c r="O754">
        <f>_xlfn.XLOOKUP(D754,products!$A$2:$A$49,products!$H$2:$H$49)</f>
        <v>12.237500000000001</v>
      </c>
      <c r="P754">
        <f t="shared" si="68"/>
        <v>27.5</v>
      </c>
      <c r="Q754">
        <f t="shared" si="69"/>
        <v>24.475000000000001</v>
      </c>
      <c r="R754">
        <f t="shared" si="70"/>
        <v>3.0249999999999986</v>
      </c>
      <c r="S754" s="4">
        <f t="shared" si="71"/>
        <v>0.10999999999999995</v>
      </c>
      <c r="T754" t="str">
        <f>_xlfn.XLOOKUP(C754,customers!$A$1:$A$1001,customers!$I$1:$I$1001,,0)</f>
        <v>Yes</v>
      </c>
    </row>
    <row r="755" spans="1:20"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INDEX(products!$A$1:$I$49,MATCH(orders!$D755,products!$A$1:$A$49,0),MATCH(orders!I$1,products!$A$1:$D$1,0))</f>
        <v>Ara</v>
      </c>
      <c r="J755" t="str">
        <f t="shared" si="66"/>
        <v>Arabica</v>
      </c>
      <c r="K755" t="str">
        <f>INDEX(products!$A$1:$I$49,MATCH(orders!$D755,products!$A$1:$A$49,0),MATCH(orders!K$1,products!$A$1:$D$1,0))</f>
        <v>D</v>
      </c>
      <c r="L755" t="str">
        <f t="shared" si="67"/>
        <v>Dark</v>
      </c>
      <c r="M755">
        <f>INDEX(products!$A$1:$I$49,MATCH(orders!$D755,products!$A$1:$A$49,0),MATCH(orders!M$1,products!$A$1:$D$1,0))</f>
        <v>0.5</v>
      </c>
      <c r="N755">
        <f>_xlfn.XLOOKUP(D755,products!$A$2:$A$49,products!$E$2:$E$49)</f>
        <v>5.97</v>
      </c>
      <c r="O755">
        <f>_xlfn.XLOOKUP(D755,products!$A$2:$A$49,products!$H$2:$H$49)</f>
        <v>5.4326999999999996</v>
      </c>
      <c r="P755">
        <f t="shared" si="68"/>
        <v>29.849999999999998</v>
      </c>
      <c r="Q755">
        <f t="shared" si="69"/>
        <v>27.163499999999999</v>
      </c>
      <c r="R755">
        <f t="shared" si="70"/>
        <v>2.6864999999999988</v>
      </c>
      <c r="S755" s="4">
        <f t="shared" si="71"/>
        <v>8.9999999999999969E-2</v>
      </c>
      <c r="T755" t="str">
        <f>_xlfn.XLOOKUP(C755,customers!$A$1:$A$1001,customers!$I$1:$I$1001,,0)</f>
        <v>No</v>
      </c>
    </row>
    <row r="756" spans="1:20"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INDEX(products!$A$1:$I$49,MATCH(orders!$D756,products!$A$1:$A$49,0),MATCH(orders!I$1,products!$A$1:$D$1,0))</f>
        <v>Ara</v>
      </c>
      <c r="J756" t="str">
        <f t="shared" si="66"/>
        <v>Arabica</v>
      </c>
      <c r="K756" t="str">
        <f>INDEX(products!$A$1:$I$49,MATCH(orders!$D756,products!$A$1:$A$49,0),MATCH(orders!K$1,products!$A$1:$D$1,0))</f>
        <v>D</v>
      </c>
      <c r="L756" t="str">
        <f t="shared" si="67"/>
        <v>Dark</v>
      </c>
      <c r="M756">
        <f>INDEX(products!$A$1:$I$49,MATCH(orders!$D756,products!$A$1:$A$49,0),MATCH(orders!M$1,products!$A$1:$D$1,0))</f>
        <v>0.2</v>
      </c>
      <c r="N756">
        <f>_xlfn.XLOOKUP(D756,products!$A$2:$A$49,products!$E$2:$E$49)</f>
        <v>2.9849999999999999</v>
      </c>
      <c r="O756">
        <f>_xlfn.XLOOKUP(D756,products!$A$2:$A$49,products!$H$2:$H$49)</f>
        <v>2.7163499999999998</v>
      </c>
      <c r="P756">
        <f t="shared" si="68"/>
        <v>17.91</v>
      </c>
      <c r="Q756">
        <f t="shared" si="69"/>
        <v>16.298099999999998</v>
      </c>
      <c r="R756">
        <f t="shared" si="70"/>
        <v>1.6119000000000021</v>
      </c>
      <c r="S756" s="4">
        <f t="shared" si="71"/>
        <v>9.0000000000000122E-2</v>
      </c>
      <c r="T756" t="str">
        <f>_xlfn.XLOOKUP(C756,customers!$A$1:$A$1001,customers!$I$1:$I$1001,,0)</f>
        <v>No</v>
      </c>
    </row>
    <row r="757" spans="1:20"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INDEX(products!$A$1:$I$49,MATCH(orders!$D757,products!$A$1:$A$49,0),MATCH(orders!I$1,products!$A$1:$D$1,0))</f>
        <v>Lib</v>
      </c>
      <c r="J757" t="str">
        <f t="shared" si="66"/>
        <v>Liberica</v>
      </c>
      <c r="K757" t="str">
        <f>INDEX(products!$A$1:$I$49,MATCH(orders!$D757,products!$A$1:$A$49,0),MATCH(orders!K$1,products!$A$1:$D$1,0))</f>
        <v>L</v>
      </c>
      <c r="L757" t="str">
        <f t="shared" si="67"/>
        <v>Light</v>
      </c>
      <c r="M757">
        <f>INDEX(products!$A$1:$I$49,MATCH(orders!$D757,products!$A$1:$A$49,0),MATCH(orders!M$1,products!$A$1:$D$1,0))</f>
        <v>0.2</v>
      </c>
      <c r="N757">
        <f>_xlfn.XLOOKUP(D757,products!$A$2:$A$49,products!$E$2:$E$49)</f>
        <v>4.7549999999999999</v>
      </c>
      <c r="O757">
        <f>_xlfn.XLOOKUP(D757,products!$A$2:$A$49,products!$H$2:$H$49)</f>
        <v>4.1368499999999999</v>
      </c>
      <c r="P757">
        <f t="shared" si="68"/>
        <v>28.53</v>
      </c>
      <c r="Q757">
        <f t="shared" si="69"/>
        <v>24.821100000000001</v>
      </c>
      <c r="R757">
        <f t="shared" si="70"/>
        <v>3.7088999999999999</v>
      </c>
      <c r="S757" s="4">
        <f t="shared" si="71"/>
        <v>0.12999999999999998</v>
      </c>
      <c r="T757" t="str">
        <f>_xlfn.XLOOKUP(C757,customers!$A$1:$A$1001,customers!$I$1:$I$1001,,0)</f>
        <v>No</v>
      </c>
    </row>
    <row r="758" spans="1:20"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INDEX(products!$A$1:$I$49,MATCH(orders!$D758,products!$A$1:$A$49,0),MATCH(orders!I$1,products!$A$1:$D$1,0))</f>
        <v>Rob</v>
      </c>
      <c r="J758" t="str">
        <f t="shared" si="66"/>
        <v>Robusta</v>
      </c>
      <c r="K758" t="str">
        <f>INDEX(products!$A$1:$I$49,MATCH(orders!$D758,products!$A$1:$A$49,0),MATCH(orders!K$1,products!$A$1:$D$1,0))</f>
        <v>D</v>
      </c>
      <c r="L758" t="str">
        <f t="shared" si="67"/>
        <v>Dark</v>
      </c>
      <c r="M758">
        <f>INDEX(products!$A$1:$I$49,MATCH(orders!$D758,products!$A$1:$A$49,0),MATCH(orders!M$1,products!$A$1:$D$1,0))</f>
        <v>1</v>
      </c>
      <c r="N758">
        <f>_xlfn.XLOOKUP(D758,products!$A$2:$A$49,products!$E$2:$E$49)</f>
        <v>8.9499999999999993</v>
      </c>
      <c r="O758">
        <f>_xlfn.XLOOKUP(D758,products!$A$2:$A$49,products!$H$2:$H$49)</f>
        <v>8.4130000000000003</v>
      </c>
      <c r="P758">
        <f t="shared" si="68"/>
        <v>35.799999999999997</v>
      </c>
      <c r="Q758">
        <f t="shared" si="69"/>
        <v>33.652000000000001</v>
      </c>
      <c r="R758">
        <f t="shared" si="70"/>
        <v>2.1479999999999961</v>
      </c>
      <c r="S758" s="4">
        <f t="shared" si="71"/>
        <v>5.9999999999999894E-2</v>
      </c>
      <c r="T758" t="str">
        <f>_xlfn.XLOOKUP(C758,customers!$A$1:$A$1001,customers!$I$1:$I$1001,,0)</f>
        <v>Yes</v>
      </c>
    </row>
    <row r="759" spans="1:20"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INDEX(products!$A$1:$I$49,MATCH(orders!$D759,products!$A$1:$A$49,0),MATCH(orders!I$1,products!$A$1:$D$1,0))</f>
        <v>Ara</v>
      </c>
      <c r="J759" t="str">
        <f t="shared" si="66"/>
        <v>Arabica</v>
      </c>
      <c r="K759" t="str">
        <f>INDEX(products!$A$1:$I$49,MATCH(orders!$D759,products!$A$1:$A$49,0),MATCH(orders!K$1,products!$A$1:$D$1,0))</f>
        <v>D</v>
      </c>
      <c r="L759" t="str">
        <f t="shared" si="67"/>
        <v>Dark</v>
      </c>
      <c r="M759">
        <f>INDEX(products!$A$1:$I$49,MATCH(orders!$D759,products!$A$1:$A$49,0),MATCH(orders!M$1,products!$A$1:$D$1,0))</f>
        <v>0.5</v>
      </c>
      <c r="N759">
        <f>_xlfn.XLOOKUP(D759,products!$A$2:$A$49,products!$E$2:$E$49)</f>
        <v>5.97</v>
      </c>
      <c r="O759">
        <f>_xlfn.XLOOKUP(D759,products!$A$2:$A$49,products!$H$2:$H$49)</f>
        <v>5.4326999999999996</v>
      </c>
      <c r="P759">
        <f t="shared" si="68"/>
        <v>17.91</v>
      </c>
      <c r="Q759">
        <f t="shared" si="69"/>
        <v>16.298099999999998</v>
      </c>
      <c r="R759">
        <f t="shared" si="70"/>
        <v>1.6119000000000021</v>
      </c>
      <c r="S759" s="4">
        <f t="shared" si="71"/>
        <v>9.0000000000000122E-2</v>
      </c>
      <c r="T759" t="str">
        <f>_xlfn.XLOOKUP(C759,customers!$A$1:$A$1001,customers!$I$1:$I$1001,,0)</f>
        <v>Yes</v>
      </c>
    </row>
    <row r="760" spans="1:20"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INDEX(products!$A$1:$I$49,MATCH(orders!$D760,products!$A$1:$A$49,0),MATCH(orders!I$1,products!$A$1:$D$1,0))</f>
        <v>Rob</v>
      </c>
      <c r="J760" t="str">
        <f t="shared" si="66"/>
        <v>Robusta</v>
      </c>
      <c r="K760" t="str">
        <f>INDEX(products!$A$1:$I$49,MATCH(orders!$D760,products!$A$1:$A$49,0),MATCH(orders!K$1,products!$A$1:$D$1,0))</f>
        <v>D</v>
      </c>
      <c r="L760" t="str">
        <f t="shared" si="67"/>
        <v>Dark</v>
      </c>
      <c r="M760">
        <f>INDEX(products!$A$1:$I$49,MATCH(orders!$D760,products!$A$1:$A$49,0),MATCH(orders!M$1,products!$A$1:$D$1,0))</f>
        <v>1</v>
      </c>
      <c r="N760">
        <f>_xlfn.XLOOKUP(D760,products!$A$2:$A$49,products!$E$2:$E$49)</f>
        <v>8.9499999999999993</v>
      </c>
      <c r="O760">
        <f>_xlfn.XLOOKUP(D760,products!$A$2:$A$49,products!$H$2:$H$49)</f>
        <v>8.4130000000000003</v>
      </c>
      <c r="P760">
        <f t="shared" si="68"/>
        <v>8.9499999999999993</v>
      </c>
      <c r="Q760">
        <f t="shared" si="69"/>
        <v>8.4130000000000003</v>
      </c>
      <c r="R760">
        <f t="shared" si="70"/>
        <v>0.53699999999999903</v>
      </c>
      <c r="S760" s="4">
        <f t="shared" si="71"/>
        <v>5.9999999999999894E-2</v>
      </c>
      <c r="T760" t="str">
        <f>_xlfn.XLOOKUP(C760,customers!$A$1:$A$1001,customers!$I$1:$I$1001,,0)</f>
        <v>No</v>
      </c>
    </row>
    <row r="761" spans="1:20"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INDEX(products!$A$1:$I$49,MATCH(orders!$D761,products!$A$1:$A$49,0),MATCH(orders!I$1,products!$A$1:$D$1,0))</f>
        <v>Lib</v>
      </c>
      <c r="J761" t="str">
        <f t="shared" si="66"/>
        <v>Liberica</v>
      </c>
      <c r="K761" t="str">
        <f>INDEX(products!$A$1:$I$49,MATCH(orders!$D761,products!$A$1:$A$49,0),MATCH(orders!K$1,products!$A$1:$D$1,0))</f>
        <v>D</v>
      </c>
      <c r="L761" t="str">
        <f t="shared" si="67"/>
        <v>Dark</v>
      </c>
      <c r="M761">
        <f>INDEX(products!$A$1:$I$49,MATCH(orders!$D761,products!$A$1:$A$49,0),MATCH(orders!M$1,products!$A$1:$D$1,0))</f>
        <v>2.5</v>
      </c>
      <c r="N761">
        <f>_xlfn.XLOOKUP(D761,products!$A$2:$A$49,products!$E$2:$E$49)</f>
        <v>29.784999999999997</v>
      </c>
      <c r="O761">
        <f>_xlfn.XLOOKUP(D761,products!$A$2:$A$49,products!$H$2:$H$49)</f>
        <v>25.912949999999995</v>
      </c>
      <c r="P761">
        <f t="shared" si="68"/>
        <v>29.784999999999997</v>
      </c>
      <c r="Q761">
        <f t="shared" si="69"/>
        <v>25.912949999999995</v>
      </c>
      <c r="R761">
        <f t="shared" si="70"/>
        <v>3.8720500000000015</v>
      </c>
      <c r="S761" s="4">
        <f t="shared" si="71"/>
        <v>0.13000000000000006</v>
      </c>
      <c r="T761" t="str">
        <f>_xlfn.XLOOKUP(C761,customers!$A$1:$A$1001,customers!$I$1:$I$1001,,0)</f>
        <v>Yes</v>
      </c>
    </row>
    <row r="762" spans="1:20"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INDEX(products!$A$1:$I$49,MATCH(orders!$D762,products!$A$1:$A$49,0),MATCH(orders!I$1,products!$A$1:$D$1,0))</f>
        <v>Exc</v>
      </c>
      <c r="J762" t="str">
        <f t="shared" si="66"/>
        <v>Excelsa</v>
      </c>
      <c r="K762" t="str">
        <f>INDEX(products!$A$1:$I$49,MATCH(orders!$D762,products!$A$1:$A$49,0),MATCH(orders!K$1,products!$A$1:$D$1,0))</f>
        <v>L</v>
      </c>
      <c r="L762" t="str">
        <f t="shared" si="67"/>
        <v>Light</v>
      </c>
      <c r="M762">
        <f>INDEX(products!$A$1:$I$49,MATCH(orders!$D762,products!$A$1:$A$49,0),MATCH(orders!M$1,products!$A$1:$D$1,0))</f>
        <v>0.5</v>
      </c>
      <c r="N762">
        <f>_xlfn.XLOOKUP(D762,products!$A$2:$A$49,products!$E$2:$E$49)</f>
        <v>8.91</v>
      </c>
      <c r="O762">
        <f>_xlfn.XLOOKUP(D762,products!$A$2:$A$49,products!$H$2:$H$49)</f>
        <v>7.9298999999999999</v>
      </c>
      <c r="P762">
        <f t="shared" si="68"/>
        <v>44.55</v>
      </c>
      <c r="Q762">
        <f t="shared" si="69"/>
        <v>39.649500000000003</v>
      </c>
      <c r="R762">
        <f t="shared" si="70"/>
        <v>4.9004999999999939</v>
      </c>
      <c r="S762" s="4">
        <f t="shared" si="71"/>
        <v>0.10999999999999988</v>
      </c>
      <c r="T762" t="str">
        <f>_xlfn.XLOOKUP(C762,customers!$A$1:$A$1001,customers!$I$1:$I$1001,,0)</f>
        <v>No</v>
      </c>
    </row>
    <row r="763" spans="1:20"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INDEX(products!$A$1:$I$49,MATCH(orders!$D763,products!$A$1:$A$49,0),MATCH(orders!I$1,products!$A$1:$D$1,0))</f>
        <v>Exc</v>
      </c>
      <c r="J763" t="str">
        <f t="shared" si="66"/>
        <v>Excelsa</v>
      </c>
      <c r="K763" t="str">
        <f>INDEX(products!$A$1:$I$49,MATCH(orders!$D763,products!$A$1:$A$49,0),MATCH(orders!K$1,products!$A$1:$D$1,0))</f>
        <v>L</v>
      </c>
      <c r="L763" t="str">
        <f t="shared" si="67"/>
        <v>Light</v>
      </c>
      <c r="M763">
        <f>INDEX(products!$A$1:$I$49,MATCH(orders!$D763,products!$A$1:$A$49,0),MATCH(orders!M$1,products!$A$1:$D$1,0))</f>
        <v>1</v>
      </c>
      <c r="N763">
        <f>_xlfn.XLOOKUP(D763,products!$A$2:$A$49,products!$E$2:$E$49)</f>
        <v>14.85</v>
      </c>
      <c r="O763">
        <f>_xlfn.XLOOKUP(D763,products!$A$2:$A$49,products!$H$2:$H$49)</f>
        <v>13.2165</v>
      </c>
      <c r="P763">
        <f t="shared" si="68"/>
        <v>89.1</v>
      </c>
      <c r="Q763">
        <f t="shared" si="69"/>
        <v>79.299000000000007</v>
      </c>
      <c r="R763">
        <f t="shared" si="70"/>
        <v>9.8009999999999877</v>
      </c>
      <c r="S763" s="4">
        <f t="shared" si="71"/>
        <v>0.10999999999999988</v>
      </c>
      <c r="T763" t="str">
        <f>_xlfn.XLOOKUP(C763,customers!$A$1:$A$1001,customers!$I$1:$I$1001,,0)</f>
        <v>Yes</v>
      </c>
    </row>
    <row r="764" spans="1:20"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INDEX(products!$A$1:$I$49,MATCH(orders!$D764,products!$A$1:$A$49,0),MATCH(orders!I$1,products!$A$1:$D$1,0))</f>
        <v>Lib</v>
      </c>
      <c r="J764" t="str">
        <f t="shared" si="66"/>
        <v>Liberica</v>
      </c>
      <c r="K764" t="str">
        <f>INDEX(products!$A$1:$I$49,MATCH(orders!$D764,products!$A$1:$A$49,0),MATCH(orders!K$1,products!$A$1:$D$1,0))</f>
        <v>M</v>
      </c>
      <c r="L764" t="str">
        <f t="shared" si="67"/>
        <v>Medium</v>
      </c>
      <c r="M764">
        <f>INDEX(products!$A$1:$I$49,MATCH(orders!$D764,products!$A$1:$A$49,0),MATCH(orders!M$1,products!$A$1:$D$1,0))</f>
        <v>0.5</v>
      </c>
      <c r="N764">
        <f>_xlfn.XLOOKUP(D764,products!$A$2:$A$49,products!$E$2:$E$49)</f>
        <v>8.73</v>
      </c>
      <c r="O764">
        <f>_xlfn.XLOOKUP(D764,products!$A$2:$A$49,products!$H$2:$H$49)</f>
        <v>7.5951000000000004</v>
      </c>
      <c r="P764">
        <f t="shared" si="68"/>
        <v>43.650000000000006</v>
      </c>
      <c r="Q764">
        <f t="shared" si="69"/>
        <v>37.975500000000004</v>
      </c>
      <c r="R764">
        <f t="shared" si="70"/>
        <v>5.6745000000000019</v>
      </c>
      <c r="S764" s="4">
        <f t="shared" si="71"/>
        <v>0.13000000000000003</v>
      </c>
      <c r="T764" t="str">
        <f>_xlfn.XLOOKUP(C764,customers!$A$1:$A$1001,customers!$I$1:$I$1001,,0)</f>
        <v>No</v>
      </c>
    </row>
    <row r="765" spans="1:20"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v>
      </c>
      <c r="H765" s="2" t="str">
        <f>_xlfn.XLOOKUP(C765,customers!$A$1:$A$1001,customers!$G$1:$G$1001,,0)</f>
        <v>United States</v>
      </c>
      <c r="I765" t="str">
        <f>INDEX(products!$A$1:$I$49,MATCH(orders!$D765,products!$A$1:$A$49,0),MATCH(orders!I$1,products!$A$1:$D$1,0))</f>
        <v>Ara</v>
      </c>
      <c r="J765" t="str">
        <f t="shared" si="66"/>
        <v>Arabica</v>
      </c>
      <c r="K765" t="str">
        <f>INDEX(products!$A$1:$I$49,MATCH(orders!$D765,products!$A$1:$A$49,0),MATCH(orders!K$1,products!$A$1:$D$1,0))</f>
        <v>L</v>
      </c>
      <c r="L765" t="str">
        <f t="shared" si="67"/>
        <v>Light</v>
      </c>
      <c r="M765">
        <f>INDEX(products!$A$1:$I$49,MATCH(orders!$D765,products!$A$1:$A$49,0),MATCH(orders!M$1,products!$A$1:$D$1,0))</f>
        <v>0.5</v>
      </c>
      <c r="N765">
        <f>_xlfn.XLOOKUP(D765,products!$A$2:$A$49,products!$E$2:$E$49)</f>
        <v>7.77</v>
      </c>
      <c r="O765">
        <f>_xlfn.XLOOKUP(D765,products!$A$2:$A$49,products!$H$2:$H$49)</f>
        <v>7.0706999999999995</v>
      </c>
      <c r="P765">
        <f t="shared" si="68"/>
        <v>23.31</v>
      </c>
      <c r="Q765">
        <f t="shared" si="69"/>
        <v>21.2121</v>
      </c>
      <c r="R765">
        <f t="shared" si="70"/>
        <v>2.0978999999999992</v>
      </c>
      <c r="S765" s="4">
        <f t="shared" si="71"/>
        <v>8.9999999999999969E-2</v>
      </c>
      <c r="T765" t="str">
        <f>_xlfn.XLOOKUP(C765,customers!$A$1:$A$1001,customers!$I$1:$I$1001,,0)</f>
        <v>No</v>
      </c>
    </row>
    <row r="766" spans="1:20"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INDEX(products!$A$1:$I$49,MATCH(orders!$D766,products!$A$1:$A$49,0),MATCH(orders!I$1,products!$A$1:$D$1,0))</f>
        <v>Ara</v>
      </c>
      <c r="J766" t="str">
        <f t="shared" si="66"/>
        <v>Arabica</v>
      </c>
      <c r="K766" t="str">
        <f>INDEX(products!$A$1:$I$49,MATCH(orders!$D766,products!$A$1:$A$49,0),MATCH(orders!K$1,products!$A$1:$D$1,0))</f>
        <v>L</v>
      </c>
      <c r="L766" t="str">
        <f t="shared" si="67"/>
        <v>Light</v>
      </c>
      <c r="M766">
        <f>INDEX(products!$A$1:$I$49,MATCH(orders!$D766,products!$A$1:$A$49,0),MATCH(orders!M$1,products!$A$1:$D$1,0))</f>
        <v>2.5</v>
      </c>
      <c r="N766">
        <f>_xlfn.XLOOKUP(D766,products!$A$2:$A$49,products!$E$2:$E$49)</f>
        <v>29.784999999999997</v>
      </c>
      <c r="O766">
        <f>_xlfn.XLOOKUP(D766,products!$A$2:$A$49,products!$H$2:$H$49)</f>
        <v>27.104349999999997</v>
      </c>
      <c r="P766">
        <f t="shared" si="68"/>
        <v>178.70999999999998</v>
      </c>
      <c r="Q766">
        <f t="shared" si="69"/>
        <v>162.62609999999998</v>
      </c>
      <c r="R766">
        <f t="shared" si="70"/>
        <v>16.0839</v>
      </c>
      <c r="S766" s="4">
        <f t="shared" si="71"/>
        <v>9.0000000000000011E-2</v>
      </c>
      <c r="T766" t="str">
        <f>_xlfn.XLOOKUP(C766,customers!$A$1:$A$1001,customers!$I$1:$I$1001,,0)</f>
        <v>Yes</v>
      </c>
    </row>
    <row r="767" spans="1:20"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INDEX(products!$A$1:$I$49,MATCH(orders!$D767,products!$A$1:$A$49,0),MATCH(orders!I$1,products!$A$1:$D$1,0))</f>
        <v>Rob</v>
      </c>
      <c r="J767" t="str">
        <f t="shared" si="66"/>
        <v>Robusta</v>
      </c>
      <c r="K767" t="str">
        <f>INDEX(products!$A$1:$I$49,MATCH(orders!$D767,products!$A$1:$A$49,0),MATCH(orders!K$1,products!$A$1:$D$1,0))</f>
        <v>M</v>
      </c>
      <c r="L767" t="str">
        <f t="shared" si="67"/>
        <v>Medium</v>
      </c>
      <c r="M767">
        <f>INDEX(products!$A$1:$I$49,MATCH(orders!$D767,products!$A$1:$A$49,0),MATCH(orders!M$1,products!$A$1:$D$1,0))</f>
        <v>1</v>
      </c>
      <c r="N767">
        <f>_xlfn.XLOOKUP(D767,products!$A$2:$A$49,products!$E$2:$E$49)</f>
        <v>9.9499999999999993</v>
      </c>
      <c r="O767">
        <f>_xlfn.XLOOKUP(D767,products!$A$2:$A$49,products!$H$2:$H$49)</f>
        <v>9.3529999999999998</v>
      </c>
      <c r="P767">
        <f t="shared" si="68"/>
        <v>59.699999999999996</v>
      </c>
      <c r="Q767">
        <f t="shared" si="69"/>
        <v>56.117999999999995</v>
      </c>
      <c r="R767">
        <f t="shared" si="70"/>
        <v>3.5820000000000007</v>
      </c>
      <c r="S767" s="4">
        <f t="shared" si="71"/>
        <v>6.0000000000000019E-2</v>
      </c>
      <c r="T767" t="str">
        <f>_xlfn.XLOOKUP(C767,customers!$A$1:$A$1001,customers!$I$1:$I$1001,,0)</f>
        <v>Yes</v>
      </c>
    </row>
    <row r="768" spans="1:20"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INDEX(products!$A$1:$I$49,MATCH(orders!$D768,products!$A$1:$A$49,0),MATCH(orders!I$1,products!$A$1:$D$1,0))</f>
        <v>Ara</v>
      </c>
      <c r="J768" t="str">
        <f t="shared" si="66"/>
        <v>Arabica</v>
      </c>
      <c r="K768" t="str">
        <f>INDEX(products!$A$1:$I$49,MATCH(orders!$D768,products!$A$1:$A$49,0),MATCH(orders!K$1,products!$A$1:$D$1,0))</f>
        <v>L</v>
      </c>
      <c r="L768" t="str">
        <f t="shared" si="67"/>
        <v>Light</v>
      </c>
      <c r="M768">
        <f>INDEX(products!$A$1:$I$49,MATCH(orders!$D768,products!$A$1:$A$49,0),MATCH(orders!M$1,products!$A$1:$D$1,0))</f>
        <v>0.5</v>
      </c>
      <c r="N768">
        <f>_xlfn.XLOOKUP(D768,products!$A$2:$A$49,products!$E$2:$E$49)</f>
        <v>7.77</v>
      </c>
      <c r="O768">
        <f>_xlfn.XLOOKUP(D768,products!$A$2:$A$49,products!$H$2:$H$49)</f>
        <v>7.0706999999999995</v>
      </c>
      <c r="P768">
        <f t="shared" si="68"/>
        <v>15.54</v>
      </c>
      <c r="Q768">
        <f t="shared" si="69"/>
        <v>14.141399999999999</v>
      </c>
      <c r="R768">
        <f t="shared" si="70"/>
        <v>1.3986000000000001</v>
      </c>
      <c r="S768" s="4">
        <f t="shared" si="71"/>
        <v>9.0000000000000011E-2</v>
      </c>
      <c r="T768" t="str">
        <f>_xlfn.XLOOKUP(C768,customers!$A$1:$A$1001,customers!$I$1:$I$1001,,0)</f>
        <v>Yes</v>
      </c>
    </row>
    <row r="769" spans="1:20"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INDEX(products!$A$1:$I$49,MATCH(orders!$D769,products!$A$1:$A$49,0),MATCH(orders!I$1,products!$A$1:$D$1,0))</f>
        <v>Ara</v>
      </c>
      <c r="J769" t="str">
        <f t="shared" si="66"/>
        <v>Arabica</v>
      </c>
      <c r="K769" t="str">
        <f>INDEX(products!$A$1:$I$49,MATCH(orders!$D769,products!$A$1:$A$49,0),MATCH(orders!K$1,products!$A$1:$D$1,0))</f>
        <v>L</v>
      </c>
      <c r="L769" t="str">
        <f t="shared" si="67"/>
        <v>Light</v>
      </c>
      <c r="M769">
        <f>INDEX(products!$A$1:$I$49,MATCH(orders!$D769,products!$A$1:$A$49,0),MATCH(orders!M$1,products!$A$1:$D$1,0))</f>
        <v>2.5</v>
      </c>
      <c r="N769">
        <f>_xlfn.XLOOKUP(D769,products!$A$2:$A$49,products!$E$2:$E$49)</f>
        <v>29.784999999999997</v>
      </c>
      <c r="O769">
        <f>_xlfn.XLOOKUP(D769,products!$A$2:$A$49,products!$H$2:$H$49)</f>
        <v>27.104349999999997</v>
      </c>
      <c r="P769">
        <f t="shared" si="68"/>
        <v>89.35499999999999</v>
      </c>
      <c r="Q769">
        <f t="shared" si="69"/>
        <v>81.31304999999999</v>
      </c>
      <c r="R769">
        <f t="shared" si="70"/>
        <v>8.0419499999999999</v>
      </c>
      <c r="S769" s="4">
        <f t="shared" si="71"/>
        <v>9.0000000000000011E-2</v>
      </c>
      <c r="T769" t="str">
        <f>_xlfn.XLOOKUP(C769,customers!$A$1:$A$1001,customers!$I$1:$I$1001,,0)</f>
        <v>No</v>
      </c>
    </row>
    <row r="770" spans="1:20"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INDEX(products!$A$1:$I$49,MATCH(orders!$D770,products!$A$1:$A$49,0),MATCH(orders!I$1,products!$A$1:$D$1,0))</f>
        <v>Rob</v>
      </c>
      <c r="J770" t="str">
        <f t="shared" si="66"/>
        <v>Robusta</v>
      </c>
      <c r="K770" t="str">
        <f>INDEX(products!$A$1:$I$49,MATCH(orders!$D770,products!$A$1:$A$49,0),MATCH(orders!K$1,products!$A$1:$D$1,0))</f>
        <v>L</v>
      </c>
      <c r="L770" t="str">
        <f t="shared" si="67"/>
        <v>Light</v>
      </c>
      <c r="M770">
        <f>INDEX(products!$A$1:$I$49,MATCH(orders!$D770,products!$A$1:$A$49,0),MATCH(orders!M$1,products!$A$1:$D$1,0))</f>
        <v>1</v>
      </c>
      <c r="N770">
        <f>_xlfn.XLOOKUP(D770,products!$A$2:$A$49,products!$E$2:$E$49)</f>
        <v>11.95</v>
      </c>
      <c r="O770">
        <f>_xlfn.XLOOKUP(D770,products!$A$2:$A$49,products!$H$2:$H$49)</f>
        <v>11.232999999999999</v>
      </c>
      <c r="P770">
        <f t="shared" si="68"/>
        <v>23.9</v>
      </c>
      <c r="Q770">
        <f t="shared" si="69"/>
        <v>22.465999999999998</v>
      </c>
      <c r="R770">
        <f t="shared" si="70"/>
        <v>1.4340000000000011</v>
      </c>
      <c r="S770" s="4">
        <f t="shared" si="71"/>
        <v>6.0000000000000046E-2</v>
      </c>
      <c r="T770" t="str">
        <f>_xlfn.XLOOKUP(C770,customers!$A$1:$A$1001,customers!$I$1:$I$1001,,0)</f>
        <v>No</v>
      </c>
    </row>
    <row r="771" spans="1:20"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INDEX(products!$A$1:$I$49,MATCH(orders!$D771,products!$A$1:$A$49,0),MATCH(orders!I$1,products!$A$1:$D$1,0))</f>
        <v>Rob</v>
      </c>
      <c r="J771" t="str">
        <f t="shared" ref="J771:J834" si="72">IF(I771="Rob","Robusta",IF(I771="Exc","Excelsa",IF(I771="Ara","Arabica",IF(I771="Lib","Liberica",""))))</f>
        <v>Robusta</v>
      </c>
      <c r="K771" t="str">
        <f>INDEX(products!$A$1:$I$49,MATCH(orders!$D771,products!$A$1:$A$49,0),MATCH(orders!K$1,products!$A$1:$D$1,0))</f>
        <v>M</v>
      </c>
      <c r="L771" t="str">
        <f t="shared" ref="L771:L834" si="73">IF(K771="M","Medium",IF(K771="L","Light",IF(K771="D","Dark","")))</f>
        <v>Medium</v>
      </c>
      <c r="M771">
        <f>INDEX(products!$A$1:$I$49,MATCH(orders!$D771,products!$A$1:$A$49,0),MATCH(orders!M$1,products!$A$1:$D$1,0))</f>
        <v>2.5</v>
      </c>
      <c r="N771">
        <f>_xlfn.XLOOKUP(D771,products!$A$2:$A$49,products!$E$2:$E$49)</f>
        <v>22.884999999999998</v>
      </c>
      <c r="O771">
        <f>_xlfn.XLOOKUP(D771,products!$A$2:$A$49,products!$H$2:$H$49)</f>
        <v>21.511899999999997</v>
      </c>
      <c r="P771">
        <f t="shared" ref="P771:P834" si="74">N771*E771</f>
        <v>137.31</v>
      </c>
      <c r="Q771">
        <f t="shared" ref="Q771:Q834" si="75">O771*E771</f>
        <v>129.07139999999998</v>
      </c>
      <c r="R771">
        <f t="shared" ref="R771:R834" si="76">P771-Q771</f>
        <v>8.2386000000000195</v>
      </c>
      <c r="S771" s="4">
        <f t="shared" ref="S771:S834" si="77">R771/P771</f>
        <v>6.0000000000000143E-2</v>
      </c>
      <c r="T771" t="str">
        <f>_xlfn.XLOOKUP(C771,customers!$A$1:$A$1001,customers!$I$1:$I$1001,,0)</f>
        <v>No</v>
      </c>
    </row>
    <row r="772" spans="1:20"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INDEX(products!$A$1:$I$49,MATCH(orders!$D772,products!$A$1:$A$49,0),MATCH(orders!I$1,products!$A$1:$D$1,0))</f>
        <v>Ara</v>
      </c>
      <c r="J772" t="str">
        <f t="shared" si="72"/>
        <v>Arabica</v>
      </c>
      <c r="K772" t="str">
        <f>INDEX(products!$A$1:$I$49,MATCH(orders!$D772,products!$A$1:$A$49,0),MATCH(orders!K$1,products!$A$1:$D$1,0))</f>
        <v>D</v>
      </c>
      <c r="L772" t="str">
        <f t="shared" si="73"/>
        <v>Dark</v>
      </c>
      <c r="M772">
        <f>INDEX(products!$A$1:$I$49,MATCH(orders!$D772,products!$A$1:$A$49,0),MATCH(orders!M$1,products!$A$1:$D$1,0))</f>
        <v>1</v>
      </c>
      <c r="N772">
        <f>_xlfn.XLOOKUP(D772,products!$A$2:$A$49,products!$E$2:$E$49)</f>
        <v>9.9499999999999993</v>
      </c>
      <c r="O772">
        <f>_xlfn.XLOOKUP(D772,products!$A$2:$A$49,products!$H$2:$H$49)</f>
        <v>9.0544999999999991</v>
      </c>
      <c r="P772">
        <f t="shared" si="74"/>
        <v>9.9499999999999993</v>
      </c>
      <c r="Q772">
        <f t="shared" si="75"/>
        <v>9.0544999999999991</v>
      </c>
      <c r="R772">
        <f t="shared" si="76"/>
        <v>0.89550000000000018</v>
      </c>
      <c r="S772" s="4">
        <f t="shared" si="77"/>
        <v>9.0000000000000024E-2</v>
      </c>
      <c r="T772" t="str">
        <f>_xlfn.XLOOKUP(C772,customers!$A$1:$A$1001,customers!$I$1:$I$1001,,0)</f>
        <v>No</v>
      </c>
    </row>
    <row r="773" spans="1:20"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INDEX(products!$A$1:$I$49,MATCH(orders!$D773,products!$A$1:$A$49,0),MATCH(orders!I$1,products!$A$1:$D$1,0))</f>
        <v>Rob</v>
      </c>
      <c r="J773" t="str">
        <f t="shared" si="72"/>
        <v>Robusta</v>
      </c>
      <c r="K773" t="str">
        <f>INDEX(products!$A$1:$I$49,MATCH(orders!$D773,products!$A$1:$A$49,0),MATCH(orders!K$1,products!$A$1:$D$1,0))</f>
        <v>L</v>
      </c>
      <c r="L773" t="str">
        <f t="shared" si="73"/>
        <v>Light</v>
      </c>
      <c r="M773">
        <f>INDEX(products!$A$1:$I$49,MATCH(orders!$D773,products!$A$1:$A$49,0),MATCH(orders!M$1,products!$A$1:$D$1,0))</f>
        <v>0.5</v>
      </c>
      <c r="N773">
        <f>_xlfn.XLOOKUP(D773,products!$A$2:$A$49,products!$E$2:$E$49)</f>
        <v>7.169999999999999</v>
      </c>
      <c r="O773">
        <f>_xlfn.XLOOKUP(D773,products!$A$2:$A$49,products!$H$2:$H$49)</f>
        <v>6.7397999999999989</v>
      </c>
      <c r="P773">
        <f t="shared" si="74"/>
        <v>21.509999999999998</v>
      </c>
      <c r="Q773">
        <f t="shared" si="75"/>
        <v>20.219399999999997</v>
      </c>
      <c r="R773">
        <f t="shared" si="76"/>
        <v>1.2906000000000013</v>
      </c>
      <c r="S773" s="4">
        <f t="shared" si="77"/>
        <v>6.0000000000000067E-2</v>
      </c>
      <c r="T773" t="str">
        <f>_xlfn.XLOOKUP(C773,customers!$A$1:$A$1001,customers!$I$1:$I$1001,,0)</f>
        <v>No</v>
      </c>
    </row>
    <row r="774" spans="1:20"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v>
      </c>
      <c r="H774" s="2" t="str">
        <f>_xlfn.XLOOKUP(C774,customers!$A$1:$A$1001,customers!$G$1:$G$1001,,0)</f>
        <v>United States</v>
      </c>
      <c r="I774" t="str">
        <f>INDEX(products!$A$1:$I$49,MATCH(orders!$D774,products!$A$1:$A$49,0),MATCH(orders!I$1,products!$A$1:$D$1,0))</f>
        <v>Exc</v>
      </c>
      <c r="J774" t="str">
        <f t="shared" si="72"/>
        <v>Excelsa</v>
      </c>
      <c r="K774" t="str">
        <f>INDEX(products!$A$1:$I$49,MATCH(orders!$D774,products!$A$1:$A$49,0),MATCH(orders!K$1,products!$A$1:$D$1,0))</f>
        <v>M</v>
      </c>
      <c r="L774" t="str">
        <f t="shared" si="73"/>
        <v>Medium</v>
      </c>
      <c r="M774">
        <f>INDEX(products!$A$1:$I$49,MATCH(orders!$D774,products!$A$1:$A$49,0),MATCH(orders!M$1,products!$A$1:$D$1,0))</f>
        <v>1</v>
      </c>
      <c r="N774">
        <f>_xlfn.XLOOKUP(D774,products!$A$2:$A$49,products!$E$2:$E$49)</f>
        <v>13.75</v>
      </c>
      <c r="O774">
        <f>_xlfn.XLOOKUP(D774,products!$A$2:$A$49,products!$H$2:$H$49)</f>
        <v>12.237500000000001</v>
      </c>
      <c r="P774">
        <f t="shared" si="74"/>
        <v>82.5</v>
      </c>
      <c r="Q774">
        <f t="shared" si="75"/>
        <v>73.425000000000011</v>
      </c>
      <c r="R774">
        <f t="shared" si="76"/>
        <v>9.0749999999999886</v>
      </c>
      <c r="S774" s="4">
        <f t="shared" si="77"/>
        <v>0.10999999999999986</v>
      </c>
      <c r="T774" t="str">
        <f>_xlfn.XLOOKUP(C774,customers!$A$1:$A$1001,customers!$I$1:$I$1001,,0)</f>
        <v>No</v>
      </c>
    </row>
    <row r="775" spans="1:20"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INDEX(products!$A$1:$I$49,MATCH(orders!$D775,products!$A$1:$A$49,0),MATCH(orders!I$1,products!$A$1:$D$1,0))</f>
        <v>Lib</v>
      </c>
      <c r="J775" t="str">
        <f t="shared" si="72"/>
        <v>Liberica</v>
      </c>
      <c r="K775" t="str">
        <f>INDEX(products!$A$1:$I$49,MATCH(orders!$D775,products!$A$1:$A$49,0),MATCH(orders!K$1,products!$A$1:$D$1,0))</f>
        <v>M</v>
      </c>
      <c r="L775" t="str">
        <f t="shared" si="73"/>
        <v>Medium</v>
      </c>
      <c r="M775">
        <f>INDEX(products!$A$1:$I$49,MATCH(orders!$D775,products!$A$1:$A$49,0),MATCH(orders!M$1,products!$A$1:$D$1,0))</f>
        <v>0.2</v>
      </c>
      <c r="N775">
        <f>_xlfn.XLOOKUP(D775,products!$A$2:$A$49,products!$E$2:$E$49)</f>
        <v>4.3650000000000002</v>
      </c>
      <c r="O775">
        <f>_xlfn.XLOOKUP(D775,products!$A$2:$A$49,products!$H$2:$H$49)</f>
        <v>3.7975500000000002</v>
      </c>
      <c r="P775">
        <f t="shared" si="74"/>
        <v>8.73</v>
      </c>
      <c r="Q775">
        <f t="shared" si="75"/>
        <v>7.5951000000000004</v>
      </c>
      <c r="R775">
        <f t="shared" si="76"/>
        <v>1.1349</v>
      </c>
      <c r="S775" s="4">
        <f t="shared" si="77"/>
        <v>0.13</v>
      </c>
      <c r="T775" t="str">
        <f>_xlfn.XLOOKUP(C775,customers!$A$1:$A$1001,customers!$I$1:$I$1001,,0)</f>
        <v>No</v>
      </c>
    </row>
    <row r="776" spans="1:20"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v>
      </c>
      <c r="H776" s="2" t="str">
        <f>_xlfn.XLOOKUP(C776,customers!$A$1:$A$1001,customers!$G$1:$G$1001,,0)</f>
        <v>United States</v>
      </c>
      <c r="I776" t="str">
        <f>INDEX(products!$A$1:$I$49,MATCH(orders!$D776,products!$A$1:$A$49,0),MATCH(orders!I$1,products!$A$1:$D$1,0))</f>
        <v>Rob</v>
      </c>
      <c r="J776" t="str">
        <f t="shared" si="72"/>
        <v>Robusta</v>
      </c>
      <c r="K776" t="str">
        <f>INDEX(products!$A$1:$I$49,MATCH(orders!$D776,products!$A$1:$A$49,0),MATCH(orders!K$1,products!$A$1:$D$1,0))</f>
        <v>M</v>
      </c>
      <c r="L776" t="str">
        <f t="shared" si="73"/>
        <v>Medium</v>
      </c>
      <c r="M776">
        <f>INDEX(products!$A$1:$I$49,MATCH(orders!$D776,products!$A$1:$A$49,0),MATCH(orders!M$1,products!$A$1:$D$1,0))</f>
        <v>1</v>
      </c>
      <c r="N776">
        <f>_xlfn.XLOOKUP(D776,products!$A$2:$A$49,products!$E$2:$E$49)</f>
        <v>9.9499999999999993</v>
      </c>
      <c r="O776">
        <f>_xlfn.XLOOKUP(D776,products!$A$2:$A$49,products!$H$2:$H$49)</f>
        <v>9.3529999999999998</v>
      </c>
      <c r="P776">
        <f t="shared" si="74"/>
        <v>19.899999999999999</v>
      </c>
      <c r="Q776">
        <f t="shared" si="75"/>
        <v>18.706</v>
      </c>
      <c r="R776">
        <f t="shared" si="76"/>
        <v>1.1939999999999991</v>
      </c>
      <c r="S776" s="4">
        <f t="shared" si="77"/>
        <v>5.9999999999999956E-2</v>
      </c>
      <c r="T776" t="str">
        <f>_xlfn.XLOOKUP(C776,customers!$A$1:$A$1001,customers!$I$1:$I$1001,,0)</f>
        <v>Yes</v>
      </c>
    </row>
    <row r="777" spans="1:20"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INDEX(products!$A$1:$I$49,MATCH(orders!$D777,products!$A$1:$A$49,0),MATCH(orders!I$1,products!$A$1:$D$1,0))</f>
        <v>Exc</v>
      </c>
      <c r="J777" t="str">
        <f t="shared" si="72"/>
        <v>Excelsa</v>
      </c>
      <c r="K777" t="str">
        <f>INDEX(products!$A$1:$I$49,MATCH(orders!$D777,products!$A$1:$A$49,0),MATCH(orders!K$1,products!$A$1:$D$1,0))</f>
        <v>L</v>
      </c>
      <c r="L777" t="str">
        <f t="shared" si="73"/>
        <v>Light</v>
      </c>
      <c r="M777">
        <f>INDEX(products!$A$1:$I$49,MATCH(orders!$D777,products!$A$1:$A$49,0),MATCH(orders!M$1,products!$A$1:$D$1,0))</f>
        <v>0.5</v>
      </c>
      <c r="N777">
        <f>_xlfn.XLOOKUP(D777,products!$A$2:$A$49,products!$E$2:$E$49)</f>
        <v>8.91</v>
      </c>
      <c r="O777">
        <f>_xlfn.XLOOKUP(D777,products!$A$2:$A$49,products!$H$2:$H$49)</f>
        <v>7.9298999999999999</v>
      </c>
      <c r="P777">
        <f t="shared" si="74"/>
        <v>17.82</v>
      </c>
      <c r="Q777">
        <f t="shared" si="75"/>
        <v>15.8598</v>
      </c>
      <c r="R777">
        <f t="shared" si="76"/>
        <v>1.9602000000000004</v>
      </c>
      <c r="S777" s="4">
        <f t="shared" si="77"/>
        <v>0.11000000000000001</v>
      </c>
      <c r="T777" t="str">
        <f>_xlfn.XLOOKUP(C777,customers!$A$1:$A$1001,customers!$I$1:$I$1001,,0)</f>
        <v>Yes</v>
      </c>
    </row>
    <row r="778" spans="1:20"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INDEX(products!$A$1:$I$49,MATCH(orders!$D778,products!$A$1:$A$49,0),MATCH(orders!I$1,products!$A$1:$D$1,0))</f>
        <v>Ara</v>
      </c>
      <c r="J778" t="str">
        <f t="shared" si="72"/>
        <v>Arabica</v>
      </c>
      <c r="K778" t="str">
        <f>INDEX(products!$A$1:$I$49,MATCH(orders!$D778,products!$A$1:$A$49,0),MATCH(orders!K$1,products!$A$1:$D$1,0))</f>
        <v>M</v>
      </c>
      <c r="L778" t="str">
        <f t="shared" si="73"/>
        <v>Medium</v>
      </c>
      <c r="M778">
        <f>INDEX(products!$A$1:$I$49,MATCH(orders!$D778,products!$A$1:$A$49,0),MATCH(orders!M$1,products!$A$1:$D$1,0))</f>
        <v>0.5</v>
      </c>
      <c r="N778">
        <f>_xlfn.XLOOKUP(D778,products!$A$2:$A$49,products!$E$2:$E$49)</f>
        <v>6.75</v>
      </c>
      <c r="O778">
        <f>_xlfn.XLOOKUP(D778,products!$A$2:$A$49,products!$H$2:$H$49)</f>
        <v>6.1425000000000001</v>
      </c>
      <c r="P778">
        <f t="shared" si="74"/>
        <v>20.25</v>
      </c>
      <c r="Q778">
        <f t="shared" si="75"/>
        <v>18.427500000000002</v>
      </c>
      <c r="R778">
        <f t="shared" si="76"/>
        <v>1.822499999999998</v>
      </c>
      <c r="S778" s="4">
        <f t="shared" si="77"/>
        <v>8.99999999999999E-2</v>
      </c>
      <c r="T778" t="str">
        <f>_xlfn.XLOOKUP(C778,customers!$A$1:$A$1001,customers!$I$1:$I$1001,,0)</f>
        <v>No</v>
      </c>
    </row>
    <row r="779" spans="1:20"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INDEX(products!$A$1:$I$49,MATCH(orders!$D779,products!$A$1:$A$49,0),MATCH(orders!I$1,products!$A$1:$D$1,0))</f>
        <v>Ara</v>
      </c>
      <c r="J779" t="str">
        <f t="shared" si="72"/>
        <v>Arabica</v>
      </c>
      <c r="K779" t="str">
        <f>INDEX(products!$A$1:$I$49,MATCH(orders!$D779,products!$A$1:$A$49,0),MATCH(orders!K$1,products!$A$1:$D$1,0))</f>
        <v>L</v>
      </c>
      <c r="L779" t="str">
        <f t="shared" si="73"/>
        <v>Light</v>
      </c>
      <c r="M779">
        <f>INDEX(products!$A$1:$I$49,MATCH(orders!$D779,products!$A$1:$A$49,0),MATCH(orders!M$1,products!$A$1:$D$1,0))</f>
        <v>2.5</v>
      </c>
      <c r="N779">
        <f>_xlfn.XLOOKUP(D779,products!$A$2:$A$49,products!$E$2:$E$49)</f>
        <v>29.784999999999997</v>
      </c>
      <c r="O779">
        <f>_xlfn.XLOOKUP(D779,products!$A$2:$A$49,products!$H$2:$H$49)</f>
        <v>27.104349999999997</v>
      </c>
      <c r="P779">
        <f t="shared" si="74"/>
        <v>59.569999999999993</v>
      </c>
      <c r="Q779">
        <f t="shared" si="75"/>
        <v>54.208699999999993</v>
      </c>
      <c r="R779">
        <f t="shared" si="76"/>
        <v>5.3613</v>
      </c>
      <c r="S779" s="4">
        <f t="shared" si="77"/>
        <v>9.0000000000000011E-2</v>
      </c>
      <c r="T779" t="str">
        <f>_xlfn.XLOOKUP(C779,customers!$A$1:$A$1001,customers!$I$1:$I$1001,,0)</f>
        <v>No</v>
      </c>
    </row>
    <row r="780" spans="1:20"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INDEX(products!$A$1:$I$49,MATCH(orders!$D780,products!$A$1:$A$49,0),MATCH(orders!I$1,products!$A$1:$D$1,0))</f>
        <v>Lib</v>
      </c>
      <c r="J780" t="str">
        <f t="shared" si="72"/>
        <v>Liberica</v>
      </c>
      <c r="K780" t="str">
        <f>INDEX(products!$A$1:$I$49,MATCH(orders!$D780,products!$A$1:$A$49,0),MATCH(orders!K$1,products!$A$1:$D$1,0))</f>
        <v>L</v>
      </c>
      <c r="L780" t="str">
        <f t="shared" si="73"/>
        <v>Light</v>
      </c>
      <c r="M780">
        <f>INDEX(products!$A$1:$I$49,MATCH(orders!$D780,products!$A$1:$A$49,0),MATCH(orders!M$1,products!$A$1:$D$1,0))</f>
        <v>0.5</v>
      </c>
      <c r="N780">
        <f>_xlfn.XLOOKUP(D780,products!$A$2:$A$49,products!$E$2:$E$49)</f>
        <v>9.51</v>
      </c>
      <c r="O780">
        <f>_xlfn.XLOOKUP(D780,products!$A$2:$A$49,products!$H$2:$H$49)</f>
        <v>8.2736999999999998</v>
      </c>
      <c r="P780">
        <f t="shared" si="74"/>
        <v>19.02</v>
      </c>
      <c r="Q780">
        <f t="shared" si="75"/>
        <v>16.5474</v>
      </c>
      <c r="R780">
        <f t="shared" si="76"/>
        <v>2.4725999999999999</v>
      </c>
      <c r="S780" s="4">
        <f t="shared" si="77"/>
        <v>0.13</v>
      </c>
      <c r="T780" t="str">
        <f>_xlfn.XLOOKUP(C780,customers!$A$1:$A$1001,customers!$I$1:$I$1001,,0)</f>
        <v>Yes</v>
      </c>
    </row>
    <row r="781" spans="1:20"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INDEX(products!$A$1:$I$49,MATCH(orders!$D781,products!$A$1:$A$49,0),MATCH(orders!I$1,products!$A$1:$D$1,0))</f>
        <v>Lib</v>
      </c>
      <c r="J781" t="str">
        <f t="shared" si="72"/>
        <v>Liberica</v>
      </c>
      <c r="K781" t="str">
        <f>INDEX(products!$A$1:$I$49,MATCH(orders!$D781,products!$A$1:$A$49,0),MATCH(orders!K$1,products!$A$1:$D$1,0))</f>
        <v>D</v>
      </c>
      <c r="L781" t="str">
        <f t="shared" si="73"/>
        <v>Dark</v>
      </c>
      <c r="M781">
        <f>INDEX(products!$A$1:$I$49,MATCH(orders!$D781,products!$A$1:$A$49,0),MATCH(orders!M$1,products!$A$1:$D$1,0))</f>
        <v>1</v>
      </c>
      <c r="N781">
        <f>_xlfn.XLOOKUP(D781,products!$A$2:$A$49,products!$E$2:$E$49)</f>
        <v>12.95</v>
      </c>
      <c r="O781">
        <f>_xlfn.XLOOKUP(D781,products!$A$2:$A$49,products!$H$2:$H$49)</f>
        <v>11.266499999999999</v>
      </c>
      <c r="P781">
        <f t="shared" si="74"/>
        <v>77.699999999999989</v>
      </c>
      <c r="Q781">
        <f t="shared" si="75"/>
        <v>67.59899999999999</v>
      </c>
      <c r="R781">
        <f t="shared" si="76"/>
        <v>10.100999999999999</v>
      </c>
      <c r="S781" s="4">
        <f t="shared" si="77"/>
        <v>0.13</v>
      </c>
      <c r="T781" t="str">
        <f>_xlfn.XLOOKUP(C781,customers!$A$1:$A$1001,customers!$I$1:$I$1001,,0)</f>
        <v>Yes</v>
      </c>
    </row>
    <row r="782" spans="1:20"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v>
      </c>
      <c r="H782" s="2" t="str">
        <f>_xlfn.XLOOKUP(C782,customers!$A$1:$A$1001,customers!$G$1:$G$1001,,0)</f>
        <v>United States</v>
      </c>
      <c r="I782" t="str">
        <f>INDEX(products!$A$1:$I$49,MATCH(orders!$D782,products!$A$1:$A$49,0),MATCH(orders!I$1,products!$A$1:$D$1,0))</f>
        <v>Exc</v>
      </c>
      <c r="J782" t="str">
        <f t="shared" si="72"/>
        <v>Excelsa</v>
      </c>
      <c r="K782" t="str">
        <f>INDEX(products!$A$1:$I$49,MATCH(orders!$D782,products!$A$1:$A$49,0),MATCH(orders!K$1,products!$A$1:$D$1,0))</f>
        <v>M</v>
      </c>
      <c r="L782" t="str">
        <f t="shared" si="73"/>
        <v>Medium</v>
      </c>
      <c r="M782">
        <f>INDEX(products!$A$1:$I$49,MATCH(orders!$D782,products!$A$1:$A$49,0),MATCH(orders!M$1,products!$A$1:$D$1,0))</f>
        <v>1</v>
      </c>
      <c r="N782">
        <f>_xlfn.XLOOKUP(D782,products!$A$2:$A$49,products!$E$2:$E$49)</f>
        <v>13.75</v>
      </c>
      <c r="O782">
        <f>_xlfn.XLOOKUP(D782,products!$A$2:$A$49,products!$H$2:$H$49)</f>
        <v>12.237500000000001</v>
      </c>
      <c r="P782">
        <f t="shared" si="74"/>
        <v>41.25</v>
      </c>
      <c r="Q782">
        <f t="shared" si="75"/>
        <v>36.712500000000006</v>
      </c>
      <c r="R782">
        <f t="shared" si="76"/>
        <v>4.5374999999999943</v>
      </c>
      <c r="S782" s="4">
        <f t="shared" si="77"/>
        <v>0.10999999999999986</v>
      </c>
      <c r="T782" t="str">
        <f>_xlfn.XLOOKUP(C782,customers!$A$1:$A$1001,customers!$I$1:$I$1001,,0)</f>
        <v>No</v>
      </c>
    </row>
    <row r="783" spans="1:20"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INDEX(products!$A$1:$I$49,MATCH(orders!$D783,products!$A$1:$A$49,0),MATCH(orders!I$1,products!$A$1:$D$1,0))</f>
        <v>Lib</v>
      </c>
      <c r="J783" t="str">
        <f t="shared" si="72"/>
        <v>Liberica</v>
      </c>
      <c r="K783" t="str">
        <f>INDEX(products!$A$1:$I$49,MATCH(orders!$D783,products!$A$1:$A$49,0),MATCH(orders!K$1,products!$A$1:$D$1,0))</f>
        <v>L</v>
      </c>
      <c r="L783" t="str">
        <f t="shared" si="73"/>
        <v>Light</v>
      </c>
      <c r="M783">
        <f>INDEX(products!$A$1:$I$49,MATCH(orders!$D783,products!$A$1:$A$49,0),MATCH(orders!M$1,products!$A$1:$D$1,0))</f>
        <v>2.5</v>
      </c>
      <c r="N783">
        <f>_xlfn.XLOOKUP(D783,products!$A$2:$A$49,products!$E$2:$E$49)</f>
        <v>36.454999999999998</v>
      </c>
      <c r="O783">
        <f>_xlfn.XLOOKUP(D783,products!$A$2:$A$49,products!$H$2:$H$49)</f>
        <v>31.71585</v>
      </c>
      <c r="P783">
        <f t="shared" si="74"/>
        <v>145.82</v>
      </c>
      <c r="Q783">
        <f t="shared" si="75"/>
        <v>126.8634</v>
      </c>
      <c r="R783">
        <f t="shared" si="76"/>
        <v>18.956599999999995</v>
      </c>
      <c r="S783" s="4">
        <f t="shared" si="77"/>
        <v>0.12999999999999998</v>
      </c>
      <c r="T783" t="str">
        <f>_xlfn.XLOOKUP(C783,customers!$A$1:$A$1001,customers!$I$1:$I$1001,,0)</f>
        <v>No</v>
      </c>
    </row>
    <row r="784" spans="1:20"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INDEX(products!$A$1:$I$49,MATCH(orders!$D784,products!$A$1:$A$49,0),MATCH(orders!I$1,products!$A$1:$D$1,0))</f>
        <v>Exc</v>
      </c>
      <c r="J784" t="str">
        <f t="shared" si="72"/>
        <v>Excelsa</v>
      </c>
      <c r="K784" t="str">
        <f>INDEX(products!$A$1:$I$49,MATCH(orders!$D784,products!$A$1:$A$49,0),MATCH(orders!K$1,products!$A$1:$D$1,0))</f>
        <v>L</v>
      </c>
      <c r="L784" t="str">
        <f t="shared" si="73"/>
        <v>Light</v>
      </c>
      <c r="M784">
        <f>INDEX(products!$A$1:$I$49,MATCH(orders!$D784,products!$A$1:$A$49,0),MATCH(orders!M$1,products!$A$1:$D$1,0))</f>
        <v>0.2</v>
      </c>
      <c r="N784">
        <f>_xlfn.XLOOKUP(D784,products!$A$2:$A$49,products!$E$2:$E$49)</f>
        <v>4.4550000000000001</v>
      </c>
      <c r="O784">
        <f>_xlfn.XLOOKUP(D784,products!$A$2:$A$49,products!$H$2:$H$49)</f>
        <v>3.96495</v>
      </c>
      <c r="P784">
        <f t="shared" si="74"/>
        <v>26.73</v>
      </c>
      <c r="Q784">
        <f t="shared" si="75"/>
        <v>23.7897</v>
      </c>
      <c r="R784">
        <f t="shared" si="76"/>
        <v>2.9403000000000006</v>
      </c>
      <c r="S784" s="4">
        <f t="shared" si="77"/>
        <v>0.11000000000000001</v>
      </c>
      <c r="T784" t="str">
        <f>_xlfn.XLOOKUP(C784,customers!$A$1:$A$1001,customers!$I$1:$I$1001,,0)</f>
        <v>No</v>
      </c>
    </row>
    <row r="785" spans="1:20"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INDEX(products!$A$1:$I$49,MATCH(orders!$D785,products!$A$1:$A$49,0),MATCH(orders!I$1,products!$A$1:$D$1,0))</f>
        <v>Lib</v>
      </c>
      <c r="J785" t="str">
        <f t="shared" si="72"/>
        <v>Liberica</v>
      </c>
      <c r="K785" t="str">
        <f>INDEX(products!$A$1:$I$49,MATCH(orders!$D785,products!$A$1:$A$49,0),MATCH(orders!K$1,products!$A$1:$D$1,0))</f>
        <v>M</v>
      </c>
      <c r="L785" t="str">
        <f t="shared" si="73"/>
        <v>Medium</v>
      </c>
      <c r="M785">
        <f>INDEX(products!$A$1:$I$49,MATCH(orders!$D785,products!$A$1:$A$49,0),MATCH(orders!M$1,products!$A$1:$D$1,0))</f>
        <v>0.5</v>
      </c>
      <c r="N785">
        <f>_xlfn.XLOOKUP(D785,products!$A$2:$A$49,products!$E$2:$E$49)</f>
        <v>8.73</v>
      </c>
      <c r="O785">
        <f>_xlfn.XLOOKUP(D785,products!$A$2:$A$49,products!$H$2:$H$49)</f>
        <v>7.5951000000000004</v>
      </c>
      <c r="P785">
        <f t="shared" si="74"/>
        <v>43.650000000000006</v>
      </c>
      <c r="Q785">
        <f t="shared" si="75"/>
        <v>37.975500000000004</v>
      </c>
      <c r="R785">
        <f t="shared" si="76"/>
        <v>5.6745000000000019</v>
      </c>
      <c r="S785" s="4">
        <f t="shared" si="77"/>
        <v>0.13000000000000003</v>
      </c>
      <c r="T785" t="str">
        <f>_xlfn.XLOOKUP(C785,customers!$A$1:$A$1001,customers!$I$1:$I$1001,,0)</f>
        <v>Yes</v>
      </c>
    </row>
    <row r="786" spans="1:20"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INDEX(products!$A$1:$I$49,MATCH(orders!$D786,products!$A$1:$A$49,0),MATCH(orders!I$1,products!$A$1:$D$1,0))</f>
        <v>Lib</v>
      </c>
      <c r="J786" t="str">
        <f t="shared" si="72"/>
        <v>Liberica</v>
      </c>
      <c r="K786" t="str">
        <f>INDEX(products!$A$1:$I$49,MATCH(orders!$D786,products!$A$1:$A$49,0),MATCH(orders!K$1,products!$A$1:$D$1,0))</f>
        <v>L</v>
      </c>
      <c r="L786" t="str">
        <f t="shared" si="73"/>
        <v>Light</v>
      </c>
      <c r="M786">
        <f>INDEX(products!$A$1:$I$49,MATCH(orders!$D786,products!$A$1:$A$49,0),MATCH(orders!M$1,products!$A$1:$D$1,0))</f>
        <v>1</v>
      </c>
      <c r="N786">
        <f>_xlfn.XLOOKUP(D786,products!$A$2:$A$49,products!$E$2:$E$49)</f>
        <v>15.85</v>
      </c>
      <c r="O786">
        <f>_xlfn.XLOOKUP(D786,products!$A$2:$A$49,products!$H$2:$H$49)</f>
        <v>13.7895</v>
      </c>
      <c r="P786">
        <f t="shared" si="74"/>
        <v>31.7</v>
      </c>
      <c r="Q786">
        <f t="shared" si="75"/>
        <v>27.579000000000001</v>
      </c>
      <c r="R786">
        <f t="shared" si="76"/>
        <v>4.1209999999999987</v>
      </c>
      <c r="S786" s="4">
        <f t="shared" si="77"/>
        <v>0.12999999999999995</v>
      </c>
      <c r="T786" t="str">
        <f>_xlfn.XLOOKUP(C786,customers!$A$1:$A$1001,customers!$I$1:$I$1001,,0)</f>
        <v>No</v>
      </c>
    </row>
    <row r="787" spans="1:20"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INDEX(products!$A$1:$I$49,MATCH(orders!$D787,products!$A$1:$A$49,0),MATCH(orders!I$1,products!$A$1:$D$1,0))</f>
        <v>Ara</v>
      </c>
      <c r="J787" t="str">
        <f t="shared" si="72"/>
        <v>Arabica</v>
      </c>
      <c r="K787" t="str">
        <f>INDEX(products!$A$1:$I$49,MATCH(orders!$D787,products!$A$1:$A$49,0),MATCH(orders!K$1,products!$A$1:$D$1,0))</f>
        <v>D</v>
      </c>
      <c r="L787" t="str">
        <f t="shared" si="73"/>
        <v>Dark</v>
      </c>
      <c r="M787">
        <f>INDEX(products!$A$1:$I$49,MATCH(orders!$D787,products!$A$1:$A$49,0),MATCH(orders!M$1,products!$A$1:$D$1,0))</f>
        <v>2.5</v>
      </c>
      <c r="N787">
        <f>_xlfn.XLOOKUP(D787,products!$A$2:$A$49,products!$E$2:$E$49)</f>
        <v>22.884999999999998</v>
      </c>
      <c r="O787">
        <f>_xlfn.XLOOKUP(D787,products!$A$2:$A$49,products!$H$2:$H$49)</f>
        <v>20.82535</v>
      </c>
      <c r="P787">
        <f t="shared" si="74"/>
        <v>22.884999999999998</v>
      </c>
      <c r="Q787">
        <f t="shared" si="75"/>
        <v>20.82535</v>
      </c>
      <c r="R787">
        <f t="shared" si="76"/>
        <v>2.0596499999999978</v>
      </c>
      <c r="S787" s="4">
        <f t="shared" si="77"/>
        <v>8.9999999999999913E-2</v>
      </c>
      <c r="T787" t="str">
        <f>_xlfn.XLOOKUP(C787,customers!$A$1:$A$1001,customers!$I$1:$I$1001,,0)</f>
        <v>No</v>
      </c>
    </row>
    <row r="788" spans="1:20"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INDEX(products!$A$1:$I$49,MATCH(orders!$D788,products!$A$1:$A$49,0),MATCH(orders!I$1,products!$A$1:$D$1,0))</f>
        <v>Exc</v>
      </c>
      <c r="J788" t="str">
        <f t="shared" si="72"/>
        <v>Excelsa</v>
      </c>
      <c r="K788" t="str">
        <f>INDEX(products!$A$1:$I$49,MATCH(orders!$D788,products!$A$1:$A$49,0),MATCH(orders!K$1,products!$A$1:$D$1,0))</f>
        <v>D</v>
      </c>
      <c r="L788" t="str">
        <f t="shared" si="73"/>
        <v>Dark</v>
      </c>
      <c r="M788">
        <f>INDEX(products!$A$1:$I$49,MATCH(orders!$D788,products!$A$1:$A$49,0),MATCH(orders!M$1,products!$A$1:$D$1,0))</f>
        <v>2.5</v>
      </c>
      <c r="N788">
        <f>_xlfn.XLOOKUP(D788,products!$A$2:$A$49,products!$E$2:$E$49)</f>
        <v>27.945</v>
      </c>
      <c r="O788">
        <f>_xlfn.XLOOKUP(D788,products!$A$2:$A$49,products!$H$2:$H$49)</f>
        <v>24.87105</v>
      </c>
      <c r="P788">
        <f t="shared" si="74"/>
        <v>27.945</v>
      </c>
      <c r="Q788">
        <f t="shared" si="75"/>
        <v>24.87105</v>
      </c>
      <c r="R788">
        <f t="shared" si="76"/>
        <v>3.07395</v>
      </c>
      <c r="S788" s="4">
        <f t="shared" si="77"/>
        <v>0.11</v>
      </c>
      <c r="T788" t="str">
        <f>_xlfn.XLOOKUP(C788,customers!$A$1:$A$1001,customers!$I$1:$I$1001,,0)</f>
        <v>Yes</v>
      </c>
    </row>
    <row r="789" spans="1:20"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v>
      </c>
      <c r="H789" s="2" t="str">
        <f>_xlfn.XLOOKUP(C789,customers!$A$1:$A$1001,customers!$G$1:$G$1001,,0)</f>
        <v>United States</v>
      </c>
      <c r="I789" t="str">
        <f>INDEX(products!$A$1:$I$49,MATCH(orders!$D789,products!$A$1:$A$49,0),MATCH(orders!I$1,products!$A$1:$D$1,0))</f>
        <v>Exc</v>
      </c>
      <c r="J789" t="str">
        <f t="shared" si="72"/>
        <v>Excelsa</v>
      </c>
      <c r="K789" t="str">
        <f>INDEX(products!$A$1:$I$49,MATCH(orders!$D789,products!$A$1:$A$49,0),MATCH(orders!K$1,products!$A$1:$D$1,0))</f>
        <v>M</v>
      </c>
      <c r="L789" t="str">
        <f t="shared" si="73"/>
        <v>Medium</v>
      </c>
      <c r="M789">
        <f>INDEX(products!$A$1:$I$49,MATCH(orders!$D789,products!$A$1:$A$49,0),MATCH(orders!M$1,products!$A$1:$D$1,0))</f>
        <v>1</v>
      </c>
      <c r="N789">
        <f>_xlfn.XLOOKUP(D789,products!$A$2:$A$49,products!$E$2:$E$49)</f>
        <v>13.75</v>
      </c>
      <c r="O789">
        <f>_xlfn.XLOOKUP(D789,products!$A$2:$A$49,products!$H$2:$H$49)</f>
        <v>12.237500000000001</v>
      </c>
      <c r="P789">
        <f t="shared" si="74"/>
        <v>82.5</v>
      </c>
      <c r="Q789">
        <f t="shared" si="75"/>
        <v>73.425000000000011</v>
      </c>
      <c r="R789">
        <f t="shared" si="76"/>
        <v>9.0749999999999886</v>
      </c>
      <c r="S789" s="4">
        <f t="shared" si="77"/>
        <v>0.10999999999999986</v>
      </c>
      <c r="T789" t="str">
        <f>_xlfn.XLOOKUP(C789,customers!$A$1:$A$1001,customers!$I$1:$I$1001,,0)</f>
        <v>Yes</v>
      </c>
    </row>
    <row r="790" spans="1:20"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INDEX(products!$A$1:$I$49,MATCH(orders!$D790,products!$A$1:$A$49,0),MATCH(orders!I$1,products!$A$1:$D$1,0))</f>
        <v>Rob</v>
      </c>
      <c r="J790" t="str">
        <f t="shared" si="72"/>
        <v>Robusta</v>
      </c>
      <c r="K790" t="str">
        <f>INDEX(products!$A$1:$I$49,MATCH(orders!$D790,products!$A$1:$A$49,0),MATCH(orders!K$1,products!$A$1:$D$1,0))</f>
        <v>M</v>
      </c>
      <c r="L790" t="str">
        <f t="shared" si="73"/>
        <v>Medium</v>
      </c>
      <c r="M790">
        <f>INDEX(products!$A$1:$I$49,MATCH(orders!$D790,products!$A$1:$A$49,0),MATCH(orders!M$1,products!$A$1:$D$1,0))</f>
        <v>2.5</v>
      </c>
      <c r="N790">
        <f>_xlfn.XLOOKUP(D790,products!$A$2:$A$49,products!$E$2:$E$49)</f>
        <v>22.884999999999998</v>
      </c>
      <c r="O790">
        <f>_xlfn.XLOOKUP(D790,products!$A$2:$A$49,products!$H$2:$H$49)</f>
        <v>21.511899999999997</v>
      </c>
      <c r="P790">
        <f t="shared" si="74"/>
        <v>45.769999999999996</v>
      </c>
      <c r="Q790">
        <f t="shared" si="75"/>
        <v>43.023799999999994</v>
      </c>
      <c r="R790">
        <f t="shared" si="76"/>
        <v>2.7462000000000018</v>
      </c>
      <c r="S790" s="4">
        <f t="shared" si="77"/>
        <v>6.0000000000000046E-2</v>
      </c>
      <c r="T790" t="str">
        <f>_xlfn.XLOOKUP(C790,customers!$A$1:$A$1001,customers!$I$1:$I$1001,,0)</f>
        <v>Yes</v>
      </c>
    </row>
    <row r="791" spans="1:20"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INDEX(products!$A$1:$I$49,MATCH(orders!$D791,products!$A$1:$A$49,0),MATCH(orders!I$1,products!$A$1:$D$1,0))</f>
        <v>Ara</v>
      </c>
      <c r="J791" t="str">
        <f t="shared" si="72"/>
        <v>Arabica</v>
      </c>
      <c r="K791" t="str">
        <f>INDEX(products!$A$1:$I$49,MATCH(orders!$D791,products!$A$1:$A$49,0),MATCH(orders!K$1,products!$A$1:$D$1,0))</f>
        <v>L</v>
      </c>
      <c r="L791" t="str">
        <f t="shared" si="73"/>
        <v>Light</v>
      </c>
      <c r="M791">
        <f>INDEX(products!$A$1:$I$49,MATCH(orders!$D791,products!$A$1:$A$49,0),MATCH(orders!M$1,products!$A$1:$D$1,0))</f>
        <v>1</v>
      </c>
      <c r="N791">
        <f>_xlfn.XLOOKUP(D791,products!$A$2:$A$49,products!$E$2:$E$49)</f>
        <v>12.95</v>
      </c>
      <c r="O791">
        <f>_xlfn.XLOOKUP(D791,products!$A$2:$A$49,products!$H$2:$H$49)</f>
        <v>11.7845</v>
      </c>
      <c r="P791">
        <f t="shared" si="74"/>
        <v>77.699999999999989</v>
      </c>
      <c r="Q791">
        <f t="shared" si="75"/>
        <v>70.706999999999994</v>
      </c>
      <c r="R791">
        <f t="shared" si="76"/>
        <v>6.992999999999995</v>
      </c>
      <c r="S791" s="4">
        <f t="shared" si="77"/>
        <v>8.9999999999999955E-2</v>
      </c>
      <c r="T791" t="str">
        <f>_xlfn.XLOOKUP(C791,customers!$A$1:$A$1001,customers!$I$1:$I$1001,,0)</f>
        <v>No</v>
      </c>
    </row>
    <row r="792" spans="1:20"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INDEX(products!$A$1:$I$49,MATCH(orders!$D792,products!$A$1:$A$49,0),MATCH(orders!I$1,products!$A$1:$D$1,0))</f>
        <v>Ara</v>
      </c>
      <c r="J792" t="str">
        <f t="shared" si="72"/>
        <v>Arabica</v>
      </c>
      <c r="K792" t="str">
        <f>INDEX(products!$A$1:$I$49,MATCH(orders!$D792,products!$A$1:$A$49,0),MATCH(orders!K$1,products!$A$1:$D$1,0))</f>
        <v>L</v>
      </c>
      <c r="L792" t="str">
        <f t="shared" si="73"/>
        <v>Light</v>
      </c>
      <c r="M792">
        <f>INDEX(products!$A$1:$I$49,MATCH(orders!$D792,products!$A$1:$A$49,0),MATCH(orders!M$1,products!$A$1:$D$1,0))</f>
        <v>0.5</v>
      </c>
      <c r="N792">
        <f>_xlfn.XLOOKUP(D792,products!$A$2:$A$49,products!$E$2:$E$49)</f>
        <v>7.77</v>
      </c>
      <c r="O792">
        <f>_xlfn.XLOOKUP(D792,products!$A$2:$A$49,products!$H$2:$H$49)</f>
        <v>7.0706999999999995</v>
      </c>
      <c r="P792">
        <f t="shared" si="74"/>
        <v>23.31</v>
      </c>
      <c r="Q792">
        <f t="shared" si="75"/>
        <v>21.2121</v>
      </c>
      <c r="R792">
        <f t="shared" si="76"/>
        <v>2.0978999999999992</v>
      </c>
      <c r="S792" s="4">
        <f t="shared" si="77"/>
        <v>8.9999999999999969E-2</v>
      </c>
      <c r="T792" t="str">
        <f>_xlfn.XLOOKUP(C792,customers!$A$1:$A$1001,customers!$I$1:$I$1001,,0)</f>
        <v>No</v>
      </c>
    </row>
    <row r="793" spans="1:20"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INDEX(products!$A$1:$I$49,MATCH(orders!$D793,products!$A$1:$A$49,0),MATCH(orders!I$1,products!$A$1:$D$1,0))</f>
        <v>Lib</v>
      </c>
      <c r="J793" t="str">
        <f t="shared" si="72"/>
        <v>Liberica</v>
      </c>
      <c r="K793" t="str">
        <f>INDEX(products!$A$1:$I$49,MATCH(orders!$D793,products!$A$1:$A$49,0),MATCH(orders!K$1,products!$A$1:$D$1,0))</f>
        <v>L</v>
      </c>
      <c r="L793" t="str">
        <f t="shared" si="73"/>
        <v>Light</v>
      </c>
      <c r="M793">
        <f>INDEX(products!$A$1:$I$49,MATCH(orders!$D793,products!$A$1:$A$49,0),MATCH(orders!M$1,products!$A$1:$D$1,0))</f>
        <v>0.2</v>
      </c>
      <c r="N793">
        <f>_xlfn.XLOOKUP(D793,products!$A$2:$A$49,products!$E$2:$E$49)</f>
        <v>4.7549999999999999</v>
      </c>
      <c r="O793">
        <f>_xlfn.XLOOKUP(D793,products!$A$2:$A$49,products!$H$2:$H$49)</f>
        <v>4.1368499999999999</v>
      </c>
      <c r="P793">
        <f t="shared" si="74"/>
        <v>23.774999999999999</v>
      </c>
      <c r="Q793">
        <f t="shared" si="75"/>
        <v>20.684249999999999</v>
      </c>
      <c r="R793">
        <f t="shared" si="76"/>
        <v>3.0907499999999999</v>
      </c>
      <c r="S793" s="4">
        <f t="shared" si="77"/>
        <v>0.13</v>
      </c>
      <c r="T793" t="str">
        <f>_xlfn.XLOOKUP(C793,customers!$A$1:$A$1001,customers!$I$1:$I$1001,,0)</f>
        <v>Yes</v>
      </c>
    </row>
    <row r="794" spans="1:20"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INDEX(products!$A$1:$I$49,MATCH(orders!$D794,products!$A$1:$A$49,0),MATCH(orders!I$1,products!$A$1:$D$1,0))</f>
        <v>Lib</v>
      </c>
      <c r="J794" t="str">
        <f t="shared" si="72"/>
        <v>Liberica</v>
      </c>
      <c r="K794" t="str">
        <f>INDEX(products!$A$1:$I$49,MATCH(orders!$D794,products!$A$1:$A$49,0),MATCH(orders!K$1,products!$A$1:$D$1,0))</f>
        <v>M</v>
      </c>
      <c r="L794" t="str">
        <f t="shared" si="73"/>
        <v>Medium</v>
      </c>
      <c r="M794">
        <f>INDEX(products!$A$1:$I$49,MATCH(orders!$D794,products!$A$1:$A$49,0),MATCH(orders!M$1,products!$A$1:$D$1,0))</f>
        <v>0.5</v>
      </c>
      <c r="N794">
        <f>_xlfn.XLOOKUP(D794,products!$A$2:$A$49,products!$E$2:$E$49)</f>
        <v>8.73</v>
      </c>
      <c r="O794">
        <f>_xlfn.XLOOKUP(D794,products!$A$2:$A$49,products!$H$2:$H$49)</f>
        <v>7.5951000000000004</v>
      </c>
      <c r="P794">
        <f t="shared" si="74"/>
        <v>52.38</v>
      </c>
      <c r="Q794">
        <f t="shared" si="75"/>
        <v>45.570599999999999</v>
      </c>
      <c r="R794">
        <f t="shared" si="76"/>
        <v>6.8094000000000037</v>
      </c>
      <c r="S794" s="4">
        <f t="shared" si="77"/>
        <v>0.13000000000000006</v>
      </c>
      <c r="T794" t="str">
        <f>_xlfn.XLOOKUP(C794,customers!$A$1:$A$1001,customers!$I$1:$I$1001,,0)</f>
        <v>Yes</v>
      </c>
    </row>
    <row r="795" spans="1:20"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INDEX(products!$A$1:$I$49,MATCH(orders!$D795,products!$A$1:$A$49,0),MATCH(orders!I$1,products!$A$1:$D$1,0))</f>
        <v>Rob</v>
      </c>
      <c r="J795" t="str">
        <f t="shared" si="72"/>
        <v>Robusta</v>
      </c>
      <c r="K795" t="str">
        <f>INDEX(products!$A$1:$I$49,MATCH(orders!$D795,products!$A$1:$A$49,0),MATCH(orders!K$1,products!$A$1:$D$1,0))</f>
        <v>L</v>
      </c>
      <c r="L795" t="str">
        <f t="shared" si="73"/>
        <v>Light</v>
      </c>
      <c r="M795">
        <f>INDEX(products!$A$1:$I$49,MATCH(orders!$D795,products!$A$1:$A$49,0),MATCH(orders!M$1,products!$A$1:$D$1,0))</f>
        <v>0.2</v>
      </c>
      <c r="N795">
        <f>_xlfn.XLOOKUP(D795,products!$A$2:$A$49,products!$E$2:$E$49)</f>
        <v>3.5849999999999995</v>
      </c>
      <c r="O795">
        <f>_xlfn.XLOOKUP(D795,products!$A$2:$A$49,products!$H$2:$H$49)</f>
        <v>3.3698999999999995</v>
      </c>
      <c r="P795">
        <f t="shared" si="74"/>
        <v>17.924999999999997</v>
      </c>
      <c r="Q795">
        <f t="shared" si="75"/>
        <v>16.849499999999999</v>
      </c>
      <c r="R795">
        <f t="shared" si="76"/>
        <v>1.0754999999999981</v>
      </c>
      <c r="S795" s="4">
        <f t="shared" si="77"/>
        <v>5.9999999999999908E-2</v>
      </c>
      <c r="T795" t="str">
        <f>_xlfn.XLOOKUP(C795,customers!$A$1:$A$1001,customers!$I$1:$I$1001,,0)</f>
        <v>No</v>
      </c>
    </row>
    <row r="796" spans="1:20"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INDEX(products!$A$1:$I$49,MATCH(orders!$D796,products!$A$1:$A$49,0),MATCH(orders!I$1,products!$A$1:$D$1,0))</f>
        <v>Ara</v>
      </c>
      <c r="J796" t="str">
        <f t="shared" si="72"/>
        <v>Arabica</v>
      </c>
      <c r="K796" t="str">
        <f>INDEX(products!$A$1:$I$49,MATCH(orders!$D796,products!$A$1:$A$49,0),MATCH(orders!K$1,products!$A$1:$D$1,0))</f>
        <v>L</v>
      </c>
      <c r="L796" t="str">
        <f t="shared" si="73"/>
        <v>Light</v>
      </c>
      <c r="M796">
        <f>INDEX(products!$A$1:$I$49,MATCH(orders!$D796,products!$A$1:$A$49,0),MATCH(orders!M$1,products!$A$1:$D$1,0))</f>
        <v>2.5</v>
      </c>
      <c r="N796">
        <f>_xlfn.XLOOKUP(D796,products!$A$2:$A$49,products!$E$2:$E$49)</f>
        <v>29.784999999999997</v>
      </c>
      <c r="O796">
        <f>_xlfn.XLOOKUP(D796,products!$A$2:$A$49,products!$H$2:$H$49)</f>
        <v>27.104349999999997</v>
      </c>
      <c r="P796">
        <f t="shared" si="74"/>
        <v>148.92499999999998</v>
      </c>
      <c r="Q796">
        <f t="shared" si="75"/>
        <v>135.52175</v>
      </c>
      <c r="R796">
        <f t="shared" si="76"/>
        <v>13.403249999999986</v>
      </c>
      <c r="S796" s="4">
        <f t="shared" si="77"/>
        <v>8.9999999999999913E-2</v>
      </c>
      <c r="T796" t="str">
        <f>_xlfn.XLOOKUP(C796,customers!$A$1:$A$1001,customers!$I$1:$I$1001,,0)</f>
        <v>No</v>
      </c>
    </row>
    <row r="797" spans="1:20"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INDEX(products!$A$1:$I$49,MATCH(orders!$D797,products!$A$1:$A$49,0),MATCH(orders!I$1,products!$A$1:$D$1,0))</f>
        <v>Rob</v>
      </c>
      <c r="J797" t="str">
        <f t="shared" si="72"/>
        <v>Robusta</v>
      </c>
      <c r="K797" t="str">
        <f>INDEX(products!$A$1:$I$49,MATCH(orders!$D797,products!$A$1:$A$49,0),MATCH(orders!K$1,products!$A$1:$D$1,0))</f>
        <v>L</v>
      </c>
      <c r="L797" t="str">
        <f t="shared" si="73"/>
        <v>Light</v>
      </c>
      <c r="M797">
        <f>INDEX(products!$A$1:$I$49,MATCH(orders!$D797,products!$A$1:$A$49,0),MATCH(orders!M$1,products!$A$1:$D$1,0))</f>
        <v>0.5</v>
      </c>
      <c r="N797">
        <f>_xlfn.XLOOKUP(D797,products!$A$2:$A$49,products!$E$2:$E$49)</f>
        <v>7.169999999999999</v>
      </c>
      <c r="O797">
        <f>_xlfn.XLOOKUP(D797,products!$A$2:$A$49,products!$H$2:$H$49)</f>
        <v>6.7397999999999989</v>
      </c>
      <c r="P797">
        <f t="shared" si="74"/>
        <v>28.679999999999996</v>
      </c>
      <c r="Q797">
        <f t="shared" si="75"/>
        <v>26.959199999999996</v>
      </c>
      <c r="R797">
        <f t="shared" si="76"/>
        <v>1.7208000000000006</v>
      </c>
      <c r="S797" s="4">
        <f t="shared" si="77"/>
        <v>6.0000000000000026E-2</v>
      </c>
      <c r="T797" t="str">
        <f>_xlfn.XLOOKUP(C797,customers!$A$1:$A$1001,customers!$I$1:$I$1001,,0)</f>
        <v>No</v>
      </c>
    </row>
    <row r="798" spans="1:20"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v>
      </c>
      <c r="H798" s="2" t="str">
        <f>_xlfn.XLOOKUP(C798,customers!$A$1:$A$1001,customers!$G$1:$G$1001,,0)</f>
        <v>United States</v>
      </c>
      <c r="I798" t="str">
        <f>INDEX(products!$A$1:$I$49,MATCH(orders!$D798,products!$A$1:$A$49,0),MATCH(orders!I$1,products!$A$1:$D$1,0))</f>
        <v>Lib</v>
      </c>
      <c r="J798" t="str">
        <f t="shared" si="72"/>
        <v>Liberica</v>
      </c>
      <c r="K798" t="str">
        <f>INDEX(products!$A$1:$I$49,MATCH(orders!$D798,products!$A$1:$A$49,0),MATCH(orders!K$1,products!$A$1:$D$1,0))</f>
        <v>L</v>
      </c>
      <c r="L798" t="str">
        <f t="shared" si="73"/>
        <v>Light</v>
      </c>
      <c r="M798">
        <f>INDEX(products!$A$1:$I$49,MATCH(orders!$D798,products!$A$1:$A$49,0),MATCH(orders!M$1,products!$A$1:$D$1,0))</f>
        <v>0.5</v>
      </c>
      <c r="N798">
        <f>_xlfn.XLOOKUP(D798,products!$A$2:$A$49,products!$E$2:$E$49)</f>
        <v>9.51</v>
      </c>
      <c r="O798">
        <f>_xlfn.XLOOKUP(D798,products!$A$2:$A$49,products!$H$2:$H$49)</f>
        <v>8.2736999999999998</v>
      </c>
      <c r="P798">
        <f t="shared" si="74"/>
        <v>9.51</v>
      </c>
      <c r="Q798">
        <f t="shared" si="75"/>
        <v>8.2736999999999998</v>
      </c>
      <c r="R798">
        <f t="shared" si="76"/>
        <v>1.2363</v>
      </c>
      <c r="S798" s="4">
        <f t="shared" si="77"/>
        <v>0.13</v>
      </c>
      <c r="T798" t="str">
        <f>_xlfn.XLOOKUP(C798,customers!$A$1:$A$1001,customers!$I$1:$I$1001,,0)</f>
        <v>No</v>
      </c>
    </row>
    <row r="799" spans="1:20"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INDEX(products!$A$1:$I$49,MATCH(orders!$D799,products!$A$1:$A$49,0),MATCH(orders!I$1,products!$A$1:$D$1,0))</f>
        <v>Ara</v>
      </c>
      <c r="J799" t="str">
        <f t="shared" si="72"/>
        <v>Arabica</v>
      </c>
      <c r="K799" t="str">
        <f>INDEX(products!$A$1:$I$49,MATCH(orders!$D799,products!$A$1:$A$49,0),MATCH(orders!K$1,products!$A$1:$D$1,0))</f>
        <v>L</v>
      </c>
      <c r="L799" t="str">
        <f t="shared" si="73"/>
        <v>Light</v>
      </c>
      <c r="M799">
        <f>INDEX(products!$A$1:$I$49,MATCH(orders!$D799,products!$A$1:$A$49,0),MATCH(orders!M$1,products!$A$1:$D$1,0))</f>
        <v>0.5</v>
      </c>
      <c r="N799">
        <f>_xlfn.XLOOKUP(D799,products!$A$2:$A$49,products!$E$2:$E$49)</f>
        <v>7.77</v>
      </c>
      <c r="O799">
        <f>_xlfn.XLOOKUP(D799,products!$A$2:$A$49,products!$H$2:$H$49)</f>
        <v>7.0706999999999995</v>
      </c>
      <c r="P799">
        <f t="shared" si="74"/>
        <v>31.08</v>
      </c>
      <c r="Q799">
        <f t="shared" si="75"/>
        <v>28.282799999999998</v>
      </c>
      <c r="R799">
        <f t="shared" si="76"/>
        <v>2.7972000000000001</v>
      </c>
      <c r="S799" s="4">
        <f t="shared" si="77"/>
        <v>9.0000000000000011E-2</v>
      </c>
      <c r="T799" t="str">
        <f>_xlfn.XLOOKUP(C799,customers!$A$1:$A$1001,customers!$I$1:$I$1001,,0)</f>
        <v>No</v>
      </c>
    </row>
    <row r="800" spans="1:20"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INDEX(products!$A$1:$I$49,MATCH(orders!$D800,products!$A$1:$A$49,0),MATCH(orders!I$1,products!$A$1:$D$1,0))</f>
        <v>Rob</v>
      </c>
      <c r="J800" t="str">
        <f t="shared" si="72"/>
        <v>Robusta</v>
      </c>
      <c r="K800" t="str">
        <f>INDEX(products!$A$1:$I$49,MATCH(orders!$D800,products!$A$1:$A$49,0),MATCH(orders!K$1,products!$A$1:$D$1,0))</f>
        <v>D</v>
      </c>
      <c r="L800" t="str">
        <f t="shared" si="73"/>
        <v>Dark</v>
      </c>
      <c r="M800">
        <f>INDEX(products!$A$1:$I$49,MATCH(orders!$D800,products!$A$1:$A$49,0),MATCH(orders!M$1,products!$A$1:$D$1,0))</f>
        <v>0.2</v>
      </c>
      <c r="N800">
        <f>_xlfn.XLOOKUP(D800,products!$A$2:$A$49,products!$E$2:$E$49)</f>
        <v>2.6849999999999996</v>
      </c>
      <c r="O800">
        <f>_xlfn.XLOOKUP(D800,products!$A$2:$A$49,products!$H$2:$H$49)</f>
        <v>2.5238999999999998</v>
      </c>
      <c r="P800">
        <f t="shared" si="74"/>
        <v>8.0549999999999997</v>
      </c>
      <c r="Q800">
        <f t="shared" si="75"/>
        <v>7.5716999999999999</v>
      </c>
      <c r="R800">
        <f t="shared" si="76"/>
        <v>0.48329999999999984</v>
      </c>
      <c r="S800" s="4">
        <f t="shared" si="77"/>
        <v>5.9999999999999984E-2</v>
      </c>
      <c r="T800" t="str">
        <f>_xlfn.XLOOKUP(C800,customers!$A$1:$A$1001,customers!$I$1:$I$1001,,0)</f>
        <v>Yes</v>
      </c>
    </row>
    <row r="801" spans="1:20"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v>
      </c>
      <c r="H801" s="2" t="str">
        <f>_xlfn.XLOOKUP(C801,customers!$A$1:$A$1001,customers!$G$1:$G$1001,,0)</f>
        <v>United States</v>
      </c>
      <c r="I801" t="str">
        <f>INDEX(products!$A$1:$I$49,MATCH(orders!$D801,products!$A$1:$A$49,0),MATCH(orders!I$1,products!$A$1:$D$1,0))</f>
        <v>Exc</v>
      </c>
      <c r="J801" t="str">
        <f t="shared" si="72"/>
        <v>Excelsa</v>
      </c>
      <c r="K801" t="str">
        <f>INDEX(products!$A$1:$I$49,MATCH(orders!$D801,products!$A$1:$A$49,0),MATCH(orders!K$1,products!$A$1:$D$1,0))</f>
        <v>D</v>
      </c>
      <c r="L801" t="str">
        <f t="shared" si="73"/>
        <v>Dark</v>
      </c>
      <c r="M801">
        <f>INDEX(products!$A$1:$I$49,MATCH(orders!$D801,products!$A$1:$A$49,0),MATCH(orders!M$1,products!$A$1:$D$1,0))</f>
        <v>1</v>
      </c>
      <c r="N801">
        <f>_xlfn.XLOOKUP(D801,products!$A$2:$A$49,products!$E$2:$E$49)</f>
        <v>12.15</v>
      </c>
      <c r="O801">
        <f>_xlfn.XLOOKUP(D801,products!$A$2:$A$49,products!$H$2:$H$49)</f>
        <v>10.813500000000001</v>
      </c>
      <c r="P801">
        <f t="shared" si="74"/>
        <v>36.450000000000003</v>
      </c>
      <c r="Q801">
        <f t="shared" si="75"/>
        <v>32.4405</v>
      </c>
      <c r="R801">
        <f t="shared" si="76"/>
        <v>4.0095000000000027</v>
      </c>
      <c r="S801" s="4">
        <f t="shared" si="77"/>
        <v>0.11000000000000007</v>
      </c>
      <c r="T801" t="str">
        <f>_xlfn.XLOOKUP(C801,customers!$A$1:$A$1001,customers!$I$1:$I$1001,,0)</f>
        <v>Yes</v>
      </c>
    </row>
    <row r="802" spans="1:20"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INDEX(products!$A$1:$I$49,MATCH(orders!$D802,products!$A$1:$A$49,0),MATCH(orders!I$1,products!$A$1:$D$1,0))</f>
        <v>Rob</v>
      </c>
      <c r="J802" t="str">
        <f t="shared" si="72"/>
        <v>Robusta</v>
      </c>
      <c r="K802" t="str">
        <f>INDEX(products!$A$1:$I$49,MATCH(orders!$D802,products!$A$1:$A$49,0),MATCH(orders!K$1,products!$A$1:$D$1,0))</f>
        <v>D</v>
      </c>
      <c r="L802" t="str">
        <f t="shared" si="73"/>
        <v>Dark</v>
      </c>
      <c r="M802">
        <f>INDEX(products!$A$1:$I$49,MATCH(orders!$D802,products!$A$1:$A$49,0),MATCH(orders!M$1,products!$A$1:$D$1,0))</f>
        <v>0.2</v>
      </c>
      <c r="N802">
        <f>_xlfn.XLOOKUP(D802,products!$A$2:$A$49,products!$E$2:$E$49)</f>
        <v>2.6849999999999996</v>
      </c>
      <c r="O802">
        <f>_xlfn.XLOOKUP(D802,products!$A$2:$A$49,products!$H$2:$H$49)</f>
        <v>2.5238999999999998</v>
      </c>
      <c r="P802">
        <f t="shared" si="74"/>
        <v>16.11</v>
      </c>
      <c r="Q802">
        <f t="shared" si="75"/>
        <v>15.1434</v>
      </c>
      <c r="R802">
        <f t="shared" si="76"/>
        <v>0.96659999999999968</v>
      </c>
      <c r="S802" s="4">
        <f t="shared" si="77"/>
        <v>5.9999999999999984E-2</v>
      </c>
      <c r="T802" t="str">
        <f>_xlfn.XLOOKUP(C802,customers!$A$1:$A$1001,customers!$I$1:$I$1001,,0)</f>
        <v>No</v>
      </c>
    </row>
    <row r="803" spans="1:20"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INDEX(products!$A$1:$I$49,MATCH(orders!$D803,products!$A$1:$A$49,0),MATCH(orders!I$1,products!$A$1:$D$1,0))</f>
        <v>Rob</v>
      </c>
      <c r="J803" t="str">
        <f t="shared" si="72"/>
        <v>Robusta</v>
      </c>
      <c r="K803" t="str">
        <f>INDEX(products!$A$1:$I$49,MATCH(orders!$D803,products!$A$1:$A$49,0),MATCH(orders!K$1,products!$A$1:$D$1,0))</f>
        <v>D</v>
      </c>
      <c r="L803" t="str">
        <f t="shared" si="73"/>
        <v>Dark</v>
      </c>
      <c r="M803">
        <f>INDEX(products!$A$1:$I$49,MATCH(orders!$D803,products!$A$1:$A$49,0),MATCH(orders!M$1,products!$A$1:$D$1,0))</f>
        <v>2.5</v>
      </c>
      <c r="N803">
        <f>_xlfn.XLOOKUP(D803,products!$A$2:$A$49,products!$E$2:$E$49)</f>
        <v>20.584999999999997</v>
      </c>
      <c r="O803">
        <f>_xlfn.XLOOKUP(D803,products!$A$2:$A$49,products!$H$2:$H$49)</f>
        <v>19.349899999999998</v>
      </c>
      <c r="P803">
        <f t="shared" si="74"/>
        <v>41.169999999999995</v>
      </c>
      <c r="Q803">
        <f t="shared" si="75"/>
        <v>38.699799999999996</v>
      </c>
      <c r="R803">
        <f t="shared" si="76"/>
        <v>2.4701999999999984</v>
      </c>
      <c r="S803" s="4">
        <f t="shared" si="77"/>
        <v>5.999999999999997E-2</v>
      </c>
      <c r="T803" t="str">
        <f>_xlfn.XLOOKUP(C803,customers!$A$1:$A$1001,customers!$I$1:$I$1001,,0)</f>
        <v>Yes</v>
      </c>
    </row>
    <row r="804" spans="1:20"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INDEX(products!$A$1:$I$49,MATCH(orders!$D804,products!$A$1:$A$49,0),MATCH(orders!I$1,products!$A$1:$D$1,0))</f>
        <v>Rob</v>
      </c>
      <c r="J804" t="str">
        <f t="shared" si="72"/>
        <v>Robusta</v>
      </c>
      <c r="K804" t="str">
        <f>INDEX(products!$A$1:$I$49,MATCH(orders!$D804,products!$A$1:$A$49,0),MATCH(orders!K$1,products!$A$1:$D$1,0))</f>
        <v>D</v>
      </c>
      <c r="L804" t="str">
        <f t="shared" si="73"/>
        <v>Dark</v>
      </c>
      <c r="M804">
        <f>INDEX(products!$A$1:$I$49,MATCH(orders!$D804,products!$A$1:$A$49,0),MATCH(orders!M$1,products!$A$1:$D$1,0))</f>
        <v>0.2</v>
      </c>
      <c r="N804">
        <f>_xlfn.XLOOKUP(D804,products!$A$2:$A$49,products!$E$2:$E$49)</f>
        <v>2.6849999999999996</v>
      </c>
      <c r="O804">
        <f>_xlfn.XLOOKUP(D804,products!$A$2:$A$49,products!$H$2:$H$49)</f>
        <v>2.5238999999999998</v>
      </c>
      <c r="P804">
        <f t="shared" si="74"/>
        <v>10.739999999999998</v>
      </c>
      <c r="Q804">
        <f t="shared" si="75"/>
        <v>10.095599999999999</v>
      </c>
      <c r="R804">
        <f t="shared" si="76"/>
        <v>0.6443999999999992</v>
      </c>
      <c r="S804" s="4">
        <f t="shared" si="77"/>
        <v>5.9999999999999935E-2</v>
      </c>
      <c r="T804" t="str">
        <f>_xlfn.XLOOKUP(C804,customers!$A$1:$A$1001,customers!$I$1:$I$1001,,0)</f>
        <v>No</v>
      </c>
    </row>
    <row r="805" spans="1:20"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INDEX(products!$A$1:$I$49,MATCH(orders!$D805,products!$A$1:$A$49,0),MATCH(orders!I$1,products!$A$1:$D$1,0))</f>
        <v>Exc</v>
      </c>
      <c r="J805" t="str">
        <f t="shared" si="72"/>
        <v>Excelsa</v>
      </c>
      <c r="K805" t="str">
        <f>INDEX(products!$A$1:$I$49,MATCH(orders!$D805,products!$A$1:$A$49,0),MATCH(orders!K$1,products!$A$1:$D$1,0))</f>
        <v>M</v>
      </c>
      <c r="L805" t="str">
        <f t="shared" si="73"/>
        <v>Medium</v>
      </c>
      <c r="M805">
        <f>INDEX(products!$A$1:$I$49,MATCH(orders!$D805,products!$A$1:$A$49,0),MATCH(orders!M$1,products!$A$1:$D$1,0))</f>
        <v>2.5</v>
      </c>
      <c r="N805">
        <f>_xlfn.XLOOKUP(D805,products!$A$2:$A$49,products!$E$2:$E$49)</f>
        <v>31.624999999999996</v>
      </c>
      <c r="O805">
        <f>_xlfn.XLOOKUP(D805,products!$A$2:$A$49,products!$H$2:$H$49)</f>
        <v>28.146249999999995</v>
      </c>
      <c r="P805">
        <f t="shared" si="74"/>
        <v>126.49999999999999</v>
      </c>
      <c r="Q805">
        <f t="shared" si="75"/>
        <v>112.58499999999998</v>
      </c>
      <c r="R805">
        <f t="shared" si="76"/>
        <v>13.915000000000006</v>
      </c>
      <c r="S805" s="4">
        <f t="shared" si="77"/>
        <v>0.11000000000000006</v>
      </c>
      <c r="T805" t="str">
        <f>_xlfn.XLOOKUP(C805,customers!$A$1:$A$1001,customers!$I$1:$I$1001,,0)</f>
        <v>No</v>
      </c>
    </row>
    <row r="806" spans="1:20"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v>
      </c>
      <c r="H806" s="2" t="str">
        <f>_xlfn.XLOOKUP(C806,customers!$A$1:$A$1001,customers!$G$1:$G$1001,,0)</f>
        <v>United Kingdom</v>
      </c>
      <c r="I806" t="str">
        <f>INDEX(products!$A$1:$I$49,MATCH(orders!$D806,products!$A$1:$A$49,0),MATCH(orders!I$1,products!$A$1:$D$1,0))</f>
        <v>Rob</v>
      </c>
      <c r="J806" t="str">
        <f t="shared" si="72"/>
        <v>Robusta</v>
      </c>
      <c r="K806" t="str">
        <f>INDEX(products!$A$1:$I$49,MATCH(orders!$D806,products!$A$1:$A$49,0),MATCH(orders!K$1,products!$A$1:$D$1,0))</f>
        <v>L</v>
      </c>
      <c r="L806" t="str">
        <f t="shared" si="73"/>
        <v>Light</v>
      </c>
      <c r="M806">
        <f>INDEX(products!$A$1:$I$49,MATCH(orders!$D806,products!$A$1:$A$49,0),MATCH(orders!M$1,products!$A$1:$D$1,0))</f>
        <v>1</v>
      </c>
      <c r="N806">
        <f>_xlfn.XLOOKUP(D806,products!$A$2:$A$49,products!$E$2:$E$49)</f>
        <v>11.95</v>
      </c>
      <c r="O806">
        <f>_xlfn.XLOOKUP(D806,products!$A$2:$A$49,products!$H$2:$H$49)</f>
        <v>11.232999999999999</v>
      </c>
      <c r="P806">
        <f t="shared" si="74"/>
        <v>23.9</v>
      </c>
      <c r="Q806">
        <f t="shared" si="75"/>
        <v>22.465999999999998</v>
      </c>
      <c r="R806">
        <f t="shared" si="76"/>
        <v>1.4340000000000011</v>
      </c>
      <c r="S806" s="4">
        <f t="shared" si="77"/>
        <v>6.0000000000000046E-2</v>
      </c>
      <c r="T806" t="str">
        <f>_xlfn.XLOOKUP(C806,customers!$A$1:$A$1001,customers!$I$1:$I$1001,,0)</f>
        <v>No</v>
      </c>
    </row>
    <row r="807" spans="1:20"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v>
      </c>
      <c r="H807" s="2" t="str">
        <f>_xlfn.XLOOKUP(C807,customers!$A$1:$A$1001,customers!$G$1:$G$1001,,0)</f>
        <v>United States</v>
      </c>
      <c r="I807" t="str">
        <f>INDEX(products!$A$1:$I$49,MATCH(orders!$D807,products!$A$1:$A$49,0),MATCH(orders!I$1,products!$A$1:$D$1,0))</f>
        <v>Rob</v>
      </c>
      <c r="J807" t="str">
        <f t="shared" si="72"/>
        <v>Robusta</v>
      </c>
      <c r="K807" t="str">
        <f>INDEX(products!$A$1:$I$49,MATCH(orders!$D807,products!$A$1:$A$49,0),MATCH(orders!K$1,products!$A$1:$D$1,0))</f>
        <v>M</v>
      </c>
      <c r="L807" t="str">
        <f t="shared" si="73"/>
        <v>Medium</v>
      </c>
      <c r="M807">
        <f>INDEX(products!$A$1:$I$49,MATCH(orders!$D807,products!$A$1:$A$49,0),MATCH(orders!M$1,products!$A$1:$D$1,0))</f>
        <v>0.5</v>
      </c>
      <c r="N807">
        <f>_xlfn.XLOOKUP(D807,products!$A$2:$A$49,products!$E$2:$E$49)</f>
        <v>5.97</v>
      </c>
      <c r="O807">
        <f>_xlfn.XLOOKUP(D807,products!$A$2:$A$49,products!$H$2:$H$49)</f>
        <v>5.6117999999999997</v>
      </c>
      <c r="P807">
        <f t="shared" si="74"/>
        <v>5.97</v>
      </c>
      <c r="Q807">
        <f t="shared" si="75"/>
        <v>5.6117999999999997</v>
      </c>
      <c r="R807">
        <f t="shared" si="76"/>
        <v>0.35820000000000007</v>
      </c>
      <c r="S807" s="4">
        <f t="shared" si="77"/>
        <v>6.0000000000000012E-2</v>
      </c>
      <c r="T807" t="str">
        <f>_xlfn.XLOOKUP(C807,customers!$A$1:$A$1001,customers!$I$1:$I$1001,,0)</f>
        <v>No</v>
      </c>
    </row>
    <row r="808" spans="1:20"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v>
      </c>
      <c r="H808" s="2" t="str">
        <f>_xlfn.XLOOKUP(C808,customers!$A$1:$A$1001,customers!$G$1:$G$1001,,0)</f>
        <v>United Kingdom</v>
      </c>
      <c r="I808" t="str">
        <f>INDEX(products!$A$1:$I$49,MATCH(orders!$D808,products!$A$1:$A$49,0),MATCH(orders!I$1,products!$A$1:$D$1,0))</f>
        <v>Lib</v>
      </c>
      <c r="J808" t="str">
        <f t="shared" si="72"/>
        <v>Liberica</v>
      </c>
      <c r="K808" t="str">
        <f>INDEX(products!$A$1:$I$49,MATCH(orders!$D808,products!$A$1:$A$49,0),MATCH(orders!K$1,products!$A$1:$D$1,0))</f>
        <v>D</v>
      </c>
      <c r="L808" t="str">
        <f t="shared" si="73"/>
        <v>Dark</v>
      </c>
      <c r="M808">
        <f>INDEX(products!$A$1:$I$49,MATCH(orders!$D808,products!$A$1:$A$49,0),MATCH(orders!M$1,products!$A$1:$D$1,0))</f>
        <v>0.2</v>
      </c>
      <c r="N808">
        <f>_xlfn.XLOOKUP(D808,products!$A$2:$A$49,products!$E$2:$E$49)</f>
        <v>3.8849999999999998</v>
      </c>
      <c r="O808">
        <f>_xlfn.XLOOKUP(D808,products!$A$2:$A$49,products!$H$2:$H$49)</f>
        <v>3.37995</v>
      </c>
      <c r="P808">
        <f t="shared" si="74"/>
        <v>7.77</v>
      </c>
      <c r="Q808">
        <f t="shared" si="75"/>
        <v>6.7599</v>
      </c>
      <c r="R808">
        <f t="shared" si="76"/>
        <v>1.0100999999999996</v>
      </c>
      <c r="S808" s="4">
        <f t="shared" si="77"/>
        <v>0.12999999999999995</v>
      </c>
      <c r="T808" t="str">
        <f>_xlfn.XLOOKUP(C808,customers!$A$1:$A$1001,customers!$I$1:$I$1001,,0)</f>
        <v>Yes</v>
      </c>
    </row>
    <row r="809" spans="1:20"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INDEX(products!$A$1:$I$49,MATCH(orders!$D809,products!$A$1:$A$49,0),MATCH(orders!I$1,products!$A$1:$D$1,0))</f>
        <v>Lib</v>
      </c>
      <c r="J809" t="str">
        <f t="shared" si="72"/>
        <v>Liberica</v>
      </c>
      <c r="K809" t="str">
        <f>INDEX(products!$A$1:$I$49,MATCH(orders!$D809,products!$A$1:$A$49,0),MATCH(orders!K$1,products!$A$1:$D$1,0))</f>
        <v>D</v>
      </c>
      <c r="L809" t="str">
        <f t="shared" si="73"/>
        <v>Dark</v>
      </c>
      <c r="M809">
        <f>INDEX(products!$A$1:$I$49,MATCH(orders!$D809,products!$A$1:$A$49,0),MATCH(orders!M$1,products!$A$1:$D$1,0))</f>
        <v>0.5</v>
      </c>
      <c r="N809">
        <f>_xlfn.XLOOKUP(D809,products!$A$2:$A$49,products!$E$2:$E$49)</f>
        <v>7.77</v>
      </c>
      <c r="O809">
        <f>_xlfn.XLOOKUP(D809,products!$A$2:$A$49,products!$H$2:$H$49)</f>
        <v>6.7599</v>
      </c>
      <c r="P809">
        <f t="shared" si="74"/>
        <v>23.31</v>
      </c>
      <c r="Q809">
        <f t="shared" si="75"/>
        <v>20.279699999999998</v>
      </c>
      <c r="R809">
        <f t="shared" si="76"/>
        <v>3.0303000000000004</v>
      </c>
      <c r="S809" s="4">
        <f t="shared" si="77"/>
        <v>0.13000000000000003</v>
      </c>
      <c r="T809" t="str">
        <f>_xlfn.XLOOKUP(C809,customers!$A$1:$A$1001,customers!$I$1:$I$1001,,0)</f>
        <v>No</v>
      </c>
    </row>
    <row r="810" spans="1:20"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v>
      </c>
      <c r="H810" s="2" t="str">
        <f>_xlfn.XLOOKUP(C810,customers!$A$1:$A$1001,customers!$G$1:$G$1001,,0)</f>
        <v>United States</v>
      </c>
      <c r="I810" t="str">
        <f>INDEX(products!$A$1:$I$49,MATCH(orders!$D810,products!$A$1:$A$49,0),MATCH(orders!I$1,products!$A$1:$D$1,0))</f>
        <v>Rob</v>
      </c>
      <c r="J810" t="str">
        <f t="shared" si="72"/>
        <v>Robusta</v>
      </c>
      <c r="K810" t="str">
        <f>INDEX(products!$A$1:$I$49,MATCH(orders!$D810,products!$A$1:$A$49,0),MATCH(orders!K$1,products!$A$1:$D$1,0))</f>
        <v>L</v>
      </c>
      <c r="L810" t="str">
        <f t="shared" si="73"/>
        <v>Light</v>
      </c>
      <c r="M810">
        <f>INDEX(products!$A$1:$I$49,MATCH(orders!$D810,products!$A$1:$A$49,0),MATCH(orders!M$1,products!$A$1:$D$1,0))</f>
        <v>2.5</v>
      </c>
      <c r="N810">
        <f>_xlfn.XLOOKUP(D810,products!$A$2:$A$49,products!$E$2:$E$49)</f>
        <v>27.484999999999996</v>
      </c>
      <c r="O810">
        <f>_xlfn.XLOOKUP(D810,products!$A$2:$A$49,products!$H$2:$H$49)</f>
        <v>25.835899999999995</v>
      </c>
      <c r="P810">
        <f t="shared" si="74"/>
        <v>137.42499999999998</v>
      </c>
      <c r="Q810">
        <f t="shared" si="75"/>
        <v>129.17949999999996</v>
      </c>
      <c r="R810">
        <f t="shared" si="76"/>
        <v>8.2455000000000211</v>
      </c>
      <c r="S810" s="4">
        <f t="shared" si="77"/>
        <v>6.0000000000000164E-2</v>
      </c>
      <c r="T810" t="str">
        <f>_xlfn.XLOOKUP(C810,customers!$A$1:$A$1001,customers!$I$1:$I$1001,,0)</f>
        <v>No</v>
      </c>
    </row>
    <row r="811" spans="1:20"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v>
      </c>
      <c r="H811" s="2" t="str">
        <f>_xlfn.XLOOKUP(C811,customers!$A$1:$A$1001,customers!$G$1:$G$1001,,0)</f>
        <v>United States</v>
      </c>
      <c r="I811" t="str">
        <f>INDEX(products!$A$1:$I$49,MATCH(orders!$D811,products!$A$1:$A$49,0),MATCH(orders!I$1,products!$A$1:$D$1,0))</f>
        <v>Rob</v>
      </c>
      <c r="J811" t="str">
        <f t="shared" si="72"/>
        <v>Robusta</v>
      </c>
      <c r="K811" t="str">
        <f>INDEX(products!$A$1:$I$49,MATCH(orders!$D811,products!$A$1:$A$49,0),MATCH(orders!K$1,products!$A$1:$D$1,0))</f>
        <v>D</v>
      </c>
      <c r="L811" t="str">
        <f t="shared" si="73"/>
        <v>Dark</v>
      </c>
      <c r="M811">
        <f>INDEX(products!$A$1:$I$49,MATCH(orders!$D811,products!$A$1:$A$49,0),MATCH(orders!M$1,products!$A$1:$D$1,0))</f>
        <v>0.2</v>
      </c>
      <c r="N811">
        <f>_xlfn.XLOOKUP(D811,products!$A$2:$A$49,products!$E$2:$E$49)</f>
        <v>2.6849999999999996</v>
      </c>
      <c r="O811">
        <f>_xlfn.XLOOKUP(D811,products!$A$2:$A$49,products!$H$2:$H$49)</f>
        <v>2.5238999999999998</v>
      </c>
      <c r="P811">
        <f t="shared" si="74"/>
        <v>8.0549999999999997</v>
      </c>
      <c r="Q811">
        <f t="shared" si="75"/>
        <v>7.5716999999999999</v>
      </c>
      <c r="R811">
        <f t="shared" si="76"/>
        <v>0.48329999999999984</v>
      </c>
      <c r="S811" s="4">
        <f t="shared" si="77"/>
        <v>5.9999999999999984E-2</v>
      </c>
      <c r="T811" t="str">
        <f>_xlfn.XLOOKUP(C811,customers!$A$1:$A$1001,customers!$I$1:$I$1001,,0)</f>
        <v>Yes</v>
      </c>
    </row>
    <row r="812" spans="1:20"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INDEX(products!$A$1:$I$49,MATCH(orders!$D812,products!$A$1:$A$49,0),MATCH(orders!I$1,products!$A$1:$D$1,0))</f>
        <v>Lib</v>
      </c>
      <c r="J812" t="str">
        <f t="shared" si="72"/>
        <v>Liberica</v>
      </c>
      <c r="K812" t="str">
        <f>INDEX(products!$A$1:$I$49,MATCH(orders!$D812,products!$A$1:$A$49,0),MATCH(orders!K$1,products!$A$1:$D$1,0))</f>
        <v>L</v>
      </c>
      <c r="L812" t="str">
        <f t="shared" si="73"/>
        <v>Light</v>
      </c>
      <c r="M812">
        <f>INDEX(products!$A$1:$I$49,MATCH(orders!$D812,products!$A$1:$A$49,0),MATCH(orders!M$1,products!$A$1:$D$1,0))</f>
        <v>0.5</v>
      </c>
      <c r="N812">
        <f>_xlfn.XLOOKUP(D812,products!$A$2:$A$49,products!$E$2:$E$49)</f>
        <v>9.51</v>
      </c>
      <c r="O812">
        <f>_xlfn.XLOOKUP(D812,products!$A$2:$A$49,products!$H$2:$H$49)</f>
        <v>8.2736999999999998</v>
      </c>
      <c r="P812">
        <f t="shared" si="74"/>
        <v>28.53</v>
      </c>
      <c r="Q812">
        <f t="shared" si="75"/>
        <v>24.821100000000001</v>
      </c>
      <c r="R812">
        <f t="shared" si="76"/>
        <v>3.7088999999999999</v>
      </c>
      <c r="S812" s="4">
        <f t="shared" si="77"/>
        <v>0.12999999999999998</v>
      </c>
      <c r="T812" t="str">
        <f>_xlfn.XLOOKUP(C812,customers!$A$1:$A$1001,customers!$I$1:$I$1001,,0)</f>
        <v>No</v>
      </c>
    </row>
    <row r="813" spans="1:20"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INDEX(products!$A$1:$I$49,MATCH(orders!$D813,products!$A$1:$A$49,0),MATCH(orders!I$1,products!$A$1:$D$1,0))</f>
        <v>Ara</v>
      </c>
      <c r="J813" t="str">
        <f t="shared" si="72"/>
        <v>Arabica</v>
      </c>
      <c r="K813" t="str">
        <f>INDEX(products!$A$1:$I$49,MATCH(orders!$D813,products!$A$1:$A$49,0),MATCH(orders!K$1,products!$A$1:$D$1,0))</f>
        <v>M</v>
      </c>
      <c r="L813" t="str">
        <f t="shared" si="73"/>
        <v>Medium</v>
      </c>
      <c r="M813">
        <f>INDEX(products!$A$1:$I$49,MATCH(orders!$D813,products!$A$1:$A$49,0),MATCH(orders!M$1,products!$A$1:$D$1,0))</f>
        <v>1</v>
      </c>
      <c r="N813">
        <f>_xlfn.XLOOKUP(D813,products!$A$2:$A$49,products!$E$2:$E$49)</f>
        <v>11.25</v>
      </c>
      <c r="O813">
        <f>_xlfn.XLOOKUP(D813,products!$A$2:$A$49,products!$H$2:$H$49)</f>
        <v>10.237500000000001</v>
      </c>
      <c r="P813">
        <f t="shared" si="74"/>
        <v>67.5</v>
      </c>
      <c r="Q813">
        <f t="shared" si="75"/>
        <v>61.425000000000004</v>
      </c>
      <c r="R813">
        <f t="shared" si="76"/>
        <v>6.0749999999999957</v>
      </c>
      <c r="S813" s="4">
        <f t="shared" si="77"/>
        <v>8.9999999999999941E-2</v>
      </c>
      <c r="T813" t="str">
        <f>_xlfn.XLOOKUP(C813,customers!$A$1:$A$1001,customers!$I$1:$I$1001,,0)</f>
        <v>Yes</v>
      </c>
    </row>
    <row r="814" spans="1:20"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INDEX(products!$A$1:$I$49,MATCH(orders!$D814,products!$A$1:$A$49,0),MATCH(orders!I$1,products!$A$1:$D$1,0))</f>
        <v>Lib</v>
      </c>
      <c r="J814" t="str">
        <f t="shared" si="72"/>
        <v>Liberica</v>
      </c>
      <c r="K814" t="str">
        <f>INDEX(products!$A$1:$I$49,MATCH(orders!$D814,products!$A$1:$A$49,0),MATCH(orders!K$1,products!$A$1:$D$1,0))</f>
        <v>D</v>
      </c>
      <c r="L814" t="str">
        <f t="shared" si="73"/>
        <v>Dark</v>
      </c>
      <c r="M814">
        <f>INDEX(products!$A$1:$I$49,MATCH(orders!$D814,products!$A$1:$A$49,0),MATCH(orders!M$1,products!$A$1:$D$1,0))</f>
        <v>2.5</v>
      </c>
      <c r="N814">
        <f>_xlfn.XLOOKUP(D814,products!$A$2:$A$49,products!$E$2:$E$49)</f>
        <v>29.784999999999997</v>
      </c>
      <c r="O814">
        <f>_xlfn.XLOOKUP(D814,products!$A$2:$A$49,products!$H$2:$H$49)</f>
        <v>25.912949999999995</v>
      </c>
      <c r="P814">
        <f t="shared" si="74"/>
        <v>178.70999999999998</v>
      </c>
      <c r="Q814">
        <f t="shared" si="75"/>
        <v>155.47769999999997</v>
      </c>
      <c r="R814">
        <f t="shared" si="76"/>
        <v>23.232300000000009</v>
      </c>
      <c r="S814" s="4">
        <f t="shared" si="77"/>
        <v>0.13000000000000006</v>
      </c>
      <c r="T814" t="str">
        <f>_xlfn.XLOOKUP(C814,customers!$A$1:$A$1001,customers!$I$1:$I$1001,,0)</f>
        <v>Yes</v>
      </c>
    </row>
    <row r="815" spans="1:20"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INDEX(products!$A$1:$I$49,MATCH(orders!$D815,products!$A$1:$A$49,0),MATCH(orders!I$1,products!$A$1:$D$1,0))</f>
        <v>Exc</v>
      </c>
      <c r="J815" t="str">
        <f t="shared" si="72"/>
        <v>Excelsa</v>
      </c>
      <c r="K815" t="str">
        <f>INDEX(products!$A$1:$I$49,MATCH(orders!$D815,products!$A$1:$A$49,0),MATCH(orders!K$1,products!$A$1:$D$1,0))</f>
        <v>M</v>
      </c>
      <c r="L815" t="str">
        <f t="shared" si="73"/>
        <v>Medium</v>
      </c>
      <c r="M815">
        <f>INDEX(products!$A$1:$I$49,MATCH(orders!$D815,products!$A$1:$A$49,0),MATCH(orders!M$1,products!$A$1:$D$1,0))</f>
        <v>2.5</v>
      </c>
      <c r="N815">
        <f>_xlfn.XLOOKUP(D815,products!$A$2:$A$49,products!$E$2:$E$49)</f>
        <v>31.624999999999996</v>
      </c>
      <c r="O815">
        <f>_xlfn.XLOOKUP(D815,products!$A$2:$A$49,products!$H$2:$H$49)</f>
        <v>28.146249999999995</v>
      </c>
      <c r="P815">
        <f t="shared" si="74"/>
        <v>31.624999999999996</v>
      </c>
      <c r="Q815">
        <f t="shared" si="75"/>
        <v>28.146249999999995</v>
      </c>
      <c r="R815">
        <f t="shared" si="76"/>
        <v>3.4787500000000016</v>
      </c>
      <c r="S815" s="4">
        <f t="shared" si="77"/>
        <v>0.11000000000000006</v>
      </c>
      <c r="T815" t="str">
        <f>_xlfn.XLOOKUP(C815,customers!$A$1:$A$1001,customers!$I$1:$I$1001,,0)</f>
        <v>Yes</v>
      </c>
    </row>
    <row r="816" spans="1:20"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INDEX(products!$A$1:$I$49,MATCH(orders!$D816,products!$A$1:$A$49,0),MATCH(orders!I$1,products!$A$1:$D$1,0))</f>
        <v>Exc</v>
      </c>
      <c r="J816" t="str">
        <f t="shared" si="72"/>
        <v>Excelsa</v>
      </c>
      <c r="K816" t="str">
        <f>INDEX(products!$A$1:$I$49,MATCH(orders!$D816,products!$A$1:$A$49,0),MATCH(orders!K$1,products!$A$1:$D$1,0))</f>
        <v>L</v>
      </c>
      <c r="L816" t="str">
        <f t="shared" si="73"/>
        <v>Light</v>
      </c>
      <c r="M816">
        <f>INDEX(products!$A$1:$I$49,MATCH(orders!$D816,products!$A$1:$A$49,0),MATCH(orders!M$1,products!$A$1:$D$1,0))</f>
        <v>0.2</v>
      </c>
      <c r="N816">
        <f>_xlfn.XLOOKUP(D816,products!$A$2:$A$49,products!$E$2:$E$49)</f>
        <v>4.4550000000000001</v>
      </c>
      <c r="O816">
        <f>_xlfn.XLOOKUP(D816,products!$A$2:$A$49,products!$H$2:$H$49)</f>
        <v>3.96495</v>
      </c>
      <c r="P816">
        <f t="shared" si="74"/>
        <v>8.91</v>
      </c>
      <c r="Q816">
        <f t="shared" si="75"/>
        <v>7.9298999999999999</v>
      </c>
      <c r="R816">
        <f t="shared" si="76"/>
        <v>0.98010000000000019</v>
      </c>
      <c r="S816" s="4">
        <f t="shared" si="77"/>
        <v>0.11000000000000001</v>
      </c>
      <c r="T816" t="str">
        <f>_xlfn.XLOOKUP(C816,customers!$A$1:$A$1001,customers!$I$1:$I$1001,,0)</f>
        <v>No</v>
      </c>
    </row>
    <row r="817" spans="1:20"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INDEX(products!$A$1:$I$49,MATCH(orders!$D817,products!$A$1:$A$49,0),MATCH(orders!I$1,products!$A$1:$D$1,0))</f>
        <v>Rob</v>
      </c>
      <c r="J817" t="str">
        <f t="shared" si="72"/>
        <v>Robusta</v>
      </c>
      <c r="K817" t="str">
        <f>INDEX(products!$A$1:$I$49,MATCH(orders!$D817,products!$A$1:$A$49,0),MATCH(orders!K$1,products!$A$1:$D$1,0))</f>
        <v>M</v>
      </c>
      <c r="L817" t="str">
        <f t="shared" si="73"/>
        <v>Medium</v>
      </c>
      <c r="M817">
        <f>INDEX(products!$A$1:$I$49,MATCH(orders!$D817,products!$A$1:$A$49,0),MATCH(orders!M$1,products!$A$1:$D$1,0))</f>
        <v>0.5</v>
      </c>
      <c r="N817">
        <f>_xlfn.XLOOKUP(D817,products!$A$2:$A$49,products!$E$2:$E$49)</f>
        <v>5.97</v>
      </c>
      <c r="O817">
        <f>_xlfn.XLOOKUP(D817,products!$A$2:$A$49,products!$H$2:$H$49)</f>
        <v>5.6117999999999997</v>
      </c>
      <c r="P817">
        <f t="shared" si="74"/>
        <v>35.82</v>
      </c>
      <c r="Q817">
        <f t="shared" si="75"/>
        <v>33.6708</v>
      </c>
      <c r="R817">
        <f t="shared" si="76"/>
        <v>2.1492000000000004</v>
      </c>
      <c r="S817" s="4">
        <f t="shared" si="77"/>
        <v>6.0000000000000012E-2</v>
      </c>
      <c r="T817" t="str">
        <f>_xlfn.XLOOKUP(C817,customers!$A$1:$A$1001,customers!$I$1:$I$1001,,0)</f>
        <v>No</v>
      </c>
    </row>
    <row r="818" spans="1:20"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INDEX(products!$A$1:$I$49,MATCH(orders!$D818,products!$A$1:$A$49,0),MATCH(orders!I$1,products!$A$1:$D$1,0))</f>
        <v>Lib</v>
      </c>
      <c r="J818" t="str">
        <f t="shared" si="72"/>
        <v>Liberica</v>
      </c>
      <c r="K818" t="str">
        <f>INDEX(products!$A$1:$I$49,MATCH(orders!$D818,products!$A$1:$A$49,0),MATCH(orders!K$1,products!$A$1:$D$1,0))</f>
        <v>L</v>
      </c>
      <c r="L818" t="str">
        <f t="shared" si="73"/>
        <v>Light</v>
      </c>
      <c r="M818">
        <f>INDEX(products!$A$1:$I$49,MATCH(orders!$D818,products!$A$1:$A$49,0),MATCH(orders!M$1,products!$A$1:$D$1,0))</f>
        <v>0.5</v>
      </c>
      <c r="N818">
        <f>_xlfn.XLOOKUP(D818,products!$A$2:$A$49,products!$E$2:$E$49)</f>
        <v>9.51</v>
      </c>
      <c r="O818">
        <f>_xlfn.XLOOKUP(D818,products!$A$2:$A$49,products!$H$2:$H$49)</f>
        <v>8.2736999999999998</v>
      </c>
      <c r="P818">
        <f t="shared" si="74"/>
        <v>38.04</v>
      </c>
      <c r="Q818">
        <f t="shared" si="75"/>
        <v>33.094799999999999</v>
      </c>
      <c r="R818">
        <f t="shared" si="76"/>
        <v>4.9451999999999998</v>
      </c>
      <c r="S818" s="4">
        <f t="shared" si="77"/>
        <v>0.13</v>
      </c>
      <c r="T818" t="str">
        <f>_xlfn.XLOOKUP(C818,customers!$A$1:$A$1001,customers!$I$1:$I$1001,,0)</f>
        <v>No</v>
      </c>
    </row>
    <row r="819" spans="1:20"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INDEX(products!$A$1:$I$49,MATCH(orders!$D819,products!$A$1:$A$49,0),MATCH(orders!I$1,products!$A$1:$D$1,0))</f>
        <v>Lib</v>
      </c>
      <c r="J819" t="str">
        <f t="shared" si="72"/>
        <v>Liberica</v>
      </c>
      <c r="K819" t="str">
        <f>INDEX(products!$A$1:$I$49,MATCH(orders!$D819,products!$A$1:$A$49,0),MATCH(orders!K$1,products!$A$1:$D$1,0))</f>
        <v>D</v>
      </c>
      <c r="L819" t="str">
        <f t="shared" si="73"/>
        <v>Dark</v>
      </c>
      <c r="M819">
        <f>INDEX(products!$A$1:$I$49,MATCH(orders!$D819,products!$A$1:$A$49,0),MATCH(orders!M$1,products!$A$1:$D$1,0))</f>
        <v>0.5</v>
      </c>
      <c r="N819">
        <f>_xlfn.XLOOKUP(D819,products!$A$2:$A$49,products!$E$2:$E$49)</f>
        <v>7.77</v>
      </c>
      <c r="O819">
        <f>_xlfn.XLOOKUP(D819,products!$A$2:$A$49,products!$H$2:$H$49)</f>
        <v>6.7599</v>
      </c>
      <c r="P819">
        <f t="shared" si="74"/>
        <v>15.54</v>
      </c>
      <c r="Q819">
        <f t="shared" si="75"/>
        <v>13.5198</v>
      </c>
      <c r="R819">
        <f t="shared" si="76"/>
        <v>2.0201999999999991</v>
      </c>
      <c r="S819" s="4">
        <f t="shared" si="77"/>
        <v>0.12999999999999995</v>
      </c>
      <c r="T819" t="str">
        <f>_xlfn.XLOOKUP(C819,customers!$A$1:$A$1001,customers!$I$1:$I$1001,,0)</f>
        <v>No</v>
      </c>
    </row>
    <row r="820" spans="1:20"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v>
      </c>
      <c r="H820" s="2" t="str">
        <f>_xlfn.XLOOKUP(C820,customers!$A$1:$A$1001,customers!$G$1:$G$1001,,0)</f>
        <v>United States</v>
      </c>
      <c r="I820" t="str">
        <f>INDEX(products!$A$1:$I$49,MATCH(orders!$D820,products!$A$1:$A$49,0),MATCH(orders!I$1,products!$A$1:$D$1,0))</f>
        <v>Lib</v>
      </c>
      <c r="J820" t="str">
        <f t="shared" si="72"/>
        <v>Liberica</v>
      </c>
      <c r="K820" t="str">
        <f>INDEX(products!$A$1:$I$49,MATCH(orders!$D820,products!$A$1:$A$49,0),MATCH(orders!K$1,products!$A$1:$D$1,0))</f>
        <v>L</v>
      </c>
      <c r="L820" t="str">
        <f t="shared" si="73"/>
        <v>Light</v>
      </c>
      <c r="M820">
        <f>INDEX(products!$A$1:$I$49,MATCH(orders!$D820,products!$A$1:$A$49,0),MATCH(orders!M$1,products!$A$1:$D$1,0))</f>
        <v>1</v>
      </c>
      <c r="N820">
        <f>_xlfn.XLOOKUP(D820,products!$A$2:$A$49,products!$E$2:$E$49)</f>
        <v>15.85</v>
      </c>
      <c r="O820">
        <f>_xlfn.XLOOKUP(D820,products!$A$2:$A$49,products!$H$2:$H$49)</f>
        <v>13.7895</v>
      </c>
      <c r="P820">
        <f t="shared" si="74"/>
        <v>79.25</v>
      </c>
      <c r="Q820">
        <f t="shared" si="75"/>
        <v>68.947500000000005</v>
      </c>
      <c r="R820">
        <f t="shared" si="76"/>
        <v>10.302499999999995</v>
      </c>
      <c r="S820" s="4">
        <f t="shared" si="77"/>
        <v>0.12999999999999995</v>
      </c>
      <c r="T820" t="str">
        <f>_xlfn.XLOOKUP(C820,customers!$A$1:$A$1001,customers!$I$1:$I$1001,,0)</f>
        <v>No</v>
      </c>
    </row>
    <row r="821" spans="1:20"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INDEX(products!$A$1:$I$49,MATCH(orders!$D821,products!$A$1:$A$49,0),MATCH(orders!I$1,products!$A$1:$D$1,0))</f>
        <v>Lib</v>
      </c>
      <c r="J821" t="str">
        <f t="shared" si="72"/>
        <v>Liberica</v>
      </c>
      <c r="K821" t="str">
        <f>INDEX(products!$A$1:$I$49,MATCH(orders!$D821,products!$A$1:$A$49,0),MATCH(orders!K$1,products!$A$1:$D$1,0))</f>
        <v>L</v>
      </c>
      <c r="L821" t="str">
        <f t="shared" si="73"/>
        <v>Light</v>
      </c>
      <c r="M821">
        <f>INDEX(products!$A$1:$I$49,MATCH(orders!$D821,products!$A$1:$A$49,0),MATCH(orders!M$1,products!$A$1:$D$1,0))</f>
        <v>0.2</v>
      </c>
      <c r="N821">
        <f>_xlfn.XLOOKUP(D821,products!$A$2:$A$49,products!$E$2:$E$49)</f>
        <v>4.7549999999999999</v>
      </c>
      <c r="O821">
        <f>_xlfn.XLOOKUP(D821,products!$A$2:$A$49,products!$H$2:$H$49)</f>
        <v>4.1368499999999999</v>
      </c>
      <c r="P821">
        <f t="shared" si="74"/>
        <v>4.7549999999999999</v>
      </c>
      <c r="Q821">
        <f t="shared" si="75"/>
        <v>4.1368499999999999</v>
      </c>
      <c r="R821">
        <f t="shared" si="76"/>
        <v>0.61814999999999998</v>
      </c>
      <c r="S821" s="4">
        <f t="shared" si="77"/>
        <v>0.13</v>
      </c>
      <c r="T821" t="str">
        <f>_xlfn.XLOOKUP(C821,customers!$A$1:$A$1001,customers!$I$1:$I$1001,,0)</f>
        <v>Yes</v>
      </c>
    </row>
    <row r="822" spans="1:20"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INDEX(products!$A$1:$I$49,MATCH(orders!$D822,products!$A$1:$A$49,0),MATCH(orders!I$1,products!$A$1:$D$1,0))</f>
        <v>Exc</v>
      </c>
      <c r="J822" t="str">
        <f t="shared" si="72"/>
        <v>Excelsa</v>
      </c>
      <c r="K822" t="str">
        <f>INDEX(products!$A$1:$I$49,MATCH(orders!$D822,products!$A$1:$A$49,0),MATCH(orders!K$1,products!$A$1:$D$1,0))</f>
        <v>M</v>
      </c>
      <c r="L822" t="str">
        <f t="shared" si="73"/>
        <v>Medium</v>
      </c>
      <c r="M822">
        <f>INDEX(products!$A$1:$I$49,MATCH(orders!$D822,products!$A$1:$A$49,0),MATCH(orders!M$1,products!$A$1:$D$1,0))</f>
        <v>1</v>
      </c>
      <c r="N822">
        <f>_xlfn.XLOOKUP(D822,products!$A$2:$A$49,products!$E$2:$E$49)</f>
        <v>13.75</v>
      </c>
      <c r="O822">
        <f>_xlfn.XLOOKUP(D822,products!$A$2:$A$49,products!$H$2:$H$49)</f>
        <v>12.237500000000001</v>
      </c>
      <c r="P822">
        <f t="shared" si="74"/>
        <v>55</v>
      </c>
      <c r="Q822">
        <f t="shared" si="75"/>
        <v>48.95</v>
      </c>
      <c r="R822">
        <f t="shared" si="76"/>
        <v>6.0499999999999972</v>
      </c>
      <c r="S822" s="4">
        <f t="shared" si="77"/>
        <v>0.10999999999999995</v>
      </c>
      <c r="T822" t="str">
        <f>_xlfn.XLOOKUP(C822,customers!$A$1:$A$1001,customers!$I$1:$I$1001,,0)</f>
        <v>Yes</v>
      </c>
    </row>
    <row r="823" spans="1:20"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INDEX(products!$A$1:$I$49,MATCH(orders!$D823,products!$A$1:$A$49,0),MATCH(orders!I$1,products!$A$1:$D$1,0))</f>
        <v>Rob</v>
      </c>
      <c r="J823" t="str">
        <f t="shared" si="72"/>
        <v>Robusta</v>
      </c>
      <c r="K823" t="str">
        <f>INDEX(products!$A$1:$I$49,MATCH(orders!$D823,products!$A$1:$A$49,0),MATCH(orders!K$1,products!$A$1:$D$1,0))</f>
        <v>D</v>
      </c>
      <c r="L823" t="str">
        <f t="shared" si="73"/>
        <v>Dark</v>
      </c>
      <c r="M823">
        <f>INDEX(products!$A$1:$I$49,MATCH(orders!$D823,products!$A$1:$A$49,0),MATCH(orders!M$1,products!$A$1:$D$1,0))</f>
        <v>0.5</v>
      </c>
      <c r="N823">
        <f>_xlfn.XLOOKUP(D823,products!$A$2:$A$49,products!$E$2:$E$49)</f>
        <v>5.3699999999999992</v>
      </c>
      <c r="O823">
        <f>_xlfn.XLOOKUP(D823,products!$A$2:$A$49,products!$H$2:$H$49)</f>
        <v>5.0477999999999996</v>
      </c>
      <c r="P823">
        <f t="shared" si="74"/>
        <v>26.849999999999994</v>
      </c>
      <c r="Q823">
        <f t="shared" si="75"/>
        <v>25.238999999999997</v>
      </c>
      <c r="R823">
        <f t="shared" si="76"/>
        <v>1.6109999999999971</v>
      </c>
      <c r="S823" s="4">
        <f t="shared" si="77"/>
        <v>5.9999999999999908E-2</v>
      </c>
      <c r="T823" t="str">
        <f>_xlfn.XLOOKUP(C823,customers!$A$1:$A$1001,customers!$I$1:$I$1001,,0)</f>
        <v>No</v>
      </c>
    </row>
    <row r="824" spans="1:20"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INDEX(products!$A$1:$I$49,MATCH(orders!$D824,products!$A$1:$A$49,0),MATCH(orders!I$1,products!$A$1:$D$1,0))</f>
        <v>Exc</v>
      </c>
      <c r="J824" t="str">
        <f t="shared" si="72"/>
        <v>Excelsa</v>
      </c>
      <c r="K824" t="str">
        <f>INDEX(products!$A$1:$I$49,MATCH(orders!$D824,products!$A$1:$A$49,0),MATCH(orders!K$1,products!$A$1:$D$1,0))</f>
        <v>L</v>
      </c>
      <c r="L824" t="str">
        <f t="shared" si="73"/>
        <v>Light</v>
      </c>
      <c r="M824">
        <f>INDEX(products!$A$1:$I$49,MATCH(orders!$D824,products!$A$1:$A$49,0),MATCH(orders!M$1,products!$A$1:$D$1,0))</f>
        <v>2.5</v>
      </c>
      <c r="N824">
        <f>_xlfn.XLOOKUP(D824,products!$A$2:$A$49,products!$E$2:$E$49)</f>
        <v>34.154999999999994</v>
      </c>
      <c r="O824">
        <f>_xlfn.XLOOKUP(D824,products!$A$2:$A$49,products!$H$2:$H$49)</f>
        <v>30.397949999999994</v>
      </c>
      <c r="P824">
        <f t="shared" si="74"/>
        <v>136.61999999999998</v>
      </c>
      <c r="Q824">
        <f t="shared" si="75"/>
        <v>121.59179999999998</v>
      </c>
      <c r="R824">
        <f t="shared" si="76"/>
        <v>15.028199999999998</v>
      </c>
      <c r="S824" s="4">
        <f t="shared" si="77"/>
        <v>0.11</v>
      </c>
      <c r="T824" t="str">
        <f>_xlfn.XLOOKUP(C824,customers!$A$1:$A$1001,customers!$I$1:$I$1001,,0)</f>
        <v>No</v>
      </c>
    </row>
    <row r="825" spans="1:20"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INDEX(products!$A$1:$I$49,MATCH(orders!$D825,products!$A$1:$A$49,0),MATCH(orders!I$1,products!$A$1:$D$1,0))</f>
        <v>Lib</v>
      </c>
      <c r="J825" t="str">
        <f t="shared" si="72"/>
        <v>Liberica</v>
      </c>
      <c r="K825" t="str">
        <f>INDEX(products!$A$1:$I$49,MATCH(orders!$D825,products!$A$1:$A$49,0),MATCH(orders!K$1,products!$A$1:$D$1,0))</f>
        <v>L</v>
      </c>
      <c r="L825" t="str">
        <f t="shared" si="73"/>
        <v>Light</v>
      </c>
      <c r="M825">
        <f>INDEX(products!$A$1:$I$49,MATCH(orders!$D825,products!$A$1:$A$49,0),MATCH(orders!M$1,products!$A$1:$D$1,0))</f>
        <v>1</v>
      </c>
      <c r="N825">
        <f>_xlfn.XLOOKUP(D825,products!$A$2:$A$49,products!$E$2:$E$49)</f>
        <v>15.85</v>
      </c>
      <c r="O825">
        <f>_xlfn.XLOOKUP(D825,products!$A$2:$A$49,products!$H$2:$H$49)</f>
        <v>13.7895</v>
      </c>
      <c r="P825">
        <f t="shared" si="74"/>
        <v>47.55</v>
      </c>
      <c r="Q825">
        <f t="shared" si="75"/>
        <v>41.368499999999997</v>
      </c>
      <c r="R825">
        <f t="shared" si="76"/>
        <v>6.1814999999999998</v>
      </c>
      <c r="S825" s="4">
        <f t="shared" si="77"/>
        <v>0.13</v>
      </c>
      <c r="T825" t="str">
        <f>_xlfn.XLOOKUP(C825,customers!$A$1:$A$1001,customers!$I$1:$I$1001,,0)</f>
        <v>Yes</v>
      </c>
    </row>
    <row r="826" spans="1:20"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INDEX(products!$A$1:$I$49,MATCH(orders!$D826,products!$A$1:$A$49,0),MATCH(orders!I$1,products!$A$1:$D$1,0))</f>
        <v>Ara</v>
      </c>
      <c r="J826" t="str">
        <f t="shared" si="72"/>
        <v>Arabica</v>
      </c>
      <c r="K826" t="str">
        <f>INDEX(products!$A$1:$I$49,MATCH(orders!$D826,products!$A$1:$A$49,0),MATCH(orders!K$1,products!$A$1:$D$1,0))</f>
        <v>M</v>
      </c>
      <c r="L826" t="str">
        <f t="shared" si="73"/>
        <v>Medium</v>
      </c>
      <c r="M826">
        <f>INDEX(products!$A$1:$I$49,MATCH(orders!$D826,products!$A$1:$A$49,0),MATCH(orders!M$1,products!$A$1:$D$1,0))</f>
        <v>0.2</v>
      </c>
      <c r="N826">
        <f>_xlfn.XLOOKUP(D826,products!$A$2:$A$49,products!$E$2:$E$49)</f>
        <v>3.375</v>
      </c>
      <c r="O826">
        <f>_xlfn.XLOOKUP(D826,products!$A$2:$A$49,products!$H$2:$H$49)</f>
        <v>3.07125</v>
      </c>
      <c r="P826">
        <f t="shared" si="74"/>
        <v>16.875</v>
      </c>
      <c r="Q826">
        <f t="shared" si="75"/>
        <v>15.356249999999999</v>
      </c>
      <c r="R826">
        <f t="shared" si="76"/>
        <v>1.5187500000000007</v>
      </c>
      <c r="S826" s="4">
        <f t="shared" si="77"/>
        <v>9.0000000000000038E-2</v>
      </c>
      <c r="T826" t="str">
        <f>_xlfn.XLOOKUP(C826,customers!$A$1:$A$1001,customers!$I$1:$I$1001,,0)</f>
        <v>Yes</v>
      </c>
    </row>
    <row r="827" spans="1:20"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INDEX(products!$A$1:$I$49,MATCH(orders!$D827,products!$A$1:$A$49,0),MATCH(orders!I$1,products!$A$1:$D$1,0))</f>
        <v>Ara</v>
      </c>
      <c r="J827" t="str">
        <f t="shared" si="72"/>
        <v>Arabica</v>
      </c>
      <c r="K827" t="str">
        <f>INDEX(products!$A$1:$I$49,MATCH(orders!$D827,products!$A$1:$A$49,0),MATCH(orders!K$1,products!$A$1:$D$1,0))</f>
        <v>D</v>
      </c>
      <c r="L827" t="str">
        <f t="shared" si="73"/>
        <v>Dark</v>
      </c>
      <c r="M827">
        <f>INDEX(products!$A$1:$I$49,MATCH(orders!$D827,products!$A$1:$A$49,0),MATCH(orders!M$1,products!$A$1:$D$1,0))</f>
        <v>1</v>
      </c>
      <c r="N827">
        <f>_xlfn.XLOOKUP(D827,products!$A$2:$A$49,products!$E$2:$E$49)</f>
        <v>9.9499999999999993</v>
      </c>
      <c r="O827">
        <f>_xlfn.XLOOKUP(D827,products!$A$2:$A$49,products!$H$2:$H$49)</f>
        <v>9.0544999999999991</v>
      </c>
      <c r="P827">
        <f t="shared" si="74"/>
        <v>29.849999999999998</v>
      </c>
      <c r="Q827">
        <f t="shared" si="75"/>
        <v>27.163499999999999</v>
      </c>
      <c r="R827">
        <f t="shared" si="76"/>
        <v>2.6864999999999988</v>
      </c>
      <c r="S827" s="4">
        <f t="shared" si="77"/>
        <v>8.9999999999999969E-2</v>
      </c>
      <c r="T827" t="str">
        <f>_xlfn.XLOOKUP(C827,customers!$A$1:$A$1001,customers!$I$1:$I$1001,,0)</f>
        <v>Yes</v>
      </c>
    </row>
    <row r="828" spans="1:20"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INDEX(products!$A$1:$I$49,MATCH(orders!$D828,products!$A$1:$A$49,0),MATCH(orders!I$1,products!$A$1:$D$1,0))</f>
        <v>Exc</v>
      </c>
      <c r="J828" t="str">
        <f t="shared" si="72"/>
        <v>Excelsa</v>
      </c>
      <c r="K828" t="str">
        <f>INDEX(products!$A$1:$I$49,MATCH(orders!$D828,products!$A$1:$A$49,0),MATCH(orders!K$1,products!$A$1:$D$1,0))</f>
        <v>M</v>
      </c>
      <c r="L828" t="str">
        <f t="shared" si="73"/>
        <v>Medium</v>
      </c>
      <c r="M828">
        <f>INDEX(products!$A$1:$I$49,MATCH(orders!$D828,products!$A$1:$A$49,0),MATCH(orders!M$1,products!$A$1:$D$1,0))</f>
        <v>0.5</v>
      </c>
      <c r="N828">
        <f>_xlfn.XLOOKUP(D828,products!$A$2:$A$49,products!$E$2:$E$49)</f>
        <v>8.25</v>
      </c>
      <c r="O828">
        <f>_xlfn.XLOOKUP(D828,products!$A$2:$A$49,products!$H$2:$H$49)</f>
        <v>7.3425000000000002</v>
      </c>
      <c r="P828">
        <f t="shared" si="74"/>
        <v>41.25</v>
      </c>
      <c r="Q828">
        <f t="shared" si="75"/>
        <v>36.712499999999999</v>
      </c>
      <c r="R828">
        <f t="shared" si="76"/>
        <v>4.5375000000000014</v>
      </c>
      <c r="S828" s="4">
        <f t="shared" si="77"/>
        <v>0.11000000000000003</v>
      </c>
      <c r="T828" t="str">
        <f>_xlfn.XLOOKUP(C828,customers!$A$1:$A$1001,customers!$I$1:$I$1001,,0)</f>
        <v>Yes</v>
      </c>
    </row>
    <row r="829" spans="1:20"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INDEX(products!$A$1:$I$49,MATCH(orders!$D829,products!$A$1:$A$49,0),MATCH(orders!I$1,products!$A$1:$D$1,0))</f>
        <v>Exc</v>
      </c>
      <c r="J829" t="str">
        <f t="shared" si="72"/>
        <v>Excelsa</v>
      </c>
      <c r="K829" t="str">
        <f>INDEX(products!$A$1:$I$49,MATCH(orders!$D829,products!$A$1:$A$49,0),MATCH(orders!K$1,products!$A$1:$D$1,0))</f>
        <v>M</v>
      </c>
      <c r="L829" t="str">
        <f t="shared" si="73"/>
        <v>Medium</v>
      </c>
      <c r="M829">
        <f>INDEX(products!$A$1:$I$49,MATCH(orders!$D829,products!$A$1:$A$49,0),MATCH(orders!M$1,products!$A$1:$D$1,0))</f>
        <v>0.2</v>
      </c>
      <c r="N829">
        <f>_xlfn.XLOOKUP(D829,products!$A$2:$A$49,products!$E$2:$E$49)</f>
        <v>4.125</v>
      </c>
      <c r="O829">
        <f>_xlfn.XLOOKUP(D829,products!$A$2:$A$49,products!$H$2:$H$49)</f>
        <v>3.6712500000000001</v>
      </c>
      <c r="P829">
        <f t="shared" si="74"/>
        <v>20.625</v>
      </c>
      <c r="Q829">
        <f t="shared" si="75"/>
        <v>18.356249999999999</v>
      </c>
      <c r="R829">
        <f t="shared" si="76"/>
        <v>2.2687500000000007</v>
      </c>
      <c r="S829" s="4">
        <f t="shared" si="77"/>
        <v>0.11000000000000003</v>
      </c>
      <c r="T829" t="str">
        <f>_xlfn.XLOOKUP(C829,customers!$A$1:$A$1001,customers!$I$1:$I$1001,,0)</f>
        <v>No</v>
      </c>
    </row>
    <row r="830" spans="1:20"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INDEX(products!$A$1:$I$49,MATCH(orders!$D830,products!$A$1:$A$49,0),MATCH(orders!I$1,products!$A$1:$D$1,0))</f>
        <v>Ara</v>
      </c>
      <c r="J830" t="str">
        <f t="shared" si="72"/>
        <v>Arabica</v>
      </c>
      <c r="K830" t="str">
        <f>INDEX(products!$A$1:$I$49,MATCH(orders!$D830,products!$A$1:$A$49,0),MATCH(orders!K$1,products!$A$1:$D$1,0))</f>
        <v>D</v>
      </c>
      <c r="L830" t="str">
        <f t="shared" si="73"/>
        <v>Dark</v>
      </c>
      <c r="M830">
        <f>INDEX(products!$A$1:$I$49,MATCH(orders!$D830,products!$A$1:$A$49,0),MATCH(orders!M$1,products!$A$1:$D$1,0))</f>
        <v>2.5</v>
      </c>
      <c r="N830">
        <f>_xlfn.XLOOKUP(D830,products!$A$2:$A$49,products!$E$2:$E$49)</f>
        <v>22.884999999999998</v>
      </c>
      <c r="O830">
        <f>_xlfn.XLOOKUP(D830,products!$A$2:$A$49,products!$H$2:$H$49)</f>
        <v>20.82535</v>
      </c>
      <c r="P830">
        <f t="shared" si="74"/>
        <v>137.31</v>
      </c>
      <c r="Q830">
        <f t="shared" si="75"/>
        <v>124.9521</v>
      </c>
      <c r="R830">
        <f t="shared" si="76"/>
        <v>12.357900000000001</v>
      </c>
      <c r="S830" s="4">
        <f t="shared" si="77"/>
        <v>9.0000000000000011E-2</v>
      </c>
      <c r="T830" t="str">
        <f>_xlfn.XLOOKUP(C830,customers!$A$1:$A$1001,customers!$I$1:$I$1001,,0)</f>
        <v>Yes</v>
      </c>
    </row>
    <row r="831" spans="1:20"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INDEX(products!$A$1:$I$49,MATCH(orders!$D831,products!$A$1:$A$49,0),MATCH(orders!I$1,products!$A$1:$D$1,0))</f>
        <v>Ara</v>
      </c>
      <c r="J831" t="str">
        <f t="shared" si="72"/>
        <v>Arabica</v>
      </c>
      <c r="K831" t="str">
        <f>INDEX(products!$A$1:$I$49,MATCH(orders!$D831,products!$A$1:$A$49,0),MATCH(orders!K$1,products!$A$1:$D$1,0))</f>
        <v>D</v>
      </c>
      <c r="L831" t="str">
        <f t="shared" si="73"/>
        <v>Dark</v>
      </c>
      <c r="M831">
        <f>INDEX(products!$A$1:$I$49,MATCH(orders!$D831,products!$A$1:$A$49,0),MATCH(orders!M$1,products!$A$1:$D$1,0))</f>
        <v>0.2</v>
      </c>
      <c r="N831">
        <f>_xlfn.XLOOKUP(D831,products!$A$2:$A$49,products!$E$2:$E$49)</f>
        <v>2.9849999999999999</v>
      </c>
      <c r="O831">
        <f>_xlfn.XLOOKUP(D831,products!$A$2:$A$49,products!$H$2:$H$49)</f>
        <v>2.7163499999999998</v>
      </c>
      <c r="P831">
        <f t="shared" si="74"/>
        <v>2.9849999999999999</v>
      </c>
      <c r="Q831">
        <f t="shared" si="75"/>
        <v>2.7163499999999998</v>
      </c>
      <c r="R831">
        <f t="shared" si="76"/>
        <v>0.26865000000000006</v>
      </c>
      <c r="S831" s="4">
        <f t="shared" si="77"/>
        <v>9.0000000000000024E-2</v>
      </c>
      <c r="T831" t="str">
        <f>_xlfn.XLOOKUP(C831,customers!$A$1:$A$1001,customers!$I$1:$I$1001,,0)</f>
        <v>No</v>
      </c>
    </row>
    <row r="832" spans="1:20"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INDEX(products!$A$1:$I$49,MATCH(orders!$D832,products!$A$1:$A$49,0),MATCH(orders!I$1,products!$A$1:$D$1,0))</f>
        <v>Exc</v>
      </c>
      <c r="J832" t="str">
        <f t="shared" si="72"/>
        <v>Excelsa</v>
      </c>
      <c r="K832" t="str">
        <f>INDEX(products!$A$1:$I$49,MATCH(orders!$D832,products!$A$1:$A$49,0),MATCH(orders!K$1,products!$A$1:$D$1,0))</f>
        <v>M</v>
      </c>
      <c r="L832" t="str">
        <f t="shared" si="73"/>
        <v>Medium</v>
      </c>
      <c r="M832">
        <f>INDEX(products!$A$1:$I$49,MATCH(orders!$D832,products!$A$1:$A$49,0),MATCH(orders!M$1,products!$A$1:$D$1,0))</f>
        <v>1</v>
      </c>
      <c r="N832">
        <f>_xlfn.XLOOKUP(D832,products!$A$2:$A$49,products!$E$2:$E$49)</f>
        <v>13.75</v>
      </c>
      <c r="O832">
        <f>_xlfn.XLOOKUP(D832,products!$A$2:$A$49,products!$H$2:$H$49)</f>
        <v>12.237500000000001</v>
      </c>
      <c r="P832">
        <f t="shared" si="74"/>
        <v>27.5</v>
      </c>
      <c r="Q832">
        <f t="shared" si="75"/>
        <v>24.475000000000001</v>
      </c>
      <c r="R832">
        <f t="shared" si="76"/>
        <v>3.0249999999999986</v>
      </c>
      <c r="S832" s="4">
        <f t="shared" si="77"/>
        <v>0.10999999999999995</v>
      </c>
      <c r="T832" t="str">
        <f>_xlfn.XLOOKUP(C832,customers!$A$1:$A$1001,customers!$I$1:$I$1001,,0)</f>
        <v>No</v>
      </c>
    </row>
    <row r="833" spans="1:20"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INDEX(products!$A$1:$I$49,MATCH(orders!$D833,products!$A$1:$A$49,0),MATCH(orders!I$1,products!$A$1:$D$1,0))</f>
        <v>Ara</v>
      </c>
      <c r="J833" t="str">
        <f t="shared" si="72"/>
        <v>Arabica</v>
      </c>
      <c r="K833" t="str">
        <f>INDEX(products!$A$1:$I$49,MATCH(orders!$D833,products!$A$1:$A$49,0),MATCH(orders!K$1,products!$A$1:$D$1,0))</f>
        <v>D</v>
      </c>
      <c r="L833" t="str">
        <f t="shared" si="73"/>
        <v>Dark</v>
      </c>
      <c r="M833">
        <f>INDEX(products!$A$1:$I$49,MATCH(orders!$D833,products!$A$1:$A$49,0),MATCH(orders!M$1,products!$A$1:$D$1,0))</f>
        <v>0.2</v>
      </c>
      <c r="N833">
        <f>_xlfn.XLOOKUP(D833,products!$A$2:$A$49,products!$E$2:$E$49)</f>
        <v>2.9849999999999999</v>
      </c>
      <c r="O833">
        <f>_xlfn.XLOOKUP(D833,products!$A$2:$A$49,products!$H$2:$H$49)</f>
        <v>2.7163499999999998</v>
      </c>
      <c r="P833">
        <f t="shared" si="74"/>
        <v>5.97</v>
      </c>
      <c r="Q833">
        <f t="shared" si="75"/>
        <v>5.4326999999999996</v>
      </c>
      <c r="R833">
        <f t="shared" si="76"/>
        <v>0.53730000000000011</v>
      </c>
      <c r="S833" s="4">
        <f t="shared" si="77"/>
        <v>9.0000000000000024E-2</v>
      </c>
      <c r="T833" t="str">
        <f>_xlfn.XLOOKUP(C833,customers!$A$1:$A$1001,customers!$I$1:$I$1001,,0)</f>
        <v>No</v>
      </c>
    </row>
    <row r="834" spans="1:20"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INDEX(products!$A$1:$I$49,MATCH(orders!$D834,products!$A$1:$A$49,0),MATCH(orders!I$1,products!$A$1:$D$1,0))</f>
        <v>Rob</v>
      </c>
      <c r="J834" t="str">
        <f t="shared" si="72"/>
        <v>Robusta</v>
      </c>
      <c r="K834" t="str">
        <f>INDEX(products!$A$1:$I$49,MATCH(orders!$D834,products!$A$1:$A$49,0),MATCH(orders!K$1,products!$A$1:$D$1,0))</f>
        <v>M</v>
      </c>
      <c r="L834" t="str">
        <f t="shared" si="73"/>
        <v>Medium</v>
      </c>
      <c r="M834">
        <f>INDEX(products!$A$1:$I$49,MATCH(orders!$D834,products!$A$1:$A$49,0),MATCH(orders!M$1,products!$A$1:$D$1,0))</f>
        <v>1</v>
      </c>
      <c r="N834">
        <f>_xlfn.XLOOKUP(D834,products!$A$2:$A$49,products!$E$2:$E$49)</f>
        <v>9.9499999999999993</v>
      </c>
      <c r="O834">
        <f>_xlfn.XLOOKUP(D834,products!$A$2:$A$49,products!$H$2:$H$49)</f>
        <v>9.3529999999999998</v>
      </c>
      <c r="P834">
        <f t="shared" si="74"/>
        <v>59.699999999999996</v>
      </c>
      <c r="Q834">
        <f t="shared" si="75"/>
        <v>56.117999999999995</v>
      </c>
      <c r="R834">
        <f t="shared" si="76"/>
        <v>3.5820000000000007</v>
      </c>
      <c r="S834" s="4">
        <f t="shared" si="77"/>
        <v>6.0000000000000019E-2</v>
      </c>
      <c r="T834" t="str">
        <f>_xlfn.XLOOKUP(C834,customers!$A$1:$A$1001,customers!$I$1:$I$1001,,0)</f>
        <v>No</v>
      </c>
    </row>
    <row r="835" spans="1:20"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INDEX(products!$A$1:$I$49,MATCH(orders!$D835,products!$A$1:$A$49,0),MATCH(orders!I$1,products!$A$1:$D$1,0))</f>
        <v>Rob</v>
      </c>
      <c r="J835" t="str">
        <f t="shared" ref="J835:J898" si="78">IF(I835="Rob","Robusta",IF(I835="Exc","Excelsa",IF(I835="Ara","Arabica",IF(I835="Lib","Liberica",""))))</f>
        <v>Robusta</v>
      </c>
      <c r="K835" t="str">
        <f>INDEX(products!$A$1:$I$49,MATCH(orders!$D835,products!$A$1:$A$49,0),MATCH(orders!K$1,products!$A$1:$D$1,0))</f>
        <v>D</v>
      </c>
      <c r="L835" t="str">
        <f t="shared" ref="L835:L898" si="79">IF(K835="M","Medium",IF(K835="L","Light",IF(K835="D","Dark","")))</f>
        <v>Dark</v>
      </c>
      <c r="M835">
        <f>INDEX(products!$A$1:$I$49,MATCH(orders!$D835,products!$A$1:$A$49,0),MATCH(orders!M$1,products!$A$1:$D$1,0))</f>
        <v>2.5</v>
      </c>
      <c r="N835">
        <f>_xlfn.XLOOKUP(D835,products!$A$2:$A$49,products!$E$2:$E$49)</f>
        <v>20.584999999999997</v>
      </c>
      <c r="O835">
        <f>_xlfn.XLOOKUP(D835,products!$A$2:$A$49,products!$H$2:$H$49)</f>
        <v>19.349899999999998</v>
      </c>
      <c r="P835">
        <f t="shared" ref="P835:P898" si="80">N835*E835</f>
        <v>82.339999999999989</v>
      </c>
      <c r="Q835">
        <f t="shared" ref="Q835:Q898" si="81">O835*E835</f>
        <v>77.399599999999992</v>
      </c>
      <c r="R835">
        <f t="shared" ref="R835:R898" si="82">P835-Q835</f>
        <v>4.9403999999999968</v>
      </c>
      <c r="S835" s="4">
        <f t="shared" ref="S835:S898" si="83">R835/P835</f>
        <v>5.999999999999997E-2</v>
      </c>
      <c r="T835" t="str">
        <f>_xlfn.XLOOKUP(C835,customers!$A$1:$A$1001,customers!$I$1:$I$1001,,0)</f>
        <v>Yes</v>
      </c>
    </row>
    <row r="836" spans="1:20"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INDEX(products!$A$1:$I$49,MATCH(orders!$D836,products!$A$1:$A$49,0),MATCH(orders!I$1,products!$A$1:$D$1,0))</f>
        <v>Ara</v>
      </c>
      <c r="J836" t="str">
        <f t="shared" si="78"/>
        <v>Arabica</v>
      </c>
      <c r="K836" t="str">
        <f>INDEX(products!$A$1:$I$49,MATCH(orders!$D836,products!$A$1:$A$49,0),MATCH(orders!K$1,products!$A$1:$D$1,0))</f>
        <v>D</v>
      </c>
      <c r="L836" t="str">
        <f t="shared" si="79"/>
        <v>Dark</v>
      </c>
      <c r="M836">
        <f>INDEX(products!$A$1:$I$49,MATCH(orders!$D836,products!$A$1:$A$49,0),MATCH(orders!M$1,products!$A$1:$D$1,0))</f>
        <v>2.5</v>
      </c>
      <c r="N836">
        <f>_xlfn.XLOOKUP(D836,products!$A$2:$A$49,products!$E$2:$E$49)</f>
        <v>22.884999999999998</v>
      </c>
      <c r="O836">
        <f>_xlfn.XLOOKUP(D836,products!$A$2:$A$49,products!$H$2:$H$49)</f>
        <v>20.82535</v>
      </c>
      <c r="P836">
        <f t="shared" si="80"/>
        <v>22.884999999999998</v>
      </c>
      <c r="Q836">
        <f t="shared" si="81"/>
        <v>20.82535</v>
      </c>
      <c r="R836">
        <f t="shared" si="82"/>
        <v>2.0596499999999978</v>
      </c>
      <c r="S836" s="4">
        <f t="shared" si="83"/>
        <v>8.9999999999999913E-2</v>
      </c>
      <c r="T836" t="str">
        <f>_xlfn.XLOOKUP(C836,customers!$A$1:$A$1001,customers!$I$1:$I$1001,,0)</f>
        <v>No</v>
      </c>
    </row>
    <row r="837" spans="1:20"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INDEX(products!$A$1:$I$49,MATCH(orders!$D837,products!$A$1:$A$49,0),MATCH(orders!I$1,products!$A$1:$D$1,0))</f>
        <v>Exc</v>
      </c>
      <c r="J837" t="str">
        <f t="shared" si="78"/>
        <v>Excelsa</v>
      </c>
      <c r="K837" t="str">
        <f>INDEX(products!$A$1:$I$49,MATCH(orders!$D837,products!$A$1:$A$49,0),MATCH(orders!K$1,products!$A$1:$D$1,0))</f>
        <v>L</v>
      </c>
      <c r="L837" t="str">
        <f t="shared" si="79"/>
        <v>Light</v>
      </c>
      <c r="M837">
        <f>INDEX(products!$A$1:$I$49,MATCH(orders!$D837,products!$A$1:$A$49,0),MATCH(orders!M$1,products!$A$1:$D$1,0))</f>
        <v>0.5</v>
      </c>
      <c r="N837">
        <f>_xlfn.XLOOKUP(D837,products!$A$2:$A$49,products!$E$2:$E$49)</f>
        <v>8.91</v>
      </c>
      <c r="O837">
        <f>_xlfn.XLOOKUP(D837,products!$A$2:$A$49,products!$H$2:$H$49)</f>
        <v>7.9298999999999999</v>
      </c>
      <c r="P837">
        <f t="shared" si="80"/>
        <v>8.91</v>
      </c>
      <c r="Q837">
        <f t="shared" si="81"/>
        <v>7.9298999999999999</v>
      </c>
      <c r="R837">
        <f t="shared" si="82"/>
        <v>0.98010000000000019</v>
      </c>
      <c r="S837" s="4">
        <f t="shared" si="83"/>
        <v>0.11000000000000001</v>
      </c>
      <c r="T837" t="str">
        <f>_xlfn.XLOOKUP(C837,customers!$A$1:$A$1001,customers!$I$1:$I$1001,,0)</f>
        <v>Yes</v>
      </c>
    </row>
    <row r="838" spans="1:20"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INDEX(products!$A$1:$I$49,MATCH(orders!$D838,products!$A$1:$A$49,0),MATCH(orders!I$1,products!$A$1:$D$1,0))</f>
        <v>Ara</v>
      </c>
      <c r="J838" t="str">
        <f t="shared" si="78"/>
        <v>Arabica</v>
      </c>
      <c r="K838" t="str">
        <f>INDEX(products!$A$1:$I$49,MATCH(orders!$D838,products!$A$1:$A$49,0),MATCH(orders!K$1,products!$A$1:$D$1,0))</f>
        <v>D</v>
      </c>
      <c r="L838" t="str">
        <f t="shared" si="79"/>
        <v>Dark</v>
      </c>
      <c r="M838">
        <f>INDEX(products!$A$1:$I$49,MATCH(orders!$D838,products!$A$1:$A$49,0),MATCH(orders!M$1,products!$A$1:$D$1,0))</f>
        <v>0.2</v>
      </c>
      <c r="N838">
        <f>_xlfn.XLOOKUP(D838,products!$A$2:$A$49,products!$E$2:$E$49)</f>
        <v>2.9849999999999999</v>
      </c>
      <c r="O838">
        <f>_xlfn.XLOOKUP(D838,products!$A$2:$A$49,products!$H$2:$H$49)</f>
        <v>2.7163499999999998</v>
      </c>
      <c r="P838">
        <f t="shared" si="80"/>
        <v>11.94</v>
      </c>
      <c r="Q838">
        <f t="shared" si="81"/>
        <v>10.865399999999999</v>
      </c>
      <c r="R838">
        <f t="shared" si="82"/>
        <v>1.0746000000000002</v>
      </c>
      <c r="S838" s="4">
        <f t="shared" si="83"/>
        <v>9.0000000000000024E-2</v>
      </c>
      <c r="T838" t="str">
        <f>_xlfn.XLOOKUP(C838,customers!$A$1:$A$1001,customers!$I$1:$I$1001,,0)</f>
        <v>No</v>
      </c>
    </row>
    <row r="839" spans="1:20"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v>
      </c>
      <c r="H839" s="2" t="str">
        <f>_xlfn.XLOOKUP(C839,customers!$A$1:$A$1001,customers!$G$1:$G$1001,,0)</f>
        <v>United States</v>
      </c>
      <c r="I839" t="str">
        <f>INDEX(products!$A$1:$I$49,MATCH(orders!$D839,products!$A$1:$A$49,0),MATCH(orders!I$1,products!$A$1:$D$1,0))</f>
        <v>Lib</v>
      </c>
      <c r="J839" t="str">
        <f t="shared" si="78"/>
        <v>Liberica</v>
      </c>
      <c r="K839" t="str">
        <f>INDEX(products!$A$1:$I$49,MATCH(orders!$D839,products!$A$1:$A$49,0),MATCH(orders!K$1,products!$A$1:$D$1,0))</f>
        <v>M</v>
      </c>
      <c r="L839" t="str">
        <f t="shared" si="79"/>
        <v>Medium</v>
      </c>
      <c r="M839">
        <f>INDEX(products!$A$1:$I$49,MATCH(orders!$D839,products!$A$1:$A$49,0),MATCH(orders!M$1,products!$A$1:$D$1,0))</f>
        <v>2.5</v>
      </c>
      <c r="N839">
        <f>_xlfn.XLOOKUP(D839,products!$A$2:$A$49,products!$E$2:$E$49)</f>
        <v>33.464999999999996</v>
      </c>
      <c r="O839">
        <f>_xlfn.XLOOKUP(D839,products!$A$2:$A$49,products!$H$2:$H$49)</f>
        <v>29.114549999999998</v>
      </c>
      <c r="P839">
        <f t="shared" si="80"/>
        <v>100.39499999999998</v>
      </c>
      <c r="Q839">
        <f t="shared" si="81"/>
        <v>87.343649999999997</v>
      </c>
      <c r="R839">
        <f t="shared" si="82"/>
        <v>13.051349999999985</v>
      </c>
      <c r="S839" s="4">
        <f t="shared" si="83"/>
        <v>0.12999999999999987</v>
      </c>
      <c r="T839" t="str">
        <f>_xlfn.XLOOKUP(C839,customers!$A$1:$A$1001,customers!$I$1:$I$1001,,0)</f>
        <v>No</v>
      </c>
    </row>
    <row r="840" spans="1:20"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INDEX(products!$A$1:$I$49,MATCH(orders!$D840,products!$A$1:$A$49,0),MATCH(orders!I$1,products!$A$1:$D$1,0))</f>
        <v>Ara</v>
      </c>
      <c r="J840" t="str">
        <f t="shared" si="78"/>
        <v>Arabica</v>
      </c>
      <c r="K840" t="str">
        <f>INDEX(products!$A$1:$I$49,MATCH(orders!$D840,products!$A$1:$A$49,0),MATCH(orders!K$1,products!$A$1:$D$1,0))</f>
        <v>D</v>
      </c>
      <c r="L840" t="str">
        <f t="shared" si="79"/>
        <v>Dark</v>
      </c>
      <c r="M840">
        <f>INDEX(products!$A$1:$I$49,MATCH(orders!$D840,products!$A$1:$A$49,0),MATCH(orders!M$1,products!$A$1:$D$1,0))</f>
        <v>2.5</v>
      </c>
      <c r="N840">
        <f>_xlfn.XLOOKUP(D840,products!$A$2:$A$49,products!$E$2:$E$49)</f>
        <v>22.884999999999998</v>
      </c>
      <c r="O840">
        <f>_xlfn.XLOOKUP(D840,products!$A$2:$A$49,products!$H$2:$H$49)</f>
        <v>20.82535</v>
      </c>
      <c r="P840">
        <f t="shared" si="80"/>
        <v>114.42499999999998</v>
      </c>
      <c r="Q840">
        <f t="shared" si="81"/>
        <v>104.12675</v>
      </c>
      <c r="R840">
        <f t="shared" si="82"/>
        <v>10.298249999999982</v>
      </c>
      <c r="S840" s="4">
        <f t="shared" si="83"/>
        <v>8.9999999999999858E-2</v>
      </c>
      <c r="T840" t="str">
        <f>_xlfn.XLOOKUP(C840,customers!$A$1:$A$1001,customers!$I$1:$I$1001,,0)</f>
        <v>No</v>
      </c>
    </row>
    <row r="841" spans="1:20"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INDEX(products!$A$1:$I$49,MATCH(orders!$D841,products!$A$1:$A$49,0),MATCH(orders!I$1,products!$A$1:$D$1,0))</f>
        <v>Exc</v>
      </c>
      <c r="J841" t="str">
        <f t="shared" si="78"/>
        <v>Excelsa</v>
      </c>
      <c r="K841" t="str">
        <f>INDEX(products!$A$1:$I$49,MATCH(orders!$D841,products!$A$1:$A$49,0),MATCH(orders!K$1,products!$A$1:$D$1,0))</f>
        <v>M</v>
      </c>
      <c r="L841" t="str">
        <f t="shared" si="79"/>
        <v>Medium</v>
      </c>
      <c r="M841">
        <f>INDEX(products!$A$1:$I$49,MATCH(orders!$D841,products!$A$1:$A$49,0),MATCH(orders!M$1,products!$A$1:$D$1,0))</f>
        <v>0.5</v>
      </c>
      <c r="N841">
        <f>_xlfn.XLOOKUP(D841,products!$A$2:$A$49,products!$E$2:$E$49)</f>
        <v>8.25</v>
      </c>
      <c r="O841">
        <f>_xlfn.XLOOKUP(D841,products!$A$2:$A$49,products!$H$2:$H$49)</f>
        <v>7.3425000000000002</v>
      </c>
      <c r="P841">
        <f t="shared" si="80"/>
        <v>41.25</v>
      </c>
      <c r="Q841">
        <f t="shared" si="81"/>
        <v>36.712499999999999</v>
      </c>
      <c r="R841">
        <f t="shared" si="82"/>
        <v>4.5375000000000014</v>
      </c>
      <c r="S841" s="4">
        <f t="shared" si="83"/>
        <v>0.11000000000000003</v>
      </c>
      <c r="T841" t="str">
        <f>_xlfn.XLOOKUP(C841,customers!$A$1:$A$1001,customers!$I$1:$I$1001,,0)</f>
        <v>No</v>
      </c>
    </row>
    <row r="842" spans="1:20"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INDEX(products!$A$1:$I$49,MATCH(orders!$D842,products!$A$1:$A$49,0),MATCH(orders!I$1,products!$A$1:$D$1,0))</f>
        <v>Rob</v>
      </c>
      <c r="J842" t="str">
        <f t="shared" si="78"/>
        <v>Robusta</v>
      </c>
      <c r="K842" t="str">
        <f>INDEX(products!$A$1:$I$49,MATCH(orders!$D842,products!$A$1:$A$49,0),MATCH(orders!K$1,products!$A$1:$D$1,0))</f>
        <v>L</v>
      </c>
      <c r="L842" t="str">
        <f t="shared" si="79"/>
        <v>Light</v>
      </c>
      <c r="M842">
        <f>INDEX(products!$A$1:$I$49,MATCH(orders!$D842,products!$A$1:$A$49,0),MATCH(orders!M$1,products!$A$1:$D$1,0))</f>
        <v>0.5</v>
      </c>
      <c r="N842">
        <f>_xlfn.XLOOKUP(D842,products!$A$2:$A$49,products!$E$2:$E$49)</f>
        <v>7.169999999999999</v>
      </c>
      <c r="O842">
        <f>_xlfn.XLOOKUP(D842,products!$A$2:$A$49,products!$H$2:$H$49)</f>
        <v>6.7397999999999989</v>
      </c>
      <c r="P842">
        <f t="shared" si="80"/>
        <v>28.679999999999996</v>
      </c>
      <c r="Q842">
        <f t="shared" si="81"/>
        <v>26.959199999999996</v>
      </c>
      <c r="R842">
        <f t="shared" si="82"/>
        <v>1.7208000000000006</v>
      </c>
      <c r="S842" s="4">
        <f t="shared" si="83"/>
        <v>6.0000000000000026E-2</v>
      </c>
      <c r="T842" t="str">
        <f>_xlfn.XLOOKUP(C842,customers!$A$1:$A$1001,customers!$I$1:$I$1001,,0)</f>
        <v>Yes</v>
      </c>
    </row>
    <row r="843" spans="1:20"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INDEX(products!$A$1:$I$49,MATCH(orders!$D843,products!$A$1:$A$49,0),MATCH(orders!I$1,products!$A$1:$D$1,0))</f>
        <v>Lib</v>
      </c>
      <c r="J843" t="str">
        <f t="shared" si="78"/>
        <v>Liberica</v>
      </c>
      <c r="K843" t="str">
        <f>INDEX(products!$A$1:$I$49,MATCH(orders!$D843,products!$A$1:$A$49,0),MATCH(orders!K$1,products!$A$1:$D$1,0))</f>
        <v>M</v>
      </c>
      <c r="L843" t="str">
        <f t="shared" si="79"/>
        <v>Medium</v>
      </c>
      <c r="M843">
        <f>INDEX(products!$A$1:$I$49,MATCH(orders!$D843,products!$A$1:$A$49,0),MATCH(orders!M$1,products!$A$1:$D$1,0))</f>
        <v>0.2</v>
      </c>
      <c r="N843">
        <f>_xlfn.XLOOKUP(D843,products!$A$2:$A$49,products!$E$2:$E$49)</f>
        <v>4.3650000000000002</v>
      </c>
      <c r="O843">
        <f>_xlfn.XLOOKUP(D843,products!$A$2:$A$49,products!$H$2:$H$49)</f>
        <v>3.7975500000000002</v>
      </c>
      <c r="P843">
        <f t="shared" si="80"/>
        <v>4.3650000000000002</v>
      </c>
      <c r="Q843">
        <f t="shared" si="81"/>
        <v>3.7975500000000002</v>
      </c>
      <c r="R843">
        <f t="shared" si="82"/>
        <v>0.56745000000000001</v>
      </c>
      <c r="S843" s="4">
        <f t="shared" si="83"/>
        <v>0.13</v>
      </c>
      <c r="T843" t="str">
        <f>_xlfn.XLOOKUP(C843,customers!$A$1:$A$1001,customers!$I$1:$I$1001,,0)</f>
        <v>No</v>
      </c>
    </row>
    <row r="844" spans="1:20"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INDEX(products!$A$1:$I$49,MATCH(orders!$D844,products!$A$1:$A$49,0),MATCH(orders!I$1,products!$A$1:$D$1,0))</f>
        <v>Exc</v>
      </c>
      <c r="J844" t="str">
        <f t="shared" si="78"/>
        <v>Excelsa</v>
      </c>
      <c r="K844" t="str">
        <f>INDEX(products!$A$1:$I$49,MATCH(orders!$D844,products!$A$1:$A$49,0),MATCH(orders!K$1,products!$A$1:$D$1,0))</f>
        <v>M</v>
      </c>
      <c r="L844" t="str">
        <f t="shared" si="79"/>
        <v>Medium</v>
      </c>
      <c r="M844">
        <f>INDEX(products!$A$1:$I$49,MATCH(orders!$D844,products!$A$1:$A$49,0),MATCH(orders!M$1,products!$A$1:$D$1,0))</f>
        <v>0.2</v>
      </c>
      <c r="N844">
        <f>_xlfn.XLOOKUP(D844,products!$A$2:$A$49,products!$E$2:$E$49)</f>
        <v>4.125</v>
      </c>
      <c r="O844">
        <f>_xlfn.XLOOKUP(D844,products!$A$2:$A$49,products!$H$2:$H$49)</f>
        <v>3.6712500000000001</v>
      </c>
      <c r="P844">
        <f t="shared" si="80"/>
        <v>8.25</v>
      </c>
      <c r="Q844">
        <f t="shared" si="81"/>
        <v>7.3425000000000002</v>
      </c>
      <c r="R844">
        <f t="shared" si="82"/>
        <v>0.90749999999999975</v>
      </c>
      <c r="S844" s="4">
        <f t="shared" si="83"/>
        <v>0.10999999999999997</v>
      </c>
      <c r="T844" t="str">
        <f>_xlfn.XLOOKUP(C844,customers!$A$1:$A$1001,customers!$I$1:$I$1001,,0)</f>
        <v>Yes</v>
      </c>
    </row>
    <row r="845" spans="1:20"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INDEX(products!$A$1:$I$49,MATCH(orders!$D845,products!$A$1:$A$49,0),MATCH(orders!I$1,products!$A$1:$D$1,0))</f>
        <v>Exc</v>
      </c>
      <c r="J845" t="str">
        <f t="shared" si="78"/>
        <v>Excelsa</v>
      </c>
      <c r="K845" t="str">
        <f>INDEX(products!$A$1:$I$49,MATCH(orders!$D845,products!$A$1:$A$49,0),MATCH(orders!K$1,products!$A$1:$D$1,0))</f>
        <v>M</v>
      </c>
      <c r="L845" t="str">
        <f t="shared" si="79"/>
        <v>Medium</v>
      </c>
      <c r="M845">
        <f>INDEX(products!$A$1:$I$49,MATCH(orders!$D845,products!$A$1:$A$49,0),MATCH(orders!M$1,products!$A$1:$D$1,0))</f>
        <v>0.2</v>
      </c>
      <c r="N845">
        <f>_xlfn.XLOOKUP(D845,products!$A$2:$A$49,products!$E$2:$E$49)</f>
        <v>4.125</v>
      </c>
      <c r="O845">
        <f>_xlfn.XLOOKUP(D845,products!$A$2:$A$49,products!$H$2:$H$49)</f>
        <v>3.6712500000000001</v>
      </c>
      <c r="P845">
        <f t="shared" si="80"/>
        <v>8.25</v>
      </c>
      <c r="Q845">
        <f t="shared" si="81"/>
        <v>7.3425000000000002</v>
      </c>
      <c r="R845">
        <f t="shared" si="82"/>
        <v>0.90749999999999975</v>
      </c>
      <c r="S845" s="4">
        <f t="shared" si="83"/>
        <v>0.10999999999999997</v>
      </c>
      <c r="T845" t="str">
        <f>_xlfn.XLOOKUP(C845,customers!$A$1:$A$1001,customers!$I$1:$I$1001,,0)</f>
        <v>Yes</v>
      </c>
    </row>
    <row r="846" spans="1:20"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INDEX(products!$A$1:$I$49,MATCH(orders!$D846,products!$A$1:$A$49,0),MATCH(orders!I$1,products!$A$1:$D$1,0))</f>
        <v>Ara</v>
      </c>
      <c r="J846" t="str">
        <f t="shared" si="78"/>
        <v>Arabica</v>
      </c>
      <c r="K846" t="str">
        <f>INDEX(products!$A$1:$I$49,MATCH(orders!$D846,products!$A$1:$A$49,0),MATCH(orders!K$1,products!$A$1:$D$1,0))</f>
        <v>D</v>
      </c>
      <c r="L846" t="str">
        <f t="shared" si="79"/>
        <v>Dark</v>
      </c>
      <c r="M846">
        <f>INDEX(products!$A$1:$I$49,MATCH(orders!$D846,products!$A$1:$A$49,0),MATCH(orders!M$1,products!$A$1:$D$1,0))</f>
        <v>0.5</v>
      </c>
      <c r="N846">
        <f>_xlfn.XLOOKUP(D846,products!$A$2:$A$49,products!$E$2:$E$49)</f>
        <v>5.97</v>
      </c>
      <c r="O846">
        <f>_xlfn.XLOOKUP(D846,products!$A$2:$A$49,products!$H$2:$H$49)</f>
        <v>5.4326999999999996</v>
      </c>
      <c r="P846">
        <f t="shared" si="80"/>
        <v>35.82</v>
      </c>
      <c r="Q846">
        <f t="shared" si="81"/>
        <v>32.596199999999996</v>
      </c>
      <c r="R846">
        <f t="shared" si="82"/>
        <v>3.2238000000000042</v>
      </c>
      <c r="S846" s="4">
        <f t="shared" si="83"/>
        <v>9.0000000000000122E-2</v>
      </c>
      <c r="T846" t="str">
        <f>_xlfn.XLOOKUP(C846,customers!$A$1:$A$1001,customers!$I$1:$I$1001,,0)</f>
        <v>Yes</v>
      </c>
    </row>
    <row r="847" spans="1:20"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INDEX(products!$A$1:$I$49,MATCH(orders!$D847,products!$A$1:$A$49,0),MATCH(orders!I$1,products!$A$1:$D$1,0))</f>
        <v>Exc</v>
      </c>
      <c r="J847" t="str">
        <f t="shared" si="78"/>
        <v>Excelsa</v>
      </c>
      <c r="K847" t="str">
        <f>INDEX(products!$A$1:$I$49,MATCH(orders!$D847,products!$A$1:$A$49,0),MATCH(orders!K$1,products!$A$1:$D$1,0))</f>
        <v>D</v>
      </c>
      <c r="L847" t="str">
        <f t="shared" si="79"/>
        <v>Dark</v>
      </c>
      <c r="M847">
        <f>INDEX(products!$A$1:$I$49,MATCH(orders!$D847,products!$A$1:$A$49,0),MATCH(orders!M$1,products!$A$1:$D$1,0))</f>
        <v>2.5</v>
      </c>
      <c r="N847">
        <f>_xlfn.XLOOKUP(D847,products!$A$2:$A$49,products!$E$2:$E$49)</f>
        <v>27.945</v>
      </c>
      <c r="O847">
        <f>_xlfn.XLOOKUP(D847,products!$A$2:$A$49,products!$H$2:$H$49)</f>
        <v>24.87105</v>
      </c>
      <c r="P847">
        <f t="shared" si="80"/>
        <v>167.67000000000002</v>
      </c>
      <c r="Q847">
        <f t="shared" si="81"/>
        <v>149.22630000000001</v>
      </c>
      <c r="R847">
        <f t="shared" si="82"/>
        <v>18.443700000000007</v>
      </c>
      <c r="S847" s="4">
        <f t="shared" si="83"/>
        <v>0.11000000000000003</v>
      </c>
      <c r="T847" t="str">
        <f>_xlfn.XLOOKUP(C847,customers!$A$1:$A$1001,customers!$I$1:$I$1001,,0)</f>
        <v>No</v>
      </c>
    </row>
    <row r="848" spans="1:20"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v>
      </c>
      <c r="H848" s="2" t="str">
        <f>_xlfn.XLOOKUP(C848,customers!$A$1:$A$1001,customers!$G$1:$G$1001,,0)</f>
        <v>United States</v>
      </c>
      <c r="I848" t="str">
        <f>INDEX(products!$A$1:$I$49,MATCH(orders!$D848,products!$A$1:$A$49,0),MATCH(orders!I$1,products!$A$1:$D$1,0))</f>
        <v>Ara</v>
      </c>
      <c r="J848" t="str">
        <f t="shared" si="78"/>
        <v>Arabica</v>
      </c>
      <c r="K848" t="str">
        <f>INDEX(products!$A$1:$I$49,MATCH(orders!$D848,products!$A$1:$A$49,0),MATCH(orders!K$1,products!$A$1:$D$1,0))</f>
        <v>M</v>
      </c>
      <c r="L848" t="str">
        <f t="shared" si="79"/>
        <v>Medium</v>
      </c>
      <c r="M848">
        <f>INDEX(products!$A$1:$I$49,MATCH(orders!$D848,products!$A$1:$A$49,0),MATCH(orders!M$1,products!$A$1:$D$1,0))</f>
        <v>2.5</v>
      </c>
      <c r="N848">
        <f>_xlfn.XLOOKUP(D848,products!$A$2:$A$49,products!$E$2:$E$49)</f>
        <v>25.874999999999996</v>
      </c>
      <c r="O848">
        <f>_xlfn.XLOOKUP(D848,products!$A$2:$A$49,products!$H$2:$H$49)</f>
        <v>23.546249999999997</v>
      </c>
      <c r="P848">
        <f t="shared" si="80"/>
        <v>51.749999999999993</v>
      </c>
      <c r="Q848">
        <f t="shared" si="81"/>
        <v>47.092499999999994</v>
      </c>
      <c r="R848">
        <f t="shared" si="82"/>
        <v>4.6574999999999989</v>
      </c>
      <c r="S848" s="4">
        <f t="shared" si="83"/>
        <v>0.09</v>
      </c>
      <c r="T848" t="str">
        <f>_xlfn.XLOOKUP(C848,customers!$A$1:$A$1001,customers!$I$1:$I$1001,,0)</f>
        <v>Yes</v>
      </c>
    </row>
    <row r="849" spans="1:20"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INDEX(products!$A$1:$I$49,MATCH(orders!$D849,products!$A$1:$A$49,0),MATCH(orders!I$1,products!$A$1:$D$1,0))</f>
        <v>Ara</v>
      </c>
      <c r="J849" t="str">
        <f t="shared" si="78"/>
        <v>Arabica</v>
      </c>
      <c r="K849" t="str">
        <f>INDEX(products!$A$1:$I$49,MATCH(orders!$D849,products!$A$1:$A$49,0),MATCH(orders!K$1,products!$A$1:$D$1,0))</f>
        <v>D</v>
      </c>
      <c r="L849" t="str">
        <f t="shared" si="79"/>
        <v>Dark</v>
      </c>
      <c r="M849">
        <f>INDEX(products!$A$1:$I$49,MATCH(orders!$D849,products!$A$1:$A$49,0),MATCH(orders!M$1,products!$A$1:$D$1,0))</f>
        <v>0.2</v>
      </c>
      <c r="N849">
        <f>_xlfn.XLOOKUP(D849,products!$A$2:$A$49,products!$E$2:$E$49)</f>
        <v>2.9849999999999999</v>
      </c>
      <c r="O849">
        <f>_xlfn.XLOOKUP(D849,products!$A$2:$A$49,products!$H$2:$H$49)</f>
        <v>2.7163499999999998</v>
      </c>
      <c r="P849">
        <f t="shared" si="80"/>
        <v>8.9550000000000001</v>
      </c>
      <c r="Q849">
        <f t="shared" si="81"/>
        <v>8.149049999999999</v>
      </c>
      <c r="R849">
        <f t="shared" si="82"/>
        <v>0.80595000000000105</v>
      </c>
      <c r="S849" s="4">
        <f t="shared" si="83"/>
        <v>9.0000000000000122E-2</v>
      </c>
      <c r="T849" t="str">
        <f>_xlfn.XLOOKUP(C849,customers!$A$1:$A$1001,customers!$I$1:$I$1001,,0)</f>
        <v>Yes</v>
      </c>
    </row>
    <row r="850" spans="1:20"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v>
      </c>
      <c r="H850" s="2" t="str">
        <f>_xlfn.XLOOKUP(C850,customers!$A$1:$A$1001,customers!$G$1:$G$1001,,0)</f>
        <v>United States</v>
      </c>
      <c r="I850" t="str">
        <f>INDEX(products!$A$1:$I$49,MATCH(orders!$D850,products!$A$1:$A$49,0),MATCH(orders!I$1,products!$A$1:$D$1,0))</f>
        <v>Exc</v>
      </c>
      <c r="J850" t="str">
        <f t="shared" si="78"/>
        <v>Excelsa</v>
      </c>
      <c r="K850" t="str">
        <f>INDEX(products!$A$1:$I$49,MATCH(orders!$D850,products!$A$1:$A$49,0),MATCH(orders!K$1,products!$A$1:$D$1,0))</f>
        <v>L</v>
      </c>
      <c r="L850" t="str">
        <f t="shared" si="79"/>
        <v>Light</v>
      </c>
      <c r="M850">
        <f>INDEX(products!$A$1:$I$49,MATCH(orders!$D850,products!$A$1:$A$49,0),MATCH(orders!M$1,products!$A$1:$D$1,0))</f>
        <v>0.5</v>
      </c>
      <c r="N850">
        <f>_xlfn.XLOOKUP(D850,products!$A$2:$A$49,products!$E$2:$E$49)</f>
        <v>8.91</v>
      </c>
      <c r="O850">
        <f>_xlfn.XLOOKUP(D850,products!$A$2:$A$49,products!$H$2:$H$49)</f>
        <v>7.9298999999999999</v>
      </c>
      <c r="P850">
        <f t="shared" si="80"/>
        <v>53.46</v>
      </c>
      <c r="Q850">
        <f t="shared" si="81"/>
        <v>47.5794</v>
      </c>
      <c r="R850">
        <f t="shared" si="82"/>
        <v>5.8806000000000012</v>
      </c>
      <c r="S850" s="4">
        <f t="shared" si="83"/>
        <v>0.11000000000000001</v>
      </c>
      <c r="T850" t="str">
        <f>_xlfn.XLOOKUP(C850,customers!$A$1:$A$1001,customers!$I$1:$I$1001,,0)</f>
        <v>No</v>
      </c>
    </row>
    <row r="851" spans="1:20"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INDEX(products!$A$1:$I$49,MATCH(orders!$D851,products!$A$1:$A$49,0),MATCH(orders!I$1,products!$A$1:$D$1,0))</f>
        <v>Ara</v>
      </c>
      <c r="J851" t="str">
        <f t="shared" si="78"/>
        <v>Arabica</v>
      </c>
      <c r="K851" t="str">
        <f>INDEX(products!$A$1:$I$49,MATCH(orders!$D851,products!$A$1:$A$49,0),MATCH(orders!K$1,products!$A$1:$D$1,0))</f>
        <v>L</v>
      </c>
      <c r="L851" t="str">
        <f t="shared" si="79"/>
        <v>Light</v>
      </c>
      <c r="M851">
        <f>INDEX(products!$A$1:$I$49,MATCH(orders!$D851,products!$A$1:$A$49,0),MATCH(orders!M$1,products!$A$1:$D$1,0))</f>
        <v>0.2</v>
      </c>
      <c r="N851">
        <f>_xlfn.XLOOKUP(D851,products!$A$2:$A$49,products!$E$2:$E$49)</f>
        <v>3.8849999999999998</v>
      </c>
      <c r="O851">
        <f>_xlfn.XLOOKUP(D851,products!$A$2:$A$49,products!$H$2:$H$49)</f>
        <v>3.5353499999999998</v>
      </c>
      <c r="P851">
        <f t="shared" si="80"/>
        <v>23.31</v>
      </c>
      <c r="Q851">
        <f t="shared" si="81"/>
        <v>21.2121</v>
      </c>
      <c r="R851">
        <f t="shared" si="82"/>
        <v>2.0978999999999992</v>
      </c>
      <c r="S851" s="4">
        <f t="shared" si="83"/>
        <v>8.9999999999999969E-2</v>
      </c>
      <c r="T851" t="str">
        <f>_xlfn.XLOOKUP(C851,customers!$A$1:$A$1001,customers!$I$1:$I$1001,,0)</f>
        <v>Yes</v>
      </c>
    </row>
    <row r="852" spans="1:20"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INDEX(products!$A$1:$I$49,MATCH(orders!$D852,products!$A$1:$A$49,0),MATCH(orders!I$1,products!$A$1:$D$1,0))</f>
        <v>Ara</v>
      </c>
      <c r="J852" t="str">
        <f t="shared" si="78"/>
        <v>Arabica</v>
      </c>
      <c r="K852" t="str">
        <f>INDEX(products!$A$1:$I$49,MATCH(orders!$D852,products!$A$1:$A$49,0),MATCH(orders!K$1,products!$A$1:$D$1,0))</f>
        <v>M</v>
      </c>
      <c r="L852" t="str">
        <f t="shared" si="79"/>
        <v>Medium</v>
      </c>
      <c r="M852">
        <f>INDEX(products!$A$1:$I$49,MATCH(orders!$D852,products!$A$1:$A$49,0),MATCH(orders!M$1,products!$A$1:$D$1,0))</f>
        <v>0.2</v>
      </c>
      <c r="N852">
        <f>_xlfn.XLOOKUP(D852,products!$A$2:$A$49,products!$E$2:$E$49)</f>
        <v>3.375</v>
      </c>
      <c r="O852">
        <f>_xlfn.XLOOKUP(D852,products!$A$2:$A$49,products!$H$2:$H$49)</f>
        <v>3.07125</v>
      </c>
      <c r="P852">
        <f t="shared" si="80"/>
        <v>6.75</v>
      </c>
      <c r="Q852">
        <f t="shared" si="81"/>
        <v>6.1425000000000001</v>
      </c>
      <c r="R852">
        <f t="shared" si="82"/>
        <v>0.60749999999999993</v>
      </c>
      <c r="S852" s="4">
        <f t="shared" si="83"/>
        <v>8.9999999999999983E-2</v>
      </c>
      <c r="T852" t="str">
        <f>_xlfn.XLOOKUP(C852,customers!$A$1:$A$1001,customers!$I$1:$I$1001,,0)</f>
        <v>Yes</v>
      </c>
    </row>
    <row r="853" spans="1:20"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INDEX(products!$A$1:$I$49,MATCH(orders!$D853,products!$A$1:$A$49,0),MATCH(orders!I$1,products!$A$1:$D$1,0))</f>
        <v>Lib</v>
      </c>
      <c r="J853" t="str">
        <f t="shared" si="78"/>
        <v>Liberica</v>
      </c>
      <c r="K853" t="str">
        <f>INDEX(products!$A$1:$I$49,MATCH(orders!$D853,products!$A$1:$A$49,0),MATCH(orders!K$1,products!$A$1:$D$1,0))</f>
        <v>D</v>
      </c>
      <c r="L853" t="str">
        <f t="shared" si="79"/>
        <v>Dark</v>
      </c>
      <c r="M853">
        <f>INDEX(products!$A$1:$I$49,MATCH(orders!$D853,products!$A$1:$A$49,0),MATCH(orders!M$1,products!$A$1:$D$1,0))</f>
        <v>0.5</v>
      </c>
      <c r="N853">
        <f>_xlfn.XLOOKUP(D853,products!$A$2:$A$49,products!$E$2:$E$49)</f>
        <v>7.77</v>
      </c>
      <c r="O853">
        <f>_xlfn.XLOOKUP(D853,products!$A$2:$A$49,products!$H$2:$H$49)</f>
        <v>6.7599</v>
      </c>
      <c r="P853">
        <f t="shared" si="80"/>
        <v>7.77</v>
      </c>
      <c r="Q853">
        <f t="shared" si="81"/>
        <v>6.7599</v>
      </c>
      <c r="R853">
        <f t="shared" si="82"/>
        <v>1.0100999999999996</v>
      </c>
      <c r="S853" s="4">
        <f t="shared" si="83"/>
        <v>0.12999999999999995</v>
      </c>
      <c r="T853" t="str">
        <f>_xlfn.XLOOKUP(C853,customers!$A$1:$A$1001,customers!$I$1:$I$1001,,0)</f>
        <v>Yes</v>
      </c>
    </row>
    <row r="854" spans="1:20"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INDEX(products!$A$1:$I$49,MATCH(orders!$D854,products!$A$1:$A$49,0),MATCH(orders!I$1,products!$A$1:$D$1,0))</f>
        <v>Lib</v>
      </c>
      <c r="J854" t="str">
        <f t="shared" si="78"/>
        <v>Liberica</v>
      </c>
      <c r="K854" t="str">
        <f>INDEX(products!$A$1:$I$49,MATCH(orders!$D854,products!$A$1:$A$49,0),MATCH(orders!K$1,products!$A$1:$D$1,0))</f>
        <v>D</v>
      </c>
      <c r="L854" t="str">
        <f t="shared" si="79"/>
        <v>Dark</v>
      </c>
      <c r="M854">
        <f>INDEX(products!$A$1:$I$49,MATCH(orders!$D854,products!$A$1:$A$49,0),MATCH(orders!M$1,products!$A$1:$D$1,0))</f>
        <v>2.5</v>
      </c>
      <c r="N854">
        <f>_xlfn.XLOOKUP(D854,products!$A$2:$A$49,products!$E$2:$E$49)</f>
        <v>29.784999999999997</v>
      </c>
      <c r="O854">
        <f>_xlfn.XLOOKUP(D854,products!$A$2:$A$49,products!$H$2:$H$49)</f>
        <v>25.912949999999995</v>
      </c>
      <c r="P854">
        <f t="shared" si="80"/>
        <v>119.13999999999999</v>
      </c>
      <c r="Q854">
        <f t="shared" si="81"/>
        <v>103.65179999999998</v>
      </c>
      <c r="R854">
        <f t="shared" si="82"/>
        <v>15.488200000000006</v>
      </c>
      <c r="S854" s="4">
        <f t="shared" si="83"/>
        <v>0.13000000000000006</v>
      </c>
      <c r="T854" t="str">
        <f>_xlfn.XLOOKUP(C854,customers!$A$1:$A$1001,customers!$I$1:$I$1001,,0)</f>
        <v>Yes</v>
      </c>
    </row>
    <row r="855" spans="1:20"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INDEX(products!$A$1:$I$49,MATCH(orders!$D855,products!$A$1:$A$49,0),MATCH(orders!I$1,products!$A$1:$D$1,0))</f>
        <v>Ara</v>
      </c>
      <c r="J855" t="str">
        <f t="shared" si="78"/>
        <v>Arabica</v>
      </c>
      <c r="K855" t="str">
        <f>INDEX(products!$A$1:$I$49,MATCH(orders!$D855,products!$A$1:$A$49,0),MATCH(orders!K$1,products!$A$1:$D$1,0))</f>
        <v>D</v>
      </c>
      <c r="L855" t="str">
        <f t="shared" si="79"/>
        <v>Dark</v>
      </c>
      <c r="M855">
        <f>INDEX(products!$A$1:$I$49,MATCH(orders!$D855,products!$A$1:$A$49,0),MATCH(orders!M$1,products!$A$1:$D$1,0))</f>
        <v>1</v>
      </c>
      <c r="N855">
        <f>_xlfn.XLOOKUP(D855,products!$A$2:$A$49,products!$E$2:$E$49)</f>
        <v>9.9499999999999993</v>
      </c>
      <c r="O855">
        <f>_xlfn.XLOOKUP(D855,products!$A$2:$A$49,products!$H$2:$H$49)</f>
        <v>9.0544999999999991</v>
      </c>
      <c r="P855">
        <f t="shared" si="80"/>
        <v>19.899999999999999</v>
      </c>
      <c r="Q855">
        <f t="shared" si="81"/>
        <v>18.108999999999998</v>
      </c>
      <c r="R855">
        <f t="shared" si="82"/>
        <v>1.7910000000000004</v>
      </c>
      <c r="S855" s="4">
        <f t="shared" si="83"/>
        <v>9.0000000000000024E-2</v>
      </c>
      <c r="T855" t="str">
        <f>_xlfn.XLOOKUP(C855,customers!$A$1:$A$1001,customers!$I$1:$I$1001,,0)</f>
        <v>No</v>
      </c>
    </row>
    <row r="856" spans="1:20"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INDEX(products!$A$1:$I$49,MATCH(orders!$D856,products!$A$1:$A$49,0),MATCH(orders!I$1,products!$A$1:$D$1,0))</f>
        <v>Rob</v>
      </c>
      <c r="J856" t="str">
        <f t="shared" si="78"/>
        <v>Robusta</v>
      </c>
      <c r="K856" t="str">
        <f>INDEX(products!$A$1:$I$49,MATCH(orders!$D856,products!$A$1:$A$49,0),MATCH(orders!K$1,products!$A$1:$D$1,0))</f>
        <v>L</v>
      </c>
      <c r="L856" t="str">
        <f t="shared" si="79"/>
        <v>Light</v>
      </c>
      <c r="M856">
        <f>INDEX(products!$A$1:$I$49,MATCH(orders!$D856,products!$A$1:$A$49,0),MATCH(orders!M$1,products!$A$1:$D$1,0))</f>
        <v>0.5</v>
      </c>
      <c r="N856">
        <f>_xlfn.XLOOKUP(D856,products!$A$2:$A$49,products!$E$2:$E$49)</f>
        <v>7.169999999999999</v>
      </c>
      <c r="O856">
        <f>_xlfn.XLOOKUP(D856,products!$A$2:$A$49,products!$H$2:$H$49)</f>
        <v>6.7397999999999989</v>
      </c>
      <c r="P856">
        <f t="shared" si="80"/>
        <v>35.849999999999994</v>
      </c>
      <c r="Q856">
        <f t="shared" si="81"/>
        <v>33.698999999999998</v>
      </c>
      <c r="R856">
        <f t="shared" si="82"/>
        <v>2.1509999999999962</v>
      </c>
      <c r="S856" s="4">
        <f t="shared" si="83"/>
        <v>5.9999999999999908E-2</v>
      </c>
      <c r="T856" t="str">
        <f>_xlfn.XLOOKUP(C856,customers!$A$1:$A$1001,customers!$I$1:$I$1001,,0)</f>
        <v>Yes</v>
      </c>
    </row>
    <row r="857" spans="1:20"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INDEX(products!$A$1:$I$49,MATCH(orders!$D857,products!$A$1:$A$49,0),MATCH(orders!I$1,products!$A$1:$D$1,0))</f>
        <v>Lib</v>
      </c>
      <c r="J857" t="str">
        <f t="shared" si="78"/>
        <v>Liberica</v>
      </c>
      <c r="K857" t="str">
        <f>INDEX(products!$A$1:$I$49,MATCH(orders!$D857,products!$A$1:$A$49,0),MATCH(orders!K$1,products!$A$1:$D$1,0))</f>
        <v>D</v>
      </c>
      <c r="L857" t="str">
        <f t="shared" si="79"/>
        <v>Dark</v>
      </c>
      <c r="M857">
        <f>INDEX(products!$A$1:$I$49,MATCH(orders!$D857,products!$A$1:$A$49,0),MATCH(orders!M$1,products!$A$1:$D$1,0))</f>
        <v>2.5</v>
      </c>
      <c r="N857">
        <f>_xlfn.XLOOKUP(D857,products!$A$2:$A$49,products!$E$2:$E$49)</f>
        <v>29.784999999999997</v>
      </c>
      <c r="O857">
        <f>_xlfn.XLOOKUP(D857,products!$A$2:$A$49,products!$H$2:$H$49)</f>
        <v>25.912949999999995</v>
      </c>
      <c r="P857">
        <f t="shared" si="80"/>
        <v>89.35499999999999</v>
      </c>
      <c r="Q857">
        <f t="shared" si="81"/>
        <v>77.738849999999985</v>
      </c>
      <c r="R857">
        <f t="shared" si="82"/>
        <v>11.616150000000005</v>
      </c>
      <c r="S857" s="4">
        <f t="shared" si="83"/>
        <v>0.13000000000000006</v>
      </c>
      <c r="T857" t="str">
        <f>_xlfn.XLOOKUP(C857,customers!$A$1:$A$1001,customers!$I$1:$I$1001,,0)</f>
        <v>No</v>
      </c>
    </row>
    <row r="858" spans="1:20"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INDEX(products!$A$1:$I$49,MATCH(orders!$D858,products!$A$1:$A$49,0),MATCH(orders!I$1,products!$A$1:$D$1,0))</f>
        <v>Lib</v>
      </c>
      <c r="J858" t="str">
        <f t="shared" si="78"/>
        <v>Liberica</v>
      </c>
      <c r="K858" t="str">
        <f>INDEX(products!$A$1:$I$49,MATCH(orders!$D858,products!$A$1:$A$49,0),MATCH(orders!K$1,products!$A$1:$D$1,0))</f>
        <v>M</v>
      </c>
      <c r="L858" t="str">
        <f t="shared" si="79"/>
        <v>Medium</v>
      </c>
      <c r="M858">
        <f>INDEX(products!$A$1:$I$49,MATCH(orders!$D858,products!$A$1:$A$49,0),MATCH(orders!M$1,products!$A$1:$D$1,0))</f>
        <v>0.2</v>
      </c>
      <c r="N858">
        <f>_xlfn.XLOOKUP(D858,products!$A$2:$A$49,products!$E$2:$E$49)</f>
        <v>4.3650000000000002</v>
      </c>
      <c r="O858">
        <f>_xlfn.XLOOKUP(D858,products!$A$2:$A$49,products!$H$2:$H$49)</f>
        <v>3.7975500000000002</v>
      </c>
      <c r="P858">
        <f t="shared" si="80"/>
        <v>8.73</v>
      </c>
      <c r="Q858">
        <f t="shared" si="81"/>
        <v>7.5951000000000004</v>
      </c>
      <c r="R858">
        <f t="shared" si="82"/>
        <v>1.1349</v>
      </c>
      <c r="S858" s="4">
        <f t="shared" si="83"/>
        <v>0.13</v>
      </c>
      <c r="T858" t="str">
        <f>_xlfn.XLOOKUP(C858,customers!$A$1:$A$1001,customers!$I$1:$I$1001,,0)</f>
        <v>Yes</v>
      </c>
    </row>
    <row r="859" spans="1:20"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INDEX(products!$A$1:$I$49,MATCH(orders!$D859,products!$A$1:$A$49,0),MATCH(orders!I$1,products!$A$1:$D$1,0))</f>
        <v>Rob</v>
      </c>
      <c r="J859" t="str">
        <f t="shared" si="78"/>
        <v>Robusta</v>
      </c>
      <c r="K859" t="str">
        <f>INDEX(products!$A$1:$I$49,MATCH(orders!$D859,products!$A$1:$A$49,0),MATCH(orders!K$1,products!$A$1:$D$1,0))</f>
        <v>L</v>
      </c>
      <c r="L859" t="str">
        <f t="shared" si="79"/>
        <v>Light</v>
      </c>
      <c r="M859">
        <f>INDEX(products!$A$1:$I$49,MATCH(orders!$D859,products!$A$1:$A$49,0),MATCH(orders!M$1,products!$A$1:$D$1,0))</f>
        <v>2.5</v>
      </c>
      <c r="N859">
        <f>_xlfn.XLOOKUP(D859,products!$A$2:$A$49,products!$E$2:$E$49)</f>
        <v>27.484999999999996</v>
      </c>
      <c r="O859">
        <f>_xlfn.XLOOKUP(D859,products!$A$2:$A$49,products!$H$2:$H$49)</f>
        <v>25.835899999999995</v>
      </c>
      <c r="P859">
        <f t="shared" si="80"/>
        <v>137.42499999999998</v>
      </c>
      <c r="Q859">
        <f t="shared" si="81"/>
        <v>129.17949999999996</v>
      </c>
      <c r="R859">
        <f t="shared" si="82"/>
        <v>8.2455000000000211</v>
      </c>
      <c r="S859" s="4">
        <f t="shared" si="83"/>
        <v>6.0000000000000164E-2</v>
      </c>
      <c r="T859" t="str">
        <f>_xlfn.XLOOKUP(C859,customers!$A$1:$A$1001,customers!$I$1:$I$1001,,0)</f>
        <v>No</v>
      </c>
    </row>
    <row r="860" spans="1:20"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INDEX(products!$A$1:$I$49,MATCH(orders!$D860,products!$A$1:$A$49,0),MATCH(orders!I$1,products!$A$1:$D$1,0))</f>
        <v>Lib</v>
      </c>
      <c r="J860" t="str">
        <f t="shared" si="78"/>
        <v>Liberica</v>
      </c>
      <c r="K860" t="str">
        <f>INDEX(products!$A$1:$I$49,MATCH(orders!$D860,products!$A$1:$A$49,0),MATCH(orders!K$1,products!$A$1:$D$1,0))</f>
        <v>M</v>
      </c>
      <c r="L860" t="str">
        <f t="shared" si="79"/>
        <v>Medium</v>
      </c>
      <c r="M860">
        <f>INDEX(products!$A$1:$I$49,MATCH(orders!$D860,products!$A$1:$A$49,0),MATCH(orders!M$1,products!$A$1:$D$1,0))</f>
        <v>0.5</v>
      </c>
      <c r="N860">
        <f>_xlfn.XLOOKUP(D860,products!$A$2:$A$49,products!$E$2:$E$49)</f>
        <v>8.73</v>
      </c>
      <c r="O860">
        <f>_xlfn.XLOOKUP(D860,products!$A$2:$A$49,products!$H$2:$H$49)</f>
        <v>7.5951000000000004</v>
      </c>
      <c r="P860">
        <f t="shared" si="80"/>
        <v>34.92</v>
      </c>
      <c r="Q860">
        <f t="shared" si="81"/>
        <v>30.380400000000002</v>
      </c>
      <c r="R860">
        <f t="shared" si="82"/>
        <v>4.5396000000000001</v>
      </c>
      <c r="S860" s="4">
        <f t="shared" si="83"/>
        <v>0.13</v>
      </c>
      <c r="T860" t="str">
        <f>_xlfn.XLOOKUP(C860,customers!$A$1:$A$1001,customers!$I$1:$I$1001,,0)</f>
        <v>No</v>
      </c>
    </row>
    <row r="861" spans="1:20"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INDEX(products!$A$1:$I$49,MATCH(orders!$D861,products!$A$1:$A$49,0),MATCH(orders!I$1,products!$A$1:$D$1,0))</f>
        <v>Ara</v>
      </c>
      <c r="J861" t="str">
        <f t="shared" si="78"/>
        <v>Arabica</v>
      </c>
      <c r="K861" t="str">
        <f>INDEX(products!$A$1:$I$49,MATCH(orders!$D861,products!$A$1:$A$49,0),MATCH(orders!K$1,products!$A$1:$D$1,0))</f>
        <v>L</v>
      </c>
      <c r="L861" t="str">
        <f t="shared" si="79"/>
        <v>Light</v>
      </c>
      <c r="M861">
        <f>INDEX(products!$A$1:$I$49,MATCH(orders!$D861,products!$A$1:$A$49,0),MATCH(orders!M$1,products!$A$1:$D$1,0))</f>
        <v>2.5</v>
      </c>
      <c r="N861">
        <f>_xlfn.XLOOKUP(D861,products!$A$2:$A$49,products!$E$2:$E$49)</f>
        <v>29.784999999999997</v>
      </c>
      <c r="O861">
        <f>_xlfn.XLOOKUP(D861,products!$A$2:$A$49,products!$H$2:$H$49)</f>
        <v>27.104349999999997</v>
      </c>
      <c r="P861">
        <f t="shared" si="80"/>
        <v>178.70999999999998</v>
      </c>
      <c r="Q861">
        <f t="shared" si="81"/>
        <v>162.62609999999998</v>
      </c>
      <c r="R861">
        <f t="shared" si="82"/>
        <v>16.0839</v>
      </c>
      <c r="S861" s="4">
        <f t="shared" si="83"/>
        <v>9.0000000000000011E-2</v>
      </c>
      <c r="T861" t="str">
        <f>_xlfn.XLOOKUP(C861,customers!$A$1:$A$1001,customers!$I$1:$I$1001,,0)</f>
        <v>No</v>
      </c>
    </row>
    <row r="862" spans="1:20"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v>
      </c>
      <c r="H862" s="2" t="str">
        <f>_xlfn.XLOOKUP(C862,customers!$A$1:$A$1001,customers!$G$1:$G$1001,,0)</f>
        <v>United States</v>
      </c>
      <c r="I862" t="str">
        <f>INDEX(products!$A$1:$I$49,MATCH(orders!$D862,products!$A$1:$A$49,0),MATCH(orders!I$1,products!$A$1:$D$1,0))</f>
        <v>Ara</v>
      </c>
      <c r="J862" t="str">
        <f t="shared" si="78"/>
        <v>Arabica</v>
      </c>
      <c r="K862" t="str">
        <f>INDEX(products!$A$1:$I$49,MATCH(orders!$D862,products!$A$1:$A$49,0),MATCH(orders!K$1,products!$A$1:$D$1,0))</f>
        <v>M</v>
      </c>
      <c r="L862" t="str">
        <f t="shared" si="79"/>
        <v>Medium</v>
      </c>
      <c r="M862">
        <f>INDEX(products!$A$1:$I$49,MATCH(orders!$D862,products!$A$1:$A$49,0),MATCH(orders!M$1,products!$A$1:$D$1,0))</f>
        <v>2.5</v>
      </c>
      <c r="N862">
        <f>_xlfn.XLOOKUP(D862,products!$A$2:$A$49,products!$E$2:$E$49)</f>
        <v>25.874999999999996</v>
      </c>
      <c r="O862">
        <f>_xlfn.XLOOKUP(D862,products!$A$2:$A$49,products!$H$2:$H$49)</f>
        <v>23.546249999999997</v>
      </c>
      <c r="P862">
        <f t="shared" si="80"/>
        <v>25.874999999999996</v>
      </c>
      <c r="Q862">
        <f t="shared" si="81"/>
        <v>23.546249999999997</v>
      </c>
      <c r="R862">
        <f t="shared" si="82"/>
        <v>2.3287499999999994</v>
      </c>
      <c r="S862" s="4">
        <f t="shared" si="83"/>
        <v>0.09</v>
      </c>
      <c r="T862" t="str">
        <f>_xlfn.XLOOKUP(C862,customers!$A$1:$A$1001,customers!$I$1:$I$1001,,0)</f>
        <v>No</v>
      </c>
    </row>
    <row r="863" spans="1:20"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INDEX(products!$A$1:$I$49,MATCH(orders!$D863,products!$A$1:$A$49,0),MATCH(orders!I$1,products!$A$1:$D$1,0))</f>
        <v>Lib</v>
      </c>
      <c r="J863" t="str">
        <f t="shared" si="78"/>
        <v>Liberica</v>
      </c>
      <c r="K863" t="str">
        <f>INDEX(products!$A$1:$I$49,MATCH(orders!$D863,products!$A$1:$A$49,0),MATCH(orders!K$1,products!$A$1:$D$1,0))</f>
        <v>D</v>
      </c>
      <c r="L863" t="str">
        <f t="shared" si="79"/>
        <v>Dark</v>
      </c>
      <c r="M863">
        <f>INDEX(products!$A$1:$I$49,MATCH(orders!$D863,products!$A$1:$A$49,0),MATCH(orders!M$1,products!$A$1:$D$1,0))</f>
        <v>1</v>
      </c>
      <c r="N863">
        <f>_xlfn.XLOOKUP(D863,products!$A$2:$A$49,products!$E$2:$E$49)</f>
        <v>12.95</v>
      </c>
      <c r="O863">
        <f>_xlfn.XLOOKUP(D863,products!$A$2:$A$49,products!$H$2:$H$49)</f>
        <v>11.266499999999999</v>
      </c>
      <c r="P863">
        <f t="shared" si="80"/>
        <v>77.699999999999989</v>
      </c>
      <c r="Q863">
        <f t="shared" si="81"/>
        <v>67.59899999999999</v>
      </c>
      <c r="R863">
        <f t="shared" si="82"/>
        <v>10.100999999999999</v>
      </c>
      <c r="S863" s="4">
        <f t="shared" si="83"/>
        <v>0.13</v>
      </c>
      <c r="T863" t="str">
        <f>_xlfn.XLOOKUP(C863,customers!$A$1:$A$1001,customers!$I$1:$I$1001,,0)</f>
        <v>Yes</v>
      </c>
    </row>
    <row r="864" spans="1:20"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INDEX(products!$A$1:$I$49,MATCH(orders!$D864,products!$A$1:$A$49,0),MATCH(orders!I$1,products!$A$1:$D$1,0))</f>
        <v>Rob</v>
      </c>
      <c r="J864" t="str">
        <f t="shared" si="78"/>
        <v>Robusta</v>
      </c>
      <c r="K864" t="str">
        <f>INDEX(products!$A$1:$I$49,MATCH(orders!$D864,products!$A$1:$A$49,0),MATCH(orders!K$1,products!$A$1:$D$1,0))</f>
        <v>M</v>
      </c>
      <c r="L864" t="str">
        <f t="shared" si="79"/>
        <v>Medium</v>
      </c>
      <c r="M864">
        <f>INDEX(products!$A$1:$I$49,MATCH(orders!$D864,products!$A$1:$A$49,0),MATCH(orders!M$1,products!$A$1:$D$1,0))</f>
        <v>1</v>
      </c>
      <c r="N864">
        <f>_xlfn.XLOOKUP(D864,products!$A$2:$A$49,products!$E$2:$E$49)</f>
        <v>9.9499999999999993</v>
      </c>
      <c r="O864">
        <f>_xlfn.XLOOKUP(D864,products!$A$2:$A$49,products!$H$2:$H$49)</f>
        <v>9.3529999999999998</v>
      </c>
      <c r="P864">
        <f t="shared" si="80"/>
        <v>9.9499999999999993</v>
      </c>
      <c r="Q864">
        <f t="shared" si="81"/>
        <v>9.3529999999999998</v>
      </c>
      <c r="R864">
        <f t="shared" si="82"/>
        <v>0.59699999999999953</v>
      </c>
      <c r="S864" s="4">
        <f t="shared" si="83"/>
        <v>5.9999999999999956E-2</v>
      </c>
      <c r="T864" t="str">
        <f>_xlfn.XLOOKUP(C864,customers!$A$1:$A$1001,customers!$I$1:$I$1001,,0)</f>
        <v>Yes</v>
      </c>
    </row>
    <row r="865" spans="1:20"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INDEX(products!$A$1:$I$49,MATCH(orders!$D865,products!$A$1:$A$49,0),MATCH(orders!I$1,products!$A$1:$D$1,0))</f>
        <v>Lib</v>
      </c>
      <c r="J865" t="str">
        <f t="shared" si="78"/>
        <v>Liberica</v>
      </c>
      <c r="K865" t="str">
        <f>INDEX(products!$A$1:$I$49,MATCH(orders!$D865,products!$A$1:$A$49,0),MATCH(orders!K$1,products!$A$1:$D$1,0))</f>
        <v>M</v>
      </c>
      <c r="L865" t="str">
        <f t="shared" si="79"/>
        <v>Medium</v>
      </c>
      <c r="M865">
        <f>INDEX(products!$A$1:$I$49,MATCH(orders!$D865,products!$A$1:$A$49,0),MATCH(orders!M$1,products!$A$1:$D$1,0))</f>
        <v>1</v>
      </c>
      <c r="N865">
        <f>_xlfn.XLOOKUP(D865,products!$A$2:$A$49,products!$E$2:$E$49)</f>
        <v>14.55</v>
      </c>
      <c r="O865">
        <f>_xlfn.XLOOKUP(D865,products!$A$2:$A$49,products!$H$2:$H$49)</f>
        <v>12.6585</v>
      </c>
      <c r="P865">
        <f t="shared" si="80"/>
        <v>29.1</v>
      </c>
      <c r="Q865">
        <f t="shared" si="81"/>
        <v>25.317</v>
      </c>
      <c r="R865">
        <f t="shared" si="82"/>
        <v>3.7830000000000013</v>
      </c>
      <c r="S865" s="4">
        <f t="shared" si="83"/>
        <v>0.13000000000000003</v>
      </c>
      <c r="T865" t="str">
        <f>_xlfn.XLOOKUP(C865,customers!$A$1:$A$1001,customers!$I$1:$I$1001,,0)</f>
        <v>Yes</v>
      </c>
    </row>
    <row r="866" spans="1:20"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INDEX(products!$A$1:$I$49,MATCH(orders!$D866,products!$A$1:$A$49,0),MATCH(orders!I$1,products!$A$1:$D$1,0))</f>
        <v>Rob</v>
      </c>
      <c r="J866" t="str">
        <f t="shared" si="78"/>
        <v>Robusta</v>
      </c>
      <c r="K866" t="str">
        <f>INDEX(products!$A$1:$I$49,MATCH(orders!$D866,products!$A$1:$A$49,0),MATCH(orders!K$1,products!$A$1:$D$1,0))</f>
        <v>L</v>
      </c>
      <c r="L866" t="str">
        <f t="shared" si="79"/>
        <v>Light</v>
      </c>
      <c r="M866">
        <f>INDEX(products!$A$1:$I$49,MATCH(orders!$D866,products!$A$1:$A$49,0),MATCH(orders!M$1,products!$A$1:$D$1,0))</f>
        <v>0.2</v>
      </c>
      <c r="N866">
        <f>_xlfn.XLOOKUP(D866,products!$A$2:$A$49,products!$E$2:$E$49)</f>
        <v>3.5849999999999995</v>
      </c>
      <c r="O866">
        <f>_xlfn.XLOOKUP(D866,products!$A$2:$A$49,products!$H$2:$H$49)</f>
        <v>3.3698999999999995</v>
      </c>
      <c r="P866">
        <f t="shared" si="80"/>
        <v>21.509999999999998</v>
      </c>
      <c r="Q866">
        <f t="shared" si="81"/>
        <v>20.219399999999997</v>
      </c>
      <c r="R866">
        <f t="shared" si="82"/>
        <v>1.2906000000000013</v>
      </c>
      <c r="S866" s="4">
        <f t="shared" si="83"/>
        <v>6.0000000000000067E-2</v>
      </c>
      <c r="T866" t="str">
        <f>_xlfn.XLOOKUP(C866,customers!$A$1:$A$1001,customers!$I$1:$I$1001,,0)</f>
        <v>No</v>
      </c>
    </row>
    <row r="867" spans="1:20"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INDEX(products!$A$1:$I$49,MATCH(orders!$D867,products!$A$1:$A$49,0),MATCH(orders!I$1,products!$A$1:$D$1,0))</f>
        <v>Ara</v>
      </c>
      <c r="J867" t="str">
        <f t="shared" si="78"/>
        <v>Arabica</v>
      </c>
      <c r="K867" t="str">
        <f>INDEX(products!$A$1:$I$49,MATCH(orders!$D867,products!$A$1:$A$49,0),MATCH(orders!K$1,products!$A$1:$D$1,0))</f>
        <v>M</v>
      </c>
      <c r="L867" t="str">
        <f t="shared" si="79"/>
        <v>Medium</v>
      </c>
      <c r="M867">
        <f>INDEX(products!$A$1:$I$49,MATCH(orders!$D867,products!$A$1:$A$49,0),MATCH(orders!M$1,products!$A$1:$D$1,0))</f>
        <v>0.5</v>
      </c>
      <c r="N867">
        <f>_xlfn.XLOOKUP(D867,products!$A$2:$A$49,products!$E$2:$E$49)</f>
        <v>6.75</v>
      </c>
      <c r="O867">
        <f>_xlfn.XLOOKUP(D867,products!$A$2:$A$49,products!$H$2:$H$49)</f>
        <v>6.1425000000000001</v>
      </c>
      <c r="P867">
        <f t="shared" si="80"/>
        <v>6.75</v>
      </c>
      <c r="Q867">
        <f t="shared" si="81"/>
        <v>6.1425000000000001</v>
      </c>
      <c r="R867">
        <f t="shared" si="82"/>
        <v>0.60749999999999993</v>
      </c>
      <c r="S867" s="4">
        <f t="shared" si="83"/>
        <v>8.9999999999999983E-2</v>
      </c>
      <c r="T867" t="str">
        <f>_xlfn.XLOOKUP(C867,customers!$A$1:$A$1001,customers!$I$1:$I$1001,,0)</f>
        <v>Yes</v>
      </c>
    </row>
    <row r="868" spans="1:20"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INDEX(products!$A$1:$I$49,MATCH(orders!$D868,products!$A$1:$A$49,0),MATCH(orders!I$1,products!$A$1:$D$1,0))</f>
        <v>Ara</v>
      </c>
      <c r="J868" t="str">
        <f t="shared" si="78"/>
        <v>Arabica</v>
      </c>
      <c r="K868" t="str">
        <f>INDEX(products!$A$1:$I$49,MATCH(orders!$D868,products!$A$1:$A$49,0),MATCH(orders!K$1,products!$A$1:$D$1,0))</f>
        <v>D</v>
      </c>
      <c r="L868" t="str">
        <f t="shared" si="79"/>
        <v>Dark</v>
      </c>
      <c r="M868">
        <f>INDEX(products!$A$1:$I$49,MATCH(orders!$D868,products!$A$1:$A$49,0),MATCH(orders!M$1,products!$A$1:$D$1,0))</f>
        <v>0.5</v>
      </c>
      <c r="N868">
        <f>_xlfn.XLOOKUP(D868,products!$A$2:$A$49,products!$E$2:$E$49)</f>
        <v>5.97</v>
      </c>
      <c r="O868">
        <f>_xlfn.XLOOKUP(D868,products!$A$2:$A$49,products!$H$2:$H$49)</f>
        <v>5.4326999999999996</v>
      </c>
      <c r="P868">
        <f t="shared" si="80"/>
        <v>17.91</v>
      </c>
      <c r="Q868">
        <f t="shared" si="81"/>
        <v>16.298099999999998</v>
      </c>
      <c r="R868">
        <f t="shared" si="82"/>
        <v>1.6119000000000021</v>
      </c>
      <c r="S868" s="4">
        <f t="shared" si="83"/>
        <v>9.0000000000000122E-2</v>
      </c>
      <c r="T868" t="str">
        <f>_xlfn.XLOOKUP(C868,customers!$A$1:$A$1001,customers!$I$1:$I$1001,,0)</f>
        <v>No</v>
      </c>
    </row>
    <row r="869" spans="1:20"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INDEX(products!$A$1:$I$49,MATCH(orders!$D869,products!$A$1:$A$49,0),MATCH(orders!I$1,products!$A$1:$D$1,0))</f>
        <v>Ara</v>
      </c>
      <c r="J869" t="str">
        <f t="shared" si="78"/>
        <v>Arabica</v>
      </c>
      <c r="K869" t="str">
        <f>INDEX(products!$A$1:$I$49,MATCH(orders!$D869,products!$A$1:$A$49,0),MATCH(orders!K$1,products!$A$1:$D$1,0))</f>
        <v>L</v>
      </c>
      <c r="L869" t="str">
        <f t="shared" si="79"/>
        <v>Light</v>
      </c>
      <c r="M869">
        <f>INDEX(products!$A$1:$I$49,MATCH(orders!$D869,products!$A$1:$A$49,0),MATCH(orders!M$1,products!$A$1:$D$1,0))</f>
        <v>2.5</v>
      </c>
      <c r="N869">
        <f>_xlfn.XLOOKUP(D869,products!$A$2:$A$49,products!$E$2:$E$49)</f>
        <v>29.784999999999997</v>
      </c>
      <c r="O869">
        <f>_xlfn.XLOOKUP(D869,products!$A$2:$A$49,products!$H$2:$H$49)</f>
        <v>27.104349999999997</v>
      </c>
      <c r="P869">
        <f t="shared" si="80"/>
        <v>29.784999999999997</v>
      </c>
      <c r="Q869">
        <f t="shared" si="81"/>
        <v>27.104349999999997</v>
      </c>
      <c r="R869">
        <f t="shared" si="82"/>
        <v>2.68065</v>
      </c>
      <c r="S869" s="4">
        <f t="shared" si="83"/>
        <v>9.0000000000000011E-2</v>
      </c>
      <c r="T869" t="str">
        <f>_xlfn.XLOOKUP(C869,customers!$A$1:$A$1001,customers!$I$1:$I$1001,,0)</f>
        <v>Yes</v>
      </c>
    </row>
    <row r="870" spans="1:20"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INDEX(products!$A$1:$I$49,MATCH(orders!$D870,products!$A$1:$A$49,0),MATCH(orders!I$1,products!$A$1:$D$1,0))</f>
        <v>Exc</v>
      </c>
      <c r="J870" t="str">
        <f t="shared" si="78"/>
        <v>Excelsa</v>
      </c>
      <c r="K870" t="str">
        <f>INDEX(products!$A$1:$I$49,MATCH(orders!$D870,products!$A$1:$A$49,0),MATCH(orders!K$1,products!$A$1:$D$1,0))</f>
        <v>M</v>
      </c>
      <c r="L870" t="str">
        <f t="shared" si="79"/>
        <v>Medium</v>
      </c>
      <c r="M870">
        <f>INDEX(products!$A$1:$I$49,MATCH(orders!$D870,products!$A$1:$A$49,0),MATCH(orders!M$1,products!$A$1:$D$1,0))</f>
        <v>0.5</v>
      </c>
      <c r="N870">
        <f>_xlfn.XLOOKUP(D870,products!$A$2:$A$49,products!$E$2:$E$49)</f>
        <v>8.25</v>
      </c>
      <c r="O870">
        <f>_xlfn.XLOOKUP(D870,products!$A$2:$A$49,products!$H$2:$H$49)</f>
        <v>7.3425000000000002</v>
      </c>
      <c r="P870">
        <f t="shared" si="80"/>
        <v>41.25</v>
      </c>
      <c r="Q870">
        <f t="shared" si="81"/>
        <v>36.712499999999999</v>
      </c>
      <c r="R870">
        <f t="shared" si="82"/>
        <v>4.5375000000000014</v>
      </c>
      <c r="S870" s="4">
        <f t="shared" si="83"/>
        <v>0.11000000000000003</v>
      </c>
      <c r="T870" t="str">
        <f>_xlfn.XLOOKUP(C870,customers!$A$1:$A$1001,customers!$I$1:$I$1001,,0)</f>
        <v>Yes</v>
      </c>
    </row>
    <row r="871" spans="1:20"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v>
      </c>
      <c r="H871" s="2" t="str">
        <f>_xlfn.XLOOKUP(C871,customers!$A$1:$A$1001,customers!$G$1:$G$1001,,0)</f>
        <v>United States</v>
      </c>
      <c r="I871" t="str">
        <f>INDEX(products!$A$1:$I$49,MATCH(orders!$D871,products!$A$1:$A$49,0),MATCH(orders!I$1,products!$A$1:$D$1,0))</f>
        <v>Rob</v>
      </c>
      <c r="J871" t="str">
        <f t="shared" si="78"/>
        <v>Robusta</v>
      </c>
      <c r="K871" t="str">
        <f>INDEX(products!$A$1:$I$49,MATCH(orders!$D871,products!$A$1:$A$49,0),MATCH(orders!K$1,products!$A$1:$D$1,0))</f>
        <v>M</v>
      </c>
      <c r="L871" t="str">
        <f t="shared" si="79"/>
        <v>Medium</v>
      </c>
      <c r="M871">
        <f>INDEX(products!$A$1:$I$49,MATCH(orders!$D871,products!$A$1:$A$49,0),MATCH(orders!M$1,products!$A$1:$D$1,0))</f>
        <v>0.5</v>
      </c>
      <c r="N871">
        <f>_xlfn.XLOOKUP(D871,products!$A$2:$A$49,products!$E$2:$E$49)</f>
        <v>5.97</v>
      </c>
      <c r="O871">
        <f>_xlfn.XLOOKUP(D871,products!$A$2:$A$49,products!$H$2:$H$49)</f>
        <v>5.6117999999999997</v>
      </c>
      <c r="P871">
        <f t="shared" si="80"/>
        <v>17.91</v>
      </c>
      <c r="Q871">
        <f t="shared" si="81"/>
        <v>16.8354</v>
      </c>
      <c r="R871">
        <f t="shared" si="82"/>
        <v>1.0746000000000002</v>
      </c>
      <c r="S871" s="4">
        <f t="shared" si="83"/>
        <v>6.0000000000000012E-2</v>
      </c>
      <c r="T871" t="str">
        <f>_xlfn.XLOOKUP(C871,customers!$A$1:$A$1001,customers!$I$1:$I$1001,,0)</f>
        <v>Yes</v>
      </c>
    </row>
    <row r="872" spans="1:20"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INDEX(products!$A$1:$I$49,MATCH(orders!$D872,products!$A$1:$A$49,0),MATCH(orders!I$1,products!$A$1:$D$1,0))</f>
        <v>Exc</v>
      </c>
      <c r="J872" t="str">
        <f t="shared" si="78"/>
        <v>Excelsa</v>
      </c>
      <c r="K872" t="str">
        <f>INDEX(products!$A$1:$I$49,MATCH(orders!$D872,products!$A$1:$A$49,0),MATCH(orders!K$1,products!$A$1:$D$1,0))</f>
        <v>D</v>
      </c>
      <c r="L872" t="str">
        <f t="shared" si="79"/>
        <v>Dark</v>
      </c>
      <c r="M872">
        <f>INDEX(products!$A$1:$I$49,MATCH(orders!$D872,products!$A$1:$A$49,0),MATCH(orders!M$1,products!$A$1:$D$1,0))</f>
        <v>0.5</v>
      </c>
      <c r="N872">
        <f>_xlfn.XLOOKUP(D872,products!$A$2:$A$49,products!$E$2:$E$49)</f>
        <v>7.29</v>
      </c>
      <c r="O872">
        <f>_xlfn.XLOOKUP(D872,products!$A$2:$A$49,products!$H$2:$H$49)</f>
        <v>6.4881000000000002</v>
      </c>
      <c r="P872">
        <f t="shared" si="80"/>
        <v>7.29</v>
      </c>
      <c r="Q872">
        <f t="shared" si="81"/>
        <v>6.4881000000000002</v>
      </c>
      <c r="R872">
        <f t="shared" si="82"/>
        <v>0.80189999999999984</v>
      </c>
      <c r="S872" s="4">
        <f t="shared" si="83"/>
        <v>0.10999999999999997</v>
      </c>
      <c r="T872" t="str">
        <f>_xlfn.XLOOKUP(C872,customers!$A$1:$A$1001,customers!$I$1:$I$1001,,0)</f>
        <v>Yes</v>
      </c>
    </row>
    <row r="873" spans="1:20"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INDEX(products!$A$1:$I$49,MATCH(orders!$D873,products!$A$1:$A$49,0),MATCH(orders!I$1,products!$A$1:$D$1,0))</f>
        <v>Exc</v>
      </c>
      <c r="J873" t="str">
        <f t="shared" si="78"/>
        <v>Excelsa</v>
      </c>
      <c r="K873" t="str">
        <f>INDEX(products!$A$1:$I$49,MATCH(orders!$D873,products!$A$1:$A$49,0),MATCH(orders!K$1,products!$A$1:$D$1,0))</f>
        <v>L</v>
      </c>
      <c r="L873" t="str">
        <f t="shared" si="79"/>
        <v>Light</v>
      </c>
      <c r="M873">
        <f>INDEX(products!$A$1:$I$49,MATCH(orders!$D873,products!$A$1:$A$49,0),MATCH(orders!M$1,products!$A$1:$D$1,0))</f>
        <v>1</v>
      </c>
      <c r="N873">
        <f>_xlfn.XLOOKUP(D873,products!$A$2:$A$49,products!$E$2:$E$49)</f>
        <v>14.85</v>
      </c>
      <c r="O873">
        <f>_xlfn.XLOOKUP(D873,products!$A$2:$A$49,products!$H$2:$H$49)</f>
        <v>13.2165</v>
      </c>
      <c r="P873">
        <f t="shared" si="80"/>
        <v>29.7</v>
      </c>
      <c r="Q873">
        <f t="shared" si="81"/>
        <v>26.433</v>
      </c>
      <c r="R873">
        <f t="shared" si="82"/>
        <v>3.2669999999999995</v>
      </c>
      <c r="S873" s="4">
        <f t="shared" si="83"/>
        <v>0.10999999999999999</v>
      </c>
      <c r="T873" t="str">
        <f>_xlfn.XLOOKUP(C873,customers!$A$1:$A$1001,customers!$I$1:$I$1001,,0)</f>
        <v>Yes</v>
      </c>
    </row>
    <row r="874" spans="1:20"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INDEX(products!$A$1:$I$49,MATCH(orders!$D874,products!$A$1:$A$49,0),MATCH(orders!I$1,products!$A$1:$D$1,0))</f>
        <v>Ara</v>
      </c>
      <c r="J874" t="str">
        <f t="shared" si="78"/>
        <v>Arabica</v>
      </c>
      <c r="K874" t="str">
        <f>INDEX(products!$A$1:$I$49,MATCH(orders!$D874,products!$A$1:$A$49,0),MATCH(orders!K$1,products!$A$1:$D$1,0))</f>
        <v>M</v>
      </c>
      <c r="L874" t="str">
        <f t="shared" si="79"/>
        <v>Medium</v>
      </c>
      <c r="M874">
        <f>INDEX(products!$A$1:$I$49,MATCH(orders!$D874,products!$A$1:$A$49,0),MATCH(orders!M$1,products!$A$1:$D$1,0))</f>
        <v>1</v>
      </c>
      <c r="N874">
        <f>_xlfn.XLOOKUP(D874,products!$A$2:$A$49,products!$E$2:$E$49)</f>
        <v>11.25</v>
      </c>
      <c r="O874">
        <f>_xlfn.XLOOKUP(D874,products!$A$2:$A$49,products!$H$2:$H$49)</f>
        <v>10.237500000000001</v>
      </c>
      <c r="P874">
        <f t="shared" si="80"/>
        <v>22.5</v>
      </c>
      <c r="Q874">
        <f t="shared" si="81"/>
        <v>20.475000000000001</v>
      </c>
      <c r="R874">
        <f t="shared" si="82"/>
        <v>2.0249999999999986</v>
      </c>
      <c r="S874" s="4">
        <f t="shared" si="83"/>
        <v>8.9999999999999941E-2</v>
      </c>
      <c r="T874" t="str">
        <f>_xlfn.XLOOKUP(C874,customers!$A$1:$A$1001,customers!$I$1:$I$1001,,0)</f>
        <v>No</v>
      </c>
    </row>
    <row r="875" spans="1:20"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INDEX(products!$A$1:$I$49,MATCH(orders!$D875,products!$A$1:$A$49,0),MATCH(orders!I$1,products!$A$1:$D$1,0))</f>
        <v>Rob</v>
      </c>
      <c r="J875" t="str">
        <f t="shared" si="78"/>
        <v>Robusta</v>
      </c>
      <c r="K875" t="str">
        <f>INDEX(products!$A$1:$I$49,MATCH(orders!$D875,products!$A$1:$A$49,0),MATCH(orders!K$1,products!$A$1:$D$1,0))</f>
        <v>M</v>
      </c>
      <c r="L875" t="str">
        <f t="shared" si="79"/>
        <v>Medium</v>
      </c>
      <c r="M875">
        <f>INDEX(products!$A$1:$I$49,MATCH(orders!$D875,products!$A$1:$A$49,0),MATCH(orders!M$1,products!$A$1:$D$1,0))</f>
        <v>0.2</v>
      </c>
      <c r="N875">
        <f>_xlfn.XLOOKUP(D875,products!$A$2:$A$49,products!$E$2:$E$49)</f>
        <v>2.9849999999999999</v>
      </c>
      <c r="O875">
        <f>_xlfn.XLOOKUP(D875,products!$A$2:$A$49,products!$H$2:$H$49)</f>
        <v>2.8058999999999998</v>
      </c>
      <c r="P875">
        <f t="shared" si="80"/>
        <v>11.94</v>
      </c>
      <c r="Q875">
        <f t="shared" si="81"/>
        <v>11.223599999999999</v>
      </c>
      <c r="R875">
        <f t="shared" si="82"/>
        <v>0.71640000000000015</v>
      </c>
      <c r="S875" s="4">
        <f t="shared" si="83"/>
        <v>6.0000000000000012E-2</v>
      </c>
      <c r="T875" t="str">
        <f>_xlfn.XLOOKUP(C875,customers!$A$1:$A$1001,customers!$I$1:$I$1001,,0)</f>
        <v>Yes</v>
      </c>
    </row>
    <row r="876" spans="1:20"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INDEX(products!$A$1:$I$49,MATCH(orders!$D876,products!$A$1:$A$49,0),MATCH(orders!I$1,products!$A$1:$D$1,0))</f>
        <v>Ara</v>
      </c>
      <c r="J876" t="str">
        <f t="shared" si="78"/>
        <v>Arabica</v>
      </c>
      <c r="K876" t="str">
        <f>INDEX(products!$A$1:$I$49,MATCH(orders!$D876,products!$A$1:$A$49,0),MATCH(orders!K$1,products!$A$1:$D$1,0))</f>
        <v>L</v>
      </c>
      <c r="L876" t="str">
        <f t="shared" si="79"/>
        <v>Light</v>
      </c>
      <c r="M876">
        <f>INDEX(products!$A$1:$I$49,MATCH(orders!$D876,products!$A$1:$A$49,0),MATCH(orders!M$1,products!$A$1:$D$1,0))</f>
        <v>1</v>
      </c>
      <c r="N876">
        <f>_xlfn.XLOOKUP(D876,products!$A$2:$A$49,products!$E$2:$E$49)</f>
        <v>12.95</v>
      </c>
      <c r="O876">
        <f>_xlfn.XLOOKUP(D876,products!$A$2:$A$49,products!$H$2:$H$49)</f>
        <v>11.7845</v>
      </c>
      <c r="P876">
        <f t="shared" si="80"/>
        <v>25.9</v>
      </c>
      <c r="Q876">
        <f t="shared" si="81"/>
        <v>23.568999999999999</v>
      </c>
      <c r="R876">
        <f t="shared" si="82"/>
        <v>2.3309999999999995</v>
      </c>
      <c r="S876" s="4">
        <f t="shared" si="83"/>
        <v>8.9999999999999983E-2</v>
      </c>
      <c r="T876" t="str">
        <f>_xlfn.XLOOKUP(C876,customers!$A$1:$A$1001,customers!$I$1:$I$1001,,0)</f>
        <v>No</v>
      </c>
    </row>
    <row r="877" spans="1:20"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INDEX(products!$A$1:$I$49,MATCH(orders!$D877,products!$A$1:$A$49,0),MATCH(orders!I$1,products!$A$1:$D$1,0))</f>
        <v>Lib</v>
      </c>
      <c r="J877" t="str">
        <f t="shared" si="78"/>
        <v>Liberica</v>
      </c>
      <c r="K877" t="str">
        <f>INDEX(products!$A$1:$I$49,MATCH(orders!$D877,products!$A$1:$A$49,0),MATCH(orders!K$1,products!$A$1:$D$1,0))</f>
        <v>M</v>
      </c>
      <c r="L877" t="str">
        <f t="shared" si="79"/>
        <v>Medium</v>
      </c>
      <c r="M877">
        <f>INDEX(products!$A$1:$I$49,MATCH(orders!$D877,products!$A$1:$A$49,0),MATCH(orders!M$1,products!$A$1:$D$1,0))</f>
        <v>0.5</v>
      </c>
      <c r="N877">
        <f>_xlfn.XLOOKUP(D877,products!$A$2:$A$49,products!$E$2:$E$49)</f>
        <v>8.73</v>
      </c>
      <c r="O877">
        <f>_xlfn.XLOOKUP(D877,products!$A$2:$A$49,products!$H$2:$H$49)</f>
        <v>7.5951000000000004</v>
      </c>
      <c r="P877">
        <f t="shared" si="80"/>
        <v>43.650000000000006</v>
      </c>
      <c r="Q877">
        <f t="shared" si="81"/>
        <v>37.975500000000004</v>
      </c>
      <c r="R877">
        <f t="shared" si="82"/>
        <v>5.6745000000000019</v>
      </c>
      <c r="S877" s="4">
        <f t="shared" si="83"/>
        <v>0.13000000000000003</v>
      </c>
      <c r="T877" t="str">
        <f>_xlfn.XLOOKUP(C877,customers!$A$1:$A$1001,customers!$I$1:$I$1001,,0)</f>
        <v>No</v>
      </c>
    </row>
    <row r="878" spans="1:20"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INDEX(products!$A$1:$I$49,MATCH(orders!$D878,products!$A$1:$A$49,0),MATCH(orders!I$1,products!$A$1:$D$1,0))</f>
        <v>Ara</v>
      </c>
      <c r="J878" t="str">
        <f t="shared" si="78"/>
        <v>Arabica</v>
      </c>
      <c r="K878" t="str">
        <f>INDEX(products!$A$1:$I$49,MATCH(orders!$D878,products!$A$1:$A$49,0),MATCH(orders!K$1,products!$A$1:$D$1,0))</f>
        <v>L</v>
      </c>
      <c r="L878" t="str">
        <f t="shared" si="79"/>
        <v>Light</v>
      </c>
      <c r="M878">
        <f>INDEX(products!$A$1:$I$49,MATCH(orders!$D878,products!$A$1:$A$49,0),MATCH(orders!M$1,products!$A$1:$D$1,0))</f>
        <v>0.5</v>
      </c>
      <c r="N878">
        <f>_xlfn.XLOOKUP(D878,products!$A$2:$A$49,products!$E$2:$E$49)</f>
        <v>7.77</v>
      </c>
      <c r="O878">
        <f>_xlfn.XLOOKUP(D878,products!$A$2:$A$49,products!$H$2:$H$49)</f>
        <v>7.0706999999999995</v>
      </c>
      <c r="P878">
        <f t="shared" si="80"/>
        <v>46.62</v>
      </c>
      <c r="Q878">
        <f t="shared" si="81"/>
        <v>42.424199999999999</v>
      </c>
      <c r="R878">
        <f t="shared" si="82"/>
        <v>4.1957999999999984</v>
      </c>
      <c r="S878" s="4">
        <f t="shared" si="83"/>
        <v>8.9999999999999969E-2</v>
      </c>
      <c r="T878" t="str">
        <f>_xlfn.XLOOKUP(C878,customers!$A$1:$A$1001,customers!$I$1:$I$1001,,0)</f>
        <v>No</v>
      </c>
    </row>
    <row r="879" spans="1:20"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INDEX(products!$A$1:$I$49,MATCH(orders!$D879,products!$A$1:$A$49,0),MATCH(orders!I$1,products!$A$1:$D$1,0))</f>
        <v>Lib</v>
      </c>
      <c r="J879" t="str">
        <f t="shared" si="78"/>
        <v>Liberica</v>
      </c>
      <c r="K879" t="str">
        <f>INDEX(products!$A$1:$I$49,MATCH(orders!$D879,products!$A$1:$A$49,0),MATCH(orders!K$1,products!$A$1:$D$1,0))</f>
        <v>L</v>
      </c>
      <c r="L879" t="str">
        <f t="shared" si="79"/>
        <v>Light</v>
      </c>
      <c r="M879">
        <f>INDEX(products!$A$1:$I$49,MATCH(orders!$D879,products!$A$1:$A$49,0),MATCH(orders!M$1,products!$A$1:$D$1,0))</f>
        <v>0.5</v>
      </c>
      <c r="N879">
        <f>_xlfn.XLOOKUP(D879,products!$A$2:$A$49,products!$E$2:$E$49)</f>
        <v>9.51</v>
      </c>
      <c r="O879">
        <f>_xlfn.XLOOKUP(D879,products!$A$2:$A$49,products!$H$2:$H$49)</f>
        <v>8.2736999999999998</v>
      </c>
      <c r="P879">
        <f t="shared" si="80"/>
        <v>28.53</v>
      </c>
      <c r="Q879">
        <f t="shared" si="81"/>
        <v>24.821100000000001</v>
      </c>
      <c r="R879">
        <f t="shared" si="82"/>
        <v>3.7088999999999999</v>
      </c>
      <c r="S879" s="4">
        <f t="shared" si="83"/>
        <v>0.12999999999999998</v>
      </c>
      <c r="T879" t="str">
        <f>_xlfn.XLOOKUP(C879,customers!$A$1:$A$1001,customers!$I$1:$I$1001,,0)</f>
        <v>No</v>
      </c>
    </row>
    <row r="880" spans="1:20"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v>
      </c>
      <c r="H880" s="2" t="str">
        <f>_xlfn.XLOOKUP(C880,customers!$A$1:$A$1001,customers!$G$1:$G$1001,,0)</f>
        <v>United States</v>
      </c>
      <c r="I880" t="str">
        <f>INDEX(products!$A$1:$I$49,MATCH(orders!$D880,products!$A$1:$A$49,0),MATCH(orders!I$1,products!$A$1:$D$1,0))</f>
        <v>Rob</v>
      </c>
      <c r="J880" t="str">
        <f t="shared" si="78"/>
        <v>Robusta</v>
      </c>
      <c r="K880" t="str">
        <f>INDEX(products!$A$1:$I$49,MATCH(orders!$D880,products!$A$1:$A$49,0),MATCH(orders!K$1,products!$A$1:$D$1,0))</f>
        <v>L</v>
      </c>
      <c r="L880" t="str">
        <f t="shared" si="79"/>
        <v>Light</v>
      </c>
      <c r="M880">
        <f>INDEX(products!$A$1:$I$49,MATCH(orders!$D880,products!$A$1:$A$49,0),MATCH(orders!M$1,products!$A$1:$D$1,0))</f>
        <v>2.5</v>
      </c>
      <c r="N880">
        <f>_xlfn.XLOOKUP(D880,products!$A$2:$A$49,products!$E$2:$E$49)</f>
        <v>27.484999999999996</v>
      </c>
      <c r="O880">
        <f>_xlfn.XLOOKUP(D880,products!$A$2:$A$49,products!$H$2:$H$49)</f>
        <v>25.835899999999995</v>
      </c>
      <c r="P880">
        <f t="shared" si="80"/>
        <v>27.484999999999996</v>
      </c>
      <c r="Q880">
        <f t="shared" si="81"/>
        <v>25.835899999999995</v>
      </c>
      <c r="R880">
        <f t="shared" si="82"/>
        <v>1.6491000000000007</v>
      </c>
      <c r="S880" s="4">
        <f t="shared" si="83"/>
        <v>6.0000000000000032E-2</v>
      </c>
      <c r="T880" t="str">
        <f>_xlfn.XLOOKUP(C880,customers!$A$1:$A$1001,customers!$I$1:$I$1001,,0)</f>
        <v>Yes</v>
      </c>
    </row>
    <row r="881" spans="1:20"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v>
      </c>
      <c r="H881" s="2" t="str">
        <f>_xlfn.XLOOKUP(C881,customers!$A$1:$A$1001,customers!$G$1:$G$1001,,0)</f>
        <v>United States</v>
      </c>
      <c r="I881" t="str">
        <f>INDEX(products!$A$1:$I$49,MATCH(orders!$D881,products!$A$1:$A$49,0),MATCH(orders!I$1,products!$A$1:$D$1,0))</f>
        <v>Exc</v>
      </c>
      <c r="J881" t="str">
        <f t="shared" si="78"/>
        <v>Excelsa</v>
      </c>
      <c r="K881" t="str">
        <f>INDEX(products!$A$1:$I$49,MATCH(orders!$D881,products!$A$1:$A$49,0),MATCH(orders!K$1,products!$A$1:$D$1,0))</f>
        <v>D</v>
      </c>
      <c r="L881" t="str">
        <f t="shared" si="79"/>
        <v>Dark</v>
      </c>
      <c r="M881">
        <f>INDEX(products!$A$1:$I$49,MATCH(orders!$D881,products!$A$1:$A$49,0),MATCH(orders!M$1,products!$A$1:$D$1,0))</f>
        <v>0.2</v>
      </c>
      <c r="N881">
        <f>_xlfn.XLOOKUP(D881,products!$A$2:$A$49,products!$E$2:$E$49)</f>
        <v>3.645</v>
      </c>
      <c r="O881">
        <f>_xlfn.XLOOKUP(D881,products!$A$2:$A$49,products!$H$2:$H$49)</f>
        <v>3.2440500000000001</v>
      </c>
      <c r="P881">
        <f t="shared" si="80"/>
        <v>10.935</v>
      </c>
      <c r="Q881">
        <f t="shared" si="81"/>
        <v>9.7321500000000007</v>
      </c>
      <c r="R881">
        <f t="shared" si="82"/>
        <v>1.2028499999999998</v>
      </c>
      <c r="S881" s="4">
        <f t="shared" si="83"/>
        <v>0.10999999999999997</v>
      </c>
      <c r="T881" t="str">
        <f>_xlfn.XLOOKUP(C881,customers!$A$1:$A$1001,customers!$I$1:$I$1001,,0)</f>
        <v>No</v>
      </c>
    </row>
    <row r="882" spans="1:20"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INDEX(products!$A$1:$I$49,MATCH(orders!$D882,products!$A$1:$A$49,0),MATCH(orders!I$1,products!$A$1:$D$1,0))</f>
        <v>Rob</v>
      </c>
      <c r="J882" t="str">
        <f t="shared" si="78"/>
        <v>Robusta</v>
      </c>
      <c r="K882" t="str">
        <f>INDEX(products!$A$1:$I$49,MATCH(orders!$D882,products!$A$1:$A$49,0),MATCH(orders!K$1,products!$A$1:$D$1,0))</f>
        <v>L</v>
      </c>
      <c r="L882" t="str">
        <f t="shared" si="79"/>
        <v>Light</v>
      </c>
      <c r="M882">
        <f>INDEX(products!$A$1:$I$49,MATCH(orders!$D882,products!$A$1:$A$49,0),MATCH(orders!M$1,products!$A$1:$D$1,0))</f>
        <v>0.2</v>
      </c>
      <c r="N882">
        <f>_xlfn.XLOOKUP(D882,products!$A$2:$A$49,products!$E$2:$E$49)</f>
        <v>3.5849999999999995</v>
      </c>
      <c r="O882">
        <f>_xlfn.XLOOKUP(D882,products!$A$2:$A$49,products!$H$2:$H$49)</f>
        <v>3.3698999999999995</v>
      </c>
      <c r="P882">
        <f t="shared" si="80"/>
        <v>7.169999999999999</v>
      </c>
      <c r="Q882">
        <f t="shared" si="81"/>
        <v>6.7397999999999989</v>
      </c>
      <c r="R882">
        <f t="shared" si="82"/>
        <v>0.43020000000000014</v>
      </c>
      <c r="S882" s="4">
        <f t="shared" si="83"/>
        <v>6.0000000000000026E-2</v>
      </c>
      <c r="T882" t="str">
        <f>_xlfn.XLOOKUP(C882,customers!$A$1:$A$1001,customers!$I$1:$I$1001,,0)</f>
        <v>No</v>
      </c>
    </row>
    <row r="883" spans="1:20"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v>
      </c>
      <c r="H883" s="2" t="str">
        <f>_xlfn.XLOOKUP(C883,customers!$A$1:$A$1001,customers!$G$1:$G$1001,,0)</f>
        <v>United States</v>
      </c>
      <c r="I883" t="str">
        <f>INDEX(products!$A$1:$I$49,MATCH(orders!$D883,products!$A$1:$A$49,0),MATCH(orders!I$1,products!$A$1:$D$1,0))</f>
        <v>Ara</v>
      </c>
      <c r="J883" t="str">
        <f t="shared" si="78"/>
        <v>Arabica</v>
      </c>
      <c r="K883" t="str">
        <f>INDEX(products!$A$1:$I$49,MATCH(orders!$D883,products!$A$1:$A$49,0),MATCH(orders!K$1,products!$A$1:$D$1,0))</f>
        <v>L</v>
      </c>
      <c r="L883" t="str">
        <f t="shared" si="79"/>
        <v>Light</v>
      </c>
      <c r="M883">
        <f>INDEX(products!$A$1:$I$49,MATCH(orders!$D883,products!$A$1:$A$49,0),MATCH(orders!M$1,products!$A$1:$D$1,0))</f>
        <v>0.2</v>
      </c>
      <c r="N883">
        <f>_xlfn.XLOOKUP(D883,products!$A$2:$A$49,products!$E$2:$E$49)</f>
        <v>3.8849999999999998</v>
      </c>
      <c r="O883">
        <f>_xlfn.XLOOKUP(D883,products!$A$2:$A$49,products!$H$2:$H$49)</f>
        <v>3.5353499999999998</v>
      </c>
      <c r="P883">
        <f t="shared" si="80"/>
        <v>23.31</v>
      </c>
      <c r="Q883">
        <f t="shared" si="81"/>
        <v>21.2121</v>
      </c>
      <c r="R883">
        <f t="shared" si="82"/>
        <v>2.0978999999999992</v>
      </c>
      <c r="S883" s="4">
        <f t="shared" si="83"/>
        <v>8.9999999999999969E-2</v>
      </c>
      <c r="T883" t="str">
        <f>_xlfn.XLOOKUP(C883,customers!$A$1:$A$1001,customers!$I$1:$I$1001,,0)</f>
        <v>Yes</v>
      </c>
    </row>
    <row r="884" spans="1:20"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INDEX(products!$A$1:$I$49,MATCH(orders!$D884,products!$A$1:$A$49,0),MATCH(orders!I$1,products!$A$1:$D$1,0))</f>
        <v>Ara</v>
      </c>
      <c r="J884" t="str">
        <f t="shared" si="78"/>
        <v>Arabica</v>
      </c>
      <c r="K884" t="str">
        <f>INDEX(products!$A$1:$I$49,MATCH(orders!$D884,products!$A$1:$A$49,0),MATCH(orders!K$1,products!$A$1:$D$1,0))</f>
        <v>D</v>
      </c>
      <c r="L884" t="str">
        <f t="shared" si="79"/>
        <v>Dark</v>
      </c>
      <c r="M884">
        <f>INDEX(products!$A$1:$I$49,MATCH(orders!$D884,products!$A$1:$A$49,0),MATCH(orders!M$1,products!$A$1:$D$1,0))</f>
        <v>2.5</v>
      </c>
      <c r="N884">
        <f>_xlfn.XLOOKUP(D884,products!$A$2:$A$49,products!$E$2:$E$49)</f>
        <v>22.884999999999998</v>
      </c>
      <c r="O884">
        <f>_xlfn.XLOOKUP(D884,products!$A$2:$A$49,products!$H$2:$H$49)</f>
        <v>20.82535</v>
      </c>
      <c r="P884">
        <f t="shared" si="80"/>
        <v>114.42499999999998</v>
      </c>
      <c r="Q884">
        <f t="shared" si="81"/>
        <v>104.12675</v>
      </c>
      <c r="R884">
        <f t="shared" si="82"/>
        <v>10.298249999999982</v>
      </c>
      <c r="S884" s="4">
        <f t="shared" si="83"/>
        <v>8.9999999999999858E-2</v>
      </c>
      <c r="T884" t="str">
        <f>_xlfn.XLOOKUP(C884,customers!$A$1:$A$1001,customers!$I$1:$I$1001,,0)</f>
        <v>Yes</v>
      </c>
    </row>
    <row r="885" spans="1:20"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INDEX(products!$A$1:$I$49,MATCH(orders!$D885,products!$A$1:$A$49,0),MATCH(orders!I$1,products!$A$1:$D$1,0))</f>
        <v>Ara</v>
      </c>
      <c r="J885" t="str">
        <f t="shared" si="78"/>
        <v>Arabica</v>
      </c>
      <c r="K885" t="str">
        <f>INDEX(products!$A$1:$I$49,MATCH(orders!$D885,products!$A$1:$A$49,0),MATCH(orders!K$1,products!$A$1:$D$1,0))</f>
        <v>M</v>
      </c>
      <c r="L885" t="str">
        <f t="shared" si="79"/>
        <v>Medium</v>
      </c>
      <c r="M885">
        <f>INDEX(products!$A$1:$I$49,MATCH(orders!$D885,products!$A$1:$A$49,0),MATCH(orders!M$1,products!$A$1:$D$1,0))</f>
        <v>2.5</v>
      </c>
      <c r="N885">
        <f>_xlfn.XLOOKUP(D885,products!$A$2:$A$49,products!$E$2:$E$49)</f>
        <v>25.874999999999996</v>
      </c>
      <c r="O885">
        <f>_xlfn.XLOOKUP(D885,products!$A$2:$A$49,products!$H$2:$H$49)</f>
        <v>23.546249999999997</v>
      </c>
      <c r="P885">
        <f t="shared" si="80"/>
        <v>77.624999999999986</v>
      </c>
      <c r="Q885">
        <f t="shared" si="81"/>
        <v>70.638749999999987</v>
      </c>
      <c r="R885">
        <f t="shared" si="82"/>
        <v>6.9862499999999983</v>
      </c>
      <c r="S885" s="4">
        <f t="shared" si="83"/>
        <v>0.09</v>
      </c>
      <c r="T885" t="str">
        <f>_xlfn.XLOOKUP(C885,customers!$A$1:$A$1001,customers!$I$1:$I$1001,,0)</f>
        <v>Yes</v>
      </c>
    </row>
    <row r="886" spans="1:20"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INDEX(products!$A$1:$I$49,MATCH(orders!$D886,products!$A$1:$A$49,0),MATCH(orders!I$1,products!$A$1:$D$1,0))</f>
        <v>Rob</v>
      </c>
      <c r="J886" t="str">
        <f t="shared" si="78"/>
        <v>Robusta</v>
      </c>
      <c r="K886" t="str">
        <f>INDEX(products!$A$1:$I$49,MATCH(orders!$D886,products!$A$1:$A$49,0),MATCH(orders!K$1,products!$A$1:$D$1,0))</f>
        <v>D</v>
      </c>
      <c r="L886" t="str">
        <f t="shared" si="79"/>
        <v>Dark</v>
      </c>
      <c r="M886">
        <f>INDEX(products!$A$1:$I$49,MATCH(orders!$D886,products!$A$1:$A$49,0),MATCH(orders!M$1,products!$A$1:$D$1,0))</f>
        <v>0.5</v>
      </c>
      <c r="N886">
        <f>_xlfn.XLOOKUP(D886,products!$A$2:$A$49,products!$E$2:$E$49)</f>
        <v>5.3699999999999992</v>
      </c>
      <c r="O886">
        <f>_xlfn.XLOOKUP(D886,products!$A$2:$A$49,products!$H$2:$H$49)</f>
        <v>5.0477999999999996</v>
      </c>
      <c r="P886">
        <f t="shared" si="80"/>
        <v>5.3699999999999992</v>
      </c>
      <c r="Q886">
        <f t="shared" si="81"/>
        <v>5.0477999999999996</v>
      </c>
      <c r="R886">
        <f t="shared" si="82"/>
        <v>0.3221999999999996</v>
      </c>
      <c r="S886" s="4">
        <f t="shared" si="83"/>
        <v>5.9999999999999935E-2</v>
      </c>
      <c r="T886" t="str">
        <f>_xlfn.XLOOKUP(C886,customers!$A$1:$A$1001,customers!$I$1:$I$1001,,0)</f>
        <v>Yes</v>
      </c>
    </row>
    <row r="887" spans="1:20"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INDEX(products!$A$1:$I$49,MATCH(orders!$D887,products!$A$1:$A$49,0),MATCH(orders!I$1,products!$A$1:$D$1,0))</f>
        <v>Rob</v>
      </c>
      <c r="J887" t="str">
        <f t="shared" si="78"/>
        <v>Robusta</v>
      </c>
      <c r="K887" t="str">
        <f>INDEX(products!$A$1:$I$49,MATCH(orders!$D887,products!$A$1:$A$49,0),MATCH(orders!K$1,products!$A$1:$D$1,0))</f>
        <v>D</v>
      </c>
      <c r="L887" t="str">
        <f t="shared" si="79"/>
        <v>Dark</v>
      </c>
      <c r="M887">
        <f>INDEX(products!$A$1:$I$49,MATCH(orders!$D887,products!$A$1:$A$49,0),MATCH(orders!M$1,products!$A$1:$D$1,0))</f>
        <v>2.5</v>
      </c>
      <c r="N887">
        <f>_xlfn.XLOOKUP(D887,products!$A$2:$A$49,products!$E$2:$E$49)</f>
        <v>20.584999999999997</v>
      </c>
      <c r="O887">
        <f>_xlfn.XLOOKUP(D887,products!$A$2:$A$49,products!$H$2:$H$49)</f>
        <v>19.349899999999998</v>
      </c>
      <c r="P887">
        <f t="shared" si="80"/>
        <v>123.50999999999999</v>
      </c>
      <c r="Q887">
        <f t="shared" si="81"/>
        <v>116.09939999999999</v>
      </c>
      <c r="R887">
        <f t="shared" si="82"/>
        <v>7.4106000000000023</v>
      </c>
      <c r="S887" s="4">
        <f t="shared" si="83"/>
        <v>6.0000000000000026E-2</v>
      </c>
      <c r="T887" t="str">
        <f>_xlfn.XLOOKUP(C887,customers!$A$1:$A$1001,customers!$I$1:$I$1001,,0)</f>
        <v>No</v>
      </c>
    </row>
    <row r="888" spans="1:20"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INDEX(products!$A$1:$I$49,MATCH(orders!$D888,products!$A$1:$A$49,0),MATCH(orders!I$1,products!$A$1:$D$1,0))</f>
        <v>Lib</v>
      </c>
      <c r="J888" t="str">
        <f t="shared" si="78"/>
        <v>Liberica</v>
      </c>
      <c r="K888" t="str">
        <f>INDEX(products!$A$1:$I$49,MATCH(orders!$D888,products!$A$1:$A$49,0),MATCH(orders!K$1,products!$A$1:$D$1,0))</f>
        <v>M</v>
      </c>
      <c r="L888" t="str">
        <f t="shared" si="79"/>
        <v>Medium</v>
      </c>
      <c r="M888">
        <f>INDEX(products!$A$1:$I$49,MATCH(orders!$D888,products!$A$1:$A$49,0),MATCH(orders!M$1,products!$A$1:$D$1,0))</f>
        <v>0.5</v>
      </c>
      <c r="N888">
        <f>_xlfn.XLOOKUP(D888,products!$A$2:$A$49,products!$E$2:$E$49)</f>
        <v>8.73</v>
      </c>
      <c r="O888">
        <f>_xlfn.XLOOKUP(D888,products!$A$2:$A$49,products!$H$2:$H$49)</f>
        <v>7.5951000000000004</v>
      </c>
      <c r="P888">
        <f t="shared" si="80"/>
        <v>17.46</v>
      </c>
      <c r="Q888">
        <f t="shared" si="81"/>
        <v>15.190200000000001</v>
      </c>
      <c r="R888">
        <f t="shared" si="82"/>
        <v>2.2698</v>
      </c>
      <c r="S888" s="4">
        <f t="shared" si="83"/>
        <v>0.13</v>
      </c>
      <c r="T888" t="str">
        <f>_xlfn.XLOOKUP(C888,customers!$A$1:$A$1001,customers!$I$1:$I$1001,,0)</f>
        <v>No</v>
      </c>
    </row>
    <row r="889" spans="1:20"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INDEX(products!$A$1:$I$49,MATCH(orders!$D889,products!$A$1:$A$49,0),MATCH(orders!I$1,products!$A$1:$D$1,0))</f>
        <v>Exc</v>
      </c>
      <c r="J889" t="str">
        <f t="shared" si="78"/>
        <v>Excelsa</v>
      </c>
      <c r="K889" t="str">
        <f>INDEX(products!$A$1:$I$49,MATCH(orders!$D889,products!$A$1:$A$49,0),MATCH(orders!K$1,products!$A$1:$D$1,0))</f>
        <v>L</v>
      </c>
      <c r="L889" t="str">
        <f t="shared" si="79"/>
        <v>Light</v>
      </c>
      <c r="M889">
        <f>INDEX(products!$A$1:$I$49,MATCH(orders!$D889,products!$A$1:$A$49,0),MATCH(orders!M$1,products!$A$1:$D$1,0))</f>
        <v>0.2</v>
      </c>
      <c r="N889">
        <f>_xlfn.XLOOKUP(D889,products!$A$2:$A$49,products!$E$2:$E$49)</f>
        <v>4.4550000000000001</v>
      </c>
      <c r="O889">
        <f>_xlfn.XLOOKUP(D889,products!$A$2:$A$49,products!$H$2:$H$49)</f>
        <v>3.96495</v>
      </c>
      <c r="P889">
        <f t="shared" si="80"/>
        <v>13.365</v>
      </c>
      <c r="Q889">
        <f t="shared" si="81"/>
        <v>11.89485</v>
      </c>
      <c r="R889">
        <f t="shared" si="82"/>
        <v>1.4701500000000003</v>
      </c>
      <c r="S889" s="4">
        <f t="shared" si="83"/>
        <v>0.11000000000000001</v>
      </c>
      <c r="T889" t="str">
        <f>_xlfn.XLOOKUP(C889,customers!$A$1:$A$1001,customers!$I$1:$I$1001,,0)</f>
        <v>No</v>
      </c>
    </row>
    <row r="890" spans="1:20"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INDEX(products!$A$1:$I$49,MATCH(orders!$D890,products!$A$1:$A$49,0),MATCH(orders!I$1,products!$A$1:$D$1,0))</f>
        <v>Ara</v>
      </c>
      <c r="J890" t="str">
        <f t="shared" si="78"/>
        <v>Arabica</v>
      </c>
      <c r="K890" t="str">
        <f>INDEX(products!$A$1:$I$49,MATCH(orders!$D890,products!$A$1:$A$49,0),MATCH(orders!K$1,products!$A$1:$D$1,0))</f>
        <v>L</v>
      </c>
      <c r="L890" t="str">
        <f t="shared" si="79"/>
        <v>Light</v>
      </c>
      <c r="M890">
        <f>INDEX(products!$A$1:$I$49,MATCH(orders!$D890,products!$A$1:$A$49,0),MATCH(orders!M$1,products!$A$1:$D$1,0))</f>
        <v>0.2</v>
      </c>
      <c r="N890">
        <f>_xlfn.XLOOKUP(D890,products!$A$2:$A$49,products!$E$2:$E$49)</f>
        <v>3.8849999999999998</v>
      </c>
      <c r="O890">
        <f>_xlfn.XLOOKUP(D890,products!$A$2:$A$49,products!$H$2:$H$49)</f>
        <v>3.5353499999999998</v>
      </c>
      <c r="P890">
        <f t="shared" si="80"/>
        <v>7.77</v>
      </c>
      <c r="Q890">
        <f t="shared" si="81"/>
        <v>7.0706999999999995</v>
      </c>
      <c r="R890">
        <f t="shared" si="82"/>
        <v>0.69930000000000003</v>
      </c>
      <c r="S890" s="4">
        <f t="shared" si="83"/>
        <v>9.0000000000000011E-2</v>
      </c>
      <c r="T890" t="str">
        <f>_xlfn.XLOOKUP(C890,customers!$A$1:$A$1001,customers!$I$1:$I$1001,,0)</f>
        <v>Yes</v>
      </c>
    </row>
    <row r="891" spans="1:20"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INDEX(products!$A$1:$I$49,MATCH(orders!$D891,products!$A$1:$A$49,0),MATCH(orders!I$1,products!$A$1:$D$1,0))</f>
        <v>Rob</v>
      </c>
      <c r="J891" t="str">
        <f t="shared" si="78"/>
        <v>Robusta</v>
      </c>
      <c r="K891" t="str">
        <f>INDEX(products!$A$1:$I$49,MATCH(orders!$D891,products!$A$1:$A$49,0),MATCH(orders!K$1,products!$A$1:$D$1,0))</f>
        <v>D</v>
      </c>
      <c r="L891" t="str">
        <f t="shared" si="79"/>
        <v>Dark</v>
      </c>
      <c r="M891">
        <f>INDEX(products!$A$1:$I$49,MATCH(orders!$D891,products!$A$1:$A$49,0),MATCH(orders!M$1,products!$A$1:$D$1,0))</f>
        <v>0.2</v>
      </c>
      <c r="N891">
        <f>_xlfn.XLOOKUP(D891,products!$A$2:$A$49,products!$E$2:$E$49)</f>
        <v>2.6849999999999996</v>
      </c>
      <c r="O891">
        <f>_xlfn.XLOOKUP(D891,products!$A$2:$A$49,products!$H$2:$H$49)</f>
        <v>2.5238999999999998</v>
      </c>
      <c r="P891">
        <f t="shared" si="80"/>
        <v>2.6849999999999996</v>
      </c>
      <c r="Q891">
        <f t="shared" si="81"/>
        <v>2.5238999999999998</v>
      </c>
      <c r="R891">
        <f t="shared" si="82"/>
        <v>0.1610999999999998</v>
      </c>
      <c r="S891" s="4">
        <f t="shared" si="83"/>
        <v>5.9999999999999935E-2</v>
      </c>
      <c r="T891" t="str">
        <f>_xlfn.XLOOKUP(C891,customers!$A$1:$A$1001,customers!$I$1:$I$1001,,0)</f>
        <v>Yes</v>
      </c>
    </row>
    <row r="892" spans="1:20"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INDEX(products!$A$1:$I$49,MATCH(orders!$D892,products!$A$1:$A$49,0),MATCH(orders!I$1,products!$A$1:$D$1,0))</f>
        <v>Rob</v>
      </c>
      <c r="J892" t="str">
        <f t="shared" si="78"/>
        <v>Robusta</v>
      </c>
      <c r="K892" t="str">
        <f>INDEX(products!$A$1:$I$49,MATCH(orders!$D892,products!$A$1:$A$49,0),MATCH(orders!K$1,products!$A$1:$D$1,0))</f>
        <v>D</v>
      </c>
      <c r="L892" t="str">
        <f t="shared" si="79"/>
        <v>Dark</v>
      </c>
      <c r="M892">
        <f>INDEX(products!$A$1:$I$49,MATCH(orders!$D892,products!$A$1:$A$49,0),MATCH(orders!M$1,products!$A$1:$D$1,0))</f>
        <v>2.5</v>
      </c>
      <c r="N892">
        <f>_xlfn.XLOOKUP(D892,products!$A$2:$A$49,products!$E$2:$E$49)</f>
        <v>20.584999999999997</v>
      </c>
      <c r="O892">
        <f>_xlfn.XLOOKUP(D892,products!$A$2:$A$49,products!$H$2:$H$49)</f>
        <v>19.349899999999998</v>
      </c>
      <c r="P892">
        <f t="shared" si="80"/>
        <v>20.584999999999997</v>
      </c>
      <c r="Q892">
        <f t="shared" si="81"/>
        <v>19.349899999999998</v>
      </c>
      <c r="R892">
        <f t="shared" si="82"/>
        <v>1.2350999999999992</v>
      </c>
      <c r="S892" s="4">
        <f t="shared" si="83"/>
        <v>5.999999999999997E-2</v>
      </c>
      <c r="T892" t="str">
        <f>_xlfn.XLOOKUP(C892,customers!$A$1:$A$1001,customers!$I$1:$I$1001,,0)</f>
        <v>Yes</v>
      </c>
    </row>
    <row r="893" spans="1:20"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INDEX(products!$A$1:$I$49,MATCH(orders!$D893,products!$A$1:$A$49,0),MATCH(orders!I$1,products!$A$1:$D$1,0))</f>
        <v>Ara</v>
      </c>
      <c r="J893" t="str">
        <f t="shared" si="78"/>
        <v>Arabica</v>
      </c>
      <c r="K893" t="str">
        <f>INDEX(products!$A$1:$I$49,MATCH(orders!$D893,products!$A$1:$A$49,0),MATCH(orders!K$1,products!$A$1:$D$1,0))</f>
        <v>D</v>
      </c>
      <c r="L893" t="str">
        <f t="shared" si="79"/>
        <v>Dark</v>
      </c>
      <c r="M893">
        <f>INDEX(products!$A$1:$I$49,MATCH(orders!$D893,products!$A$1:$A$49,0),MATCH(orders!M$1,products!$A$1:$D$1,0))</f>
        <v>2.5</v>
      </c>
      <c r="N893">
        <f>_xlfn.XLOOKUP(D893,products!$A$2:$A$49,products!$E$2:$E$49)</f>
        <v>22.884999999999998</v>
      </c>
      <c r="O893">
        <f>_xlfn.XLOOKUP(D893,products!$A$2:$A$49,products!$H$2:$H$49)</f>
        <v>20.82535</v>
      </c>
      <c r="P893">
        <f t="shared" si="80"/>
        <v>114.42499999999998</v>
      </c>
      <c r="Q893">
        <f t="shared" si="81"/>
        <v>104.12675</v>
      </c>
      <c r="R893">
        <f t="shared" si="82"/>
        <v>10.298249999999982</v>
      </c>
      <c r="S893" s="4">
        <f t="shared" si="83"/>
        <v>8.9999999999999858E-2</v>
      </c>
      <c r="T893" t="str">
        <f>_xlfn.XLOOKUP(C893,customers!$A$1:$A$1001,customers!$I$1:$I$1001,,0)</f>
        <v>Yes</v>
      </c>
    </row>
    <row r="894" spans="1:20"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INDEX(products!$A$1:$I$49,MATCH(orders!$D894,products!$A$1:$A$49,0),MATCH(orders!I$1,products!$A$1:$D$1,0))</f>
        <v>Exc</v>
      </c>
      <c r="J894" t="str">
        <f t="shared" si="78"/>
        <v>Excelsa</v>
      </c>
      <c r="K894" t="str">
        <f>INDEX(products!$A$1:$I$49,MATCH(orders!$D894,products!$A$1:$A$49,0),MATCH(orders!K$1,products!$A$1:$D$1,0))</f>
        <v>M</v>
      </c>
      <c r="L894" t="str">
        <f t="shared" si="79"/>
        <v>Medium</v>
      </c>
      <c r="M894">
        <f>INDEX(products!$A$1:$I$49,MATCH(orders!$D894,products!$A$1:$A$49,0),MATCH(orders!M$1,products!$A$1:$D$1,0))</f>
        <v>0.2</v>
      </c>
      <c r="N894">
        <f>_xlfn.XLOOKUP(D894,products!$A$2:$A$49,products!$E$2:$E$49)</f>
        <v>4.125</v>
      </c>
      <c r="O894">
        <f>_xlfn.XLOOKUP(D894,products!$A$2:$A$49,products!$H$2:$H$49)</f>
        <v>3.6712500000000001</v>
      </c>
      <c r="P894">
        <f t="shared" si="80"/>
        <v>20.625</v>
      </c>
      <c r="Q894">
        <f t="shared" si="81"/>
        <v>18.356249999999999</v>
      </c>
      <c r="R894">
        <f t="shared" si="82"/>
        <v>2.2687500000000007</v>
      </c>
      <c r="S894" s="4">
        <f t="shared" si="83"/>
        <v>0.11000000000000003</v>
      </c>
      <c r="T894" t="str">
        <f>_xlfn.XLOOKUP(C894,customers!$A$1:$A$1001,customers!$I$1:$I$1001,,0)</f>
        <v>No</v>
      </c>
    </row>
    <row r="895" spans="1:20"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INDEX(products!$A$1:$I$49,MATCH(orders!$D895,products!$A$1:$A$49,0),MATCH(orders!I$1,products!$A$1:$D$1,0))</f>
        <v>Lib</v>
      </c>
      <c r="J895" t="str">
        <f t="shared" si="78"/>
        <v>Liberica</v>
      </c>
      <c r="K895" t="str">
        <f>INDEX(products!$A$1:$I$49,MATCH(orders!$D895,products!$A$1:$A$49,0),MATCH(orders!K$1,products!$A$1:$D$1,0))</f>
        <v>L</v>
      </c>
      <c r="L895" t="str">
        <f t="shared" si="79"/>
        <v>Light</v>
      </c>
      <c r="M895">
        <f>INDEX(products!$A$1:$I$49,MATCH(orders!$D895,products!$A$1:$A$49,0),MATCH(orders!M$1,products!$A$1:$D$1,0))</f>
        <v>0.5</v>
      </c>
      <c r="N895">
        <f>_xlfn.XLOOKUP(D895,products!$A$2:$A$49,products!$E$2:$E$49)</f>
        <v>9.51</v>
      </c>
      <c r="O895">
        <f>_xlfn.XLOOKUP(D895,products!$A$2:$A$49,products!$H$2:$H$49)</f>
        <v>8.2736999999999998</v>
      </c>
      <c r="P895">
        <f t="shared" si="80"/>
        <v>57.06</v>
      </c>
      <c r="Q895">
        <f t="shared" si="81"/>
        <v>49.642200000000003</v>
      </c>
      <c r="R895">
        <f t="shared" si="82"/>
        <v>7.4177999999999997</v>
      </c>
      <c r="S895" s="4">
        <f t="shared" si="83"/>
        <v>0.12999999999999998</v>
      </c>
      <c r="T895" t="str">
        <f>_xlfn.XLOOKUP(C895,customers!$A$1:$A$1001,customers!$I$1:$I$1001,,0)</f>
        <v>Yes</v>
      </c>
    </row>
    <row r="896" spans="1:20"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v>
      </c>
      <c r="H896" s="2" t="str">
        <f>_xlfn.XLOOKUP(C896,customers!$A$1:$A$1001,customers!$G$1:$G$1001,,0)</f>
        <v>Ireland</v>
      </c>
      <c r="I896" t="str">
        <f>INDEX(products!$A$1:$I$49,MATCH(orders!$D896,products!$A$1:$A$49,0),MATCH(orders!I$1,products!$A$1:$D$1,0))</f>
        <v>Rob</v>
      </c>
      <c r="J896" t="str">
        <f t="shared" si="78"/>
        <v>Robusta</v>
      </c>
      <c r="K896" t="str">
        <f>INDEX(products!$A$1:$I$49,MATCH(orders!$D896,products!$A$1:$A$49,0),MATCH(orders!K$1,products!$A$1:$D$1,0))</f>
        <v>D</v>
      </c>
      <c r="L896" t="str">
        <f t="shared" si="79"/>
        <v>Dark</v>
      </c>
      <c r="M896">
        <f>INDEX(products!$A$1:$I$49,MATCH(orders!$D896,products!$A$1:$A$49,0),MATCH(orders!M$1,products!$A$1:$D$1,0))</f>
        <v>2.5</v>
      </c>
      <c r="N896">
        <f>_xlfn.XLOOKUP(D896,products!$A$2:$A$49,products!$E$2:$E$49)</f>
        <v>20.584999999999997</v>
      </c>
      <c r="O896">
        <f>_xlfn.XLOOKUP(D896,products!$A$2:$A$49,products!$H$2:$H$49)</f>
        <v>19.349899999999998</v>
      </c>
      <c r="P896">
        <f t="shared" si="80"/>
        <v>82.339999999999989</v>
      </c>
      <c r="Q896">
        <f t="shared" si="81"/>
        <v>77.399599999999992</v>
      </c>
      <c r="R896">
        <f t="shared" si="82"/>
        <v>4.9403999999999968</v>
      </c>
      <c r="S896" s="4">
        <f t="shared" si="83"/>
        <v>5.999999999999997E-2</v>
      </c>
      <c r="T896" t="str">
        <f>_xlfn.XLOOKUP(C896,customers!$A$1:$A$1001,customers!$I$1:$I$1001,,0)</f>
        <v>Yes</v>
      </c>
    </row>
    <row r="897" spans="1:20"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v>
      </c>
      <c r="H897" s="2" t="str">
        <f>_xlfn.XLOOKUP(C897,customers!$A$1:$A$1001,customers!$G$1:$G$1001,,0)</f>
        <v>United States</v>
      </c>
      <c r="I897" t="str">
        <f>INDEX(products!$A$1:$I$49,MATCH(orders!$D897,products!$A$1:$A$49,0),MATCH(orders!I$1,products!$A$1:$D$1,0))</f>
        <v>Exc</v>
      </c>
      <c r="J897" t="str">
        <f t="shared" si="78"/>
        <v>Excelsa</v>
      </c>
      <c r="K897" t="str">
        <f>INDEX(products!$A$1:$I$49,MATCH(orders!$D897,products!$A$1:$A$49,0),MATCH(orders!K$1,products!$A$1:$D$1,0))</f>
        <v>M</v>
      </c>
      <c r="L897" t="str">
        <f t="shared" si="79"/>
        <v>Medium</v>
      </c>
      <c r="M897">
        <f>INDEX(products!$A$1:$I$49,MATCH(orders!$D897,products!$A$1:$A$49,0),MATCH(orders!M$1,products!$A$1:$D$1,0))</f>
        <v>2.5</v>
      </c>
      <c r="N897">
        <f>_xlfn.XLOOKUP(D897,products!$A$2:$A$49,products!$E$2:$E$49)</f>
        <v>31.624999999999996</v>
      </c>
      <c r="O897">
        <f>_xlfn.XLOOKUP(D897,products!$A$2:$A$49,products!$H$2:$H$49)</f>
        <v>28.146249999999995</v>
      </c>
      <c r="P897">
        <f t="shared" si="80"/>
        <v>158.12499999999997</v>
      </c>
      <c r="Q897">
        <f t="shared" si="81"/>
        <v>140.73124999999999</v>
      </c>
      <c r="R897">
        <f t="shared" si="82"/>
        <v>17.393749999999983</v>
      </c>
      <c r="S897" s="4">
        <f t="shared" si="83"/>
        <v>0.10999999999999992</v>
      </c>
      <c r="T897" t="str">
        <f>_xlfn.XLOOKUP(C897,customers!$A$1:$A$1001,customers!$I$1:$I$1001,,0)</f>
        <v>No</v>
      </c>
    </row>
    <row r="898" spans="1:20"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INDEX(products!$A$1:$I$49,MATCH(orders!$D898,products!$A$1:$A$49,0),MATCH(orders!I$1,products!$A$1:$D$1,0))</f>
        <v>Rob</v>
      </c>
      <c r="J898" t="str">
        <f t="shared" si="78"/>
        <v>Robusta</v>
      </c>
      <c r="K898" t="str">
        <f>INDEX(products!$A$1:$I$49,MATCH(orders!$D898,products!$A$1:$A$49,0),MATCH(orders!K$1,products!$A$1:$D$1,0))</f>
        <v>D</v>
      </c>
      <c r="L898" t="str">
        <f t="shared" si="79"/>
        <v>Dark</v>
      </c>
      <c r="M898">
        <f>INDEX(products!$A$1:$I$49,MATCH(orders!$D898,products!$A$1:$A$49,0),MATCH(orders!M$1,products!$A$1:$D$1,0))</f>
        <v>0.5</v>
      </c>
      <c r="N898">
        <f>_xlfn.XLOOKUP(D898,products!$A$2:$A$49,products!$E$2:$E$49)</f>
        <v>5.3699999999999992</v>
      </c>
      <c r="O898">
        <f>_xlfn.XLOOKUP(D898,products!$A$2:$A$49,products!$H$2:$H$49)</f>
        <v>5.0477999999999996</v>
      </c>
      <c r="P898">
        <f t="shared" si="80"/>
        <v>32.22</v>
      </c>
      <c r="Q898">
        <f t="shared" si="81"/>
        <v>30.286799999999999</v>
      </c>
      <c r="R898">
        <f t="shared" si="82"/>
        <v>1.9331999999999994</v>
      </c>
      <c r="S898" s="4">
        <f t="shared" si="83"/>
        <v>5.9999999999999984E-2</v>
      </c>
      <c r="T898" t="str">
        <f>_xlfn.XLOOKUP(C898,customers!$A$1:$A$1001,customers!$I$1:$I$1001,,0)</f>
        <v>Yes</v>
      </c>
    </row>
    <row r="899" spans="1:20"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INDEX(products!$A$1:$I$49,MATCH(orders!$D899,products!$A$1:$A$49,0),MATCH(orders!I$1,products!$A$1:$D$1,0))</f>
        <v>Exc</v>
      </c>
      <c r="J899" t="str">
        <f t="shared" ref="J899:J962" si="84">IF(I899="Rob","Robusta",IF(I899="Exc","Excelsa",IF(I899="Ara","Arabica",IF(I899="Lib","Liberica",""))))</f>
        <v>Excelsa</v>
      </c>
      <c r="K899" t="str">
        <f>INDEX(products!$A$1:$I$49,MATCH(orders!$D899,products!$A$1:$A$49,0),MATCH(orders!K$1,products!$A$1:$D$1,0))</f>
        <v>D</v>
      </c>
      <c r="L899" t="str">
        <f t="shared" ref="L899:L962" si="85">IF(K899="M","Medium",IF(K899="L","Light",IF(K899="D","Dark","")))</f>
        <v>Dark</v>
      </c>
      <c r="M899">
        <f>INDEX(products!$A$1:$I$49,MATCH(orders!$D899,products!$A$1:$A$49,0),MATCH(orders!M$1,products!$A$1:$D$1,0))</f>
        <v>1</v>
      </c>
      <c r="N899">
        <f>_xlfn.XLOOKUP(D899,products!$A$2:$A$49,products!$E$2:$E$49)</f>
        <v>12.15</v>
      </c>
      <c r="O899">
        <f>_xlfn.XLOOKUP(D899,products!$A$2:$A$49,products!$H$2:$H$49)</f>
        <v>10.813500000000001</v>
      </c>
      <c r="P899">
        <f t="shared" ref="P899:P962" si="86">N899*E899</f>
        <v>24.3</v>
      </c>
      <c r="Q899">
        <f t="shared" ref="Q899:Q962" si="87">O899*E899</f>
        <v>21.627000000000002</v>
      </c>
      <c r="R899">
        <f t="shared" ref="R899:R962" si="88">P899-Q899</f>
        <v>2.6729999999999983</v>
      </c>
      <c r="S899" s="4">
        <f t="shared" ref="S899:S962" si="89">R899/P899</f>
        <v>0.10999999999999993</v>
      </c>
      <c r="T899" t="str">
        <f>_xlfn.XLOOKUP(C899,customers!$A$1:$A$1001,customers!$I$1:$I$1001,,0)</f>
        <v>No</v>
      </c>
    </row>
    <row r="900" spans="1:20"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v>
      </c>
      <c r="H900" s="2" t="str">
        <f>_xlfn.XLOOKUP(C900,customers!$A$1:$A$1001,customers!$G$1:$G$1001,,0)</f>
        <v>United States</v>
      </c>
      <c r="I900" t="str">
        <f>INDEX(products!$A$1:$I$49,MATCH(orders!$D900,products!$A$1:$A$49,0),MATCH(orders!I$1,products!$A$1:$D$1,0))</f>
        <v>Rob</v>
      </c>
      <c r="J900" t="str">
        <f t="shared" si="84"/>
        <v>Robusta</v>
      </c>
      <c r="K900" t="str">
        <f>INDEX(products!$A$1:$I$49,MATCH(orders!$D900,products!$A$1:$A$49,0),MATCH(orders!K$1,products!$A$1:$D$1,0))</f>
        <v>L</v>
      </c>
      <c r="L900" t="str">
        <f t="shared" si="85"/>
        <v>Light</v>
      </c>
      <c r="M900">
        <f>INDEX(products!$A$1:$I$49,MATCH(orders!$D900,products!$A$1:$A$49,0),MATCH(orders!M$1,products!$A$1:$D$1,0))</f>
        <v>0.5</v>
      </c>
      <c r="N900">
        <f>_xlfn.XLOOKUP(D900,products!$A$2:$A$49,products!$E$2:$E$49)</f>
        <v>7.169999999999999</v>
      </c>
      <c r="O900">
        <f>_xlfn.XLOOKUP(D900,products!$A$2:$A$49,products!$H$2:$H$49)</f>
        <v>6.7397999999999989</v>
      </c>
      <c r="P900">
        <f t="shared" si="86"/>
        <v>35.849999999999994</v>
      </c>
      <c r="Q900">
        <f t="shared" si="87"/>
        <v>33.698999999999998</v>
      </c>
      <c r="R900">
        <f t="shared" si="88"/>
        <v>2.1509999999999962</v>
      </c>
      <c r="S900" s="4">
        <f t="shared" si="89"/>
        <v>5.9999999999999908E-2</v>
      </c>
      <c r="T900" t="str">
        <f>_xlfn.XLOOKUP(C900,customers!$A$1:$A$1001,customers!$I$1:$I$1001,,0)</f>
        <v>No</v>
      </c>
    </row>
    <row r="901" spans="1:20"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v>
      </c>
      <c r="H901" s="2" t="str">
        <f>_xlfn.XLOOKUP(C901,customers!$A$1:$A$1001,customers!$G$1:$G$1001,,0)</f>
        <v>United States</v>
      </c>
      <c r="I901" t="str">
        <f>INDEX(products!$A$1:$I$49,MATCH(orders!$D901,products!$A$1:$A$49,0),MATCH(orders!I$1,products!$A$1:$D$1,0))</f>
        <v>Lib</v>
      </c>
      <c r="J901" t="str">
        <f t="shared" si="84"/>
        <v>Liberica</v>
      </c>
      <c r="K901" t="str">
        <f>INDEX(products!$A$1:$I$49,MATCH(orders!$D901,products!$A$1:$A$49,0),MATCH(orders!K$1,products!$A$1:$D$1,0))</f>
        <v>M</v>
      </c>
      <c r="L901" t="str">
        <f t="shared" si="85"/>
        <v>Medium</v>
      </c>
      <c r="M901">
        <f>INDEX(products!$A$1:$I$49,MATCH(orders!$D901,products!$A$1:$A$49,0),MATCH(orders!M$1,products!$A$1:$D$1,0))</f>
        <v>1</v>
      </c>
      <c r="N901">
        <f>_xlfn.XLOOKUP(D901,products!$A$2:$A$49,products!$E$2:$E$49)</f>
        <v>14.55</v>
      </c>
      <c r="O901">
        <f>_xlfn.XLOOKUP(D901,products!$A$2:$A$49,products!$H$2:$H$49)</f>
        <v>12.6585</v>
      </c>
      <c r="P901">
        <f t="shared" si="86"/>
        <v>72.75</v>
      </c>
      <c r="Q901">
        <f t="shared" si="87"/>
        <v>63.292500000000004</v>
      </c>
      <c r="R901">
        <f t="shared" si="88"/>
        <v>9.457499999999996</v>
      </c>
      <c r="S901" s="4">
        <f t="shared" si="89"/>
        <v>0.12999999999999995</v>
      </c>
      <c r="T901" t="str">
        <f>_xlfn.XLOOKUP(C901,customers!$A$1:$A$1001,customers!$I$1:$I$1001,,0)</f>
        <v>No</v>
      </c>
    </row>
    <row r="902" spans="1:20"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v>
      </c>
      <c r="H902" s="2" t="str">
        <f>_xlfn.XLOOKUP(C902,customers!$A$1:$A$1001,customers!$G$1:$G$1001,,0)</f>
        <v>Ireland</v>
      </c>
      <c r="I902" t="str">
        <f>INDEX(products!$A$1:$I$49,MATCH(orders!$D902,products!$A$1:$A$49,0),MATCH(orders!I$1,products!$A$1:$D$1,0))</f>
        <v>Lib</v>
      </c>
      <c r="J902" t="str">
        <f t="shared" si="84"/>
        <v>Liberica</v>
      </c>
      <c r="K902" t="str">
        <f>INDEX(products!$A$1:$I$49,MATCH(orders!$D902,products!$A$1:$A$49,0),MATCH(orders!K$1,products!$A$1:$D$1,0))</f>
        <v>L</v>
      </c>
      <c r="L902" t="str">
        <f t="shared" si="85"/>
        <v>Light</v>
      </c>
      <c r="M902">
        <f>INDEX(products!$A$1:$I$49,MATCH(orders!$D902,products!$A$1:$A$49,0),MATCH(orders!M$1,products!$A$1:$D$1,0))</f>
        <v>1</v>
      </c>
      <c r="N902">
        <f>_xlfn.XLOOKUP(D902,products!$A$2:$A$49,products!$E$2:$E$49)</f>
        <v>15.85</v>
      </c>
      <c r="O902">
        <f>_xlfn.XLOOKUP(D902,products!$A$2:$A$49,products!$H$2:$H$49)</f>
        <v>13.7895</v>
      </c>
      <c r="P902">
        <f t="shared" si="86"/>
        <v>47.55</v>
      </c>
      <c r="Q902">
        <f t="shared" si="87"/>
        <v>41.368499999999997</v>
      </c>
      <c r="R902">
        <f t="shared" si="88"/>
        <v>6.1814999999999998</v>
      </c>
      <c r="S902" s="4">
        <f t="shared" si="89"/>
        <v>0.13</v>
      </c>
      <c r="T902" t="str">
        <f>_xlfn.XLOOKUP(C902,customers!$A$1:$A$1001,customers!$I$1:$I$1001,,0)</f>
        <v>No</v>
      </c>
    </row>
    <row r="903" spans="1:20"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INDEX(products!$A$1:$I$49,MATCH(orders!$D903,products!$A$1:$A$49,0),MATCH(orders!I$1,products!$A$1:$D$1,0))</f>
        <v>Rob</v>
      </c>
      <c r="J903" t="str">
        <f t="shared" si="84"/>
        <v>Robusta</v>
      </c>
      <c r="K903" t="str">
        <f>INDEX(products!$A$1:$I$49,MATCH(orders!$D903,products!$A$1:$A$49,0),MATCH(orders!K$1,products!$A$1:$D$1,0))</f>
        <v>L</v>
      </c>
      <c r="L903" t="str">
        <f t="shared" si="85"/>
        <v>Light</v>
      </c>
      <c r="M903">
        <f>INDEX(products!$A$1:$I$49,MATCH(orders!$D903,products!$A$1:$A$49,0),MATCH(orders!M$1,products!$A$1:$D$1,0))</f>
        <v>0.2</v>
      </c>
      <c r="N903">
        <f>_xlfn.XLOOKUP(D903,products!$A$2:$A$49,products!$E$2:$E$49)</f>
        <v>3.5849999999999995</v>
      </c>
      <c r="O903">
        <f>_xlfn.XLOOKUP(D903,products!$A$2:$A$49,products!$H$2:$H$49)</f>
        <v>3.3698999999999995</v>
      </c>
      <c r="P903">
        <f t="shared" si="86"/>
        <v>3.5849999999999995</v>
      </c>
      <c r="Q903">
        <f t="shared" si="87"/>
        <v>3.3698999999999995</v>
      </c>
      <c r="R903">
        <f t="shared" si="88"/>
        <v>0.21510000000000007</v>
      </c>
      <c r="S903" s="4">
        <f t="shared" si="89"/>
        <v>6.0000000000000026E-2</v>
      </c>
      <c r="T903" t="str">
        <f>_xlfn.XLOOKUP(C903,customers!$A$1:$A$1001,customers!$I$1:$I$1001,,0)</f>
        <v>Yes</v>
      </c>
    </row>
    <row r="904" spans="1:20"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INDEX(products!$A$1:$I$49,MATCH(orders!$D904,products!$A$1:$A$49,0),MATCH(orders!I$1,products!$A$1:$D$1,0))</f>
        <v>Exc</v>
      </c>
      <c r="J904" t="str">
        <f t="shared" si="84"/>
        <v>Excelsa</v>
      </c>
      <c r="K904" t="str">
        <f>INDEX(products!$A$1:$I$49,MATCH(orders!$D904,products!$A$1:$A$49,0),MATCH(orders!K$1,products!$A$1:$D$1,0))</f>
        <v>M</v>
      </c>
      <c r="L904" t="str">
        <f t="shared" si="85"/>
        <v>Medium</v>
      </c>
      <c r="M904">
        <f>INDEX(products!$A$1:$I$49,MATCH(orders!$D904,products!$A$1:$A$49,0),MATCH(orders!M$1,products!$A$1:$D$1,0))</f>
        <v>2.5</v>
      </c>
      <c r="N904">
        <f>_xlfn.XLOOKUP(D904,products!$A$2:$A$49,products!$E$2:$E$49)</f>
        <v>31.624999999999996</v>
      </c>
      <c r="O904">
        <f>_xlfn.XLOOKUP(D904,products!$A$2:$A$49,products!$H$2:$H$49)</f>
        <v>28.146249999999995</v>
      </c>
      <c r="P904">
        <f t="shared" si="86"/>
        <v>158.12499999999997</v>
      </c>
      <c r="Q904">
        <f t="shared" si="87"/>
        <v>140.73124999999999</v>
      </c>
      <c r="R904">
        <f t="shared" si="88"/>
        <v>17.393749999999983</v>
      </c>
      <c r="S904" s="4">
        <f t="shared" si="89"/>
        <v>0.10999999999999992</v>
      </c>
      <c r="T904" t="str">
        <f>_xlfn.XLOOKUP(C904,customers!$A$1:$A$1001,customers!$I$1:$I$1001,,0)</f>
        <v>No</v>
      </c>
    </row>
    <row r="905" spans="1:20"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INDEX(products!$A$1:$I$49,MATCH(orders!$D905,products!$A$1:$A$49,0),MATCH(orders!I$1,products!$A$1:$D$1,0))</f>
        <v>Lib</v>
      </c>
      <c r="J905" t="str">
        <f t="shared" si="84"/>
        <v>Liberica</v>
      </c>
      <c r="K905" t="str">
        <f>INDEX(products!$A$1:$I$49,MATCH(orders!$D905,products!$A$1:$A$49,0),MATCH(orders!K$1,products!$A$1:$D$1,0))</f>
        <v>M</v>
      </c>
      <c r="L905" t="str">
        <f t="shared" si="85"/>
        <v>Medium</v>
      </c>
      <c r="M905">
        <f>INDEX(products!$A$1:$I$49,MATCH(orders!$D905,products!$A$1:$A$49,0),MATCH(orders!M$1,products!$A$1:$D$1,0))</f>
        <v>0.5</v>
      </c>
      <c r="N905">
        <f>_xlfn.XLOOKUP(D905,products!$A$2:$A$49,products!$E$2:$E$49)</f>
        <v>8.73</v>
      </c>
      <c r="O905">
        <f>_xlfn.XLOOKUP(D905,products!$A$2:$A$49,products!$H$2:$H$49)</f>
        <v>7.5951000000000004</v>
      </c>
      <c r="P905">
        <f t="shared" si="86"/>
        <v>17.46</v>
      </c>
      <c r="Q905">
        <f t="shared" si="87"/>
        <v>15.190200000000001</v>
      </c>
      <c r="R905">
        <f t="shared" si="88"/>
        <v>2.2698</v>
      </c>
      <c r="S905" s="4">
        <f t="shared" si="89"/>
        <v>0.13</v>
      </c>
      <c r="T905" t="str">
        <f>_xlfn.XLOOKUP(C905,customers!$A$1:$A$1001,customers!$I$1:$I$1001,,0)</f>
        <v>No</v>
      </c>
    </row>
    <row r="906" spans="1:20"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INDEX(products!$A$1:$I$49,MATCH(orders!$D906,products!$A$1:$A$49,0),MATCH(orders!I$1,products!$A$1:$D$1,0))</f>
        <v>Ara</v>
      </c>
      <c r="J906" t="str">
        <f t="shared" si="84"/>
        <v>Arabica</v>
      </c>
      <c r="K906" t="str">
        <f>INDEX(products!$A$1:$I$49,MATCH(orders!$D906,products!$A$1:$A$49,0),MATCH(orders!K$1,products!$A$1:$D$1,0))</f>
        <v>L</v>
      </c>
      <c r="L906" t="str">
        <f t="shared" si="85"/>
        <v>Light</v>
      </c>
      <c r="M906">
        <f>INDEX(products!$A$1:$I$49,MATCH(orders!$D906,products!$A$1:$A$49,0),MATCH(orders!M$1,products!$A$1:$D$1,0))</f>
        <v>2.5</v>
      </c>
      <c r="N906">
        <f>_xlfn.XLOOKUP(D906,products!$A$2:$A$49,products!$E$2:$E$49)</f>
        <v>29.784999999999997</v>
      </c>
      <c r="O906">
        <f>_xlfn.XLOOKUP(D906,products!$A$2:$A$49,products!$H$2:$H$49)</f>
        <v>27.104349999999997</v>
      </c>
      <c r="P906">
        <f t="shared" si="86"/>
        <v>148.92499999999998</v>
      </c>
      <c r="Q906">
        <f t="shared" si="87"/>
        <v>135.52175</v>
      </c>
      <c r="R906">
        <f t="shared" si="88"/>
        <v>13.403249999999986</v>
      </c>
      <c r="S906" s="4">
        <f t="shared" si="89"/>
        <v>8.9999999999999913E-2</v>
      </c>
      <c r="T906" t="str">
        <f>_xlfn.XLOOKUP(C906,customers!$A$1:$A$1001,customers!$I$1:$I$1001,,0)</f>
        <v>No</v>
      </c>
    </row>
    <row r="907" spans="1:20"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v>
      </c>
      <c r="H907" s="2" t="str">
        <f>_xlfn.XLOOKUP(C907,customers!$A$1:$A$1001,customers!$G$1:$G$1001,,0)</f>
        <v>United States</v>
      </c>
      <c r="I907" t="str">
        <f>INDEX(products!$A$1:$I$49,MATCH(orders!$D907,products!$A$1:$A$49,0),MATCH(orders!I$1,products!$A$1:$D$1,0))</f>
        <v>Ara</v>
      </c>
      <c r="J907" t="str">
        <f t="shared" si="84"/>
        <v>Arabica</v>
      </c>
      <c r="K907" t="str">
        <f>INDEX(products!$A$1:$I$49,MATCH(orders!$D907,products!$A$1:$A$49,0),MATCH(orders!K$1,products!$A$1:$D$1,0))</f>
        <v>M</v>
      </c>
      <c r="L907" t="str">
        <f t="shared" si="85"/>
        <v>Medium</v>
      </c>
      <c r="M907">
        <f>INDEX(products!$A$1:$I$49,MATCH(orders!$D907,products!$A$1:$A$49,0),MATCH(orders!M$1,products!$A$1:$D$1,0))</f>
        <v>0.5</v>
      </c>
      <c r="N907">
        <f>_xlfn.XLOOKUP(D907,products!$A$2:$A$49,products!$E$2:$E$49)</f>
        <v>6.75</v>
      </c>
      <c r="O907">
        <f>_xlfn.XLOOKUP(D907,products!$A$2:$A$49,products!$H$2:$H$49)</f>
        <v>6.1425000000000001</v>
      </c>
      <c r="P907">
        <f t="shared" si="86"/>
        <v>40.5</v>
      </c>
      <c r="Q907">
        <f t="shared" si="87"/>
        <v>36.855000000000004</v>
      </c>
      <c r="R907">
        <f t="shared" si="88"/>
        <v>3.644999999999996</v>
      </c>
      <c r="S907" s="4">
        <f t="shared" si="89"/>
        <v>8.99999999999999E-2</v>
      </c>
      <c r="T907" t="str">
        <f>_xlfn.XLOOKUP(C907,customers!$A$1:$A$1001,customers!$I$1:$I$1001,,0)</f>
        <v>Yes</v>
      </c>
    </row>
    <row r="908" spans="1:20"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INDEX(products!$A$1:$I$49,MATCH(orders!$D908,products!$A$1:$A$49,0),MATCH(orders!I$1,products!$A$1:$D$1,0))</f>
        <v>Ara</v>
      </c>
      <c r="J908" t="str">
        <f t="shared" si="84"/>
        <v>Arabica</v>
      </c>
      <c r="K908" t="str">
        <f>INDEX(products!$A$1:$I$49,MATCH(orders!$D908,products!$A$1:$A$49,0),MATCH(orders!K$1,products!$A$1:$D$1,0))</f>
        <v>M</v>
      </c>
      <c r="L908" t="str">
        <f t="shared" si="85"/>
        <v>Medium</v>
      </c>
      <c r="M908">
        <f>INDEX(products!$A$1:$I$49,MATCH(orders!$D908,products!$A$1:$A$49,0),MATCH(orders!M$1,products!$A$1:$D$1,0))</f>
        <v>0.5</v>
      </c>
      <c r="N908">
        <f>_xlfn.XLOOKUP(D908,products!$A$2:$A$49,products!$E$2:$E$49)</f>
        <v>6.75</v>
      </c>
      <c r="O908">
        <f>_xlfn.XLOOKUP(D908,products!$A$2:$A$49,products!$H$2:$H$49)</f>
        <v>6.1425000000000001</v>
      </c>
      <c r="P908">
        <f t="shared" si="86"/>
        <v>27</v>
      </c>
      <c r="Q908">
        <f t="shared" si="87"/>
        <v>24.57</v>
      </c>
      <c r="R908">
        <f t="shared" si="88"/>
        <v>2.4299999999999997</v>
      </c>
      <c r="S908" s="4">
        <f t="shared" si="89"/>
        <v>8.9999999999999983E-2</v>
      </c>
      <c r="T908" t="str">
        <f>_xlfn.XLOOKUP(C908,customers!$A$1:$A$1001,customers!$I$1:$I$1001,,0)</f>
        <v>Yes</v>
      </c>
    </row>
    <row r="909" spans="1:20"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INDEX(products!$A$1:$I$49,MATCH(orders!$D909,products!$A$1:$A$49,0),MATCH(orders!I$1,products!$A$1:$D$1,0))</f>
        <v>Lib</v>
      </c>
      <c r="J909" t="str">
        <f t="shared" si="84"/>
        <v>Liberica</v>
      </c>
      <c r="K909" t="str">
        <f>INDEX(products!$A$1:$I$49,MATCH(orders!$D909,products!$A$1:$A$49,0),MATCH(orders!K$1,products!$A$1:$D$1,0))</f>
        <v>D</v>
      </c>
      <c r="L909" t="str">
        <f t="shared" si="85"/>
        <v>Dark</v>
      </c>
      <c r="M909">
        <f>INDEX(products!$A$1:$I$49,MATCH(orders!$D909,products!$A$1:$A$49,0),MATCH(orders!M$1,products!$A$1:$D$1,0))</f>
        <v>1</v>
      </c>
      <c r="N909">
        <f>_xlfn.XLOOKUP(D909,products!$A$2:$A$49,products!$E$2:$E$49)</f>
        <v>12.95</v>
      </c>
      <c r="O909">
        <f>_xlfn.XLOOKUP(D909,products!$A$2:$A$49,products!$H$2:$H$49)</f>
        <v>11.266499999999999</v>
      </c>
      <c r="P909">
        <f t="shared" si="86"/>
        <v>38.849999999999994</v>
      </c>
      <c r="Q909">
        <f t="shared" si="87"/>
        <v>33.799499999999995</v>
      </c>
      <c r="R909">
        <f t="shared" si="88"/>
        <v>5.0504999999999995</v>
      </c>
      <c r="S909" s="4">
        <f t="shared" si="89"/>
        <v>0.13</v>
      </c>
      <c r="T909" t="str">
        <f>_xlfn.XLOOKUP(C909,customers!$A$1:$A$1001,customers!$I$1:$I$1001,,0)</f>
        <v>No</v>
      </c>
    </row>
    <row r="910" spans="1:20"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INDEX(products!$A$1:$I$49,MATCH(orders!$D910,products!$A$1:$A$49,0),MATCH(orders!I$1,products!$A$1:$D$1,0))</f>
        <v>Rob</v>
      </c>
      <c r="J910" t="str">
        <f t="shared" si="84"/>
        <v>Robusta</v>
      </c>
      <c r="K910" t="str">
        <f>INDEX(products!$A$1:$I$49,MATCH(orders!$D910,products!$A$1:$A$49,0),MATCH(orders!K$1,products!$A$1:$D$1,0))</f>
        <v>L</v>
      </c>
      <c r="L910" t="str">
        <f t="shared" si="85"/>
        <v>Light</v>
      </c>
      <c r="M910">
        <f>INDEX(products!$A$1:$I$49,MATCH(orders!$D910,products!$A$1:$A$49,0),MATCH(orders!M$1,products!$A$1:$D$1,0))</f>
        <v>1</v>
      </c>
      <c r="N910">
        <f>_xlfn.XLOOKUP(D910,products!$A$2:$A$49,products!$E$2:$E$49)</f>
        <v>11.95</v>
      </c>
      <c r="O910">
        <f>_xlfn.XLOOKUP(D910,products!$A$2:$A$49,products!$H$2:$H$49)</f>
        <v>11.232999999999999</v>
      </c>
      <c r="P910">
        <f t="shared" si="86"/>
        <v>59.75</v>
      </c>
      <c r="Q910">
        <f t="shared" si="87"/>
        <v>56.164999999999992</v>
      </c>
      <c r="R910">
        <f t="shared" si="88"/>
        <v>3.585000000000008</v>
      </c>
      <c r="S910" s="4">
        <f t="shared" si="89"/>
        <v>6.0000000000000137E-2</v>
      </c>
      <c r="T910" t="str">
        <f>_xlfn.XLOOKUP(C910,customers!$A$1:$A$1001,customers!$I$1:$I$1001,,0)</f>
        <v>No</v>
      </c>
    </row>
    <row r="911" spans="1:20"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v>
      </c>
      <c r="H911" s="2" t="str">
        <f>_xlfn.XLOOKUP(C911,customers!$A$1:$A$1001,customers!$G$1:$G$1001,,0)</f>
        <v>United States</v>
      </c>
      <c r="I911" t="str">
        <f>INDEX(products!$A$1:$I$49,MATCH(orders!$D911,products!$A$1:$A$49,0),MATCH(orders!I$1,products!$A$1:$D$1,0))</f>
        <v>Rob</v>
      </c>
      <c r="J911" t="str">
        <f t="shared" si="84"/>
        <v>Robusta</v>
      </c>
      <c r="K911" t="str">
        <f>INDEX(products!$A$1:$I$49,MATCH(orders!$D911,products!$A$1:$A$49,0),MATCH(orders!K$1,products!$A$1:$D$1,0))</f>
        <v>L</v>
      </c>
      <c r="L911" t="str">
        <f t="shared" si="85"/>
        <v>Light</v>
      </c>
      <c r="M911">
        <f>INDEX(products!$A$1:$I$49,MATCH(orders!$D911,products!$A$1:$A$49,0),MATCH(orders!M$1,products!$A$1:$D$1,0))</f>
        <v>0.2</v>
      </c>
      <c r="N911">
        <f>_xlfn.XLOOKUP(D911,products!$A$2:$A$49,products!$E$2:$E$49)</f>
        <v>3.5849999999999995</v>
      </c>
      <c r="O911">
        <f>_xlfn.XLOOKUP(D911,products!$A$2:$A$49,products!$H$2:$H$49)</f>
        <v>3.3698999999999995</v>
      </c>
      <c r="P911">
        <f t="shared" si="86"/>
        <v>10.754999999999999</v>
      </c>
      <c r="Q911">
        <f t="shared" si="87"/>
        <v>10.109699999999998</v>
      </c>
      <c r="R911">
        <f t="shared" si="88"/>
        <v>0.64530000000000065</v>
      </c>
      <c r="S911" s="4">
        <f t="shared" si="89"/>
        <v>6.0000000000000067E-2</v>
      </c>
      <c r="T911" t="str">
        <f>_xlfn.XLOOKUP(C911,customers!$A$1:$A$1001,customers!$I$1:$I$1001,,0)</f>
        <v>No</v>
      </c>
    </row>
    <row r="912" spans="1:20"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INDEX(products!$A$1:$I$49,MATCH(orders!$D912,products!$A$1:$A$49,0),MATCH(orders!I$1,products!$A$1:$D$1,0))</f>
        <v>Ara</v>
      </c>
      <c r="J912" t="str">
        <f t="shared" si="84"/>
        <v>Arabica</v>
      </c>
      <c r="K912" t="str">
        <f>INDEX(products!$A$1:$I$49,MATCH(orders!$D912,products!$A$1:$A$49,0),MATCH(orders!K$1,products!$A$1:$D$1,0))</f>
        <v>D</v>
      </c>
      <c r="L912" t="str">
        <f t="shared" si="85"/>
        <v>Dark</v>
      </c>
      <c r="M912">
        <f>INDEX(products!$A$1:$I$49,MATCH(orders!$D912,products!$A$1:$A$49,0),MATCH(orders!M$1,products!$A$1:$D$1,0))</f>
        <v>2.5</v>
      </c>
      <c r="N912">
        <f>_xlfn.XLOOKUP(D912,products!$A$2:$A$49,products!$E$2:$E$49)</f>
        <v>22.884999999999998</v>
      </c>
      <c r="O912">
        <f>_xlfn.XLOOKUP(D912,products!$A$2:$A$49,products!$H$2:$H$49)</f>
        <v>20.82535</v>
      </c>
      <c r="P912">
        <f t="shared" si="86"/>
        <v>91.539999999999992</v>
      </c>
      <c r="Q912">
        <f t="shared" si="87"/>
        <v>83.301400000000001</v>
      </c>
      <c r="R912">
        <f t="shared" si="88"/>
        <v>8.238599999999991</v>
      </c>
      <c r="S912" s="4">
        <f t="shared" si="89"/>
        <v>8.9999999999999913E-2</v>
      </c>
      <c r="T912" t="str">
        <f>_xlfn.XLOOKUP(C912,customers!$A$1:$A$1001,customers!$I$1:$I$1001,,0)</f>
        <v>No</v>
      </c>
    </row>
    <row r="913" spans="1:20"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INDEX(products!$A$1:$I$49,MATCH(orders!$D913,products!$A$1:$A$49,0),MATCH(orders!I$1,products!$A$1:$D$1,0))</f>
        <v>Ara</v>
      </c>
      <c r="J913" t="str">
        <f t="shared" si="84"/>
        <v>Arabica</v>
      </c>
      <c r="K913" t="str">
        <f>INDEX(products!$A$1:$I$49,MATCH(orders!$D913,products!$A$1:$A$49,0),MATCH(orders!K$1,products!$A$1:$D$1,0))</f>
        <v>M</v>
      </c>
      <c r="L913" t="str">
        <f t="shared" si="85"/>
        <v>Medium</v>
      </c>
      <c r="M913">
        <f>INDEX(products!$A$1:$I$49,MATCH(orders!$D913,products!$A$1:$A$49,0),MATCH(orders!M$1,products!$A$1:$D$1,0))</f>
        <v>1</v>
      </c>
      <c r="N913">
        <f>_xlfn.XLOOKUP(D913,products!$A$2:$A$49,products!$E$2:$E$49)</f>
        <v>11.25</v>
      </c>
      <c r="O913">
        <f>_xlfn.XLOOKUP(D913,products!$A$2:$A$49,products!$H$2:$H$49)</f>
        <v>10.237500000000001</v>
      </c>
      <c r="P913">
        <f t="shared" si="86"/>
        <v>45</v>
      </c>
      <c r="Q913">
        <f t="shared" si="87"/>
        <v>40.950000000000003</v>
      </c>
      <c r="R913">
        <f t="shared" si="88"/>
        <v>4.0499999999999972</v>
      </c>
      <c r="S913" s="4">
        <f t="shared" si="89"/>
        <v>8.9999999999999941E-2</v>
      </c>
      <c r="T913" t="str">
        <f>_xlfn.XLOOKUP(C913,customers!$A$1:$A$1001,customers!$I$1:$I$1001,,0)</f>
        <v>Yes</v>
      </c>
    </row>
    <row r="914" spans="1:20"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v>
      </c>
      <c r="H914" s="2" t="str">
        <f>_xlfn.XLOOKUP(C914,customers!$A$1:$A$1001,customers!$G$1:$G$1001,,0)</f>
        <v>United States</v>
      </c>
      <c r="I914" t="str">
        <f>INDEX(products!$A$1:$I$49,MATCH(orders!$D914,products!$A$1:$A$49,0),MATCH(orders!I$1,products!$A$1:$D$1,0))</f>
        <v>Rob</v>
      </c>
      <c r="J914" t="str">
        <f t="shared" si="84"/>
        <v>Robusta</v>
      </c>
      <c r="K914" t="str">
        <f>INDEX(products!$A$1:$I$49,MATCH(orders!$D914,products!$A$1:$A$49,0),MATCH(orders!K$1,products!$A$1:$D$1,0))</f>
        <v>M</v>
      </c>
      <c r="L914" t="str">
        <f t="shared" si="85"/>
        <v>Medium</v>
      </c>
      <c r="M914">
        <f>INDEX(products!$A$1:$I$49,MATCH(orders!$D914,products!$A$1:$A$49,0),MATCH(orders!M$1,products!$A$1:$D$1,0))</f>
        <v>2.5</v>
      </c>
      <c r="N914">
        <f>_xlfn.XLOOKUP(D914,products!$A$2:$A$49,products!$E$2:$E$49)</f>
        <v>22.884999999999998</v>
      </c>
      <c r="O914">
        <f>_xlfn.XLOOKUP(D914,products!$A$2:$A$49,products!$H$2:$H$49)</f>
        <v>21.511899999999997</v>
      </c>
      <c r="P914">
        <f t="shared" si="86"/>
        <v>137.31</v>
      </c>
      <c r="Q914">
        <f t="shared" si="87"/>
        <v>129.07139999999998</v>
      </c>
      <c r="R914">
        <f t="shared" si="88"/>
        <v>8.2386000000000195</v>
      </c>
      <c r="S914" s="4">
        <f t="shared" si="89"/>
        <v>6.0000000000000143E-2</v>
      </c>
      <c r="T914" t="str">
        <f>_xlfn.XLOOKUP(C914,customers!$A$1:$A$1001,customers!$I$1:$I$1001,,0)</f>
        <v>Yes</v>
      </c>
    </row>
    <row r="915" spans="1:20"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INDEX(products!$A$1:$I$49,MATCH(orders!$D915,products!$A$1:$A$49,0),MATCH(orders!I$1,products!$A$1:$D$1,0))</f>
        <v>Ara</v>
      </c>
      <c r="J915" t="str">
        <f t="shared" si="84"/>
        <v>Arabica</v>
      </c>
      <c r="K915" t="str">
        <f>INDEX(products!$A$1:$I$49,MATCH(orders!$D915,products!$A$1:$A$49,0),MATCH(orders!K$1,products!$A$1:$D$1,0))</f>
        <v>M</v>
      </c>
      <c r="L915" t="str">
        <f t="shared" si="85"/>
        <v>Medium</v>
      </c>
      <c r="M915">
        <f>INDEX(products!$A$1:$I$49,MATCH(orders!$D915,products!$A$1:$A$49,0),MATCH(orders!M$1,products!$A$1:$D$1,0))</f>
        <v>0.5</v>
      </c>
      <c r="N915">
        <f>_xlfn.XLOOKUP(D915,products!$A$2:$A$49,products!$E$2:$E$49)</f>
        <v>6.75</v>
      </c>
      <c r="O915">
        <f>_xlfn.XLOOKUP(D915,products!$A$2:$A$49,products!$H$2:$H$49)</f>
        <v>6.1425000000000001</v>
      </c>
      <c r="P915">
        <f t="shared" si="86"/>
        <v>6.75</v>
      </c>
      <c r="Q915">
        <f t="shared" si="87"/>
        <v>6.1425000000000001</v>
      </c>
      <c r="R915">
        <f t="shared" si="88"/>
        <v>0.60749999999999993</v>
      </c>
      <c r="S915" s="4">
        <f t="shared" si="89"/>
        <v>8.9999999999999983E-2</v>
      </c>
      <c r="T915" t="str">
        <f>_xlfn.XLOOKUP(C915,customers!$A$1:$A$1001,customers!$I$1:$I$1001,,0)</f>
        <v>No</v>
      </c>
    </row>
    <row r="916" spans="1:20"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INDEX(products!$A$1:$I$49,MATCH(orders!$D916,products!$A$1:$A$49,0),MATCH(orders!I$1,products!$A$1:$D$1,0))</f>
        <v>Ara</v>
      </c>
      <c r="J916" t="str">
        <f t="shared" si="84"/>
        <v>Arabica</v>
      </c>
      <c r="K916" t="str">
        <f>INDEX(products!$A$1:$I$49,MATCH(orders!$D916,products!$A$1:$A$49,0),MATCH(orders!K$1,products!$A$1:$D$1,0))</f>
        <v>M</v>
      </c>
      <c r="L916" t="str">
        <f t="shared" si="85"/>
        <v>Medium</v>
      </c>
      <c r="M916">
        <f>INDEX(products!$A$1:$I$49,MATCH(orders!$D916,products!$A$1:$A$49,0),MATCH(orders!M$1,products!$A$1:$D$1,0))</f>
        <v>1</v>
      </c>
      <c r="N916">
        <f>_xlfn.XLOOKUP(D916,products!$A$2:$A$49,products!$E$2:$E$49)</f>
        <v>11.25</v>
      </c>
      <c r="O916">
        <f>_xlfn.XLOOKUP(D916,products!$A$2:$A$49,products!$H$2:$H$49)</f>
        <v>10.237500000000001</v>
      </c>
      <c r="P916">
        <f t="shared" si="86"/>
        <v>45</v>
      </c>
      <c r="Q916">
        <f t="shared" si="87"/>
        <v>40.950000000000003</v>
      </c>
      <c r="R916">
        <f t="shared" si="88"/>
        <v>4.0499999999999972</v>
      </c>
      <c r="S916" s="4">
        <f t="shared" si="89"/>
        <v>8.9999999999999941E-2</v>
      </c>
      <c r="T916" t="str">
        <f>_xlfn.XLOOKUP(C916,customers!$A$1:$A$1001,customers!$I$1:$I$1001,,0)</f>
        <v>No</v>
      </c>
    </row>
    <row r="917" spans="1:20"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INDEX(products!$A$1:$I$49,MATCH(orders!$D917,products!$A$1:$A$49,0),MATCH(orders!I$1,products!$A$1:$D$1,0))</f>
        <v>Exc</v>
      </c>
      <c r="J917" t="str">
        <f t="shared" si="84"/>
        <v>Excelsa</v>
      </c>
      <c r="K917" t="str">
        <f>INDEX(products!$A$1:$I$49,MATCH(orders!$D917,products!$A$1:$A$49,0),MATCH(orders!K$1,products!$A$1:$D$1,0))</f>
        <v>D</v>
      </c>
      <c r="L917" t="str">
        <f t="shared" si="85"/>
        <v>Dark</v>
      </c>
      <c r="M917">
        <f>INDEX(products!$A$1:$I$49,MATCH(orders!$D917,products!$A$1:$A$49,0),MATCH(orders!M$1,products!$A$1:$D$1,0))</f>
        <v>2.5</v>
      </c>
      <c r="N917">
        <f>_xlfn.XLOOKUP(D917,products!$A$2:$A$49,products!$E$2:$E$49)</f>
        <v>27.945</v>
      </c>
      <c r="O917">
        <f>_xlfn.XLOOKUP(D917,products!$A$2:$A$49,products!$H$2:$H$49)</f>
        <v>24.87105</v>
      </c>
      <c r="P917">
        <f t="shared" si="86"/>
        <v>83.835000000000008</v>
      </c>
      <c r="Q917">
        <f t="shared" si="87"/>
        <v>74.613150000000005</v>
      </c>
      <c r="R917">
        <f t="shared" si="88"/>
        <v>9.2218500000000034</v>
      </c>
      <c r="S917" s="4">
        <f t="shared" si="89"/>
        <v>0.11000000000000003</v>
      </c>
      <c r="T917" t="str">
        <f>_xlfn.XLOOKUP(C917,customers!$A$1:$A$1001,customers!$I$1:$I$1001,,0)</f>
        <v>Yes</v>
      </c>
    </row>
    <row r="918" spans="1:20"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v>
      </c>
      <c r="H918" s="2" t="str">
        <f>_xlfn.XLOOKUP(C918,customers!$A$1:$A$1001,customers!$G$1:$G$1001,,0)</f>
        <v>Ireland</v>
      </c>
      <c r="I918" t="str">
        <f>INDEX(products!$A$1:$I$49,MATCH(orders!$D918,products!$A$1:$A$49,0),MATCH(orders!I$1,products!$A$1:$D$1,0))</f>
        <v>Exc</v>
      </c>
      <c r="J918" t="str">
        <f t="shared" si="84"/>
        <v>Excelsa</v>
      </c>
      <c r="K918" t="str">
        <f>INDEX(products!$A$1:$I$49,MATCH(orders!$D918,products!$A$1:$A$49,0),MATCH(orders!K$1,products!$A$1:$D$1,0))</f>
        <v>D</v>
      </c>
      <c r="L918" t="str">
        <f t="shared" si="85"/>
        <v>Dark</v>
      </c>
      <c r="M918">
        <f>INDEX(products!$A$1:$I$49,MATCH(orders!$D918,products!$A$1:$A$49,0),MATCH(orders!M$1,products!$A$1:$D$1,0))</f>
        <v>0.2</v>
      </c>
      <c r="N918">
        <f>_xlfn.XLOOKUP(D918,products!$A$2:$A$49,products!$E$2:$E$49)</f>
        <v>3.645</v>
      </c>
      <c r="O918">
        <f>_xlfn.XLOOKUP(D918,products!$A$2:$A$49,products!$H$2:$H$49)</f>
        <v>3.2440500000000001</v>
      </c>
      <c r="P918">
        <f t="shared" si="86"/>
        <v>3.645</v>
      </c>
      <c r="Q918">
        <f t="shared" si="87"/>
        <v>3.2440500000000001</v>
      </c>
      <c r="R918">
        <f t="shared" si="88"/>
        <v>0.40094999999999992</v>
      </c>
      <c r="S918" s="4">
        <f t="shared" si="89"/>
        <v>0.10999999999999997</v>
      </c>
      <c r="T918" t="str">
        <f>_xlfn.XLOOKUP(C918,customers!$A$1:$A$1001,customers!$I$1:$I$1001,,0)</f>
        <v>Yes</v>
      </c>
    </row>
    <row r="919" spans="1:20"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INDEX(products!$A$1:$I$49,MATCH(orders!$D919,products!$A$1:$A$49,0),MATCH(orders!I$1,products!$A$1:$D$1,0))</f>
        <v>Ara</v>
      </c>
      <c r="J919" t="str">
        <f t="shared" si="84"/>
        <v>Arabica</v>
      </c>
      <c r="K919" t="str">
        <f>INDEX(products!$A$1:$I$49,MATCH(orders!$D919,products!$A$1:$A$49,0),MATCH(orders!K$1,products!$A$1:$D$1,0))</f>
        <v>M</v>
      </c>
      <c r="L919" t="str">
        <f t="shared" si="85"/>
        <v>Medium</v>
      </c>
      <c r="M919">
        <f>INDEX(products!$A$1:$I$49,MATCH(orders!$D919,products!$A$1:$A$49,0),MATCH(orders!M$1,products!$A$1:$D$1,0))</f>
        <v>0.5</v>
      </c>
      <c r="N919">
        <f>_xlfn.XLOOKUP(D919,products!$A$2:$A$49,products!$E$2:$E$49)</f>
        <v>6.75</v>
      </c>
      <c r="O919">
        <f>_xlfn.XLOOKUP(D919,products!$A$2:$A$49,products!$H$2:$H$49)</f>
        <v>6.1425000000000001</v>
      </c>
      <c r="P919">
        <f t="shared" si="86"/>
        <v>6.75</v>
      </c>
      <c r="Q919">
        <f t="shared" si="87"/>
        <v>6.1425000000000001</v>
      </c>
      <c r="R919">
        <f t="shared" si="88"/>
        <v>0.60749999999999993</v>
      </c>
      <c r="S919" s="4">
        <f t="shared" si="89"/>
        <v>8.9999999999999983E-2</v>
      </c>
      <c r="T919" t="str">
        <f>_xlfn.XLOOKUP(C919,customers!$A$1:$A$1001,customers!$I$1:$I$1001,,0)</f>
        <v>No</v>
      </c>
    </row>
    <row r="920" spans="1:20"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INDEX(products!$A$1:$I$49,MATCH(orders!$D920,products!$A$1:$A$49,0),MATCH(orders!I$1,products!$A$1:$D$1,0))</f>
        <v>Exc</v>
      </c>
      <c r="J920" t="str">
        <f t="shared" si="84"/>
        <v>Excelsa</v>
      </c>
      <c r="K920" t="str">
        <f>INDEX(products!$A$1:$I$49,MATCH(orders!$D920,products!$A$1:$A$49,0),MATCH(orders!K$1,products!$A$1:$D$1,0))</f>
        <v>D</v>
      </c>
      <c r="L920" t="str">
        <f t="shared" si="85"/>
        <v>Dark</v>
      </c>
      <c r="M920">
        <f>INDEX(products!$A$1:$I$49,MATCH(orders!$D920,products!$A$1:$A$49,0),MATCH(orders!M$1,products!$A$1:$D$1,0))</f>
        <v>0.5</v>
      </c>
      <c r="N920">
        <f>_xlfn.XLOOKUP(D920,products!$A$2:$A$49,products!$E$2:$E$49)</f>
        <v>7.29</v>
      </c>
      <c r="O920">
        <f>_xlfn.XLOOKUP(D920,products!$A$2:$A$49,products!$H$2:$H$49)</f>
        <v>6.4881000000000002</v>
      </c>
      <c r="P920">
        <f t="shared" si="86"/>
        <v>21.87</v>
      </c>
      <c r="Q920">
        <f t="shared" si="87"/>
        <v>19.464300000000001</v>
      </c>
      <c r="R920">
        <f t="shared" si="88"/>
        <v>2.4056999999999995</v>
      </c>
      <c r="S920" s="4">
        <f t="shared" si="89"/>
        <v>0.10999999999999997</v>
      </c>
      <c r="T920" t="str">
        <f>_xlfn.XLOOKUP(C920,customers!$A$1:$A$1001,customers!$I$1:$I$1001,,0)</f>
        <v>No</v>
      </c>
    </row>
    <row r="921" spans="1:20"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INDEX(products!$A$1:$I$49,MATCH(orders!$D921,products!$A$1:$A$49,0),MATCH(orders!I$1,products!$A$1:$D$1,0))</f>
        <v>Rob</v>
      </c>
      <c r="J921" t="str">
        <f t="shared" si="84"/>
        <v>Robusta</v>
      </c>
      <c r="K921" t="str">
        <f>INDEX(products!$A$1:$I$49,MATCH(orders!$D921,products!$A$1:$A$49,0),MATCH(orders!K$1,products!$A$1:$D$1,0))</f>
        <v>D</v>
      </c>
      <c r="L921" t="str">
        <f t="shared" si="85"/>
        <v>Dark</v>
      </c>
      <c r="M921">
        <f>INDEX(products!$A$1:$I$49,MATCH(orders!$D921,products!$A$1:$A$49,0),MATCH(orders!M$1,products!$A$1:$D$1,0))</f>
        <v>0.2</v>
      </c>
      <c r="N921">
        <f>_xlfn.XLOOKUP(D921,products!$A$2:$A$49,products!$E$2:$E$49)</f>
        <v>2.6849999999999996</v>
      </c>
      <c r="O921">
        <f>_xlfn.XLOOKUP(D921,products!$A$2:$A$49,products!$H$2:$H$49)</f>
        <v>2.5238999999999998</v>
      </c>
      <c r="P921">
        <f t="shared" si="86"/>
        <v>13.424999999999997</v>
      </c>
      <c r="Q921">
        <f t="shared" si="87"/>
        <v>12.619499999999999</v>
      </c>
      <c r="R921">
        <f t="shared" si="88"/>
        <v>0.80549999999999855</v>
      </c>
      <c r="S921" s="4">
        <f t="shared" si="89"/>
        <v>5.9999999999999908E-2</v>
      </c>
      <c r="T921" t="str">
        <f>_xlfn.XLOOKUP(C921,customers!$A$1:$A$1001,customers!$I$1:$I$1001,,0)</f>
        <v>Yes</v>
      </c>
    </row>
    <row r="922" spans="1:20"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INDEX(products!$A$1:$I$49,MATCH(orders!$D922,products!$A$1:$A$49,0),MATCH(orders!I$1,products!$A$1:$D$1,0))</f>
        <v>Rob</v>
      </c>
      <c r="J922" t="str">
        <f t="shared" si="84"/>
        <v>Robusta</v>
      </c>
      <c r="K922" t="str">
        <f>INDEX(products!$A$1:$I$49,MATCH(orders!$D922,products!$A$1:$A$49,0),MATCH(orders!K$1,products!$A$1:$D$1,0))</f>
        <v>D</v>
      </c>
      <c r="L922" t="str">
        <f t="shared" si="85"/>
        <v>Dark</v>
      </c>
      <c r="M922">
        <f>INDEX(products!$A$1:$I$49,MATCH(orders!$D922,products!$A$1:$A$49,0),MATCH(orders!M$1,products!$A$1:$D$1,0))</f>
        <v>2.5</v>
      </c>
      <c r="N922">
        <f>_xlfn.XLOOKUP(D922,products!$A$2:$A$49,products!$E$2:$E$49)</f>
        <v>20.584999999999997</v>
      </c>
      <c r="O922">
        <f>_xlfn.XLOOKUP(D922,products!$A$2:$A$49,products!$H$2:$H$49)</f>
        <v>19.349899999999998</v>
      </c>
      <c r="P922">
        <f t="shared" si="86"/>
        <v>123.50999999999999</v>
      </c>
      <c r="Q922">
        <f t="shared" si="87"/>
        <v>116.09939999999999</v>
      </c>
      <c r="R922">
        <f t="shared" si="88"/>
        <v>7.4106000000000023</v>
      </c>
      <c r="S922" s="4">
        <f t="shared" si="89"/>
        <v>6.0000000000000026E-2</v>
      </c>
      <c r="T922" t="str">
        <f>_xlfn.XLOOKUP(C922,customers!$A$1:$A$1001,customers!$I$1:$I$1001,,0)</f>
        <v>No</v>
      </c>
    </row>
    <row r="923" spans="1:20"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INDEX(products!$A$1:$I$49,MATCH(orders!$D923,products!$A$1:$A$49,0),MATCH(orders!I$1,products!$A$1:$D$1,0))</f>
        <v>Lib</v>
      </c>
      <c r="J923" t="str">
        <f t="shared" si="84"/>
        <v>Liberica</v>
      </c>
      <c r="K923" t="str">
        <f>INDEX(products!$A$1:$I$49,MATCH(orders!$D923,products!$A$1:$A$49,0),MATCH(orders!K$1,products!$A$1:$D$1,0))</f>
        <v>D</v>
      </c>
      <c r="L923" t="str">
        <f t="shared" si="85"/>
        <v>Dark</v>
      </c>
      <c r="M923">
        <f>INDEX(products!$A$1:$I$49,MATCH(orders!$D923,products!$A$1:$A$49,0),MATCH(orders!M$1,products!$A$1:$D$1,0))</f>
        <v>0.2</v>
      </c>
      <c r="N923">
        <f>_xlfn.XLOOKUP(D923,products!$A$2:$A$49,products!$E$2:$E$49)</f>
        <v>3.8849999999999998</v>
      </c>
      <c r="O923">
        <f>_xlfn.XLOOKUP(D923,products!$A$2:$A$49,products!$H$2:$H$49)</f>
        <v>3.37995</v>
      </c>
      <c r="P923">
        <f t="shared" si="86"/>
        <v>7.77</v>
      </c>
      <c r="Q923">
        <f t="shared" si="87"/>
        <v>6.7599</v>
      </c>
      <c r="R923">
        <f t="shared" si="88"/>
        <v>1.0100999999999996</v>
      </c>
      <c r="S923" s="4">
        <f t="shared" si="89"/>
        <v>0.12999999999999995</v>
      </c>
      <c r="T923" t="str">
        <f>_xlfn.XLOOKUP(C923,customers!$A$1:$A$1001,customers!$I$1:$I$1001,,0)</f>
        <v>No</v>
      </c>
    </row>
    <row r="924" spans="1:20"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v>
      </c>
      <c r="H924" s="2" t="str">
        <f>_xlfn.XLOOKUP(C924,customers!$A$1:$A$1001,customers!$G$1:$G$1001,,0)</f>
        <v>United States</v>
      </c>
      <c r="I924" t="str">
        <f>INDEX(products!$A$1:$I$49,MATCH(orders!$D924,products!$A$1:$A$49,0),MATCH(orders!I$1,products!$A$1:$D$1,0))</f>
        <v>Ara</v>
      </c>
      <c r="J924" t="str">
        <f t="shared" si="84"/>
        <v>Arabica</v>
      </c>
      <c r="K924" t="str">
        <f>INDEX(products!$A$1:$I$49,MATCH(orders!$D924,products!$A$1:$A$49,0),MATCH(orders!K$1,products!$A$1:$D$1,0))</f>
        <v>M</v>
      </c>
      <c r="L924" t="str">
        <f t="shared" si="85"/>
        <v>Medium</v>
      </c>
      <c r="M924">
        <f>INDEX(products!$A$1:$I$49,MATCH(orders!$D924,products!$A$1:$A$49,0),MATCH(orders!M$1,products!$A$1:$D$1,0))</f>
        <v>1</v>
      </c>
      <c r="N924">
        <f>_xlfn.XLOOKUP(D924,products!$A$2:$A$49,products!$E$2:$E$49)</f>
        <v>11.25</v>
      </c>
      <c r="O924">
        <f>_xlfn.XLOOKUP(D924,products!$A$2:$A$49,products!$H$2:$H$49)</f>
        <v>10.237500000000001</v>
      </c>
      <c r="P924">
        <f t="shared" si="86"/>
        <v>67.5</v>
      </c>
      <c r="Q924">
        <f t="shared" si="87"/>
        <v>61.425000000000004</v>
      </c>
      <c r="R924">
        <f t="shared" si="88"/>
        <v>6.0749999999999957</v>
      </c>
      <c r="S924" s="4">
        <f t="shared" si="89"/>
        <v>8.9999999999999941E-2</v>
      </c>
      <c r="T924" t="str">
        <f>_xlfn.XLOOKUP(C924,customers!$A$1:$A$1001,customers!$I$1:$I$1001,,0)</f>
        <v>Yes</v>
      </c>
    </row>
    <row r="925" spans="1:20"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INDEX(products!$A$1:$I$49,MATCH(orders!$D925,products!$A$1:$A$49,0),MATCH(orders!I$1,products!$A$1:$D$1,0))</f>
        <v>Exc</v>
      </c>
      <c r="J925" t="str">
        <f t="shared" si="84"/>
        <v>Excelsa</v>
      </c>
      <c r="K925" t="str">
        <f>INDEX(products!$A$1:$I$49,MATCH(orders!$D925,products!$A$1:$A$49,0),MATCH(orders!K$1,products!$A$1:$D$1,0))</f>
        <v>D</v>
      </c>
      <c r="L925" t="str">
        <f t="shared" si="85"/>
        <v>Dark</v>
      </c>
      <c r="M925">
        <f>INDEX(products!$A$1:$I$49,MATCH(orders!$D925,products!$A$1:$A$49,0),MATCH(orders!M$1,products!$A$1:$D$1,0))</f>
        <v>2.5</v>
      </c>
      <c r="N925">
        <f>_xlfn.XLOOKUP(D925,products!$A$2:$A$49,products!$E$2:$E$49)</f>
        <v>27.945</v>
      </c>
      <c r="O925">
        <f>_xlfn.XLOOKUP(D925,products!$A$2:$A$49,products!$H$2:$H$49)</f>
        <v>24.87105</v>
      </c>
      <c r="P925">
        <f t="shared" si="86"/>
        <v>27.945</v>
      </c>
      <c r="Q925">
        <f t="shared" si="87"/>
        <v>24.87105</v>
      </c>
      <c r="R925">
        <f t="shared" si="88"/>
        <v>3.07395</v>
      </c>
      <c r="S925" s="4">
        <f t="shared" si="89"/>
        <v>0.11</v>
      </c>
      <c r="T925" t="str">
        <f>_xlfn.XLOOKUP(C925,customers!$A$1:$A$1001,customers!$I$1:$I$1001,,0)</f>
        <v>No</v>
      </c>
    </row>
    <row r="926" spans="1:20"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INDEX(products!$A$1:$I$49,MATCH(orders!$D926,products!$A$1:$A$49,0),MATCH(orders!I$1,products!$A$1:$D$1,0))</f>
        <v>Ara</v>
      </c>
      <c r="J926" t="str">
        <f t="shared" si="84"/>
        <v>Arabica</v>
      </c>
      <c r="K926" t="str">
        <f>INDEX(products!$A$1:$I$49,MATCH(orders!$D926,products!$A$1:$A$49,0),MATCH(orders!K$1,products!$A$1:$D$1,0))</f>
        <v>L</v>
      </c>
      <c r="L926" t="str">
        <f t="shared" si="85"/>
        <v>Light</v>
      </c>
      <c r="M926">
        <f>INDEX(products!$A$1:$I$49,MATCH(orders!$D926,products!$A$1:$A$49,0),MATCH(orders!M$1,products!$A$1:$D$1,0))</f>
        <v>2.5</v>
      </c>
      <c r="N926">
        <f>_xlfn.XLOOKUP(D926,products!$A$2:$A$49,products!$E$2:$E$49)</f>
        <v>29.784999999999997</v>
      </c>
      <c r="O926">
        <f>_xlfn.XLOOKUP(D926,products!$A$2:$A$49,products!$H$2:$H$49)</f>
        <v>27.104349999999997</v>
      </c>
      <c r="P926">
        <f t="shared" si="86"/>
        <v>89.35499999999999</v>
      </c>
      <c r="Q926">
        <f t="shared" si="87"/>
        <v>81.31304999999999</v>
      </c>
      <c r="R926">
        <f t="shared" si="88"/>
        <v>8.0419499999999999</v>
      </c>
      <c r="S926" s="4">
        <f t="shared" si="89"/>
        <v>9.0000000000000011E-2</v>
      </c>
      <c r="T926" t="str">
        <f>_xlfn.XLOOKUP(C926,customers!$A$1:$A$1001,customers!$I$1:$I$1001,,0)</f>
        <v>No</v>
      </c>
    </row>
    <row r="927" spans="1:20"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v>
      </c>
      <c r="H927" s="2" t="str">
        <f>_xlfn.XLOOKUP(C927,customers!$A$1:$A$1001,customers!$G$1:$G$1001,,0)</f>
        <v>United States</v>
      </c>
      <c r="I927" t="str">
        <f>INDEX(products!$A$1:$I$49,MATCH(orders!$D927,products!$A$1:$A$49,0),MATCH(orders!I$1,products!$A$1:$D$1,0))</f>
        <v>Ara</v>
      </c>
      <c r="J927" t="str">
        <f t="shared" si="84"/>
        <v>Arabica</v>
      </c>
      <c r="K927" t="str">
        <f>INDEX(products!$A$1:$I$49,MATCH(orders!$D927,products!$A$1:$A$49,0),MATCH(orders!K$1,products!$A$1:$D$1,0))</f>
        <v>M</v>
      </c>
      <c r="L927" t="str">
        <f t="shared" si="85"/>
        <v>Medium</v>
      </c>
      <c r="M927">
        <f>INDEX(products!$A$1:$I$49,MATCH(orders!$D927,products!$A$1:$A$49,0),MATCH(orders!M$1,products!$A$1:$D$1,0))</f>
        <v>0.5</v>
      </c>
      <c r="N927">
        <f>_xlfn.XLOOKUP(D927,products!$A$2:$A$49,products!$E$2:$E$49)</f>
        <v>6.75</v>
      </c>
      <c r="O927">
        <f>_xlfn.XLOOKUP(D927,products!$A$2:$A$49,products!$H$2:$H$49)</f>
        <v>6.1425000000000001</v>
      </c>
      <c r="P927">
        <f t="shared" si="86"/>
        <v>20.25</v>
      </c>
      <c r="Q927">
        <f t="shared" si="87"/>
        <v>18.427500000000002</v>
      </c>
      <c r="R927">
        <f t="shared" si="88"/>
        <v>1.822499999999998</v>
      </c>
      <c r="S927" s="4">
        <f t="shared" si="89"/>
        <v>8.99999999999999E-2</v>
      </c>
      <c r="T927" t="str">
        <f>_xlfn.XLOOKUP(C927,customers!$A$1:$A$1001,customers!$I$1:$I$1001,,0)</f>
        <v>No</v>
      </c>
    </row>
    <row r="928" spans="1:20"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INDEX(products!$A$1:$I$49,MATCH(orders!$D928,products!$A$1:$A$49,0),MATCH(orders!I$1,products!$A$1:$D$1,0))</f>
        <v>Ara</v>
      </c>
      <c r="J928" t="str">
        <f t="shared" si="84"/>
        <v>Arabica</v>
      </c>
      <c r="K928" t="str">
        <f>INDEX(products!$A$1:$I$49,MATCH(orders!$D928,products!$A$1:$A$49,0),MATCH(orders!K$1,products!$A$1:$D$1,0))</f>
        <v>M</v>
      </c>
      <c r="L928" t="str">
        <f t="shared" si="85"/>
        <v>Medium</v>
      </c>
      <c r="M928">
        <f>INDEX(products!$A$1:$I$49,MATCH(orders!$D928,products!$A$1:$A$49,0),MATCH(orders!M$1,products!$A$1:$D$1,0))</f>
        <v>0.5</v>
      </c>
      <c r="N928">
        <f>_xlfn.XLOOKUP(D928,products!$A$2:$A$49,products!$E$2:$E$49)</f>
        <v>6.75</v>
      </c>
      <c r="O928">
        <f>_xlfn.XLOOKUP(D928,products!$A$2:$A$49,products!$H$2:$H$49)</f>
        <v>6.1425000000000001</v>
      </c>
      <c r="P928">
        <f t="shared" si="86"/>
        <v>33.75</v>
      </c>
      <c r="Q928">
        <f t="shared" si="87"/>
        <v>30.712499999999999</v>
      </c>
      <c r="R928">
        <f t="shared" si="88"/>
        <v>3.0375000000000014</v>
      </c>
      <c r="S928" s="4">
        <f t="shared" si="89"/>
        <v>9.0000000000000038E-2</v>
      </c>
      <c r="T928" t="str">
        <f>_xlfn.XLOOKUP(C928,customers!$A$1:$A$1001,customers!$I$1:$I$1001,,0)</f>
        <v>Yes</v>
      </c>
    </row>
    <row r="929" spans="1:20"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INDEX(products!$A$1:$I$49,MATCH(orders!$D929,products!$A$1:$A$49,0),MATCH(orders!I$1,products!$A$1:$D$1,0))</f>
        <v>Exc</v>
      </c>
      <c r="J929" t="str">
        <f t="shared" si="84"/>
        <v>Excelsa</v>
      </c>
      <c r="K929" t="str">
        <f>INDEX(products!$A$1:$I$49,MATCH(orders!$D929,products!$A$1:$A$49,0),MATCH(orders!K$1,products!$A$1:$D$1,0))</f>
        <v>D</v>
      </c>
      <c r="L929" t="str">
        <f t="shared" si="85"/>
        <v>Dark</v>
      </c>
      <c r="M929">
        <f>INDEX(products!$A$1:$I$49,MATCH(orders!$D929,products!$A$1:$A$49,0),MATCH(orders!M$1,products!$A$1:$D$1,0))</f>
        <v>2.5</v>
      </c>
      <c r="N929">
        <f>_xlfn.XLOOKUP(D929,products!$A$2:$A$49,products!$E$2:$E$49)</f>
        <v>27.945</v>
      </c>
      <c r="O929">
        <f>_xlfn.XLOOKUP(D929,products!$A$2:$A$49,products!$H$2:$H$49)</f>
        <v>24.87105</v>
      </c>
      <c r="P929">
        <f t="shared" si="86"/>
        <v>111.78</v>
      </c>
      <c r="Q929">
        <f t="shared" si="87"/>
        <v>99.484200000000001</v>
      </c>
      <c r="R929">
        <f t="shared" si="88"/>
        <v>12.2958</v>
      </c>
      <c r="S929" s="4">
        <f t="shared" si="89"/>
        <v>0.11</v>
      </c>
      <c r="T929" t="str">
        <f>_xlfn.XLOOKUP(C929,customers!$A$1:$A$1001,customers!$I$1:$I$1001,,0)</f>
        <v>No</v>
      </c>
    </row>
    <row r="930" spans="1:20"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INDEX(products!$A$1:$I$49,MATCH(orders!$D930,products!$A$1:$A$49,0),MATCH(orders!I$1,products!$A$1:$D$1,0))</f>
        <v>Exc</v>
      </c>
      <c r="J930" t="str">
        <f t="shared" si="84"/>
        <v>Excelsa</v>
      </c>
      <c r="K930" t="str">
        <f>INDEX(products!$A$1:$I$49,MATCH(orders!$D930,products!$A$1:$A$49,0),MATCH(orders!K$1,products!$A$1:$D$1,0))</f>
        <v>M</v>
      </c>
      <c r="L930" t="str">
        <f t="shared" si="85"/>
        <v>Medium</v>
      </c>
      <c r="M930">
        <f>INDEX(products!$A$1:$I$49,MATCH(orders!$D930,products!$A$1:$A$49,0),MATCH(orders!M$1,products!$A$1:$D$1,0))</f>
        <v>2.5</v>
      </c>
      <c r="N930">
        <f>_xlfn.XLOOKUP(D930,products!$A$2:$A$49,products!$E$2:$E$49)</f>
        <v>31.624999999999996</v>
      </c>
      <c r="O930">
        <f>_xlfn.XLOOKUP(D930,products!$A$2:$A$49,products!$H$2:$H$49)</f>
        <v>28.146249999999995</v>
      </c>
      <c r="P930">
        <f t="shared" si="86"/>
        <v>63.249999999999993</v>
      </c>
      <c r="Q930">
        <f t="shared" si="87"/>
        <v>56.29249999999999</v>
      </c>
      <c r="R930">
        <f t="shared" si="88"/>
        <v>6.9575000000000031</v>
      </c>
      <c r="S930" s="4">
        <f t="shared" si="89"/>
        <v>0.11000000000000006</v>
      </c>
      <c r="T930" t="str">
        <f>_xlfn.XLOOKUP(C930,customers!$A$1:$A$1001,customers!$I$1:$I$1001,,0)</f>
        <v>Yes</v>
      </c>
    </row>
    <row r="931" spans="1:20"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INDEX(products!$A$1:$I$49,MATCH(orders!$D931,products!$A$1:$A$49,0),MATCH(orders!I$1,products!$A$1:$D$1,0))</f>
        <v>Exc</v>
      </c>
      <c r="J931" t="str">
        <f t="shared" si="84"/>
        <v>Excelsa</v>
      </c>
      <c r="K931" t="str">
        <f>INDEX(products!$A$1:$I$49,MATCH(orders!$D931,products!$A$1:$A$49,0),MATCH(orders!K$1,products!$A$1:$D$1,0))</f>
        <v>L</v>
      </c>
      <c r="L931" t="str">
        <f t="shared" si="85"/>
        <v>Light</v>
      </c>
      <c r="M931">
        <f>INDEX(products!$A$1:$I$49,MATCH(orders!$D931,products!$A$1:$A$49,0),MATCH(orders!M$1,products!$A$1:$D$1,0))</f>
        <v>0.2</v>
      </c>
      <c r="N931">
        <f>_xlfn.XLOOKUP(D931,products!$A$2:$A$49,products!$E$2:$E$49)</f>
        <v>4.4550000000000001</v>
      </c>
      <c r="O931">
        <f>_xlfn.XLOOKUP(D931,products!$A$2:$A$49,products!$H$2:$H$49)</f>
        <v>3.96495</v>
      </c>
      <c r="P931">
        <f t="shared" si="86"/>
        <v>8.91</v>
      </c>
      <c r="Q931">
        <f t="shared" si="87"/>
        <v>7.9298999999999999</v>
      </c>
      <c r="R931">
        <f t="shared" si="88"/>
        <v>0.98010000000000019</v>
      </c>
      <c r="S931" s="4">
        <f t="shared" si="89"/>
        <v>0.11000000000000001</v>
      </c>
      <c r="T931" t="str">
        <f>_xlfn.XLOOKUP(C931,customers!$A$1:$A$1001,customers!$I$1:$I$1001,,0)</f>
        <v>Yes</v>
      </c>
    </row>
    <row r="932" spans="1:20"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INDEX(products!$A$1:$I$49,MATCH(orders!$D932,products!$A$1:$A$49,0),MATCH(orders!I$1,products!$A$1:$D$1,0))</f>
        <v>Exc</v>
      </c>
      <c r="J932" t="str">
        <f t="shared" si="84"/>
        <v>Excelsa</v>
      </c>
      <c r="K932" t="str">
        <f>INDEX(products!$A$1:$I$49,MATCH(orders!$D932,products!$A$1:$A$49,0),MATCH(orders!K$1,products!$A$1:$D$1,0))</f>
        <v>D</v>
      </c>
      <c r="L932" t="str">
        <f t="shared" si="85"/>
        <v>Dark</v>
      </c>
      <c r="M932">
        <f>INDEX(products!$A$1:$I$49,MATCH(orders!$D932,products!$A$1:$A$49,0),MATCH(orders!M$1,products!$A$1:$D$1,0))</f>
        <v>1</v>
      </c>
      <c r="N932">
        <f>_xlfn.XLOOKUP(D932,products!$A$2:$A$49,products!$E$2:$E$49)</f>
        <v>12.15</v>
      </c>
      <c r="O932">
        <f>_xlfn.XLOOKUP(D932,products!$A$2:$A$49,products!$H$2:$H$49)</f>
        <v>10.813500000000001</v>
      </c>
      <c r="P932">
        <f t="shared" si="86"/>
        <v>12.15</v>
      </c>
      <c r="Q932">
        <f t="shared" si="87"/>
        <v>10.813500000000001</v>
      </c>
      <c r="R932">
        <f t="shared" si="88"/>
        <v>1.3364999999999991</v>
      </c>
      <c r="S932" s="4">
        <f t="shared" si="89"/>
        <v>0.10999999999999993</v>
      </c>
      <c r="T932" t="str">
        <f>_xlfn.XLOOKUP(C932,customers!$A$1:$A$1001,customers!$I$1:$I$1001,,0)</f>
        <v>Yes</v>
      </c>
    </row>
    <row r="933" spans="1:20"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v>
      </c>
      <c r="H933" s="2" t="str">
        <f>_xlfn.XLOOKUP(C933,customers!$A$1:$A$1001,customers!$G$1:$G$1001,,0)</f>
        <v>United States</v>
      </c>
      <c r="I933" t="str">
        <f>INDEX(products!$A$1:$I$49,MATCH(orders!$D933,products!$A$1:$A$49,0),MATCH(orders!I$1,products!$A$1:$D$1,0))</f>
        <v>Ara</v>
      </c>
      <c r="J933" t="str">
        <f t="shared" si="84"/>
        <v>Arabica</v>
      </c>
      <c r="K933" t="str">
        <f>INDEX(products!$A$1:$I$49,MATCH(orders!$D933,products!$A$1:$A$49,0),MATCH(orders!K$1,products!$A$1:$D$1,0))</f>
        <v>D</v>
      </c>
      <c r="L933" t="str">
        <f t="shared" si="85"/>
        <v>Dark</v>
      </c>
      <c r="M933">
        <f>INDEX(products!$A$1:$I$49,MATCH(orders!$D933,products!$A$1:$A$49,0),MATCH(orders!M$1,products!$A$1:$D$1,0))</f>
        <v>0.5</v>
      </c>
      <c r="N933">
        <f>_xlfn.XLOOKUP(D933,products!$A$2:$A$49,products!$E$2:$E$49)</f>
        <v>5.97</v>
      </c>
      <c r="O933">
        <f>_xlfn.XLOOKUP(D933,products!$A$2:$A$49,products!$H$2:$H$49)</f>
        <v>5.4326999999999996</v>
      </c>
      <c r="P933">
        <f t="shared" si="86"/>
        <v>23.88</v>
      </c>
      <c r="Q933">
        <f t="shared" si="87"/>
        <v>21.730799999999999</v>
      </c>
      <c r="R933">
        <f t="shared" si="88"/>
        <v>2.1492000000000004</v>
      </c>
      <c r="S933" s="4">
        <f t="shared" si="89"/>
        <v>9.0000000000000024E-2</v>
      </c>
      <c r="T933" t="str">
        <f>_xlfn.XLOOKUP(C933,customers!$A$1:$A$1001,customers!$I$1:$I$1001,,0)</f>
        <v>Yes</v>
      </c>
    </row>
    <row r="934" spans="1:20"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INDEX(products!$A$1:$I$49,MATCH(orders!$D934,products!$A$1:$A$49,0),MATCH(orders!I$1,products!$A$1:$D$1,0))</f>
        <v>Exc</v>
      </c>
      <c r="J934" t="str">
        <f t="shared" si="84"/>
        <v>Excelsa</v>
      </c>
      <c r="K934" t="str">
        <f>INDEX(products!$A$1:$I$49,MATCH(orders!$D934,products!$A$1:$A$49,0),MATCH(orders!K$1,products!$A$1:$D$1,0))</f>
        <v>M</v>
      </c>
      <c r="L934" t="str">
        <f t="shared" si="85"/>
        <v>Medium</v>
      </c>
      <c r="M934">
        <f>INDEX(products!$A$1:$I$49,MATCH(orders!$D934,products!$A$1:$A$49,0),MATCH(orders!M$1,products!$A$1:$D$1,0))</f>
        <v>1</v>
      </c>
      <c r="N934">
        <f>_xlfn.XLOOKUP(D934,products!$A$2:$A$49,products!$E$2:$E$49)</f>
        <v>13.75</v>
      </c>
      <c r="O934">
        <f>_xlfn.XLOOKUP(D934,products!$A$2:$A$49,products!$H$2:$H$49)</f>
        <v>12.237500000000001</v>
      </c>
      <c r="P934">
        <f t="shared" si="86"/>
        <v>55</v>
      </c>
      <c r="Q934">
        <f t="shared" si="87"/>
        <v>48.95</v>
      </c>
      <c r="R934">
        <f t="shared" si="88"/>
        <v>6.0499999999999972</v>
      </c>
      <c r="S934" s="4">
        <f t="shared" si="89"/>
        <v>0.10999999999999995</v>
      </c>
      <c r="T934" t="str">
        <f>_xlfn.XLOOKUP(C934,customers!$A$1:$A$1001,customers!$I$1:$I$1001,,0)</f>
        <v>No</v>
      </c>
    </row>
    <row r="935" spans="1:20"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v>
      </c>
      <c r="H935" s="2" t="str">
        <f>_xlfn.XLOOKUP(C935,customers!$A$1:$A$1001,customers!$G$1:$G$1001,,0)</f>
        <v>United States</v>
      </c>
      <c r="I935" t="str">
        <f>INDEX(products!$A$1:$I$49,MATCH(orders!$D935,products!$A$1:$A$49,0),MATCH(orders!I$1,products!$A$1:$D$1,0))</f>
        <v>Rob</v>
      </c>
      <c r="J935" t="str">
        <f t="shared" si="84"/>
        <v>Robusta</v>
      </c>
      <c r="K935" t="str">
        <f>INDEX(products!$A$1:$I$49,MATCH(orders!$D935,products!$A$1:$A$49,0),MATCH(orders!K$1,products!$A$1:$D$1,0))</f>
        <v>D</v>
      </c>
      <c r="L935" t="str">
        <f t="shared" si="85"/>
        <v>Dark</v>
      </c>
      <c r="M935">
        <f>INDEX(products!$A$1:$I$49,MATCH(orders!$D935,products!$A$1:$A$49,0),MATCH(orders!M$1,products!$A$1:$D$1,0))</f>
        <v>1</v>
      </c>
      <c r="N935">
        <f>_xlfn.XLOOKUP(D935,products!$A$2:$A$49,products!$E$2:$E$49)</f>
        <v>8.9499999999999993</v>
      </c>
      <c r="O935">
        <f>_xlfn.XLOOKUP(D935,products!$A$2:$A$49,products!$H$2:$H$49)</f>
        <v>8.4130000000000003</v>
      </c>
      <c r="P935">
        <f t="shared" si="86"/>
        <v>26.849999999999998</v>
      </c>
      <c r="Q935">
        <f t="shared" si="87"/>
        <v>25.239000000000001</v>
      </c>
      <c r="R935">
        <f t="shared" si="88"/>
        <v>1.6109999999999971</v>
      </c>
      <c r="S935" s="4">
        <f t="shared" si="89"/>
        <v>5.9999999999999894E-2</v>
      </c>
      <c r="T935" t="str">
        <f>_xlfn.XLOOKUP(C935,customers!$A$1:$A$1001,customers!$I$1:$I$1001,,0)</f>
        <v>Yes</v>
      </c>
    </row>
    <row r="936" spans="1:20"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INDEX(products!$A$1:$I$49,MATCH(orders!$D936,products!$A$1:$A$49,0),MATCH(orders!I$1,products!$A$1:$D$1,0))</f>
        <v>Rob</v>
      </c>
      <c r="J936" t="str">
        <f t="shared" si="84"/>
        <v>Robusta</v>
      </c>
      <c r="K936" t="str">
        <f>INDEX(products!$A$1:$I$49,MATCH(orders!$D936,products!$A$1:$A$49,0),MATCH(orders!K$1,products!$A$1:$D$1,0))</f>
        <v>M</v>
      </c>
      <c r="L936" t="str">
        <f t="shared" si="85"/>
        <v>Medium</v>
      </c>
      <c r="M936">
        <f>INDEX(products!$A$1:$I$49,MATCH(orders!$D936,products!$A$1:$A$49,0),MATCH(orders!M$1,products!$A$1:$D$1,0))</f>
        <v>2.5</v>
      </c>
      <c r="N936">
        <f>_xlfn.XLOOKUP(D936,products!$A$2:$A$49,products!$E$2:$E$49)</f>
        <v>22.884999999999998</v>
      </c>
      <c r="O936">
        <f>_xlfn.XLOOKUP(D936,products!$A$2:$A$49,products!$H$2:$H$49)</f>
        <v>21.511899999999997</v>
      </c>
      <c r="P936">
        <f t="shared" si="86"/>
        <v>114.42499999999998</v>
      </c>
      <c r="Q936">
        <f t="shared" si="87"/>
        <v>107.55949999999999</v>
      </c>
      <c r="R936">
        <f t="shared" si="88"/>
        <v>6.8654999999999973</v>
      </c>
      <c r="S936" s="4">
        <f t="shared" si="89"/>
        <v>5.9999999999999984E-2</v>
      </c>
      <c r="T936" t="str">
        <f>_xlfn.XLOOKUP(C936,customers!$A$1:$A$1001,customers!$I$1:$I$1001,,0)</f>
        <v>No</v>
      </c>
    </row>
    <row r="937" spans="1:20"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INDEX(products!$A$1:$I$49,MATCH(orders!$D937,products!$A$1:$A$49,0),MATCH(orders!I$1,products!$A$1:$D$1,0))</f>
        <v>Ara</v>
      </c>
      <c r="J937" t="str">
        <f t="shared" si="84"/>
        <v>Arabica</v>
      </c>
      <c r="K937" t="str">
        <f>INDEX(products!$A$1:$I$49,MATCH(orders!$D937,products!$A$1:$A$49,0),MATCH(orders!K$1,products!$A$1:$D$1,0))</f>
        <v>M</v>
      </c>
      <c r="L937" t="str">
        <f t="shared" si="85"/>
        <v>Medium</v>
      </c>
      <c r="M937">
        <f>INDEX(products!$A$1:$I$49,MATCH(orders!$D937,products!$A$1:$A$49,0),MATCH(orders!M$1,products!$A$1:$D$1,0))</f>
        <v>2.5</v>
      </c>
      <c r="N937">
        <f>_xlfn.XLOOKUP(D937,products!$A$2:$A$49,products!$E$2:$E$49)</f>
        <v>25.874999999999996</v>
      </c>
      <c r="O937">
        <f>_xlfn.XLOOKUP(D937,products!$A$2:$A$49,products!$H$2:$H$49)</f>
        <v>23.546249999999997</v>
      </c>
      <c r="P937">
        <f t="shared" si="86"/>
        <v>155.24999999999997</v>
      </c>
      <c r="Q937">
        <f t="shared" si="87"/>
        <v>141.27749999999997</v>
      </c>
      <c r="R937">
        <f t="shared" si="88"/>
        <v>13.972499999999997</v>
      </c>
      <c r="S937" s="4">
        <f t="shared" si="89"/>
        <v>0.09</v>
      </c>
      <c r="T937" t="str">
        <f>_xlfn.XLOOKUP(C937,customers!$A$1:$A$1001,customers!$I$1:$I$1001,,0)</f>
        <v>Yes</v>
      </c>
    </row>
    <row r="938" spans="1:20"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INDEX(products!$A$1:$I$49,MATCH(orders!$D938,products!$A$1:$A$49,0),MATCH(orders!I$1,products!$A$1:$D$1,0))</f>
        <v>Lib</v>
      </c>
      <c r="J938" t="str">
        <f t="shared" si="84"/>
        <v>Liberica</v>
      </c>
      <c r="K938" t="str">
        <f>INDEX(products!$A$1:$I$49,MATCH(orders!$D938,products!$A$1:$A$49,0),MATCH(orders!K$1,products!$A$1:$D$1,0))</f>
        <v>D</v>
      </c>
      <c r="L938" t="str">
        <f t="shared" si="85"/>
        <v>Dark</v>
      </c>
      <c r="M938">
        <f>INDEX(products!$A$1:$I$49,MATCH(orders!$D938,products!$A$1:$A$49,0),MATCH(orders!M$1,products!$A$1:$D$1,0))</f>
        <v>0.5</v>
      </c>
      <c r="N938">
        <f>_xlfn.XLOOKUP(D938,products!$A$2:$A$49,products!$E$2:$E$49)</f>
        <v>7.77</v>
      </c>
      <c r="O938">
        <f>_xlfn.XLOOKUP(D938,products!$A$2:$A$49,products!$H$2:$H$49)</f>
        <v>6.7599</v>
      </c>
      <c r="P938">
        <f t="shared" si="86"/>
        <v>23.31</v>
      </c>
      <c r="Q938">
        <f t="shared" si="87"/>
        <v>20.279699999999998</v>
      </c>
      <c r="R938">
        <f t="shared" si="88"/>
        <v>3.0303000000000004</v>
      </c>
      <c r="S938" s="4">
        <f t="shared" si="89"/>
        <v>0.13000000000000003</v>
      </c>
      <c r="T938" t="str">
        <f>_xlfn.XLOOKUP(C938,customers!$A$1:$A$1001,customers!$I$1:$I$1001,,0)</f>
        <v>Yes</v>
      </c>
    </row>
    <row r="939" spans="1:20"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INDEX(products!$A$1:$I$49,MATCH(orders!$D939,products!$A$1:$A$49,0),MATCH(orders!I$1,products!$A$1:$D$1,0))</f>
        <v>Rob</v>
      </c>
      <c r="J939" t="str">
        <f t="shared" si="84"/>
        <v>Robusta</v>
      </c>
      <c r="K939" t="str">
        <f>INDEX(products!$A$1:$I$49,MATCH(orders!$D939,products!$A$1:$A$49,0),MATCH(orders!K$1,products!$A$1:$D$1,0))</f>
        <v>M</v>
      </c>
      <c r="L939" t="str">
        <f t="shared" si="85"/>
        <v>Medium</v>
      </c>
      <c r="M939">
        <f>INDEX(products!$A$1:$I$49,MATCH(orders!$D939,products!$A$1:$A$49,0),MATCH(orders!M$1,products!$A$1:$D$1,0))</f>
        <v>2.5</v>
      </c>
      <c r="N939">
        <f>_xlfn.XLOOKUP(D939,products!$A$2:$A$49,products!$E$2:$E$49)</f>
        <v>22.884999999999998</v>
      </c>
      <c r="O939">
        <f>_xlfn.XLOOKUP(D939,products!$A$2:$A$49,products!$H$2:$H$49)</f>
        <v>21.511899999999997</v>
      </c>
      <c r="P939">
        <f t="shared" si="86"/>
        <v>91.539999999999992</v>
      </c>
      <c r="Q939">
        <f t="shared" si="87"/>
        <v>86.047599999999989</v>
      </c>
      <c r="R939">
        <f t="shared" si="88"/>
        <v>5.4924000000000035</v>
      </c>
      <c r="S939" s="4">
        <f t="shared" si="89"/>
        <v>6.0000000000000046E-2</v>
      </c>
      <c r="T939" t="str">
        <f>_xlfn.XLOOKUP(C939,customers!$A$1:$A$1001,customers!$I$1:$I$1001,,0)</f>
        <v>Yes</v>
      </c>
    </row>
    <row r="940" spans="1:20"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INDEX(products!$A$1:$I$49,MATCH(orders!$D940,products!$A$1:$A$49,0),MATCH(orders!I$1,products!$A$1:$D$1,0))</f>
        <v>Exc</v>
      </c>
      <c r="J940" t="str">
        <f t="shared" si="84"/>
        <v>Excelsa</v>
      </c>
      <c r="K940" t="str">
        <f>INDEX(products!$A$1:$I$49,MATCH(orders!$D940,products!$A$1:$A$49,0),MATCH(orders!K$1,products!$A$1:$D$1,0))</f>
        <v>L</v>
      </c>
      <c r="L940" t="str">
        <f t="shared" si="85"/>
        <v>Light</v>
      </c>
      <c r="M940">
        <f>INDEX(products!$A$1:$I$49,MATCH(orders!$D940,products!$A$1:$A$49,0),MATCH(orders!M$1,products!$A$1:$D$1,0))</f>
        <v>1</v>
      </c>
      <c r="N940">
        <f>_xlfn.XLOOKUP(D940,products!$A$2:$A$49,products!$E$2:$E$49)</f>
        <v>14.85</v>
      </c>
      <c r="O940">
        <f>_xlfn.XLOOKUP(D940,products!$A$2:$A$49,products!$H$2:$H$49)</f>
        <v>13.2165</v>
      </c>
      <c r="P940">
        <f t="shared" si="86"/>
        <v>74.25</v>
      </c>
      <c r="Q940">
        <f t="shared" si="87"/>
        <v>66.082499999999996</v>
      </c>
      <c r="R940">
        <f t="shared" si="88"/>
        <v>8.167500000000004</v>
      </c>
      <c r="S940" s="4">
        <f t="shared" si="89"/>
        <v>0.11000000000000006</v>
      </c>
      <c r="T940" t="str">
        <f>_xlfn.XLOOKUP(C940,customers!$A$1:$A$1001,customers!$I$1:$I$1001,,0)</f>
        <v>Yes</v>
      </c>
    </row>
    <row r="941" spans="1:20"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INDEX(products!$A$1:$I$49,MATCH(orders!$D941,products!$A$1:$A$49,0),MATCH(orders!I$1,products!$A$1:$D$1,0))</f>
        <v>Lib</v>
      </c>
      <c r="J941" t="str">
        <f t="shared" si="84"/>
        <v>Liberica</v>
      </c>
      <c r="K941" t="str">
        <f>INDEX(products!$A$1:$I$49,MATCH(orders!$D941,products!$A$1:$A$49,0),MATCH(orders!K$1,products!$A$1:$D$1,0))</f>
        <v>L</v>
      </c>
      <c r="L941" t="str">
        <f t="shared" si="85"/>
        <v>Light</v>
      </c>
      <c r="M941">
        <f>INDEX(products!$A$1:$I$49,MATCH(orders!$D941,products!$A$1:$A$49,0),MATCH(orders!M$1,products!$A$1:$D$1,0))</f>
        <v>0.2</v>
      </c>
      <c r="N941">
        <f>_xlfn.XLOOKUP(D941,products!$A$2:$A$49,products!$E$2:$E$49)</f>
        <v>4.7549999999999999</v>
      </c>
      <c r="O941">
        <f>_xlfn.XLOOKUP(D941,products!$A$2:$A$49,products!$H$2:$H$49)</f>
        <v>4.1368499999999999</v>
      </c>
      <c r="P941">
        <f t="shared" si="86"/>
        <v>28.53</v>
      </c>
      <c r="Q941">
        <f t="shared" si="87"/>
        <v>24.821100000000001</v>
      </c>
      <c r="R941">
        <f t="shared" si="88"/>
        <v>3.7088999999999999</v>
      </c>
      <c r="S941" s="4">
        <f t="shared" si="89"/>
        <v>0.12999999999999998</v>
      </c>
      <c r="T941" t="str">
        <f>_xlfn.XLOOKUP(C941,customers!$A$1:$A$1001,customers!$I$1:$I$1001,,0)</f>
        <v>No</v>
      </c>
    </row>
    <row r="942" spans="1:20"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INDEX(products!$A$1:$I$49,MATCH(orders!$D942,products!$A$1:$A$49,0),MATCH(orders!I$1,products!$A$1:$D$1,0))</f>
        <v>Rob</v>
      </c>
      <c r="J942" t="str">
        <f t="shared" si="84"/>
        <v>Robusta</v>
      </c>
      <c r="K942" t="str">
        <f>INDEX(products!$A$1:$I$49,MATCH(orders!$D942,products!$A$1:$A$49,0),MATCH(orders!K$1,products!$A$1:$D$1,0))</f>
        <v>L</v>
      </c>
      <c r="L942" t="str">
        <f t="shared" si="85"/>
        <v>Light</v>
      </c>
      <c r="M942">
        <f>INDEX(products!$A$1:$I$49,MATCH(orders!$D942,products!$A$1:$A$49,0),MATCH(orders!M$1,products!$A$1:$D$1,0))</f>
        <v>0.5</v>
      </c>
      <c r="N942">
        <f>_xlfn.XLOOKUP(D942,products!$A$2:$A$49,products!$E$2:$E$49)</f>
        <v>7.169999999999999</v>
      </c>
      <c r="O942">
        <f>_xlfn.XLOOKUP(D942,products!$A$2:$A$49,products!$H$2:$H$49)</f>
        <v>6.7397999999999989</v>
      </c>
      <c r="P942">
        <f t="shared" si="86"/>
        <v>14.339999999999998</v>
      </c>
      <c r="Q942">
        <f t="shared" si="87"/>
        <v>13.479599999999998</v>
      </c>
      <c r="R942">
        <f t="shared" si="88"/>
        <v>0.86040000000000028</v>
      </c>
      <c r="S942" s="4">
        <f t="shared" si="89"/>
        <v>6.0000000000000026E-2</v>
      </c>
      <c r="T942" t="str">
        <f>_xlfn.XLOOKUP(C942,customers!$A$1:$A$1001,customers!$I$1:$I$1001,,0)</f>
        <v>Yes</v>
      </c>
    </row>
    <row r="943" spans="1:20"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INDEX(products!$A$1:$I$49,MATCH(orders!$D943,products!$A$1:$A$49,0),MATCH(orders!I$1,products!$A$1:$D$1,0))</f>
        <v>Ara</v>
      </c>
      <c r="J943" t="str">
        <f t="shared" si="84"/>
        <v>Arabica</v>
      </c>
      <c r="K943" t="str">
        <f>INDEX(products!$A$1:$I$49,MATCH(orders!$D943,products!$A$1:$A$49,0),MATCH(orders!K$1,products!$A$1:$D$1,0))</f>
        <v>L</v>
      </c>
      <c r="L943" t="str">
        <f t="shared" si="85"/>
        <v>Light</v>
      </c>
      <c r="M943">
        <f>INDEX(products!$A$1:$I$49,MATCH(orders!$D943,products!$A$1:$A$49,0),MATCH(orders!M$1,products!$A$1:$D$1,0))</f>
        <v>0.5</v>
      </c>
      <c r="N943">
        <f>_xlfn.XLOOKUP(D943,products!$A$2:$A$49,products!$E$2:$E$49)</f>
        <v>7.77</v>
      </c>
      <c r="O943">
        <f>_xlfn.XLOOKUP(D943,products!$A$2:$A$49,products!$H$2:$H$49)</f>
        <v>7.0706999999999995</v>
      </c>
      <c r="P943">
        <f t="shared" si="86"/>
        <v>15.54</v>
      </c>
      <c r="Q943">
        <f t="shared" si="87"/>
        <v>14.141399999999999</v>
      </c>
      <c r="R943">
        <f t="shared" si="88"/>
        <v>1.3986000000000001</v>
      </c>
      <c r="S943" s="4">
        <f t="shared" si="89"/>
        <v>9.0000000000000011E-2</v>
      </c>
      <c r="T943" t="str">
        <f>_xlfn.XLOOKUP(C943,customers!$A$1:$A$1001,customers!$I$1:$I$1001,,0)</f>
        <v>Yes</v>
      </c>
    </row>
    <row r="944" spans="1:20"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INDEX(products!$A$1:$I$49,MATCH(orders!$D944,products!$A$1:$A$49,0),MATCH(orders!I$1,products!$A$1:$D$1,0))</f>
        <v>Rob</v>
      </c>
      <c r="J944" t="str">
        <f t="shared" si="84"/>
        <v>Robusta</v>
      </c>
      <c r="K944" t="str">
        <f>INDEX(products!$A$1:$I$49,MATCH(orders!$D944,products!$A$1:$A$49,0),MATCH(orders!K$1,products!$A$1:$D$1,0))</f>
        <v>L</v>
      </c>
      <c r="L944" t="str">
        <f t="shared" si="85"/>
        <v>Light</v>
      </c>
      <c r="M944">
        <f>INDEX(products!$A$1:$I$49,MATCH(orders!$D944,products!$A$1:$A$49,0),MATCH(orders!M$1,products!$A$1:$D$1,0))</f>
        <v>1</v>
      </c>
      <c r="N944">
        <f>_xlfn.XLOOKUP(D944,products!$A$2:$A$49,products!$E$2:$E$49)</f>
        <v>11.95</v>
      </c>
      <c r="O944">
        <f>_xlfn.XLOOKUP(D944,products!$A$2:$A$49,products!$H$2:$H$49)</f>
        <v>11.232999999999999</v>
      </c>
      <c r="P944">
        <f t="shared" si="86"/>
        <v>35.849999999999994</v>
      </c>
      <c r="Q944">
        <f t="shared" si="87"/>
        <v>33.698999999999998</v>
      </c>
      <c r="R944">
        <f t="shared" si="88"/>
        <v>2.1509999999999962</v>
      </c>
      <c r="S944" s="4">
        <f t="shared" si="89"/>
        <v>5.9999999999999908E-2</v>
      </c>
      <c r="T944" t="str">
        <f>_xlfn.XLOOKUP(C944,customers!$A$1:$A$1001,customers!$I$1:$I$1001,,0)</f>
        <v>No</v>
      </c>
    </row>
    <row r="945" spans="1:20"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INDEX(products!$A$1:$I$49,MATCH(orders!$D945,products!$A$1:$A$49,0),MATCH(orders!I$1,products!$A$1:$D$1,0))</f>
        <v>Ara</v>
      </c>
      <c r="J945" t="str">
        <f t="shared" si="84"/>
        <v>Arabica</v>
      </c>
      <c r="K945" t="str">
        <f>INDEX(products!$A$1:$I$49,MATCH(orders!$D945,products!$A$1:$A$49,0),MATCH(orders!K$1,products!$A$1:$D$1,0))</f>
        <v>L</v>
      </c>
      <c r="L945" t="str">
        <f t="shared" si="85"/>
        <v>Light</v>
      </c>
      <c r="M945">
        <f>INDEX(products!$A$1:$I$49,MATCH(orders!$D945,products!$A$1:$A$49,0),MATCH(orders!M$1,products!$A$1:$D$1,0))</f>
        <v>0.5</v>
      </c>
      <c r="N945">
        <f>_xlfn.XLOOKUP(D945,products!$A$2:$A$49,products!$E$2:$E$49)</f>
        <v>7.77</v>
      </c>
      <c r="O945">
        <f>_xlfn.XLOOKUP(D945,products!$A$2:$A$49,products!$H$2:$H$49)</f>
        <v>7.0706999999999995</v>
      </c>
      <c r="P945">
        <f t="shared" si="86"/>
        <v>46.62</v>
      </c>
      <c r="Q945">
        <f t="shared" si="87"/>
        <v>42.424199999999999</v>
      </c>
      <c r="R945">
        <f t="shared" si="88"/>
        <v>4.1957999999999984</v>
      </c>
      <c r="S945" s="4">
        <f t="shared" si="89"/>
        <v>8.9999999999999969E-2</v>
      </c>
      <c r="T945" t="str">
        <f>_xlfn.XLOOKUP(C945,customers!$A$1:$A$1001,customers!$I$1:$I$1001,,0)</f>
        <v>No</v>
      </c>
    </row>
    <row r="946" spans="1:20"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INDEX(products!$A$1:$I$49,MATCH(orders!$D946,products!$A$1:$A$49,0),MATCH(orders!I$1,products!$A$1:$D$1,0))</f>
        <v>Rob</v>
      </c>
      <c r="J946" t="str">
        <f t="shared" si="84"/>
        <v>Robusta</v>
      </c>
      <c r="K946" t="str">
        <f>INDEX(products!$A$1:$I$49,MATCH(orders!$D946,products!$A$1:$A$49,0),MATCH(orders!K$1,products!$A$1:$D$1,0))</f>
        <v>L</v>
      </c>
      <c r="L946" t="str">
        <f t="shared" si="85"/>
        <v>Light</v>
      </c>
      <c r="M946">
        <f>INDEX(products!$A$1:$I$49,MATCH(orders!$D946,products!$A$1:$A$49,0),MATCH(orders!M$1,products!$A$1:$D$1,0))</f>
        <v>0.5</v>
      </c>
      <c r="N946">
        <f>_xlfn.XLOOKUP(D946,products!$A$2:$A$49,products!$E$2:$E$49)</f>
        <v>7.169999999999999</v>
      </c>
      <c r="O946">
        <f>_xlfn.XLOOKUP(D946,products!$A$2:$A$49,products!$H$2:$H$49)</f>
        <v>6.7397999999999989</v>
      </c>
      <c r="P946">
        <f t="shared" si="86"/>
        <v>35.849999999999994</v>
      </c>
      <c r="Q946">
        <f t="shared" si="87"/>
        <v>33.698999999999998</v>
      </c>
      <c r="R946">
        <f t="shared" si="88"/>
        <v>2.1509999999999962</v>
      </c>
      <c r="S946" s="4">
        <f t="shared" si="89"/>
        <v>5.9999999999999908E-2</v>
      </c>
      <c r="T946" t="str">
        <f>_xlfn.XLOOKUP(C946,customers!$A$1:$A$1001,customers!$I$1:$I$1001,,0)</f>
        <v>No</v>
      </c>
    </row>
    <row r="947" spans="1:20"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v>
      </c>
      <c r="H947" s="2" t="str">
        <f>_xlfn.XLOOKUP(C947,customers!$A$1:$A$1001,customers!$G$1:$G$1001,,0)</f>
        <v>United States</v>
      </c>
      <c r="I947" t="str">
        <f>INDEX(products!$A$1:$I$49,MATCH(orders!$D947,products!$A$1:$A$49,0),MATCH(orders!I$1,products!$A$1:$D$1,0))</f>
        <v>Lib</v>
      </c>
      <c r="J947" t="str">
        <f t="shared" si="84"/>
        <v>Liberica</v>
      </c>
      <c r="K947" t="str">
        <f>INDEX(products!$A$1:$I$49,MATCH(orders!$D947,products!$A$1:$A$49,0),MATCH(orders!K$1,products!$A$1:$D$1,0))</f>
        <v>D</v>
      </c>
      <c r="L947" t="str">
        <f t="shared" si="85"/>
        <v>Dark</v>
      </c>
      <c r="M947">
        <f>INDEX(products!$A$1:$I$49,MATCH(orders!$D947,products!$A$1:$A$49,0),MATCH(orders!M$1,products!$A$1:$D$1,0))</f>
        <v>2.5</v>
      </c>
      <c r="N947">
        <f>_xlfn.XLOOKUP(D947,products!$A$2:$A$49,products!$E$2:$E$49)</f>
        <v>29.784999999999997</v>
      </c>
      <c r="O947">
        <f>_xlfn.XLOOKUP(D947,products!$A$2:$A$49,products!$H$2:$H$49)</f>
        <v>25.912949999999995</v>
      </c>
      <c r="P947">
        <f t="shared" si="86"/>
        <v>119.13999999999999</v>
      </c>
      <c r="Q947">
        <f t="shared" si="87"/>
        <v>103.65179999999998</v>
      </c>
      <c r="R947">
        <f t="shared" si="88"/>
        <v>15.488200000000006</v>
      </c>
      <c r="S947" s="4">
        <f t="shared" si="89"/>
        <v>0.13000000000000006</v>
      </c>
      <c r="T947" t="str">
        <f>_xlfn.XLOOKUP(C947,customers!$A$1:$A$1001,customers!$I$1:$I$1001,,0)</f>
        <v>No</v>
      </c>
    </row>
    <row r="948" spans="1:20"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v>
      </c>
      <c r="H948" s="2" t="str">
        <f>_xlfn.XLOOKUP(C948,customers!$A$1:$A$1001,customers!$G$1:$G$1001,,0)</f>
        <v>United States</v>
      </c>
      <c r="I948" t="str">
        <f>INDEX(products!$A$1:$I$49,MATCH(orders!$D948,products!$A$1:$A$49,0),MATCH(orders!I$1,products!$A$1:$D$1,0))</f>
        <v>Lib</v>
      </c>
      <c r="J948" t="str">
        <f t="shared" si="84"/>
        <v>Liberica</v>
      </c>
      <c r="K948" t="str">
        <f>INDEX(products!$A$1:$I$49,MATCH(orders!$D948,products!$A$1:$A$49,0),MATCH(orders!K$1,products!$A$1:$D$1,0))</f>
        <v>D</v>
      </c>
      <c r="L948" t="str">
        <f t="shared" si="85"/>
        <v>Dark</v>
      </c>
      <c r="M948">
        <f>INDEX(products!$A$1:$I$49,MATCH(orders!$D948,products!$A$1:$A$49,0),MATCH(orders!M$1,products!$A$1:$D$1,0))</f>
        <v>0.5</v>
      </c>
      <c r="N948">
        <f>_xlfn.XLOOKUP(D948,products!$A$2:$A$49,products!$E$2:$E$49)</f>
        <v>7.77</v>
      </c>
      <c r="O948">
        <f>_xlfn.XLOOKUP(D948,products!$A$2:$A$49,products!$H$2:$H$49)</f>
        <v>6.7599</v>
      </c>
      <c r="P948">
        <f t="shared" si="86"/>
        <v>23.31</v>
      </c>
      <c r="Q948">
        <f t="shared" si="87"/>
        <v>20.279699999999998</v>
      </c>
      <c r="R948">
        <f t="shared" si="88"/>
        <v>3.0303000000000004</v>
      </c>
      <c r="S948" s="4">
        <f t="shared" si="89"/>
        <v>0.13000000000000003</v>
      </c>
      <c r="T948" t="str">
        <f>_xlfn.XLOOKUP(C948,customers!$A$1:$A$1001,customers!$I$1:$I$1001,,0)</f>
        <v>No</v>
      </c>
    </row>
    <row r="949" spans="1:20"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INDEX(products!$A$1:$I$49,MATCH(orders!$D949,products!$A$1:$A$49,0),MATCH(orders!I$1,products!$A$1:$D$1,0))</f>
        <v>Ara</v>
      </c>
      <c r="J949" t="str">
        <f t="shared" si="84"/>
        <v>Arabica</v>
      </c>
      <c r="K949" t="str">
        <f>INDEX(products!$A$1:$I$49,MATCH(orders!$D949,products!$A$1:$A$49,0),MATCH(orders!K$1,products!$A$1:$D$1,0))</f>
        <v>M</v>
      </c>
      <c r="L949" t="str">
        <f t="shared" si="85"/>
        <v>Medium</v>
      </c>
      <c r="M949">
        <f>INDEX(products!$A$1:$I$49,MATCH(orders!$D949,products!$A$1:$A$49,0),MATCH(orders!M$1,products!$A$1:$D$1,0))</f>
        <v>1</v>
      </c>
      <c r="N949">
        <f>_xlfn.XLOOKUP(D949,products!$A$2:$A$49,products!$E$2:$E$49)</f>
        <v>11.25</v>
      </c>
      <c r="O949">
        <f>_xlfn.XLOOKUP(D949,products!$A$2:$A$49,products!$H$2:$H$49)</f>
        <v>10.237500000000001</v>
      </c>
      <c r="P949">
        <f t="shared" si="86"/>
        <v>11.25</v>
      </c>
      <c r="Q949">
        <f t="shared" si="87"/>
        <v>10.237500000000001</v>
      </c>
      <c r="R949">
        <f t="shared" si="88"/>
        <v>1.0124999999999993</v>
      </c>
      <c r="S949" s="4">
        <f t="shared" si="89"/>
        <v>8.9999999999999941E-2</v>
      </c>
      <c r="T949" t="str">
        <f>_xlfn.XLOOKUP(C949,customers!$A$1:$A$1001,customers!$I$1:$I$1001,,0)</f>
        <v>No</v>
      </c>
    </row>
    <row r="950" spans="1:20"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INDEX(products!$A$1:$I$49,MATCH(orders!$D950,products!$A$1:$A$49,0),MATCH(orders!I$1,products!$A$1:$D$1,0))</f>
        <v>Exc</v>
      </c>
      <c r="J950" t="str">
        <f t="shared" si="84"/>
        <v>Excelsa</v>
      </c>
      <c r="K950" t="str">
        <f>INDEX(products!$A$1:$I$49,MATCH(orders!$D950,products!$A$1:$A$49,0),MATCH(orders!K$1,products!$A$1:$D$1,0))</f>
        <v>D</v>
      </c>
      <c r="L950" t="str">
        <f t="shared" si="85"/>
        <v>Dark</v>
      </c>
      <c r="M950">
        <f>INDEX(products!$A$1:$I$49,MATCH(orders!$D950,products!$A$1:$A$49,0),MATCH(orders!M$1,products!$A$1:$D$1,0))</f>
        <v>2.5</v>
      </c>
      <c r="N950">
        <f>_xlfn.XLOOKUP(D950,products!$A$2:$A$49,products!$E$2:$E$49)</f>
        <v>27.945</v>
      </c>
      <c r="O950">
        <f>_xlfn.XLOOKUP(D950,products!$A$2:$A$49,products!$H$2:$H$49)</f>
        <v>24.87105</v>
      </c>
      <c r="P950">
        <f t="shared" si="86"/>
        <v>83.835000000000008</v>
      </c>
      <c r="Q950">
        <f t="shared" si="87"/>
        <v>74.613150000000005</v>
      </c>
      <c r="R950">
        <f t="shared" si="88"/>
        <v>9.2218500000000034</v>
      </c>
      <c r="S950" s="4">
        <f t="shared" si="89"/>
        <v>0.11000000000000003</v>
      </c>
      <c r="T950" t="str">
        <f>_xlfn.XLOOKUP(C950,customers!$A$1:$A$1001,customers!$I$1:$I$1001,,0)</f>
        <v>Yes</v>
      </c>
    </row>
    <row r="951" spans="1:20"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INDEX(products!$A$1:$I$49,MATCH(orders!$D951,products!$A$1:$A$49,0),MATCH(orders!I$1,products!$A$1:$D$1,0))</f>
        <v>Rob</v>
      </c>
      <c r="J951" t="str">
        <f t="shared" si="84"/>
        <v>Robusta</v>
      </c>
      <c r="K951" t="str">
        <f>INDEX(products!$A$1:$I$49,MATCH(orders!$D951,products!$A$1:$A$49,0),MATCH(orders!K$1,products!$A$1:$D$1,0))</f>
        <v>L</v>
      </c>
      <c r="L951" t="str">
        <f t="shared" si="85"/>
        <v>Light</v>
      </c>
      <c r="M951">
        <f>INDEX(products!$A$1:$I$49,MATCH(orders!$D951,products!$A$1:$A$49,0),MATCH(orders!M$1,products!$A$1:$D$1,0))</f>
        <v>2.5</v>
      </c>
      <c r="N951">
        <f>_xlfn.XLOOKUP(D951,products!$A$2:$A$49,products!$E$2:$E$49)</f>
        <v>27.484999999999996</v>
      </c>
      <c r="O951">
        <f>_xlfn.XLOOKUP(D951,products!$A$2:$A$49,products!$H$2:$H$49)</f>
        <v>25.835899999999995</v>
      </c>
      <c r="P951">
        <f t="shared" si="86"/>
        <v>109.93999999999998</v>
      </c>
      <c r="Q951">
        <f t="shared" si="87"/>
        <v>103.34359999999998</v>
      </c>
      <c r="R951">
        <f t="shared" si="88"/>
        <v>6.5964000000000027</v>
      </c>
      <c r="S951" s="4">
        <f t="shared" si="89"/>
        <v>6.0000000000000032E-2</v>
      </c>
      <c r="T951" t="str">
        <f>_xlfn.XLOOKUP(C951,customers!$A$1:$A$1001,customers!$I$1:$I$1001,,0)</f>
        <v>No</v>
      </c>
    </row>
    <row r="952" spans="1:20"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v>
      </c>
      <c r="H952" s="2" t="str">
        <f>_xlfn.XLOOKUP(C952,customers!$A$1:$A$1001,customers!$G$1:$G$1001,,0)</f>
        <v>United States</v>
      </c>
      <c r="I952" t="str">
        <f>INDEX(products!$A$1:$I$49,MATCH(orders!$D952,products!$A$1:$A$49,0),MATCH(orders!I$1,products!$A$1:$D$1,0))</f>
        <v>Rob</v>
      </c>
      <c r="J952" t="str">
        <f t="shared" si="84"/>
        <v>Robusta</v>
      </c>
      <c r="K952" t="str">
        <f>INDEX(products!$A$1:$I$49,MATCH(orders!$D952,products!$A$1:$A$49,0),MATCH(orders!K$1,products!$A$1:$D$1,0))</f>
        <v>L</v>
      </c>
      <c r="L952" t="str">
        <f t="shared" si="85"/>
        <v>Light</v>
      </c>
      <c r="M952">
        <f>INDEX(products!$A$1:$I$49,MATCH(orders!$D952,products!$A$1:$A$49,0),MATCH(orders!M$1,products!$A$1:$D$1,0))</f>
        <v>0.2</v>
      </c>
      <c r="N952">
        <f>_xlfn.XLOOKUP(D952,products!$A$2:$A$49,products!$E$2:$E$49)</f>
        <v>3.5849999999999995</v>
      </c>
      <c r="O952">
        <f>_xlfn.XLOOKUP(D952,products!$A$2:$A$49,products!$H$2:$H$49)</f>
        <v>3.3698999999999995</v>
      </c>
      <c r="P952">
        <f t="shared" si="86"/>
        <v>14.339999999999998</v>
      </c>
      <c r="Q952">
        <f t="shared" si="87"/>
        <v>13.479599999999998</v>
      </c>
      <c r="R952">
        <f t="shared" si="88"/>
        <v>0.86040000000000028</v>
      </c>
      <c r="S952" s="4">
        <f t="shared" si="89"/>
        <v>6.0000000000000026E-2</v>
      </c>
      <c r="T952" t="str">
        <f>_xlfn.XLOOKUP(C952,customers!$A$1:$A$1001,customers!$I$1:$I$1001,,0)</f>
        <v>Yes</v>
      </c>
    </row>
    <row r="953" spans="1:20"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INDEX(products!$A$1:$I$49,MATCH(orders!$D953,products!$A$1:$A$49,0),MATCH(orders!I$1,products!$A$1:$D$1,0))</f>
        <v>Rob</v>
      </c>
      <c r="J953" t="str">
        <f t="shared" si="84"/>
        <v>Robusta</v>
      </c>
      <c r="K953" t="str">
        <f>INDEX(products!$A$1:$I$49,MATCH(orders!$D953,products!$A$1:$A$49,0),MATCH(orders!K$1,products!$A$1:$D$1,0))</f>
        <v>L</v>
      </c>
      <c r="L953" t="str">
        <f t="shared" si="85"/>
        <v>Light</v>
      </c>
      <c r="M953">
        <f>INDEX(products!$A$1:$I$49,MATCH(orders!$D953,products!$A$1:$A$49,0),MATCH(orders!M$1,products!$A$1:$D$1,0))</f>
        <v>0.2</v>
      </c>
      <c r="N953">
        <f>_xlfn.XLOOKUP(D953,products!$A$2:$A$49,products!$E$2:$E$49)</f>
        <v>3.5849999999999995</v>
      </c>
      <c r="O953">
        <f>_xlfn.XLOOKUP(D953,products!$A$2:$A$49,products!$H$2:$H$49)</f>
        <v>3.3698999999999995</v>
      </c>
      <c r="P953">
        <f t="shared" si="86"/>
        <v>21.509999999999998</v>
      </c>
      <c r="Q953">
        <f t="shared" si="87"/>
        <v>20.219399999999997</v>
      </c>
      <c r="R953">
        <f t="shared" si="88"/>
        <v>1.2906000000000013</v>
      </c>
      <c r="S953" s="4">
        <f t="shared" si="89"/>
        <v>6.0000000000000067E-2</v>
      </c>
      <c r="T953" t="str">
        <f>_xlfn.XLOOKUP(C953,customers!$A$1:$A$1001,customers!$I$1:$I$1001,,0)</f>
        <v>No</v>
      </c>
    </row>
    <row r="954" spans="1:20"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INDEX(products!$A$1:$I$49,MATCH(orders!$D954,products!$A$1:$A$49,0),MATCH(orders!I$1,products!$A$1:$D$1,0))</f>
        <v>Ara</v>
      </c>
      <c r="J954" t="str">
        <f t="shared" si="84"/>
        <v>Arabica</v>
      </c>
      <c r="K954" t="str">
        <f>INDEX(products!$A$1:$I$49,MATCH(orders!$D954,products!$A$1:$A$49,0),MATCH(orders!K$1,products!$A$1:$D$1,0))</f>
        <v>M</v>
      </c>
      <c r="L954" t="str">
        <f t="shared" si="85"/>
        <v>Medium</v>
      </c>
      <c r="M954">
        <f>INDEX(products!$A$1:$I$49,MATCH(orders!$D954,products!$A$1:$A$49,0),MATCH(orders!M$1,products!$A$1:$D$1,0))</f>
        <v>1</v>
      </c>
      <c r="N954">
        <f>_xlfn.XLOOKUP(D954,products!$A$2:$A$49,products!$E$2:$E$49)</f>
        <v>11.25</v>
      </c>
      <c r="O954">
        <f>_xlfn.XLOOKUP(D954,products!$A$2:$A$49,products!$H$2:$H$49)</f>
        <v>10.237500000000001</v>
      </c>
      <c r="P954">
        <f t="shared" si="86"/>
        <v>22.5</v>
      </c>
      <c r="Q954">
        <f t="shared" si="87"/>
        <v>20.475000000000001</v>
      </c>
      <c r="R954">
        <f t="shared" si="88"/>
        <v>2.0249999999999986</v>
      </c>
      <c r="S954" s="4">
        <f t="shared" si="89"/>
        <v>8.9999999999999941E-2</v>
      </c>
      <c r="T954" t="str">
        <f>_xlfn.XLOOKUP(C954,customers!$A$1:$A$1001,customers!$I$1:$I$1001,,0)</f>
        <v>Yes</v>
      </c>
    </row>
    <row r="955" spans="1:20"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v>
      </c>
      <c r="H955" s="2" t="str">
        <f>_xlfn.XLOOKUP(C955,customers!$A$1:$A$1001,customers!$G$1:$G$1001,,0)</f>
        <v>United States</v>
      </c>
      <c r="I955" t="str">
        <f>INDEX(products!$A$1:$I$49,MATCH(orders!$D955,products!$A$1:$A$49,0),MATCH(orders!I$1,products!$A$1:$D$1,0))</f>
        <v>Ara</v>
      </c>
      <c r="J955" t="str">
        <f t="shared" si="84"/>
        <v>Arabica</v>
      </c>
      <c r="K955" t="str">
        <f>INDEX(products!$A$1:$I$49,MATCH(orders!$D955,products!$A$1:$A$49,0),MATCH(orders!K$1,products!$A$1:$D$1,0))</f>
        <v>L</v>
      </c>
      <c r="L955" t="str">
        <f t="shared" si="85"/>
        <v>Light</v>
      </c>
      <c r="M955">
        <f>INDEX(products!$A$1:$I$49,MATCH(orders!$D955,products!$A$1:$A$49,0),MATCH(orders!M$1,products!$A$1:$D$1,0))</f>
        <v>0.2</v>
      </c>
      <c r="N955">
        <f>_xlfn.XLOOKUP(D955,products!$A$2:$A$49,products!$E$2:$E$49)</f>
        <v>3.8849999999999998</v>
      </c>
      <c r="O955">
        <f>_xlfn.XLOOKUP(D955,products!$A$2:$A$49,products!$H$2:$H$49)</f>
        <v>3.5353499999999998</v>
      </c>
      <c r="P955">
        <f t="shared" si="86"/>
        <v>3.8849999999999998</v>
      </c>
      <c r="Q955">
        <f t="shared" si="87"/>
        <v>3.5353499999999998</v>
      </c>
      <c r="R955">
        <f t="shared" si="88"/>
        <v>0.34965000000000002</v>
      </c>
      <c r="S955" s="4">
        <f t="shared" si="89"/>
        <v>9.0000000000000011E-2</v>
      </c>
      <c r="T955" t="str">
        <f>_xlfn.XLOOKUP(C955,customers!$A$1:$A$1001,customers!$I$1:$I$1001,,0)</f>
        <v>Yes</v>
      </c>
    </row>
    <row r="956" spans="1:20"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v>
      </c>
      <c r="H956" s="2" t="str">
        <f>_xlfn.XLOOKUP(C956,customers!$A$1:$A$1001,customers!$G$1:$G$1001,,0)</f>
        <v>United States</v>
      </c>
      <c r="I956" t="str">
        <f>INDEX(products!$A$1:$I$49,MATCH(orders!$D956,products!$A$1:$A$49,0),MATCH(orders!I$1,products!$A$1:$D$1,0))</f>
        <v>Exc</v>
      </c>
      <c r="J956" t="str">
        <f t="shared" si="84"/>
        <v>Excelsa</v>
      </c>
      <c r="K956" t="str">
        <f>INDEX(products!$A$1:$I$49,MATCH(orders!$D956,products!$A$1:$A$49,0),MATCH(orders!K$1,products!$A$1:$D$1,0))</f>
        <v>D</v>
      </c>
      <c r="L956" t="str">
        <f t="shared" si="85"/>
        <v>Dark</v>
      </c>
      <c r="M956">
        <f>INDEX(products!$A$1:$I$49,MATCH(orders!$D956,products!$A$1:$A$49,0),MATCH(orders!M$1,products!$A$1:$D$1,0))</f>
        <v>2.5</v>
      </c>
      <c r="N956">
        <f>_xlfn.XLOOKUP(D956,products!$A$2:$A$49,products!$E$2:$E$49)</f>
        <v>27.945</v>
      </c>
      <c r="O956">
        <f>_xlfn.XLOOKUP(D956,products!$A$2:$A$49,products!$H$2:$H$49)</f>
        <v>24.87105</v>
      </c>
      <c r="P956">
        <f t="shared" si="86"/>
        <v>27.945</v>
      </c>
      <c r="Q956">
        <f t="shared" si="87"/>
        <v>24.87105</v>
      </c>
      <c r="R956">
        <f t="shared" si="88"/>
        <v>3.07395</v>
      </c>
      <c r="S956" s="4">
        <f t="shared" si="89"/>
        <v>0.11</v>
      </c>
      <c r="T956" t="str">
        <f>_xlfn.XLOOKUP(C956,customers!$A$1:$A$1001,customers!$I$1:$I$1001,,0)</f>
        <v>Yes</v>
      </c>
    </row>
    <row r="957" spans="1:20"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v>
      </c>
      <c r="H957" s="2" t="str">
        <f>_xlfn.XLOOKUP(C957,customers!$A$1:$A$1001,customers!$G$1:$G$1001,,0)</f>
        <v>United States</v>
      </c>
      <c r="I957" t="str">
        <f>INDEX(products!$A$1:$I$49,MATCH(orders!$D957,products!$A$1:$A$49,0),MATCH(orders!I$1,products!$A$1:$D$1,0))</f>
        <v>Exc</v>
      </c>
      <c r="J957" t="str">
        <f t="shared" si="84"/>
        <v>Excelsa</v>
      </c>
      <c r="K957" t="str">
        <f>INDEX(products!$A$1:$I$49,MATCH(orders!$D957,products!$A$1:$A$49,0),MATCH(orders!K$1,products!$A$1:$D$1,0))</f>
        <v>L</v>
      </c>
      <c r="L957" t="str">
        <f t="shared" si="85"/>
        <v>Light</v>
      </c>
      <c r="M957">
        <f>INDEX(products!$A$1:$I$49,MATCH(orders!$D957,products!$A$1:$A$49,0),MATCH(orders!M$1,products!$A$1:$D$1,0))</f>
        <v>2.5</v>
      </c>
      <c r="N957">
        <f>_xlfn.XLOOKUP(D957,products!$A$2:$A$49,products!$E$2:$E$49)</f>
        <v>34.154999999999994</v>
      </c>
      <c r="O957">
        <f>_xlfn.XLOOKUP(D957,products!$A$2:$A$49,products!$H$2:$H$49)</f>
        <v>30.397949999999994</v>
      </c>
      <c r="P957">
        <f t="shared" si="86"/>
        <v>170.77499999999998</v>
      </c>
      <c r="Q957">
        <f t="shared" si="87"/>
        <v>151.98974999999996</v>
      </c>
      <c r="R957">
        <f t="shared" si="88"/>
        <v>18.785250000000019</v>
      </c>
      <c r="S957" s="4">
        <f t="shared" si="89"/>
        <v>0.11000000000000013</v>
      </c>
      <c r="T957" t="str">
        <f>_xlfn.XLOOKUP(C957,customers!$A$1:$A$1001,customers!$I$1:$I$1001,,0)</f>
        <v>Yes</v>
      </c>
    </row>
    <row r="958" spans="1:20"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v>
      </c>
      <c r="H958" s="2" t="str">
        <f>_xlfn.XLOOKUP(C958,customers!$A$1:$A$1001,customers!$G$1:$G$1001,,0)</f>
        <v>United States</v>
      </c>
      <c r="I958" t="str">
        <f>INDEX(products!$A$1:$I$49,MATCH(orders!$D958,products!$A$1:$A$49,0),MATCH(orders!I$1,products!$A$1:$D$1,0))</f>
        <v>Rob</v>
      </c>
      <c r="J958" t="str">
        <f t="shared" si="84"/>
        <v>Robusta</v>
      </c>
      <c r="K958" t="str">
        <f>INDEX(products!$A$1:$I$49,MATCH(orders!$D958,products!$A$1:$A$49,0),MATCH(orders!K$1,products!$A$1:$D$1,0))</f>
        <v>L</v>
      </c>
      <c r="L958" t="str">
        <f t="shared" si="85"/>
        <v>Light</v>
      </c>
      <c r="M958">
        <f>INDEX(products!$A$1:$I$49,MATCH(orders!$D958,products!$A$1:$A$49,0),MATCH(orders!M$1,products!$A$1:$D$1,0))</f>
        <v>2.5</v>
      </c>
      <c r="N958">
        <f>_xlfn.XLOOKUP(D958,products!$A$2:$A$49,products!$E$2:$E$49)</f>
        <v>27.484999999999996</v>
      </c>
      <c r="O958">
        <f>_xlfn.XLOOKUP(D958,products!$A$2:$A$49,products!$H$2:$H$49)</f>
        <v>25.835899999999995</v>
      </c>
      <c r="P958">
        <f t="shared" si="86"/>
        <v>54.969999999999992</v>
      </c>
      <c r="Q958">
        <f t="shared" si="87"/>
        <v>51.67179999999999</v>
      </c>
      <c r="R958">
        <f t="shared" si="88"/>
        <v>3.2982000000000014</v>
      </c>
      <c r="S958" s="4">
        <f t="shared" si="89"/>
        <v>6.0000000000000032E-2</v>
      </c>
      <c r="T958" t="str">
        <f>_xlfn.XLOOKUP(C958,customers!$A$1:$A$1001,customers!$I$1:$I$1001,,0)</f>
        <v>Yes</v>
      </c>
    </row>
    <row r="959" spans="1:20"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v>
      </c>
      <c r="H959" s="2" t="str">
        <f>_xlfn.XLOOKUP(C959,customers!$A$1:$A$1001,customers!$G$1:$G$1001,,0)</f>
        <v>United States</v>
      </c>
      <c r="I959" t="str">
        <f>INDEX(products!$A$1:$I$49,MATCH(orders!$D959,products!$A$1:$A$49,0),MATCH(orders!I$1,products!$A$1:$D$1,0))</f>
        <v>Exc</v>
      </c>
      <c r="J959" t="str">
        <f t="shared" si="84"/>
        <v>Excelsa</v>
      </c>
      <c r="K959" t="str">
        <f>INDEX(products!$A$1:$I$49,MATCH(orders!$D959,products!$A$1:$A$49,0),MATCH(orders!K$1,products!$A$1:$D$1,0))</f>
        <v>L</v>
      </c>
      <c r="L959" t="str">
        <f t="shared" si="85"/>
        <v>Light</v>
      </c>
      <c r="M959">
        <f>INDEX(products!$A$1:$I$49,MATCH(orders!$D959,products!$A$1:$A$49,0),MATCH(orders!M$1,products!$A$1:$D$1,0))</f>
        <v>1</v>
      </c>
      <c r="N959">
        <f>_xlfn.XLOOKUP(D959,products!$A$2:$A$49,products!$E$2:$E$49)</f>
        <v>14.85</v>
      </c>
      <c r="O959">
        <f>_xlfn.XLOOKUP(D959,products!$A$2:$A$49,products!$H$2:$H$49)</f>
        <v>13.2165</v>
      </c>
      <c r="P959">
        <f t="shared" si="86"/>
        <v>14.85</v>
      </c>
      <c r="Q959">
        <f t="shared" si="87"/>
        <v>13.2165</v>
      </c>
      <c r="R959">
        <f t="shared" si="88"/>
        <v>1.6334999999999997</v>
      </c>
      <c r="S959" s="4">
        <f t="shared" si="89"/>
        <v>0.10999999999999999</v>
      </c>
      <c r="T959" t="str">
        <f>_xlfn.XLOOKUP(C959,customers!$A$1:$A$1001,customers!$I$1:$I$1001,,0)</f>
        <v>Yes</v>
      </c>
    </row>
    <row r="960" spans="1:20"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v>
      </c>
      <c r="H960" s="2" t="str">
        <f>_xlfn.XLOOKUP(C960,customers!$A$1:$A$1001,customers!$G$1:$G$1001,,0)</f>
        <v>United States</v>
      </c>
      <c r="I960" t="str">
        <f>INDEX(products!$A$1:$I$49,MATCH(orders!$D960,products!$A$1:$A$49,0),MATCH(orders!I$1,products!$A$1:$D$1,0))</f>
        <v>Ara</v>
      </c>
      <c r="J960" t="str">
        <f t="shared" si="84"/>
        <v>Arabica</v>
      </c>
      <c r="K960" t="str">
        <f>INDEX(products!$A$1:$I$49,MATCH(orders!$D960,products!$A$1:$A$49,0),MATCH(orders!K$1,products!$A$1:$D$1,0))</f>
        <v>L</v>
      </c>
      <c r="L960" t="str">
        <f t="shared" si="85"/>
        <v>Light</v>
      </c>
      <c r="M960">
        <f>INDEX(products!$A$1:$I$49,MATCH(orders!$D960,products!$A$1:$A$49,0),MATCH(orders!M$1,products!$A$1:$D$1,0))</f>
        <v>0.2</v>
      </c>
      <c r="N960">
        <f>_xlfn.XLOOKUP(D960,products!$A$2:$A$49,products!$E$2:$E$49)</f>
        <v>3.8849999999999998</v>
      </c>
      <c r="O960">
        <f>_xlfn.XLOOKUP(D960,products!$A$2:$A$49,products!$H$2:$H$49)</f>
        <v>3.5353499999999998</v>
      </c>
      <c r="P960">
        <f t="shared" si="86"/>
        <v>7.77</v>
      </c>
      <c r="Q960">
        <f t="shared" si="87"/>
        <v>7.0706999999999995</v>
      </c>
      <c r="R960">
        <f t="shared" si="88"/>
        <v>0.69930000000000003</v>
      </c>
      <c r="S960" s="4">
        <f t="shared" si="89"/>
        <v>9.0000000000000011E-2</v>
      </c>
      <c r="T960" t="str">
        <f>_xlfn.XLOOKUP(C960,customers!$A$1:$A$1001,customers!$I$1:$I$1001,,0)</f>
        <v>Yes</v>
      </c>
    </row>
    <row r="961" spans="1:20"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INDEX(products!$A$1:$I$49,MATCH(orders!$D961,products!$A$1:$A$49,0),MATCH(orders!I$1,products!$A$1:$D$1,0))</f>
        <v>Lib</v>
      </c>
      <c r="J961" t="str">
        <f t="shared" si="84"/>
        <v>Liberica</v>
      </c>
      <c r="K961" t="str">
        <f>INDEX(products!$A$1:$I$49,MATCH(orders!$D961,products!$A$1:$A$49,0),MATCH(orders!K$1,products!$A$1:$D$1,0))</f>
        <v>L</v>
      </c>
      <c r="L961" t="str">
        <f t="shared" si="85"/>
        <v>Light</v>
      </c>
      <c r="M961">
        <f>INDEX(products!$A$1:$I$49,MATCH(orders!$D961,products!$A$1:$A$49,0),MATCH(orders!M$1,products!$A$1:$D$1,0))</f>
        <v>0.2</v>
      </c>
      <c r="N961">
        <f>_xlfn.XLOOKUP(D961,products!$A$2:$A$49,products!$E$2:$E$49)</f>
        <v>4.7549999999999999</v>
      </c>
      <c r="O961">
        <f>_xlfn.XLOOKUP(D961,products!$A$2:$A$49,products!$H$2:$H$49)</f>
        <v>4.1368499999999999</v>
      </c>
      <c r="P961">
        <f t="shared" si="86"/>
        <v>23.774999999999999</v>
      </c>
      <c r="Q961">
        <f t="shared" si="87"/>
        <v>20.684249999999999</v>
      </c>
      <c r="R961">
        <f t="shared" si="88"/>
        <v>3.0907499999999999</v>
      </c>
      <c r="S961" s="4">
        <f t="shared" si="89"/>
        <v>0.13</v>
      </c>
      <c r="T961" t="str">
        <f>_xlfn.XLOOKUP(C961,customers!$A$1:$A$1001,customers!$I$1:$I$1001,,0)</f>
        <v>Yes</v>
      </c>
    </row>
    <row r="962" spans="1:20"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INDEX(products!$A$1:$I$49,MATCH(orders!$D962,products!$A$1:$A$49,0),MATCH(orders!I$1,products!$A$1:$D$1,0))</f>
        <v>Lib</v>
      </c>
      <c r="J962" t="str">
        <f t="shared" si="84"/>
        <v>Liberica</v>
      </c>
      <c r="K962" t="str">
        <f>INDEX(products!$A$1:$I$49,MATCH(orders!$D962,products!$A$1:$A$49,0),MATCH(orders!K$1,products!$A$1:$D$1,0))</f>
        <v>L</v>
      </c>
      <c r="L962" t="str">
        <f t="shared" si="85"/>
        <v>Light</v>
      </c>
      <c r="M962">
        <f>INDEX(products!$A$1:$I$49,MATCH(orders!$D962,products!$A$1:$A$49,0),MATCH(orders!M$1,products!$A$1:$D$1,0))</f>
        <v>1</v>
      </c>
      <c r="N962">
        <f>_xlfn.XLOOKUP(D962,products!$A$2:$A$49,products!$E$2:$E$49)</f>
        <v>15.85</v>
      </c>
      <c r="O962">
        <f>_xlfn.XLOOKUP(D962,products!$A$2:$A$49,products!$H$2:$H$49)</f>
        <v>13.7895</v>
      </c>
      <c r="P962">
        <f t="shared" si="86"/>
        <v>79.25</v>
      </c>
      <c r="Q962">
        <f t="shared" si="87"/>
        <v>68.947500000000005</v>
      </c>
      <c r="R962">
        <f t="shared" si="88"/>
        <v>10.302499999999995</v>
      </c>
      <c r="S962" s="4">
        <f t="shared" si="89"/>
        <v>0.12999999999999995</v>
      </c>
      <c r="T962" t="str">
        <f>_xlfn.XLOOKUP(C962,customers!$A$1:$A$1001,customers!$I$1:$I$1001,,0)</f>
        <v>Yes</v>
      </c>
    </row>
    <row r="963" spans="1:20"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v>
      </c>
      <c r="H963" s="2" t="str">
        <f>_xlfn.XLOOKUP(C963,customers!$A$1:$A$1001,customers!$G$1:$G$1001,,0)</f>
        <v>United States</v>
      </c>
      <c r="I963" t="str">
        <f>INDEX(products!$A$1:$I$49,MATCH(orders!$D963,products!$A$1:$A$49,0),MATCH(orders!I$1,products!$A$1:$D$1,0))</f>
        <v>Ara</v>
      </c>
      <c r="J963" t="str">
        <f t="shared" ref="J963:J1001" si="90">IF(I963="Rob","Robusta",IF(I963="Exc","Excelsa",IF(I963="Ara","Arabica",IF(I963="Lib","Liberica",""))))</f>
        <v>Arabica</v>
      </c>
      <c r="K963" t="str">
        <f>INDEX(products!$A$1:$I$49,MATCH(orders!$D963,products!$A$1:$A$49,0),MATCH(orders!K$1,products!$A$1:$D$1,0))</f>
        <v>D</v>
      </c>
      <c r="L963" t="str">
        <f t="shared" ref="L963:L1001" si="91">IF(K963="M","Medium",IF(K963="L","Light",IF(K963="D","Dark","")))</f>
        <v>Dark</v>
      </c>
      <c r="M963">
        <f>INDEX(products!$A$1:$I$49,MATCH(orders!$D963,products!$A$1:$A$49,0),MATCH(orders!M$1,products!$A$1:$D$1,0))</f>
        <v>2.5</v>
      </c>
      <c r="N963">
        <f>_xlfn.XLOOKUP(D963,products!$A$2:$A$49,products!$E$2:$E$49)</f>
        <v>22.884999999999998</v>
      </c>
      <c r="O963">
        <f>_xlfn.XLOOKUP(D963,products!$A$2:$A$49,products!$H$2:$H$49)</f>
        <v>20.82535</v>
      </c>
      <c r="P963">
        <f t="shared" ref="P963:P1001" si="92">N963*E963</f>
        <v>45.769999999999996</v>
      </c>
      <c r="Q963">
        <f t="shared" ref="Q963:Q1001" si="93">O963*E963</f>
        <v>41.650700000000001</v>
      </c>
      <c r="R963">
        <f t="shared" ref="R963:R1001" si="94">P963-Q963</f>
        <v>4.1192999999999955</v>
      </c>
      <c r="S963" s="4">
        <f t="shared" ref="S963:S1001" si="95">R963/P963</f>
        <v>8.9999999999999913E-2</v>
      </c>
      <c r="T963" t="str">
        <f>_xlfn.XLOOKUP(C963,customers!$A$1:$A$1001,customers!$I$1:$I$1001,,0)</f>
        <v>Yes</v>
      </c>
    </row>
    <row r="964" spans="1:20"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INDEX(products!$A$1:$I$49,MATCH(orders!$D964,products!$A$1:$A$49,0),MATCH(orders!I$1,products!$A$1:$D$1,0))</f>
        <v>Rob</v>
      </c>
      <c r="J964" t="str">
        <f t="shared" si="90"/>
        <v>Robusta</v>
      </c>
      <c r="K964" t="str">
        <f>INDEX(products!$A$1:$I$49,MATCH(orders!$D964,products!$A$1:$A$49,0),MATCH(orders!K$1,products!$A$1:$D$1,0))</f>
        <v>D</v>
      </c>
      <c r="L964" t="str">
        <f t="shared" si="91"/>
        <v>Dark</v>
      </c>
      <c r="M964">
        <f>INDEX(products!$A$1:$I$49,MATCH(orders!$D964,products!$A$1:$A$49,0),MATCH(orders!M$1,products!$A$1:$D$1,0))</f>
        <v>1</v>
      </c>
      <c r="N964">
        <f>_xlfn.XLOOKUP(D964,products!$A$2:$A$49,products!$E$2:$E$49)</f>
        <v>8.9499999999999993</v>
      </c>
      <c r="O964">
        <f>_xlfn.XLOOKUP(D964,products!$A$2:$A$49,products!$H$2:$H$49)</f>
        <v>8.4130000000000003</v>
      </c>
      <c r="P964">
        <f t="shared" si="92"/>
        <v>8.9499999999999993</v>
      </c>
      <c r="Q964">
        <f t="shared" si="93"/>
        <v>8.4130000000000003</v>
      </c>
      <c r="R964">
        <f t="shared" si="94"/>
        <v>0.53699999999999903</v>
      </c>
      <c r="S964" s="4">
        <f t="shared" si="95"/>
        <v>5.9999999999999894E-2</v>
      </c>
      <c r="T964" t="str">
        <f>_xlfn.XLOOKUP(C964,customers!$A$1:$A$1001,customers!$I$1:$I$1001,,0)</f>
        <v>Yes</v>
      </c>
    </row>
    <row r="965" spans="1:20"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INDEX(products!$A$1:$I$49,MATCH(orders!$D965,products!$A$1:$A$49,0),MATCH(orders!I$1,products!$A$1:$D$1,0))</f>
        <v>Rob</v>
      </c>
      <c r="J965" t="str">
        <f t="shared" si="90"/>
        <v>Robusta</v>
      </c>
      <c r="K965" t="str">
        <f>INDEX(products!$A$1:$I$49,MATCH(orders!$D965,products!$A$1:$A$49,0),MATCH(orders!K$1,products!$A$1:$D$1,0))</f>
        <v>M</v>
      </c>
      <c r="L965" t="str">
        <f t="shared" si="91"/>
        <v>Medium</v>
      </c>
      <c r="M965">
        <f>INDEX(products!$A$1:$I$49,MATCH(orders!$D965,products!$A$1:$A$49,0),MATCH(orders!M$1,products!$A$1:$D$1,0))</f>
        <v>0.5</v>
      </c>
      <c r="N965">
        <f>_xlfn.XLOOKUP(D965,products!$A$2:$A$49,products!$E$2:$E$49)</f>
        <v>5.97</v>
      </c>
      <c r="O965">
        <f>_xlfn.XLOOKUP(D965,products!$A$2:$A$49,products!$H$2:$H$49)</f>
        <v>5.6117999999999997</v>
      </c>
      <c r="P965">
        <f t="shared" si="92"/>
        <v>23.88</v>
      </c>
      <c r="Q965">
        <f t="shared" si="93"/>
        <v>22.447199999999999</v>
      </c>
      <c r="R965">
        <f t="shared" si="94"/>
        <v>1.4328000000000003</v>
      </c>
      <c r="S965" s="4">
        <f t="shared" si="95"/>
        <v>6.0000000000000012E-2</v>
      </c>
      <c r="T965" t="str">
        <f>_xlfn.XLOOKUP(C965,customers!$A$1:$A$1001,customers!$I$1:$I$1001,,0)</f>
        <v>Yes</v>
      </c>
    </row>
    <row r="966" spans="1:20"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INDEX(products!$A$1:$I$49,MATCH(orders!$D966,products!$A$1:$A$49,0),MATCH(orders!I$1,products!$A$1:$D$1,0))</f>
        <v>Exc</v>
      </c>
      <c r="J966" t="str">
        <f t="shared" si="90"/>
        <v>Excelsa</v>
      </c>
      <c r="K966" t="str">
        <f>INDEX(products!$A$1:$I$49,MATCH(orders!$D966,products!$A$1:$A$49,0),MATCH(orders!K$1,products!$A$1:$D$1,0))</f>
        <v>L</v>
      </c>
      <c r="L966" t="str">
        <f t="shared" si="91"/>
        <v>Light</v>
      </c>
      <c r="M966">
        <f>INDEX(products!$A$1:$I$49,MATCH(orders!$D966,products!$A$1:$A$49,0),MATCH(orders!M$1,products!$A$1:$D$1,0))</f>
        <v>0.2</v>
      </c>
      <c r="N966">
        <f>_xlfn.XLOOKUP(D966,products!$A$2:$A$49,products!$E$2:$E$49)</f>
        <v>4.4550000000000001</v>
      </c>
      <c r="O966">
        <f>_xlfn.XLOOKUP(D966,products!$A$2:$A$49,products!$H$2:$H$49)</f>
        <v>3.96495</v>
      </c>
      <c r="P966">
        <f t="shared" si="92"/>
        <v>22.274999999999999</v>
      </c>
      <c r="Q966">
        <f t="shared" si="93"/>
        <v>19.824750000000002</v>
      </c>
      <c r="R966">
        <f t="shared" si="94"/>
        <v>2.4502499999999969</v>
      </c>
      <c r="S966" s="4">
        <f t="shared" si="95"/>
        <v>0.10999999999999988</v>
      </c>
      <c r="T966" t="str">
        <f>_xlfn.XLOOKUP(C966,customers!$A$1:$A$1001,customers!$I$1:$I$1001,,0)</f>
        <v>No</v>
      </c>
    </row>
    <row r="967" spans="1:20"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INDEX(products!$A$1:$I$49,MATCH(orders!$D967,products!$A$1:$A$49,0),MATCH(orders!I$1,products!$A$1:$D$1,0))</f>
        <v>Rob</v>
      </c>
      <c r="J967" t="str">
        <f t="shared" si="90"/>
        <v>Robusta</v>
      </c>
      <c r="K967" t="str">
        <f>INDEX(products!$A$1:$I$49,MATCH(orders!$D967,products!$A$1:$A$49,0),MATCH(orders!K$1,products!$A$1:$D$1,0))</f>
        <v>M</v>
      </c>
      <c r="L967" t="str">
        <f t="shared" si="91"/>
        <v>Medium</v>
      </c>
      <c r="M967">
        <f>INDEX(products!$A$1:$I$49,MATCH(orders!$D967,products!$A$1:$A$49,0),MATCH(orders!M$1,products!$A$1:$D$1,0))</f>
        <v>1</v>
      </c>
      <c r="N967">
        <f>_xlfn.XLOOKUP(D967,products!$A$2:$A$49,products!$E$2:$E$49)</f>
        <v>9.9499999999999993</v>
      </c>
      <c r="O967">
        <f>_xlfn.XLOOKUP(D967,products!$A$2:$A$49,products!$H$2:$H$49)</f>
        <v>9.3529999999999998</v>
      </c>
      <c r="P967">
        <f t="shared" si="92"/>
        <v>29.849999999999998</v>
      </c>
      <c r="Q967">
        <f t="shared" si="93"/>
        <v>28.058999999999997</v>
      </c>
      <c r="R967">
        <f t="shared" si="94"/>
        <v>1.7910000000000004</v>
      </c>
      <c r="S967" s="4">
        <f t="shared" si="95"/>
        <v>6.0000000000000019E-2</v>
      </c>
      <c r="T967" t="str">
        <f>_xlfn.XLOOKUP(C967,customers!$A$1:$A$1001,customers!$I$1:$I$1001,,0)</f>
        <v>Yes</v>
      </c>
    </row>
    <row r="968" spans="1:20"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INDEX(products!$A$1:$I$49,MATCH(orders!$D968,products!$A$1:$A$49,0),MATCH(orders!I$1,products!$A$1:$D$1,0))</f>
        <v>Exc</v>
      </c>
      <c r="J968" t="str">
        <f t="shared" si="90"/>
        <v>Excelsa</v>
      </c>
      <c r="K968" t="str">
        <f>INDEX(products!$A$1:$I$49,MATCH(orders!$D968,products!$A$1:$A$49,0),MATCH(orders!K$1,products!$A$1:$D$1,0))</f>
        <v>L</v>
      </c>
      <c r="L968" t="str">
        <f t="shared" si="91"/>
        <v>Light</v>
      </c>
      <c r="M968">
        <f>INDEX(products!$A$1:$I$49,MATCH(orders!$D968,products!$A$1:$A$49,0),MATCH(orders!M$1,products!$A$1:$D$1,0))</f>
        <v>0.5</v>
      </c>
      <c r="N968">
        <f>_xlfn.XLOOKUP(D968,products!$A$2:$A$49,products!$E$2:$E$49)</f>
        <v>8.91</v>
      </c>
      <c r="O968">
        <f>_xlfn.XLOOKUP(D968,products!$A$2:$A$49,products!$H$2:$H$49)</f>
        <v>7.9298999999999999</v>
      </c>
      <c r="P968">
        <f t="shared" si="92"/>
        <v>53.46</v>
      </c>
      <c r="Q968">
        <f t="shared" si="93"/>
        <v>47.5794</v>
      </c>
      <c r="R968">
        <f t="shared" si="94"/>
        <v>5.8806000000000012</v>
      </c>
      <c r="S968" s="4">
        <f t="shared" si="95"/>
        <v>0.11000000000000001</v>
      </c>
      <c r="T968" t="str">
        <f>_xlfn.XLOOKUP(C968,customers!$A$1:$A$1001,customers!$I$1:$I$1001,,0)</f>
        <v>Yes</v>
      </c>
    </row>
    <row r="969" spans="1:20"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INDEX(products!$A$1:$I$49,MATCH(orders!$D969,products!$A$1:$A$49,0),MATCH(orders!I$1,products!$A$1:$D$1,0))</f>
        <v>Rob</v>
      </c>
      <c r="J969" t="str">
        <f t="shared" si="90"/>
        <v>Robusta</v>
      </c>
      <c r="K969" t="str">
        <f>INDEX(products!$A$1:$I$49,MATCH(orders!$D969,products!$A$1:$A$49,0),MATCH(orders!K$1,products!$A$1:$D$1,0))</f>
        <v>D</v>
      </c>
      <c r="L969" t="str">
        <f t="shared" si="91"/>
        <v>Dark</v>
      </c>
      <c r="M969">
        <f>INDEX(products!$A$1:$I$49,MATCH(orders!$D969,products!$A$1:$A$49,0),MATCH(orders!M$1,products!$A$1:$D$1,0))</f>
        <v>0.2</v>
      </c>
      <c r="N969">
        <f>_xlfn.XLOOKUP(D969,products!$A$2:$A$49,products!$E$2:$E$49)</f>
        <v>2.6849999999999996</v>
      </c>
      <c r="O969">
        <f>_xlfn.XLOOKUP(D969,products!$A$2:$A$49,products!$H$2:$H$49)</f>
        <v>2.5238999999999998</v>
      </c>
      <c r="P969">
        <f t="shared" si="92"/>
        <v>2.6849999999999996</v>
      </c>
      <c r="Q969">
        <f t="shared" si="93"/>
        <v>2.5238999999999998</v>
      </c>
      <c r="R969">
        <f t="shared" si="94"/>
        <v>0.1610999999999998</v>
      </c>
      <c r="S969" s="4">
        <f t="shared" si="95"/>
        <v>5.9999999999999935E-2</v>
      </c>
      <c r="T969" t="str">
        <f>_xlfn.XLOOKUP(C969,customers!$A$1:$A$1001,customers!$I$1:$I$1001,,0)</f>
        <v>Yes</v>
      </c>
    </row>
    <row r="970" spans="1:20"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INDEX(products!$A$1:$I$49,MATCH(orders!$D970,products!$A$1:$A$49,0),MATCH(orders!I$1,products!$A$1:$D$1,0))</f>
        <v>Rob</v>
      </c>
      <c r="J970" t="str">
        <f t="shared" si="90"/>
        <v>Robusta</v>
      </c>
      <c r="K970" t="str">
        <f>INDEX(products!$A$1:$I$49,MATCH(orders!$D970,products!$A$1:$A$49,0),MATCH(orders!K$1,products!$A$1:$D$1,0))</f>
        <v>M</v>
      </c>
      <c r="L970" t="str">
        <f t="shared" si="91"/>
        <v>Medium</v>
      </c>
      <c r="M970">
        <f>INDEX(products!$A$1:$I$49,MATCH(orders!$D970,products!$A$1:$A$49,0),MATCH(orders!M$1,products!$A$1:$D$1,0))</f>
        <v>0.2</v>
      </c>
      <c r="N970">
        <f>_xlfn.XLOOKUP(D970,products!$A$2:$A$49,products!$E$2:$E$49)</f>
        <v>2.9849999999999999</v>
      </c>
      <c r="O970">
        <f>_xlfn.XLOOKUP(D970,products!$A$2:$A$49,products!$H$2:$H$49)</f>
        <v>2.8058999999999998</v>
      </c>
      <c r="P970">
        <f t="shared" si="92"/>
        <v>5.97</v>
      </c>
      <c r="Q970">
        <f t="shared" si="93"/>
        <v>5.6117999999999997</v>
      </c>
      <c r="R970">
        <f t="shared" si="94"/>
        <v>0.35820000000000007</v>
      </c>
      <c r="S970" s="4">
        <f t="shared" si="95"/>
        <v>6.0000000000000012E-2</v>
      </c>
      <c r="T970" t="str">
        <f>_xlfn.XLOOKUP(C970,customers!$A$1:$A$1001,customers!$I$1:$I$1001,,0)</f>
        <v>No</v>
      </c>
    </row>
    <row r="971" spans="1:20"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INDEX(products!$A$1:$I$49,MATCH(orders!$D971,products!$A$1:$A$49,0),MATCH(orders!I$1,products!$A$1:$D$1,0))</f>
        <v>Lib</v>
      </c>
      <c r="J971" t="str">
        <f t="shared" si="90"/>
        <v>Liberica</v>
      </c>
      <c r="K971" t="str">
        <f>INDEX(products!$A$1:$I$49,MATCH(orders!$D971,products!$A$1:$A$49,0),MATCH(orders!K$1,products!$A$1:$D$1,0))</f>
        <v>D</v>
      </c>
      <c r="L971" t="str">
        <f t="shared" si="91"/>
        <v>Dark</v>
      </c>
      <c r="M971">
        <f>INDEX(products!$A$1:$I$49,MATCH(orders!$D971,products!$A$1:$A$49,0),MATCH(orders!M$1,products!$A$1:$D$1,0))</f>
        <v>1</v>
      </c>
      <c r="N971">
        <f>_xlfn.XLOOKUP(D971,products!$A$2:$A$49,products!$E$2:$E$49)</f>
        <v>12.95</v>
      </c>
      <c r="O971">
        <f>_xlfn.XLOOKUP(D971,products!$A$2:$A$49,products!$H$2:$H$49)</f>
        <v>11.266499999999999</v>
      </c>
      <c r="P971">
        <f t="shared" si="92"/>
        <v>12.95</v>
      </c>
      <c r="Q971">
        <f t="shared" si="93"/>
        <v>11.266499999999999</v>
      </c>
      <c r="R971">
        <f t="shared" si="94"/>
        <v>1.6835000000000004</v>
      </c>
      <c r="S971" s="4">
        <f t="shared" si="95"/>
        <v>0.13000000000000003</v>
      </c>
      <c r="T971" t="str">
        <f>_xlfn.XLOOKUP(C971,customers!$A$1:$A$1001,customers!$I$1:$I$1001,,0)</f>
        <v>Yes</v>
      </c>
    </row>
    <row r="972" spans="1:20"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v>
      </c>
      <c r="H972" s="2" t="str">
        <f>_xlfn.XLOOKUP(C972,customers!$A$1:$A$1001,customers!$G$1:$G$1001,,0)</f>
        <v>United States</v>
      </c>
      <c r="I972" t="str">
        <f>INDEX(products!$A$1:$I$49,MATCH(orders!$D972,products!$A$1:$A$49,0),MATCH(orders!I$1,products!$A$1:$D$1,0))</f>
        <v>Exc</v>
      </c>
      <c r="J972" t="str">
        <f t="shared" si="90"/>
        <v>Excelsa</v>
      </c>
      <c r="K972" t="str">
        <f>INDEX(products!$A$1:$I$49,MATCH(orders!$D972,products!$A$1:$A$49,0),MATCH(orders!K$1,products!$A$1:$D$1,0))</f>
        <v>M</v>
      </c>
      <c r="L972" t="str">
        <f t="shared" si="91"/>
        <v>Medium</v>
      </c>
      <c r="M972">
        <f>INDEX(products!$A$1:$I$49,MATCH(orders!$D972,products!$A$1:$A$49,0),MATCH(orders!M$1,products!$A$1:$D$1,0))</f>
        <v>0.5</v>
      </c>
      <c r="N972">
        <f>_xlfn.XLOOKUP(D972,products!$A$2:$A$49,products!$E$2:$E$49)</f>
        <v>8.25</v>
      </c>
      <c r="O972">
        <f>_xlfn.XLOOKUP(D972,products!$A$2:$A$49,products!$H$2:$H$49)</f>
        <v>7.3425000000000002</v>
      </c>
      <c r="P972">
        <f t="shared" si="92"/>
        <v>8.25</v>
      </c>
      <c r="Q972">
        <f t="shared" si="93"/>
        <v>7.3425000000000002</v>
      </c>
      <c r="R972">
        <f t="shared" si="94"/>
        <v>0.90749999999999975</v>
      </c>
      <c r="S972" s="4">
        <f t="shared" si="95"/>
        <v>0.10999999999999997</v>
      </c>
      <c r="T972" t="str">
        <f>_xlfn.XLOOKUP(C972,customers!$A$1:$A$1001,customers!$I$1:$I$1001,,0)</f>
        <v>No</v>
      </c>
    </row>
    <row r="973" spans="1:20"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INDEX(products!$A$1:$I$49,MATCH(orders!$D973,products!$A$1:$A$49,0),MATCH(orders!I$1,products!$A$1:$D$1,0))</f>
        <v>Ara</v>
      </c>
      <c r="J973" t="str">
        <f t="shared" si="90"/>
        <v>Arabica</v>
      </c>
      <c r="K973" t="str">
        <f>INDEX(products!$A$1:$I$49,MATCH(orders!$D973,products!$A$1:$A$49,0),MATCH(orders!K$1,products!$A$1:$D$1,0))</f>
        <v>L</v>
      </c>
      <c r="L973" t="str">
        <f t="shared" si="91"/>
        <v>Light</v>
      </c>
      <c r="M973">
        <f>INDEX(products!$A$1:$I$49,MATCH(orders!$D973,products!$A$1:$A$49,0),MATCH(orders!M$1,products!$A$1:$D$1,0))</f>
        <v>2.5</v>
      </c>
      <c r="N973">
        <f>_xlfn.XLOOKUP(D973,products!$A$2:$A$49,products!$E$2:$E$49)</f>
        <v>29.784999999999997</v>
      </c>
      <c r="O973">
        <f>_xlfn.XLOOKUP(D973,products!$A$2:$A$49,products!$H$2:$H$49)</f>
        <v>27.104349999999997</v>
      </c>
      <c r="P973">
        <f t="shared" si="92"/>
        <v>148.92499999999998</v>
      </c>
      <c r="Q973">
        <f t="shared" si="93"/>
        <v>135.52175</v>
      </c>
      <c r="R973">
        <f t="shared" si="94"/>
        <v>13.403249999999986</v>
      </c>
      <c r="S973" s="4">
        <f t="shared" si="95"/>
        <v>8.9999999999999913E-2</v>
      </c>
      <c r="T973" t="str">
        <f>_xlfn.XLOOKUP(C973,customers!$A$1:$A$1001,customers!$I$1:$I$1001,,0)</f>
        <v>No</v>
      </c>
    </row>
    <row r="974" spans="1:20"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v>
      </c>
      <c r="H974" s="2" t="str">
        <f>_xlfn.XLOOKUP(C974,customers!$A$1:$A$1001,customers!$G$1:$G$1001,,0)</f>
        <v>Ireland</v>
      </c>
      <c r="I974" t="str">
        <f>INDEX(products!$A$1:$I$49,MATCH(orders!$D974,products!$A$1:$A$49,0),MATCH(orders!I$1,products!$A$1:$D$1,0))</f>
        <v>Ara</v>
      </c>
      <c r="J974" t="str">
        <f t="shared" si="90"/>
        <v>Arabica</v>
      </c>
      <c r="K974" t="str">
        <f>INDEX(products!$A$1:$I$49,MATCH(orders!$D974,products!$A$1:$A$49,0),MATCH(orders!K$1,products!$A$1:$D$1,0))</f>
        <v>L</v>
      </c>
      <c r="L974" t="str">
        <f t="shared" si="91"/>
        <v>Light</v>
      </c>
      <c r="M974">
        <f>INDEX(products!$A$1:$I$49,MATCH(orders!$D974,products!$A$1:$A$49,0),MATCH(orders!M$1,products!$A$1:$D$1,0))</f>
        <v>2.5</v>
      </c>
      <c r="N974">
        <f>_xlfn.XLOOKUP(D974,products!$A$2:$A$49,products!$E$2:$E$49)</f>
        <v>29.784999999999997</v>
      </c>
      <c r="O974">
        <f>_xlfn.XLOOKUP(D974,products!$A$2:$A$49,products!$H$2:$H$49)</f>
        <v>27.104349999999997</v>
      </c>
      <c r="P974">
        <f t="shared" si="92"/>
        <v>89.35499999999999</v>
      </c>
      <c r="Q974">
        <f t="shared" si="93"/>
        <v>81.31304999999999</v>
      </c>
      <c r="R974">
        <f t="shared" si="94"/>
        <v>8.0419499999999999</v>
      </c>
      <c r="S974" s="4">
        <f t="shared" si="95"/>
        <v>9.0000000000000011E-2</v>
      </c>
      <c r="T974" t="str">
        <f>_xlfn.XLOOKUP(C974,customers!$A$1:$A$1001,customers!$I$1:$I$1001,,0)</f>
        <v>Yes</v>
      </c>
    </row>
    <row r="975" spans="1:20"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INDEX(products!$A$1:$I$49,MATCH(orders!$D975,products!$A$1:$A$49,0),MATCH(orders!I$1,products!$A$1:$D$1,0))</f>
        <v>Lib</v>
      </c>
      <c r="J975" t="str">
        <f t="shared" si="90"/>
        <v>Liberica</v>
      </c>
      <c r="K975" t="str">
        <f>INDEX(products!$A$1:$I$49,MATCH(orders!$D975,products!$A$1:$A$49,0),MATCH(orders!K$1,products!$A$1:$D$1,0))</f>
        <v>M</v>
      </c>
      <c r="L975" t="str">
        <f t="shared" si="91"/>
        <v>Medium</v>
      </c>
      <c r="M975">
        <f>INDEX(products!$A$1:$I$49,MATCH(orders!$D975,products!$A$1:$A$49,0),MATCH(orders!M$1,products!$A$1:$D$1,0))</f>
        <v>1</v>
      </c>
      <c r="N975">
        <f>_xlfn.XLOOKUP(D975,products!$A$2:$A$49,products!$E$2:$E$49)</f>
        <v>14.55</v>
      </c>
      <c r="O975">
        <f>_xlfn.XLOOKUP(D975,products!$A$2:$A$49,products!$H$2:$H$49)</f>
        <v>12.6585</v>
      </c>
      <c r="P975">
        <f t="shared" si="92"/>
        <v>87.300000000000011</v>
      </c>
      <c r="Q975">
        <f t="shared" si="93"/>
        <v>75.950999999999993</v>
      </c>
      <c r="R975">
        <f t="shared" si="94"/>
        <v>11.349000000000018</v>
      </c>
      <c r="S975" s="4">
        <f t="shared" si="95"/>
        <v>0.1300000000000002</v>
      </c>
      <c r="T975" t="str">
        <f>_xlfn.XLOOKUP(C975,customers!$A$1:$A$1001,customers!$I$1:$I$1001,,0)</f>
        <v>No</v>
      </c>
    </row>
    <row r="976" spans="1:20"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INDEX(products!$A$1:$I$49,MATCH(orders!$D976,products!$A$1:$A$49,0),MATCH(orders!I$1,products!$A$1:$D$1,0))</f>
        <v>Rob</v>
      </c>
      <c r="J976" t="str">
        <f t="shared" si="90"/>
        <v>Robusta</v>
      </c>
      <c r="K976" t="str">
        <f>INDEX(products!$A$1:$I$49,MATCH(orders!$D976,products!$A$1:$A$49,0),MATCH(orders!K$1,products!$A$1:$D$1,0))</f>
        <v>D</v>
      </c>
      <c r="L976" t="str">
        <f t="shared" si="91"/>
        <v>Dark</v>
      </c>
      <c r="M976">
        <f>INDEX(products!$A$1:$I$49,MATCH(orders!$D976,products!$A$1:$A$49,0),MATCH(orders!M$1,products!$A$1:$D$1,0))</f>
        <v>0.5</v>
      </c>
      <c r="N976">
        <f>_xlfn.XLOOKUP(D976,products!$A$2:$A$49,products!$E$2:$E$49)</f>
        <v>5.3699999999999992</v>
      </c>
      <c r="O976">
        <f>_xlfn.XLOOKUP(D976,products!$A$2:$A$49,products!$H$2:$H$49)</f>
        <v>5.0477999999999996</v>
      </c>
      <c r="P976">
        <f t="shared" si="92"/>
        <v>5.3699999999999992</v>
      </c>
      <c r="Q976">
        <f t="shared" si="93"/>
        <v>5.0477999999999996</v>
      </c>
      <c r="R976">
        <f t="shared" si="94"/>
        <v>0.3221999999999996</v>
      </c>
      <c r="S976" s="4">
        <f t="shared" si="95"/>
        <v>5.9999999999999935E-2</v>
      </c>
      <c r="T976" t="str">
        <f>_xlfn.XLOOKUP(C976,customers!$A$1:$A$1001,customers!$I$1:$I$1001,,0)</f>
        <v>Yes</v>
      </c>
    </row>
    <row r="977" spans="1:20"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INDEX(products!$A$1:$I$49,MATCH(orders!$D977,products!$A$1:$A$49,0),MATCH(orders!I$1,products!$A$1:$D$1,0))</f>
        <v>Ara</v>
      </c>
      <c r="J977" t="str">
        <f t="shared" si="90"/>
        <v>Arabica</v>
      </c>
      <c r="K977" t="str">
        <f>INDEX(products!$A$1:$I$49,MATCH(orders!$D977,products!$A$1:$A$49,0),MATCH(orders!K$1,products!$A$1:$D$1,0))</f>
        <v>D</v>
      </c>
      <c r="L977" t="str">
        <f t="shared" si="91"/>
        <v>Dark</v>
      </c>
      <c r="M977">
        <f>INDEX(products!$A$1:$I$49,MATCH(orders!$D977,products!$A$1:$A$49,0),MATCH(orders!M$1,products!$A$1:$D$1,0))</f>
        <v>0.2</v>
      </c>
      <c r="N977">
        <f>_xlfn.XLOOKUP(D977,products!$A$2:$A$49,products!$E$2:$E$49)</f>
        <v>2.9849999999999999</v>
      </c>
      <c r="O977">
        <f>_xlfn.XLOOKUP(D977,products!$A$2:$A$49,products!$H$2:$H$49)</f>
        <v>2.7163499999999998</v>
      </c>
      <c r="P977">
        <f t="shared" si="92"/>
        <v>8.9550000000000001</v>
      </c>
      <c r="Q977">
        <f t="shared" si="93"/>
        <v>8.149049999999999</v>
      </c>
      <c r="R977">
        <f t="shared" si="94"/>
        <v>0.80595000000000105</v>
      </c>
      <c r="S977" s="4">
        <f t="shared" si="95"/>
        <v>9.0000000000000122E-2</v>
      </c>
      <c r="T977" t="str">
        <f>_xlfn.XLOOKUP(C977,customers!$A$1:$A$1001,customers!$I$1:$I$1001,,0)</f>
        <v>Yes</v>
      </c>
    </row>
    <row r="978" spans="1:20"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INDEX(products!$A$1:$I$49,MATCH(orders!$D978,products!$A$1:$A$49,0),MATCH(orders!I$1,products!$A$1:$D$1,0))</f>
        <v>Rob</v>
      </c>
      <c r="J978" t="str">
        <f t="shared" si="90"/>
        <v>Robusta</v>
      </c>
      <c r="K978" t="str">
        <f>INDEX(products!$A$1:$I$49,MATCH(orders!$D978,products!$A$1:$A$49,0),MATCH(orders!K$1,products!$A$1:$D$1,0))</f>
        <v>L</v>
      </c>
      <c r="L978" t="str">
        <f t="shared" si="91"/>
        <v>Light</v>
      </c>
      <c r="M978">
        <f>INDEX(products!$A$1:$I$49,MATCH(orders!$D978,products!$A$1:$A$49,0),MATCH(orders!M$1,products!$A$1:$D$1,0))</f>
        <v>2.5</v>
      </c>
      <c r="N978">
        <f>_xlfn.XLOOKUP(D978,products!$A$2:$A$49,products!$E$2:$E$49)</f>
        <v>27.484999999999996</v>
      </c>
      <c r="O978">
        <f>_xlfn.XLOOKUP(D978,products!$A$2:$A$49,products!$H$2:$H$49)</f>
        <v>25.835899999999995</v>
      </c>
      <c r="P978">
        <f t="shared" si="92"/>
        <v>137.42499999999998</v>
      </c>
      <c r="Q978">
        <f t="shared" si="93"/>
        <v>129.17949999999996</v>
      </c>
      <c r="R978">
        <f t="shared" si="94"/>
        <v>8.2455000000000211</v>
      </c>
      <c r="S978" s="4">
        <f t="shared" si="95"/>
        <v>6.0000000000000164E-2</v>
      </c>
      <c r="T978" t="str">
        <f>_xlfn.XLOOKUP(C978,customers!$A$1:$A$1001,customers!$I$1:$I$1001,,0)</f>
        <v>Yes</v>
      </c>
    </row>
    <row r="979" spans="1:20"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INDEX(products!$A$1:$I$49,MATCH(orders!$D979,products!$A$1:$A$49,0),MATCH(orders!I$1,products!$A$1:$D$1,0))</f>
        <v>Rob</v>
      </c>
      <c r="J979" t="str">
        <f t="shared" si="90"/>
        <v>Robusta</v>
      </c>
      <c r="K979" t="str">
        <f>INDEX(products!$A$1:$I$49,MATCH(orders!$D979,products!$A$1:$A$49,0),MATCH(orders!K$1,products!$A$1:$D$1,0))</f>
        <v>L</v>
      </c>
      <c r="L979" t="str">
        <f t="shared" si="91"/>
        <v>Light</v>
      </c>
      <c r="M979">
        <f>INDEX(products!$A$1:$I$49,MATCH(orders!$D979,products!$A$1:$A$49,0),MATCH(orders!M$1,products!$A$1:$D$1,0))</f>
        <v>1</v>
      </c>
      <c r="N979">
        <f>_xlfn.XLOOKUP(D979,products!$A$2:$A$49,products!$E$2:$E$49)</f>
        <v>11.95</v>
      </c>
      <c r="O979">
        <f>_xlfn.XLOOKUP(D979,products!$A$2:$A$49,products!$H$2:$H$49)</f>
        <v>11.232999999999999</v>
      </c>
      <c r="P979">
        <f t="shared" si="92"/>
        <v>59.75</v>
      </c>
      <c r="Q979">
        <f t="shared" si="93"/>
        <v>56.164999999999992</v>
      </c>
      <c r="R979">
        <f t="shared" si="94"/>
        <v>3.585000000000008</v>
      </c>
      <c r="S979" s="4">
        <f t="shared" si="95"/>
        <v>6.0000000000000137E-2</v>
      </c>
      <c r="T979" t="str">
        <f>_xlfn.XLOOKUP(C979,customers!$A$1:$A$1001,customers!$I$1:$I$1001,,0)</f>
        <v>No</v>
      </c>
    </row>
    <row r="980" spans="1:20"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INDEX(products!$A$1:$I$49,MATCH(orders!$D980,products!$A$1:$A$49,0),MATCH(orders!I$1,products!$A$1:$D$1,0))</f>
        <v>Ara</v>
      </c>
      <c r="J980" t="str">
        <f t="shared" si="90"/>
        <v>Arabica</v>
      </c>
      <c r="K980" t="str">
        <f>INDEX(products!$A$1:$I$49,MATCH(orders!$D980,products!$A$1:$A$49,0),MATCH(orders!K$1,products!$A$1:$D$1,0))</f>
        <v>L</v>
      </c>
      <c r="L980" t="str">
        <f t="shared" si="91"/>
        <v>Light</v>
      </c>
      <c r="M980">
        <f>INDEX(products!$A$1:$I$49,MATCH(orders!$D980,products!$A$1:$A$49,0),MATCH(orders!M$1,products!$A$1:$D$1,0))</f>
        <v>0.5</v>
      </c>
      <c r="N980">
        <f>_xlfn.XLOOKUP(D980,products!$A$2:$A$49,products!$E$2:$E$49)</f>
        <v>7.77</v>
      </c>
      <c r="O980">
        <f>_xlfn.XLOOKUP(D980,products!$A$2:$A$49,products!$H$2:$H$49)</f>
        <v>7.0706999999999995</v>
      </c>
      <c r="P980">
        <f t="shared" si="92"/>
        <v>23.31</v>
      </c>
      <c r="Q980">
        <f t="shared" si="93"/>
        <v>21.2121</v>
      </c>
      <c r="R980">
        <f t="shared" si="94"/>
        <v>2.0978999999999992</v>
      </c>
      <c r="S980" s="4">
        <f t="shared" si="95"/>
        <v>8.9999999999999969E-2</v>
      </c>
      <c r="T980" t="str">
        <f>_xlfn.XLOOKUP(C980,customers!$A$1:$A$1001,customers!$I$1:$I$1001,,0)</f>
        <v>No</v>
      </c>
    </row>
    <row r="981" spans="1:20"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v>
      </c>
      <c r="H981" s="2" t="str">
        <f>_xlfn.XLOOKUP(C981,customers!$A$1:$A$1001,customers!$G$1:$G$1001,,0)</f>
        <v>United States</v>
      </c>
      <c r="I981" t="str">
        <f>INDEX(products!$A$1:$I$49,MATCH(orders!$D981,products!$A$1:$A$49,0),MATCH(orders!I$1,products!$A$1:$D$1,0))</f>
        <v>Rob</v>
      </c>
      <c r="J981" t="str">
        <f t="shared" si="90"/>
        <v>Robusta</v>
      </c>
      <c r="K981" t="str">
        <f>INDEX(products!$A$1:$I$49,MATCH(orders!$D981,products!$A$1:$A$49,0),MATCH(orders!K$1,products!$A$1:$D$1,0))</f>
        <v>D</v>
      </c>
      <c r="L981" t="str">
        <f t="shared" si="91"/>
        <v>Dark</v>
      </c>
      <c r="M981">
        <f>INDEX(products!$A$1:$I$49,MATCH(orders!$D981,products!$A$1:$A$49,0),MATCH(orders!M$1,products!$A$1:$D$1,0))</f>
        <v>0.5</v>
      </c>
      <c r="N981">
        <f>_xlfn.XLOOKUP(D981,products!$A$2:$A$49,products!$E$2:$E$49)</f>
        <v>5.3699999999999992</v>
      </c>
      <c r="O981">
        <f>_xlfn.XLOOKUP(D981,products!$A$2:$A$49,products!$H$2:$H$49)</f>
        <v>5.0477999999999996</v>
      </c>
      <c r="P981">
        <f t="shared" si="92"/>
        <v>10.739999999999998</v>
      </c>
      <c r="Q981">
        <f t="shared" si="93"/>
        <v>10.095599999999999</v>
      </c>
      <c r="R981">
        <f t="shared" si="94"/>
        <v>0.6443999999999992</v>
      </c>
      <c r="S981" s="4">
        <f t="shared" si="95"/>
        <v>5.9999999999999935E-2</v>
      </c>
      <c r="T981" t="str">
        <f>_xlfn.XLOOKUP(C981,customers!$A$1:$A$1001,customers!$I$1:$I$1001,,0)</f>
        <v>No</v>
      </c>
    </row>
    <row r="982" spans="1:20"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v>
      </c>
      <c r="H982" s="2" t="str">
        <f>_xlfn.XLOOKUP(C982,customers!$A$1:$A$1001,customers!$G$1:$G$1001,,0)</f>
        <v>United States</v>
      </c>
      <c r="I982" t="str">
        <f>INDEX(products!$A$1:$I$49,MATCH(orders!$D982,products!$A$1:$A$49,0),MATCH(orders!I$1,products!$A$1:$D$1,0))</f>
        <v>Exc</v>
      </c>
      <c r="J982" t="str">
        <f t="shared" si="90"/>
        <v>Excelsa</v>
      </c>
      <c r="K982" t="str">
        <f>INDEX(products!$A$1:$I$49,MATCH(orders!$D982,products!$A$1:$A$49,0),MATCH(orders!K$1,products!$A$1:$D$1,0))</f>
        <v>D</v>
      </c>
      <c r="L982" t="str">
        <f t="shared" si="91"/>
        <v>Dark</v>
      </c>
      <c r="M982">
        <f>INDEX(products!$A$1:$I$49,MATCH(orders!$D982,products!$A$1:$A$49,0),MATCH(orders!M$1,products!$A$1:$D$1,0))</f>
        <v>2.5</v>
      </c>
      <c r="N982">
        <f>_xlfn.XLOOKUP(D982,products!$A$2:$A$49,products!$E$2:$E$49)</f>
        <v>27.945</v>
      </c>
      <c r="O982">
        <f>_xlfn.XLOOKUP(D982,products!$A$2:$A$49,products!$H$2:$H$49)</f>
        <v>24.87105</v>
      </c>
      <c r="P982">
        <f t="shared" si="92"/>
        <v>167.67000000000002</v>
      </c>
      <c r="Q982">
        <f t="shared" si="93"/>
        <v>149.22630000000001</v>
      </c>
      <c r="R982">
        <f t="shared" si="94"/>
        <v>18.443700000000007</v>
      </c>
      <c r="S982" s="4">
        <f t="shared" si="95"/>
        <v>0.11000000000000003</v>
      </c>
      <c r="T982" t="str">
        <f>_xlfn.XLOOKUP(C982,customers!$A$1:$A$1001,customers!$I$1:$I$1001,,0)</f>
        <v>Yes</v>
      </c>
    </row>
    <row r="983" spans="1:20"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INDEX(products!$A$1:$I$49,MATCH(orders!$D983,products!$A$1:$A$49,0),MATCH(orders!I$1,products!$A$1:$D$1,0))</f>
        <v>Exc</v>
      </c>
      <c r="J983" t="str">
        <f t="shared" si="90"/>
        <v>Excelsa</v>
      </c>
      <c r="K983" t="str">
        <f>INDEX(products!$A$1:$I$49,MATCH(orders!$D983,products!$A$1:$A$49,0),MATCH(orders!K$1,products!$A$1:$D$1,0))</f>
        <v>D</v>
      </c>
      <c r="L983" t="str">
        <f t="shared" si="91"/>
        <v>Dark</v>
      </c>
      <c r="M983">
        <f>INDEX(products!$A$1:$I$49,MATCH(orders!$D983,products!$A$1:$A$49,0),MATCH(orders!M$1,products!$A$1:$D$1,0))</f>
        <v>0.2</v>
      </c>
      <c r="N983">
        <f>_xlfn.XLOOKUP(D983,products!$A$2:$A$49,products!$E$2:$E$49)</f>
        <v>3.645</v>
      </c>
      <c r="O983">
        <f>_xlfn.XLOOKUP(D983,products!$A$2:$A$49,products!$H$2:$H$49)</f>
        <v>3.2440500000000001</v>
      </c>
      <c r="P983">
        <f t="shared" si="92"/>
        <v>21.87</v>
      </c>
      <c r="Q983">
        <f t="shared" si="93"/>
        <v>19.464300000000001</v>
      </c>
      <c r="R983">
        <f t="shared" si="94"/>
        <v>2.4056999999999995</v>
      </c>
      <c r="S983" s="4">
        <f t="shared" si="95"/>
        <v>0.10999999999999997</v>
      </c>
      <c r="T983" t="str">
        <f>_xlfn.XLOOKUP(C983,customers!$A$1:$A$1001,customers!$I$1:$I$1001,,0)</f>
        <v>Yes</v>
      </c>
    </row>
    <row r="984" spans="1:20"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INDEX(products!$A$1:$I$49,MATCH(orders!$D984,products!$A$1:$A$49,0),MATCH(orders!I$1,products!$A$1:$D$1,0))</f>
        <v>Rob</v>
      </c>
      <c r="J984" t="str">
        <f t="shared" si="90"/>
        <v>Robusta</v>
      </c>
      <c r="K984" t="str">
        <f>INDEX(products!$A$1:$I$49,MATCH(orders!$D984,products!$A$1:$A$49,0),MATCH(orders!K$1,products!$A$1:$D$1,0))</f>
        <v>L</v>
      </c>
      <c r="L984" t="str">
        <f t="shared" si="91"/>
        <v>Light</v>
      </c>
      <c r="M984">
        <f>INDEX(products!$A$1:$I$49,MATCH(orders!$D984,products!$A$1:$A$49,0),MATCH(orders!M$1,products!$A$1:$D$1,0))</f>
        <v>1</v>
      </c>
      <c r="N984">
        <f>_xlfn.XLOOKUP(D984,products!$A$2:$A$49,products!$E$2:$E$49)</f>
        <v>11.95</v>
      </c>
      <c r="O984">
        <f>_xlfn.XLOOKUP(D984,products!$A$2:$A$49,products!$H$2:$H$49)</f>
        <v>11.232999999999999</v>
      </c>
      <c r="P984">
        <f t="shared" si="92"/>
        <v>23.9</v>
      </c>
      <c r="Q984">
        <f t="shared" si="93"/>
        <v>22.465999999999998</v>
      </c>
      <c r="R984">
        <f t="shared" si="94"/>
        <v>1.4340000000000011</v>
      </c>
      <c r="S984" s="4">
        <f t="shared" si="95"/>
        <v>6.0000000000000046E-2</v>
      </c>
      <c r="T984" t="str">
        <f>_xlfn.XLOOKUP(C984,customers!$A$1:$A$1001,customers!$I$1:$I$1001,,0)</f>
        <v>Yes</v>
      </c>
    </row>
    <row r="985" spans="1:20"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INDEX(products!$A$1:$I$49,MATCH(orders!$D985,products!$A$1:$A$49,0),MATCH(orders!I$1,products!$A$1:$D$1,0))</f>
        <v>Ara</v>
      </c>
      <c r="J985" t="str">
        <f t="shared" si="90"/>
        <v>Arabica</v>
      </c>
      <c r="K985" t="str">
        <f>INDEX(products!$A$1:$I$49,MATCH(orders!$D985,products!$A$1:$A$49,0),MATCH(orders!K$1,products!$A$1:$D$1,0))</f>
        <v>M</v>
      </c>
      <c r="L985" t="str">
        <f t="shared" si="91"/>
        <v>Medium</v>
      </c>
      <c r="M985">
        <f>INDEX(products!$A$1:$I$49,MATCH(orders!$D985,products!$A$1:$A$49,0),MATCH(orders!M$1,products!$A$1:$D$1,0))</f>
        <v>0.2</v>
      </c>
      <c r="N985">
        <f>_xlfn.XLOOKUP(D985,products!$A$2:$A$49,products!$E$2:$E$49)</f>
        <v>3.375</v>
      </c>
      <c r="O985">
        <f>_xlfn.XLOOKUP(D985,products!$A$2:$A$49,products!$H$2:$H$49)</f>
        <v>3.07125</v>
      </c>
      <c r="P985">
        <f t="shared" si="92"/>
        <v>6.75</v>
      </c>
      <c r="Q985">
        <f t="shared" si="93"/>
        <v>6.1425000000000001</v>
      </c>
      <c r="R985">
        <f t="shared" si="94"/>
        <v>0.60749999999999993</v>
      </c>
      <c r="S985" s="4">
        <f t="shared" si="95"/>
        <v>8.9999999999999983E-2</v>
      </c>
      <c r="T985" t="str">
        <f>_xlfn.XLOOKUP(C985,customers!$A$1:$A$1001,customers!$I$1:$I$1001,,0)</f>
        <v>Yes</v>
      </c>
    </row>
    <row r="986" spans="1:20"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INDEX(products!$A$1:$I$49,MATCH(orders!$D986,products!$A$1:$A$49,0),MATCH(orders!I$1,products!$A$1:$D$1,0))</f>
        <v>Exc</v>
      </c>
      <c r="J986" t="str">
        <f t="shared" si="90"/>
        <v>Excelsa</v>
      </c>
      <c r="K986" t="str">
        <f>INDEX(products!$A$1:$I$49,MATCH(orders!$D986,products!$A$1:$A$49,0),MATCH(orders!K$1,products!$A$1:$D$1,0))</f>
        <v>M</v>
      </c>
      <c r="L986" t="str">
        <f t="shared" si="91"/>
        <v>Medium</v>
      </c>
      <c r="M986">
        <f>INDEX(products!$A$1:$I$49,MATCH(orders!$D986,products!$A$1:$A$49,0),MATCH(orders!M$1,products!$A$1:$D$1,0))</f>
        <v>2.5</v>
      </c>
      <c r="N986">
        <f>_xlfn.XLOOKUP(D986,products!$A$2:$A$49,products!$E$2:$E$49)</f>
        <v>31.624999999999996</v>
      </c>
      <c r="O986">
        <f>_xlfn.XLOOKUP(D986,products!$A$2:$A$49,products!$H$2:$H$49)</f>
        <v>28.146249999999995</v>
      </c>
      <c r="P986">
        <f t="shared" si="92"/>
        <v>31.624999999999996</v>
      </c>
      <c r="Q986">
        <f t="shared" si="93"/>
        <v>28.146249999999995</v>
      </c>
      <c r="R986">
        <f t="shared" si="94"/>
        <v>3.4787500000000016</v>
      </c>
      <c r="S986" s="4">
        <f t="shared" si="95"/>
        <v>0.11000000000000006</v>
      </c>
      <c r="T986" t="str">
        <f>_xlfn.XLOOKUP(C986,customers!$A$1:$A$1001,customers!$I$1:$I$1001,,0)</f>
        <v>Yes</v>
      </c>
    </row>
    <row r="987" spans="1:20"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INDEX(products!$A$1:$I$49,MATCH(orders!$D987,products!$A$1:$A$49,0),MATCH(orders!I$1,products!$A$1:$D$1,0))</f>
        <v>Rob</v>
      </c>
      <c r="J987" t="str">
        <f t="shared" si="90"/>
        <v>Robusta</v>
      </c>
      <c r="K987" t="str">
        <f>INDEX(products!$A$1:$I$49,MATCH(orders!$D987,products!$A$1:$A$49,0),MATCH(orders!K$1,products!$A$1:$D$1,0))</f>
        <v>L</v>
      </c>
      <c r="L987" t="str">
        <f t="shared" si="91"/>
        <v>Light</v>
      </c>
      <c r="M987">
        <f>INDEX(products!$A$1:$I$49,MATCH(orders!$D987,products!$A$1:$A$49,0),MATCH(orders!M$1,products!$A$1:$D$1,0))</f>
        <v>1</v>
      </c>
      <c r="N987">
        <f>_xlfn.XLOOKUP(D987,products!$A$2:$A$49,products!$E$2:$E$49)</f>
        <v>11.95</v>
      </c>
      <c r="O987">
        <f>_xlfn.XLOOKUP(D987,products!$A$2:$A$49,products!$H$2:$H$49)</f>
        <v>11.232999999999999</v>
      </c>
      <c r="P987">
        <f t="shared" si="92"/>
        <v>47.8</v>
      </c>
      <c r="Q987">
        <f t="shared" si="93"/>
        <v>44.931999999999995</v>
      </c>
      <c r="R987">
        <f t="shared" si="94"/>
        <v>2.8680000000000021</v>
      </c>
      <c r="S987" s="4">
        <f t="shared" si="95"/>
        <v>6.0000000000000046E-2</v>
      </c>
      <c r="T987" t="str">
        <f>_xlfn.XLOOKUP(C987,customers!$A$1:$A$1001,customers!$I$1:$I$1001,,0)</f>
        <v>No</v>
      </c>
    </row>
    <row r="988" spans="1:20"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INDEX(products!$A$1:$I$49,MATCH(orders!$D988,products!$A$1:$A$49,0),MATCH(orders!I$1,products!$A$1:$D$1,0))</f>
        <v>Lib</v>
      </c>
      <c r="J988" t="str">
        <f t="shared" si="90"/>
        <v>Liberica</v>
      </c>
      <c r="K988" t="str">
        <f>INDEX(products!$A$1:$I$49,MATCH(orders!$D988,products!$A$1:$A$49,0),MATCH(orders!K$1,products!$A$1:$D$1,0))</f>
        <v>M</v>
      </c>
      <c r="L988" t="str">
        <f t="shared" si="91"/>
        <v>Medium</v>
      </c>
      <c r="M988">
        <f>INDEX(products!$A$1:$I$49,MATCH(orders!$D988,products!$A$1:$A$49,0),MATCH(orders!M$1,products!$A$1:$D$1,0))</f>
        <v>2.5</v>
      </c>
      <c r="N988">
        <f>_xlfn.XLOOKUP(D988,products!$A$2:$A$49,products!$E$2:$E$49)</f>
        <v>33.464999999999996</v>
      </c>
      <c r="O988">
        <f>_xlfn.XLOOKUP(D988,products!$A$2:$A$49,products!$H$2:$H$49)</f>
        <v>29.114549999999998</v>
      </c>
      <c r="P988">
        <f t="shared" si="92"/>
        <v>33.464999999999996</v>
      </c>
      <c r="Q988">
        <f t="shared" si="93"/>
        <v>29.114549999999998</v>
      </c>
      <c r="R988">
        <f t="shared" si="94"/>
        <v>4.3504499999999986</v>
      </c>
      <c r="S988" s="4">
        <f t="shared" si="95"/>
        <v>0.12999999999999998</v>
      </c>
      <c r="T988" t="str">
        <f>_xlfn.XLOOKUP(C988,customers!$A$1:$A$1001,customers!$I$1:$I$1001,,0)</f>
        <v>No</v>
      </c>
    </row>
    <row r="989" spans="1:20"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INDEX(products!$A$1:$I$49,MATCH(orders!$D989,products!$A$1:$A$49,0),MATCH(orders!I$1,products!$A$1:$D$1,0))</f>
        <v>Ara</v>
      </c>
      <c r="J989" t="str">
        <f t="shared" si="90"/>
        <v>Arabica</v>
      </c>
      <c r="K989" t="str">
        <f>INDEX(products!$A$1:$I$49,MATCH(orders!$D989,products!$A$1:$A$49,0),MATCH(orders!K$1,products!$A$1:$D$1,0))</f>
        <v>D</v>
      </c>
      <c r="L989" t="str">
        <f t="shared" si="91"/>
        <v>Dark</v>
      </c>
      <c r="M989">
        <f>INDEX(products!$A$1:$I$49,MATCH(orders!$D989,products!$A$1:$A$49,0),MATCH(orders!M$1,products!$A$1:$D$1,0))</f>
        <v>0.5</v>
      </c>
      <c r="N989">
        <f>_xlfn.XLOOKUP(D989,products!$A$2:$A$49,products!$E$2:$E$49)</f>
        <v>5.97</v>
      </c>
      <c r="O989">
        <f>_xlfn.XLOOKUP(D989,products!$A$2:$A$49,products!$H$2:$H$49)</f>
        <v>5.4326999999999996</v>
      </c>
      <c r="P989">
        <f t="shared" si="92"/>
        <v>29.849999999999998</v>
      </c>
      <c r="Q989">
        <f t="shared" si="93"/>
        <v>27.163499999999999</v>
      </c>
      <c r="R989">
        <f t="shared" si="94"/>
        <v>2.6864999999999988</v>
      </c>
      <c r="S989" s="4">
        <f t="shared" si="95"/>
        <v>8.9999999999999969E-2</v>
      </c>
      <c r="T989" t="str">
        <f>_xlfn.XLOOKUP(C989,customers!$A$1:$A$1001,customers!$I$1:$I$1001,,0)</f>
        <v>Yes</v>
      </c>
    </row>
    <row r="990" spans="1:20"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v>
      </c>
      <c r="H990" s="2" t="str">
        <f>_xlfn.XLOOKUP(C990,customers!$A$1:$A$1001,customers!$G$1:$G$1001,,0)</f>
        <v>United Kingdom</v>
      </c>
      <c r="I990" t="str">
        <f>INDEX(products!$A$1:$I$49,MATCH(orders!$D990,products!$A$1:$A$49,0),MATCH(orders!I$1,products!$A$1:$D$1,0))</f>
        <v>Rob</v>
      </c>
      <c r="J990" t="str">
        <f t="shared" si="90"/>
        <v>Robusta</v>
      </c>
      <c r="K990" t="str">
        <f>INDEX(products!$A$1:$I$49,MATCH(orders!$D990,products!$A$1:$A$49,0),MATCH(orders!K$1,products!$A$1:$D$1,0))</f>
        <v>M</v>
      </c>
      <c r="L990" t="str">
        <f t="shared" si="91"/>
        <v>Medium</v>
      </c>
      <c r="M990">
        <f>INDEX(products!$A$1:$I$49,MATCH(orders!$D990,products!$A$1:$A$49,0),MATCH(orders!M$1,products!$A$1:$D$1,0))</f>
        <v>1</v>
      </c>
      <c r="N990">
        <f>_xlfn.XLOOKUP(D990,products!$A$2:$A$49,products!$E$2:$E$49)</f>
        <v>9.9499999999999993</v>
      </c>
      <c r="O990">
        <f>_xlfn.XLOOKUP(D990,products!$A$2:$A$49,products!$H$2:$H$49)</f>
        <v>9.3529999999999998</v>
      </c>
      <c r="P990">
        <f t="shared" si="92"/>
        <v>29.849999999999998</v>
      </c>
      <c r="Q990">
        <f t="shared" si="93"/>
        <v>28.058999999999997</v>
      </c>
      <c r="R990">
        <f t="shared" si="94"/>
        <v>1.7910000000000004</v>
      </c>
      <c r="S990" s="4">
        <f t="shared" si="95"/>
        <v>6.0000000000000019E-2</v>
      </c>
      <c r="T990" t="str">
        <f>_xlfn.XLOOKUP(C990,customers!$A$1:$A$1001,customers!$I$1:$I$1001,,0)</f>
        <v>Yes</v>
      </c>
    </row>
    <row r="991" spans="1:20"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v>
      </c>
      <c r="H991" s="2" t="str">
        <f>_xlfn.XLOOKUP(C991,customers!$A$1:$A$1001,customers!$G$1:$G$1001,,0)</f>
        <v>United States</v>
      </c>
      <c r="I991" t="str">
        <f>INDEX(products!$A$1:$I$49,MATCH(orders!$D991,products!$A$1:$A$49,0),MATCH(orders!I$1,products!$A$1:$D$1,0))</f>
        <v>Ara</v>
      </c>
      <c r="J991" t="str">
        <f t="shared" si="90"/>
        <v>Arabica</v>
      </c>
      <c r="K991" t="str">
        <f>INDEX(products!$A$1:$I$49,MATCH(orders!$D991,products!$A$1:$A$49,0),MATCH(orders!K$1,products!$A$1:$D$1,0))</f>
        <v>M</v>
      </c>
      <c r="L991" t="str">
        <f t="shared" si="91"/>
        <v>Medium</v>
      </c>
      <c r="M991">
        <f>INDEX(products!$A$1:$I$49,MATCH(orders!$D991,products!$A$1:$A$49,0),MATCH(orders!M$1,products!$A$1:$D$1,0))</f>
        <v>2.5</v>
      </c>
      <c r="N991">
        <f>_xlfn.XLOOKUP(D991,products!$A$2:$A$49,products!$E$2:$E$49)</f>
        <v>25.874999999999996</v>
      </c>
      <c r="O991">
        <f>_xlfn.XLOOKUP(D991,products!$A$2:$A$49,products!$H$2:$H$49)</f>
        <v>23.546249999999997</v>
      </c>
      <c r="P991">
        <f t="shared" si="92"/>
        <v>155.24999999999997</v>
      </c>
      <c r="Q991">
        <f t="shared" si="93"/>
        <v>141.27749999999997</v>
      </c>
      <c r="R991">
        <f t="shared" si="94"/>
        <v>13.972499999999997</v>
      </c>
      <c r="S991" s="4">
        <f t="shared" si="95"/>
        <v>0.09</v>
      </c>
      <c r="T991" t="str">
        <f>_xlfn.XLOOKUP(C991,customers!$A$1:$A$1001,customers!$I$1:$I$1001,,0)</f>
        <v>Yes</v>
      </c>
    </row>
    <row r="992" spans="1:20"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v>
      </c>
      <c r="H992" s="2" t="str">
        <f>_xlfn.XLOOKUP(C992,customers!$A$1:$A$1001,customers!$G$1:$G$1001,,0)</f>
        <v>United States</v>
      </c>
      <c r="I992" t="str">
        <f>INDEX(products!$A$1:$I$49,MATCH(orders!$D992,products!$A$1:$A$49,0),MATCH(orders!I$1,products!$A$1:$D$1,0))</f>
        <v>Exc</v>
      </c>
      <c r="J992" t="str">
        <f t="shared" si="90"/>
        <v>Excelsa</v>
      </c>
      <c r="K992" t="str">
        <f>INDEX(products!$A$1:$I$49,MATCH(orders!$D992,products!$A$1:$A$49,0),MATCH(orders!K$1,products!$A$1:$D$1,0))</f>
        <v>D</v>
      </c>
      <c r="L992" t="str">
        <f t="shared" si="91"/>
        <v>Dark</v>
      </c>
      <c r="M992">
        <f>INDEX(products!$A$1:$I$49,MATCH(orders!$D992,products!$A$1:$A$49,0),MATCH(orders!M$1,products!$A$1:$D$1,0))</f>
        <v>0.2</v>
      </c>
      <c r="N992">
        <f>_xlfn.XLOOKUP(D992,products!$A$2:$A$49,products!$E$2:$E$49)</f>
        <v>3.645</v>
      </c>
      <c r="O992">
        <f>_xlfn.XLOOKUP(D992,products!$A$2:$A$49,products!$H$2:$H$49)</f>
        <v>3.2440500000000001</v>
      </c>
      <c r="P992">
        <f t="shared" si="92"/>
        <v>18.225000000000001</v>
      </c>
      <c r="Q992">
        <f t="shared" si="93"/>
        <v>16.22025</v>
      </c>
      <c r="R992">
        <f t="shared" si="94"/>
        <v>2.0047500000000014</v>
      </c>
      <c r="S992" s="4">
        <f t="shared" si="95"/>
        <v>0.11000000000000007</v>
      </c>
      <c r="T992" t="str">
        <f>_xlfn.XLOOKUP(C992,customers!$A$1:$A$1001,customers!$I$1:$I$1001,,0)</f>
        <v>No</v>
      </c>
    </row>
    <row r="993" spans="1:20"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v>
      </c>
      <c r="H993" s="2" t="str">
        <f>_xlfn.XLOOKUP(C993,customers!$A$1:$A$1001,customers!$G$1:$G$1001,,0)</f>
        <v>United States</v>
      </c>
      <c r="I993" t="str">
        <f>INDEX(products!$A$1:$I$49,MATCH(orders!$D993,products!$A$1:$A$49,0),MATCH(orders!I$1,products!$A$1:$D$1,0))</f>
        <v>Lib</v>
      </c>
      <c r="J993" t="str">
        <f t="shared" si="90"/>
        <v>Liberica</v>
      </c>
      <c r="K993" t="str">
        <f>INDEX(products!$A$1:$I$49,MATCH(orders!$D993,products!$A$1:$A$49,0),MATCH(orders!K$1,products!$A$1:$D$1,0))</f>
        <v>D</v>
      </c>
      <c r="L993" t="str">
        <f t="shared" si="91"/>
        <v>Dark</v>
      </c>
      <c r="M993">
        <f>INDEX(products!$A$1:$I$49,MATCH(orders!$D993,products!$A$1:$A$49,0),MATCH(orders!M$1,products!$A$1:$D$1,0))</f>
        <v>0.5</v>
      </c>
      <c r="N993">
        <f>_xlfn.XLOOKUP(D993,products!$A$2:$A$49,products!$E$2:$E$49)</f>
        <v>7.77</v>
      </c>
      <c r="O993">
        <f>_xlfn.XLOOKUP(D993,products!$A$2:$A$49,products!$H$2:$H$49)</f>
        <v>6.7599</v>
      </c>
      <c r="P993">
        <f t="shared" si="92"/>
        <v>15.54</v>
      </c>
      <c r="Q993">
        <f t="shared" si="93"/>
        <v>13.5198</v>
      </c>
      <c r="R993">
        <f t="shared" si="94"/>
        <v>2.0201999999999991</v>
      </c>
      <c r="S993" s="4">
        <f t="shared" si="95"/>
        <v>0.12999999999999995</v>
      </c>
      <c r="T993" t="str">
        <f>_xlfn.XLOOKUP(C993,customers!$A$1:$A$1001,customers!$I$1:$I$1001,,0)</f>
        <v>No</v>
      </c>
    </row>
    <row r="994" spans="1:20"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v>
      </c>
      <c r="H994" s="2" t="str">
        <f>_xlfn.XLOOKUP(C994,customers!$A$1:$A$1001,customers!$G$1:$G$1001,,0)</f>
        <v>Ireland</v>
      </c>
      <c r="I994" t="str">
        <f>INDEX(products!$A$1:$I$49,MATCH(orders!$D994,products!$A$1:$A$49,0),MATCH(orders!I$1,products!$A$1:$D$1,0))</f>
        <v>Lib</v>
      </c>
      <c r="J994" t="str">
        <f t="shared" si="90"/>
        <v>Liberica</v>
      </c>
      <c r="K994" t="str">
        <f>INDEX(products!$A$1:$I$49,MATCH(orders!$D994,products!$A$1:$A$49,0),MATCH(orders!K$1,products!$A$1:$D$1,0))</f>
        <v>L</v>
      </c>
      <c r="L994" t="str">
        <f t="shared" si="91"/>
        <v>Light</v>
      </c>
      <c r="M994">
        <f>INDEX(products!$A$1:$I$49,MATCH(orders!$D994,products!$A$1:$A$49,0),MATCH(orders!M$1,products!$A$1:$D$1,0))</f>
        <v>2.5</v>
      </c>
      <c r="N994">
        <f>_xlfn.XLOOKUP(D994,products!$A$2:$A$49,products!$E$2:$E$49)</f>
        <v>36.454999999999998</v>
      </c>
      <c r="O994">
        <f>_xlfn.XLOOKUP(D994,products!$A$2:$A$49,products!$H$2:$H$49)</f>
        <v>31.71585</v>
      </c>
      <c r="P994">
        <f t="shared" si="92"/>
        <v>109.36499999999999</v>
      </c>
      <c r="Q994">
        <f t="shared" si="93"/>
        <v>95.147549999999995</v>
      </c>
      <c r="R994">
        <f t="shared" si="94"/>
        <v>14.217449999999999</v>
      </c>
      <c r="S994" s="4">
        <f t="shared" si="95"/>
        <v>0.13</v>
      </c>
      <c r="T994" t="str">
        <f>_xlfn.XLOOKUP(C994,customers!$A$1:$A$1001,customers!$I$1:$I$1001,,0)</f>
        <v>No</v>
      </c>
    </row>
    <row r="995" spans="1:20"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v>
      </c>
      <c r="H995" s="2" t="str">
        <f>_xlfn.XLOOKUP(C995,customers!$A$1:$A$1001,customers!$G$1:$G$1001,,0)</f>
        <v>United States</v>
      </c>
      <c r="I995" t="str">
        <f>INDEX(products!$A$1:$I$49,MATCH(orders!$D995,products!$A$1:$A$49,0),MATCH(orders!I$1,products!$A$1:$D$1,0))</f>
        <v>Ara</v>
      </c>
      <c r="J995" t="str">
        <f t="shared" si="90"/>
        <v>Arabica</v>
      </c>
      <c r="K995" t="str">
        <f>INDEX(products!$A$1:$I$49,MATCH(orders!$D995,products!$A$1:$A$49,0),MATCH(orders!K$1,products!$A$1:$D$1,0))</f>
        <v>L</v>
      </c>
      <c r="L995" t="str">
        <f t="shared" si="91"/>
        <v>Light</v>
      </c>
      <c r="M995">
        <f>INDEX(products!$A$1:$I$49,MATCH(orders!$D995,products!$A$1:$A$49,0),MATCH(orders!M$1,products!$A$1:$D$1,0))</f>
        <v>1</v>
      </c>
      <c r="N995">
        <f>_xlfn.XLOOKUP(D995,products!$A$2:$A$49,products!$E$2:$E$49)</f>
        <v>12.95</v>
      </c>
      <c r="O995">
        <f>_xlfn.XLOOKUP(D995,products!$A$2:$A$49,products!$H$2:$H$49)</f>
        <v>11.7845</v>
      </c>
      <c r="P995">
        <f t="shared" si="92"/>
        <v>77.699999999999989</v>
      </c>
      <c r="Q995">
        <f t="shared" si="93"/>
        <v>70.706999999999994</v>
      </c>
      <c r="R995">
        <f t="shared" si="94"/>
        <v>6.992999999999995</v>
      </c>
      <c r="S995" s="4">
        <f t="shared" si="95"/>
        <v>8.9999999999999955E-2</v>
      </c>
      <c r="T995" t="str">
        <f>_xlfn.XLOOKUP(C995,customers!$A$1:$A$1001,customers!$I$1:$I$1001,,0)</f>
        <v>No</v>
      </c>
    </row>
    <row r="996" spans="1:20"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v>
      </c>
      <c r="H996" s="2" t="str">
        <f>_xlfn.XLOOKUP(C996,customers!$A$1:$A$1001,customers!$G$1:$G$1001,,0)</f>
        <v>Ireland</v>
      </c>
      <c r="I996" t="str">
        <f>INDEX(products!$A$1:$I$49,MATCH(orders!$D996,products!$A$1:$A$49,0),MATCH(orders!I$1,products!$A$1:$D$1,0))</f>
        <v>Ara</v>
      </c>
      <c r="J996" t="str">
        <f t="shared" si="90"/>
        <v>Arabica</v>
      </c>
      <c r="K996" t="str">
        <f>INDEX(products!$A$1:$I$49,MATCH(orders!$D996,products!$A$1:$A$49,0),MATCH(orders!K$1,products!$A$1:$D$1,0))</f>
        <v>D</v>
      </c>
      <c r="L996" t="str">
        <f t="shared" si="91"/>
        <v>Dark</v>
      </c>
      <c r="M996">
        <f>INDEX(products!$A$1:$I$49,MATCH(orders!$D996,products!$A$1:$A$49,0),MATCH(orders!M$1,products!$A$1:$D$1,0))</f>
        <v>0.2</v>
      </c>
      <c r="N996">
        <f>_xlfn.XLOOKUP(D996,products!$A$2:$A$49,products!$E$2:$E$49)</f>
        <v>2.9849999999999999</v>
      </c>
      <c r="O996">
        <f>_xlfn.XLOOKUP(D996,products!$A$2:$A$49,products!$H$2:$H$49)</f>
        <v>2.7163499999999998</v>
      </c>
      <c r="P996">
        <f t="shared" si="92"/>
        <v>8.9550000000000001</v>
      </c>
      <c r="Q996">
        <f t="shared" si="93"/>
        <v>8.149049999999999</v>
      </c>
      <c r="R996">
        <f t="shared" si="94"/>
        <v>0.80595000000000105</v>
      </c>
      <c r="S996" s="4">
        <f t="shared" si="95"/>
        <v>9.0000000000000122E-2</v>
      </c>
      <c r="T996" t="str">
        <f>_xlfn.XLOOKUP(C996,customers!$A$1:$A$1001,customers!$I$1:$I$1001,,0)</f>
        <v>No</v>
      </c>
    </row>
    <row r="997" spans="1:20"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INDEX(products!$A$1:$I$49,MATCH(orders!$D997,products!$A$1:$A$49,0),MATCH(orders!I$1,products!$A$1:$D$1,0))</f>
        <v>Rob</v>
      </c>
      <c r="J997" t="str">
        <f t="shared" si="90"/>
        <v>Robusta</v>
      </c>
      <c r="K997" t="str">
        <f>INDEX(products!$A$1:$I$49,MATCH(orders!$D997,products!$A$1:$A$49,0),MATCH(orders!K$1,products!$A$1:$D$1,0))</f>
        <v>L</v>
      </c>
      <c r="L997" t="str">
        <f t="shared" si="91"/>
        <v>Light</v>
      </c>
      <c r="M997">
        <f>INDEX(products!$A$1:$I$49,MATCH(orders!$D997,products!$A$1:$A$49,0),MATCH(orders!M$1,products!$A$1:$D$1,0))</f>
        <v>2.5</v>
      </c>
      <c r="N997">
        <f>_xlfn.XLOOKUP(D997,products!$A$2:$A$49,products!$E$2:$E$49)</f>
        <v>27.484999999999996</v>
      </c>
      <c r="O997">
        <f>_xlfn.XLOOKUP(D997,products!$A$2:$A$49,products!$H$2:$H$49)</f>
        <v>25.835899999999995</v>
      </c>
      <c r="P997">
        <f t="shared" si="92"/>
        <v>27.484999999999996</v>
      </c>
      <c r="Q997">
        <f t="shared" si="93"/>
        <v>25.835899999999995</v>
      </c>
      <c r="R997">
        <f t="shared" si="94"/>
        <v>1.6491000000000007</v>
      </c>
      <c r="S997" s="4">
        <f t="shared" si="95"/>
        <v>6.0000000000000032E-2</v>
      </c>
      <c r="T997" t="str">
        <f>_xlfn.XLOOKUP(C997,customers!$A$1:$A$1001,customers!$I$1:$I$1001,,0)</f>
        <v>No</v>
      </c>
    </row>
    <row r="998" spans="1:20"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v>
      </c>
      <c r="H998" s="2" t="str">
        <f>_xlfn.XLOOKUP(C998,customers!$A$1:$A$1001,customers!$G$1:$G$1001,,0)</f>
        <v>United States</v>
      </c>
      <c r="I998" t="str">
        <f>INDEX(products!$A$1:$I$49,MATCH(orders!$D998,products!$A$1:$A$49,0),MATCH(orders!I$1,products!$A$1:$D$1,0))</f>
        <v>Rob</v>
      </c>
      <c r="J998" t="str">
        <f t="shared" si="90"/>
        <v>Robusta</v>
      </c>
      <c r="K998" t="str">
        <f>INDEX(products!$A$1:$I$49,MATCH(orders!$D998,products!$A$1:$A$49,0),MATCH(orders!K$1,products!$A$1:$D$1,0))</f>
        <v>M</v>
      </c>
      <c r="L998" t="str">
        <f t="shared" si="91"/>
        <v>Medium</v>
      </c>
      <c r="M998">
        <f>INDEX(products!$A$1:$I$49,MATCH(orders!$D998,products!$A$1:$A$49,0),MATCH(orders!M$1,products!$A$1:$D$1,0))</f>
        <v>0.5</v>
      </c>
      <c r="N998">
        <f>_xlfn.XLOOKUP(D998,products!$A$2:$A$49,products!$E$2:$E$49)</f>
        <v>5.97</v>
      </c>
      <c r="O998">
        <f>_xlfn.XLOOKUP(D998,products!$A$2:$A$49,products!$H$2:$H$49)</f>
        <v>5.6117999999999997</v>
      </c>
      <c r="P998">
        <f t="shared" si="92"/>
        <v>29.849999999999998</v>
      </c>
      <c r="Q998">
        <f t="shared" si="93"/>
        <v>28.058999999999997</v>
      </c>
      <c r="R998">
        <f t="shared" si="94"/>
        <v>1.7910000000000004</v>
      </c>
      <c r="S998" s="4">
        <f t="shared" si="95"/>
        <v>6.0000000000000019E-2</v>
      </c>
      <c r="T998" t="str">
        <f>_xlfn.XLOOKUP(C998,customers!$A$1:$A$1001,customers!$I$1:$I$1001,,0)</f>
        <v>No</v>
      </c>
    </row>
    <row r="999" spans="1:20"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v>
      </c>
      <c r="H999" s="2" t="str">
        <f>_xlfn.XLOOKUP(C999,customers!$A$1:$A$1001,customers!$G$1:$G$1001,,0)</f>
        <v>United States</v>
      </c>
      <c r="I999" t="str">
        <f>INDEX(products!$A$1:$I$49,MATCH(orders!$D999,products!$A$1:$A$49,0),MATCH(orders!I$1,products!$A$1:$D$1,0))</f>
        <v>Ara</v>
      </c>
      <c r="J999" t="str">
        <f t="shared" si="90"/>
        <v>Arabica</v>
      </c>
      <c r="K999" t="str">
        <f>INDEX(products!$A$1:$I$49,MATCH(orders!$D999,products!$A$1:$A$49,0),MATCH(orders!K$1,products!$A$1:$D$1,0))</f>
        <v>M</v>
      </c>
      <c r="L999" t="str">
        <f t="shared" si="91"/>
        <v>Medium</v>
      </c>
      <c r="M999">
        <f>INDEX(products!$A$1:$I$49,MATCH(orders!$D999,products!$A$1:$A$49,0),MATCH(orders!M$1,products!$A$1:$D$1,0))</f>
        <v>0.5</v>
      </c>
      <c r="N999">
        <f>_xlfn.XLOOKUP(D999,products!$A$2:$A$49,products!$E$2:$E$49)</f>
        <v>6.75</v>
      </c>
      <c r="O999">
        <f>_xlfn.XLOOKUP(D999,products!$A$2:$A$49,products!$H$2:$H$49)</f>
        <v>6.1425000000000001</v>
      </c>
      <c r="P999">
        <f t="shared" si="92"/>
        <v>27</v>
      </c>
      <c r="Q999">
        <f t="shared" si="93"/>
        <v>24.57</v>
      </c>
      <c r="R999">
        <f t="shared" si="94"/>
        <v>2.4299999999999997</v>
      </c>
      <c r="S999" s="4">
        <f t="shared" si="95"/>
        <v>8.9999999999999983E-2</v>
      </c>
      <c r="T999" t="str">
        <f>_xlfn.XLOOKUP(C999,customers!$A$1:$A$1001,customers!$I$1:$I$1001,,0)</f>
        <v>No</v>
      </c>
    </row>
    <row r="1000" spans="1:20"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INDEX(products!$A$1:$I$49,MATCH(orders!$D1000,products!$A$1:$A$49,0),MATCH(orders!I$1,products!$A$1:$D$1,0))</f>
        <v>Ara</v>
      </c>
      <c r="J1000" t="str">
        <f t="shared" si="90"/>
        <v>Arabica</v>
      </c>
      <c r="K1000" t="str">
        <f>INDEX(products!$A$1:$I$49,MATCH(orders!$D1000,products!$A$1:$A$49,0),MATCH(orders!K$1,products!$A$1:$D$1,0))</f>
        <v>D</v>
      </c>
      <c r="L1000" t="str">
        <f t="shared" si="91"/>
        <v>Dark</v>
      </c>
      <c r="M1000">
        <f>INDEX(products!$A$1:$I$49,MATCH(orders!$D1000,products!$A$1:$A$49,0),MATCH(orders!M$1,products!$A$1:$D$1,0))</f>
        <v>1</v>
      </c>
      <c r="N1000">
        <f>_xlfn.XLOOKUP(D1000,products!$A$2:$A$49,products!$E$2:$E$49)</f>
        <v>9.9499999999999993</v>
      </c>
      <c r="O1000">
        <f>_xlfn.XLOOKUP(D1000,products!$A$2:$A$49,products!$H$2:$H$49)</f>
        <v>9.0544999999999991</v>
      </c>
      <c r="P1000">
        <f t="shared" si="92"/>
        <v>9.9499999999999993</v>
      </c>
      <c r="Q1000">
        <f t="shared" si="93"/>
        <v>9.0544999999999991</v>
      </c>
      <c r="R1000">
        <f t="shared" si="94"/>
        <v>0.89550000000000018</v>
      </c>
      <c r="S1000" s="4">
        <f t="shared" si="95"/>
        <v>9.0000000000000024E-2</v>
      </c>
      <c r="T1000" t="str">
        <f>_xlfn.XLOOKUP(C1000,customers!$A$1:$A$1001,customers!$I$1:$I$1001,,0)</f>
        <v>No</v>
      </c>
    </row>
    <row r="1001" spans="1:20"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v>
      </c>
      <c r="H1001" s="2" t="str">
        <f>_xlfn.XLOOKUP(C1001,customers!$A$1:$A$1001,customers!$G$1:$G$1001,,0)</f>
        <v>United Kingdom</v>
      </c>
      <c r="I1001" t="str">
        <f>INDEX(products!$A$1:$I$49,MATCH(orders!$D1001,products!$A$1:$A$49,0),MATCH(orders!I$1,products!$A$1:$D$1,0))</f>
        <v>Exc</v>
      </c>
      <c r="J1001" t="str">
        <f t="shared" si="90"/>
        <v>Excelsa</v>
      </c>
      <c r="K1001" t="str">
        <f>INDEX(products!$A$1:$I$49,MATCH(orders!$D1001,products!$A$1:$A$49,0),MATCH(orders!K$1,products!$A$1:$D$1,0))</f>
        <v>M</v>
      </c>
      <c r="L1001" t="str">
        <f t="shared" si="91"/>
        <v>Medium</v>
      </c>
      <c r="M1001">
        <f>INDEX(products!$A$1:$I$49,MATCH(orders!$D1001,products!$A$1:$A$49,0),MATCH(orders!M$1,products!$A$1:$D$1,0))</f>
        <v>0.2</v>
      </c>
      <c r="N1001">
        <f>_xlfn.XLOOKUP(D1001,products!$A$2:$A$49,products!$E$2:$E$49)</f>
        <v>4.125</v>
      </c>
      <c r="O1001">
        <f>_xlfn.XLOOKUP(D1001,products!$A$2:$A$49,products!$H$2:$H$49)</f>
        <v>3.6712500000000001</v>
      </c>
      <c r="P1001">
        <f t="shared" si="92"/>
        <v>12.375</v>
      </c>
      <c r="Q1001">
        <f t="shared" si="93"/>
        <v>11.01375</v>
      </c>
      <c r="R1001">
        <f t="shared" si="94"/>
        <v>1.3612500000000001</v>
      </c>
      <c r="S1001" s="4">
        <f t="shared" si="95"/>
        <v>0.11</v>
      </c>
      <c r="T1001" t="str">
        <f>_xlfn.XLOOKUP(C1001,customers!$A$1:$A$1001,customers!$I$1:$I$1001,,0)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FFFF00"/>
  </sheetPr>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T a b l e 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 C o l u m n s \ C o f f e e   f u l l n a m e < / K e y > < / D i a g r a m O b j e c t K e y > < D i a g r a m O b j e c t K e y > < K e y > C o l u m n s \ R o a s t   T y p e < / K e y > < / D i a g r a m O b j e c t K e y > < D i a g r a m O b j e c t K e y > < K e y > C o l u m n s \ R o a s t   T y p e   F u l l n a m e < / K e y > < / D i a g r a m O b j e c t K e y > < D i a g r a m O b j e c t K e y > < K e y > C o l u m n s \ S i z e < / K e y > < / D i a g r a m O b j e c t K e y > < D i a g r a m O b j e c t K e y > < K e y > C o l u m n s \ U n i t   P r i c e < / K e y > < / D i a g r a m O b j e c t K e y > < D i a g r a m O b j e c t K e y > < K e y > C o l u m n s \ C o s t   P r i c e < / K e y > < / D i a g r a m O b j e c t K e y > < D i a g r a m O b j e c t K e y > < K e y > C o l u m n s \ S a l e s < / K e y > < / D i a g r a m O b j e c t K e y > < D i a g r a m O b j e c t K e y > < K e y > C o l u m n s \ C O G s < / K e y > < / D i a g r a m O b j e c t K e y > < D i a g r a m O b j e c t K e y > < K e y > C o l u m n s \ P r o f i t < / K e y > < / D i a g r a m O b j e c t K e y > < D i a g r a m O b j e c t K e y > < K e y > C o l u m n s \ G r o s s   P r o f i t < / K e y > < / D i a g r a m O b j e c t K e y > < D i a g r a m O b j e c t K e y > < K e y > C o l u m n s \ L o y a l t y   C a r d < / 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 M e a s u r e s \ m e a s u r e   1 K P I < / K e y > < / D i a g r a m O b j e c t K e y > < D i a g r a m O b j e c t K e y > < K e y > M e a s u r e s \ m e a s u r e   1 K P I \ T a g I n f o \ F o r m u l a < / K e y > < / D i a g r a m O b j e c t K e y > < D i a g r a m O b j e c t K e y > < K e y > M e a s u r e s \ m e a s u r e   1 K P I \ T a g I n f o \ V a l u e 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 C o l u m n s \ C o f f e e   f u l l n a m e < / K e y > < / a : K e y > < a : V a l u e   i : t y p e = " M e a s u r e G r i d N o d e V i e w S t a t e " > < C o l u m n > 9 < / C o l u m n > < L a y e d O u t > t r u e < / L a y e d O u t > < / a : V a l u e > < / a : K e y V a l u e O f D i a g r a m O b j e c t K e y a n y T y p e z b w N T n L X > < a : K e y V a l u e O f D i a g r a m O b j e c t K e y a n y T y p e z b w N T n L X > < a : K e y > < K e y > C o l u m n s \ R o a s t   T y p e < / K e y > < / a : K e y > < a : V a l u e   i : t y p e = " M e a s u r e G r i d N o d e V i e w S t a t e " > < C o l u m n > 1 0 < / C o l u m n > < L a y e d O u t > t r u e < / L a y e d O u t > < / a : V a l u e > < / a : K e y V a l u e O f D i a g r a m O b j e c t K e y a n y T y p e z b w N T n L X > < a : K e y V a l u e O f D i a g r a m O b j e c t K e y a n y T y p e z b w N T n L X > < a : K e y > < K e y > C o l u m n s \ R o a s t   T y p e   F u l l n a m e < / K e y > < / a : K e y > < a : V a l u e   i : t y p e = " M e a s u r e G r i d N o d e V i e w S t a t e " > < C o l u m n > 1 1 < / C o l u m n > < L a y e d O u t > t r u e < / L a y e d O u t > < / a : V a l u e > < / a : K e y V a l u e O f D i a g r a m O b j e c t K e y a n y T y p e z b w N T n L X > < a : K e y V a l u e O f D i a g r a m O b j e c t K e y a n y T y p e z b w N T n L X > < a : K e y > < K e y > C o l u m n s \ S i z e < / K e y > < / a : K e y > < a : V a l u e   i : t y p e = " M e a s u r e G r i d N o d e V i e w S t a t e " > < C o l u m n > 1 2 < / C o l u m n > < L a y e d O u t > t r u e < / L a y e d O u t > < / a : V a l u e > < / a : K e y V a l u e O f D i a g r a m O b j e c t K e y a n y T y p e z b w N T n L X > < a : K e y V a l u e O f D i a g r a m O b j e c t K e y a n y T y p e z b w N T n L X > < a : K e y > < K e y > C o l u m n s \ U n i t   P r i c e < / K e y > < / a : K e y > < a : V a l u e   i : t y p e = " M e a s u r e G r i d N o d e V i e w S t a t e " > < C o l u m n > 1 3 < / C o l u m n > < L a y e d O u t > t r u e < / L a y e d O u t > < / a : V a l u e > < / a : K e y V a l u e O f D i a g r a m O b j e c t K e y a n y T y p e z b w N T n L X > < a : K e y V a l u e O f D i a g r a m O b j e c t K e y a n y T y p e z b w N T n L X > < a : K e y > < K e y > C o l u m n s \ C o s t   P r i c e < / 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 C o l u m n s \ C O G s < / K e y > < / a : K e y > < a : V a l u e   i : t y p e = " M e a s u r e G r i d N o d e V i e w S t a t e " > < C o l u m n > 1 6 < / C o l u m n > < L a y e d O u t > t r u e < / L a y e d O u t > < / a : V a l u e > < / a : K e y V a l u e O f D i a g r a m O b j e c t K e y a n y T y p e z b w N T n L X > < a : K e y V a l u e O f D i a g r a m O b j e c t K e y a n y T y p e z b w N T n L X > < a : K e y > < K e y > C o l u m n s \ P r o f i t < / K e y > < / a : K e y > < a : V a l u e   i : t y p e = " M e a s u r e G r i d N o d e V i e w S t a t e " > < C o l u m n > 1 7 < / C o l u m n > < L a y e d O u t > t r u e < / L a y e d O u t > < / a : V a l u e > < / a : K e y V a l u e O f D i a g r a m O b j e c t K e y a n y T y p e z b w N T n L X > < a : K e y V a l u e O f D i a g r a m O b j e c t K e y a n y T y p e z b w N T n L X > < a : K e y > < K e y > C o l u m n s \ G r o s s   P r o f i t < / K e y > < / a : K e y > < a : V a l u e   i : t y p e = " M e a s u r e G r i d N o d e V i e w S t a t e " > < C o l u m n > 1 8 < / C o l u m n > < L a y e d O u t > t r u e < / L a y e d O u t > < / a : V a l u e > < / a : K e y V a l u e O f D i a g r a m O b j e c t K e y a n y T y p e z b w N T n L X > < a : K e y V a l u e O f D i a g r a m O b j e c t K e y a n y T y p e z b w N T n L X > < a : K e y > < K e y > C o l u m n s \ L o y a l t y   C a r d < / K e y > < / a : K e y > < a : V a l u e   i : t y p e = " M e a s u r e G r i d N o d e V i e w S t a t e " > < C o l u m n > 1 9 < / C o l u m n > < L a y e d O u t > t r u e < / L a y e d O u t > < / a : V a l u e > < / a : K e y V a l u e O f D i a g r a m O b j e c t K e y a n y T y p e z b w N T n L X > < a : K e y V a l u e O f D i a g r a m O b j e c t K e y a n y T y p e z b w N T n L X > < a : K e y > < K e y > M e a s u r e s \ S u m   o f   S a l e s < / K e y > < / a : K e y > < a : V a l u e   i : t y p e = " M e a s u r e G r i d N o d e V i e w S t a t e " > < C o l u m n > 1 5 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 M e a s u r e s \ m e a s u r e   1 K P I < / K e y > < / a : K e y > < a : V a l u e   i : t y p e = " M e a s u r e G r i d N o d e V i e w S t a t e " > < L a y e d O u t > t r u e < / L a y e d O u t > < / a : V a l u e > < / a : K e y V a l u e O f D i a g r a m O b j e c t K e y a n y T y p e z b w N T n L X > < a : K e y V a l u e O f D i a g r a m O b j e c t K e y a n y T y p e z b w N T n L X > < a : K e y > < K e y > M e a s u r e s \ m e a s u r e   1 K P I \ T a g I n f o \ F o r m u l a < / K e y > < / a : K e y > < a : V a l u e   i : t y p e = " M e a s u r e G r i d V i e w S t a t e I D i a g r a m T a g A d d i t i o n a l I n f o " / > < / a : K e y V a l u e O f D i a g r a m O b j e c t K e y a n y T y p e z b w N T n L X > < a : K e y V a l u e O f D i a g r a m O b j e c t K e y a n y T y p e z b w N T n L X > < a : K e y > < K e y > M e a s u r e s \ m e a s u r e   1 K P I \ T a g I n f o \ V a l u e 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 C o l u m n s \ C o f f e e   f u l l n a m e 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 C o l u m n s \ R o a s t   T y p e   F u l l n a m e 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T a b l e 1 ] ] > < / C u s t o m C o n t e n t > < / G e m i n i > 
</file>

<file path=customXml/item17.xml>��< ? x m l   v e r s i o n = " 1 . 0 "   e n c o d i n g = " U T F - 1 6 " ? > < G e m i n i   x m l n s = " h t t p : / / g e m i n i / p i v o t c u s t o m i z a t i o n / P o w e r P i v o t V e r s i o n " > < C u s t o m C o n t e n t > < ! [ C D A T A [ 2 0 1 5 . 1 3 0 . 1 6 0 5 . 1 5 6 7 ] ] > < / 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 C u s t o m e r   N a m e < / s t r i n g > < / k e y > < v a l u e > < i n t > 1 4 5 < / i n t > < / v a l u e > < / i t e m > < i t e m > < k e y > < s t r i n g > E m a i l < / s t r i n g > < / k e y > < v a l u e > < i n t > 7 2 < / i n t > < / v a l u e > < / i t e m > < i t e m > < k e y > < s t r i n g > C o u n t r y < / s t r i n g > < / k e y > < v a l u e > < i n t > 8 7 < / i n t > < / v a l u e > < / i t e m > < i t e m > < k e y > < s t r i n g > C o f f e e   T y p e < / s t r i n g > < / k e y > < v a l u e > < i n t > 1 1 5 < / i n t > < / v a l u e > < / i t e m > < i t e m > < k e y > < s t r i n g > C o f f e e   f u l l n a m e < / s t r i n g > < / k e y > < v a l u e > < i n t > 1 3 8 < / i n t > < / v a l u e > < / i t e m > < i t e m > < k e y > < s t r i n g > R o a s t   T y p e < / s t r i n g > < / k e y > < v a l u e > < i n t > 1 1 1 < / i n t > < / v a l u e > < / i t e m > < i t e m > < k e y > < s t r i n g > R o a s t   T y p e   F u l l n a m e < / s t r i n g > < / k e y > < v a l u e > < i n t > 1 7 5 < / i n t > < / v a l u e > < / i t e m > < i t e m > < k e y > < s t r i n g > S i z e < / s t r i n g > < / k e y > < v a l u e > < i n t > 6 4 < / i n t > < / v a l u e > < / i t e m > < i t e m > < k e y > < s t r i n g > U n i t   P r i c e < / s t r i n g > < / k e y > < v a l u e > < i n t > 9 9 < / i n t > < / v a l u e > < / i t e m > < i t e m > < k e y > < s t r i n g > C o s t   P r i c e < / s t r i n g > < / k e y > < v a l u e > < i n t > 1 0 5 < / i n t > < / v a l u e > < / i t e m > < i t e m > < k e y > < s t r i n g > S a l e s < / s t r i n g > < / k e y > < v a l u e > < i n t > 7 2 < / i n t > < / v a l u e > < / i t e m > < i t e m > < k e y > < s t r i n g > C O G s < / s t r i n g > < / k e y > < v a l u e > < i n t > 7 8 < / i n t > < / v a l u e > < / i t e m > < i t e m > < k e y > < s t r i n g > P r o f i t < / s t r i n g > < / k e y > < v a l u e > < i n t > 7 0 < / i n t > < / v a l u e > < / i t e m > < i t e m > < k e y > < s t r i n g > G r o s s   P r o f i t < / s t r i n g > < / k e y > < v a l u e > < i n t > 1 1 6 < / i n t > < / v a l u e > < / i t e m > < i t e m > < k e y > < s t r i n g > L o y a l t y   C a r d < / s t r i n g > < / k e y > < v a l u e > < i n t > 1 1 7 < / 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 C o f f e e   f u l l n a m e < / s t r i n g > < / k e y > < v a l u e > < i n t > 9 < / i n t > < / v a l u e > < / i t e m > < i t e m > < k e y > < s t r i n g > R o a s t   T y p e < / s t r i n g > < / k e y > < v a l u e > < i n t > 1 0 < / i n t > < / v a l u e > < / i t e m > < i t e m > < k e y > < s t r i n g > R o a s t   T y p e   F u l l n a m e < / s t r i n g > < / k e y > < v a l u e > < i n t > 1 1 < / i n t > < / v a l u e > < / i t e m > < i t e m > < k e y > < s t r i n g > S i z e < / s t r i n g > < / k e y > < v a l u e > < i n t > 1 2 < / i n t > < / v a l u e > < / i t e m > < i t e m > < k e y > < s t r i n g > U n i t   P r i c e < / s t r i n g > < / k e y > < v a l u e > < i n t > 1 3 < / i n t > < / v a l u e > < / i t e m > < i t e m > < k e y > < s t r i n g > C o s t   P r i c e < / s t r i n g > < / k e y > < v a l u e > < i n t > 1 4 < / i n t > < / v a l u e > < / i t e m > < i t e m > < k e y > < s t r i n g > S a l e s < / s t r i n g > < / k e y > < v a l u e > < i n t > 1 5 < / i n t > < / v a l u e > < / i t e m > < i t e m > < k e y > < s t r i n g > C O G s < / s t r i n g > < / k e y > < v a l u e > < i n t > 1 6 < / i n t > < / v a l u e > < / i t e m > < i t e m > < k e y > < s t r i n g > P r o f i t < / s t r i n g > < / k e y > < v a l u e > < i n t > 1 7 < / i n t > < / v a l u e > < / i t e m > < i t e m > < k e y > < s t r i n g > G r o s s   P r o f i t < / s t r i n g > < / k e y > < v a l u e > < i n t > 1 8 < / i n t > < / v a l u e > < / i t e m > < i t e m > < k e y > < s t r i n g > L o y a l t y   C a r d < / 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 2 0 2 4 - 0 6 - 1 9 T 1 6 : 5 0 : 1 9 . 7 7 5 0 1 7 + 0 5 : 3 0 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4 3 4 2 1 7 e 9 - a 9 8 a - 4 5 7 2 - a 9 9 6 - f f 7 8 9 c a 6 0 c 2 c " > < C u s t o m C o n t e n t > < ! [ C D A T A [ < ? x m l   v e r s i o n = " 1 . 0 "   e n c o d i n g = " u t f - 1 6 " ? > < S e t t i n g s > < C a l c u l a t e d F i e l d s > < i t e m > < M e a s u r e N a m e > m e a s u r e   1 K P I < / M e a s u r e N a m e > < D i s p l a y N a m e > m e a s u r e   1 K P I < / D i s p l a y N a m e > < V i s i b l e > T r u e 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E66F893-4AFA-4C61-9538-A2BC49DC62D9}">
  <ds:schemaRefs/>
</ds:datastoreItem>
</file>

<file path=customXml/itemProps10.xml><?xml version="1.0" encoding="utf-8"?>
<ds:datastoreItem xmlns:ds="http://schemas.openxmlformats.org/officeDocument/2006/customXml" ds:itemID="{93A82D2E-2A34-48DE-B43E-6957CD3667C5}">
  <ds:schemaRefs/>
</ds:datastoreItem>
</file>

<file path=customXml/itemProps11.xml><?xml version="1.0" encoding="utf-8"?>
<ds:datastoreItem xmlns:ds="http://schemas.openxmlformats.org/officeDocument/2006/customXml" ds:itemID="{21105EA2-90CC-4F5E-A47E-91D423E8507D}">
  <ds:schemaRefs/>
</ds:datastoreItem>
</file>

<file path=customXml/itemProps12.xml><?xml version="1.0" encoding="utf-8"?>
<ds:datastoreItem xmlns:ds="http://schemas.openxmlformats.org/officeDocument/2006/customXml" ds:itemID="{8FB1A3BE-D566-4801-AB6D-FADA7B88E93F}">
  <ds:schemaRefs/>
</ds:datastoreItem>
</file>

<file path=customXml/itemProps13.xml><?xml version="1.0" encoding="utf-8"?>
<ds:datastoreItem xmlns:ds="http://schemas.openxmlformats.org/officeDocument/2006/customXml" ds:itemID="{22859B6C-CB2B-43C8-8808-D565C9B27519}">
  <ds:schemaRefs/>
</ds:datastoreItem>
</file>

<file path=customXml/itemProps14.xml><?xml version="1.0" encoding="utf-8"?>
<ds:datastoreItem xmlns:ds="http://schemas.openxmlformats.org/officeDocument/2006/customXml" ds:itemID="{7436B403-EA1F-4F0D-A149-D16F574C187A}">
  <ds:schemaRefs/>
</ds:datastoreItem>
</file>

<file path=customXml/itemProps15.xml><?xml version="1.0" encoding="utf-8"?>
<ds:datastoreItem xmlns:ds="http://schemas.openxmlformats.org/officeDocument/2006/customXml" ds:itemID="{30971D55-96EA-43B9-B628-06B28F752943}">
  <ds:schemaRefs/>
</ds:datastoreItem>
</file>

<file path=customXml/itemProps16.xml><?xml version="1.0" encoding="utf-8"?>
<ds:datastoreItem xmlns:ds="http://schemas.openxmlformats.org/officeDocument/2006/customXml" ds:itemID="{AFAEA0C8-28EF-4DEB-BE61-4767B464891D}">
  <ds:schemaRefs/>
</ds:datastoreItem>
</file>

<file path=customXml/itemProps17.xml><?xml version="1.0" encoding="utf-8"?>
<ds:datastoreItem xmlns:ds="http://schemas.openxmlformats.org/officeDocument/2006/customXml" ds:itemID="{FB1D0E5E-AA0A-4D18-900E-324976EBE2F9}">
  <ds:schemaRefs/>
</ds:datastoreItem>
</file>

<file path=customXml/itemProps2.xml><?xml version="1.0" encoding="utf-8"?>
<ds:datastoreItem xmlns:ds="http://schemas.openxmlformats.org/officeDocument/2006/customXml" ds:itemID="{0324E40D-7F4B-4CC6-8EE5-955F5D960959}">
  <ds:schemaRefs/>
</ds:datastoreItem>
</file>

<file path=customXml/itemProps3.xml><?xml version="1.0" encoding="utf-8"?>
<ds:datastoreItem xmlns:ds="http://schemas.openxmlformats.org/officeDocument/2006/customXml" ds:itemID="{13BC6359-937D-4034-BA4E-0BA38B07D888}">
  <ds:schemaRefs/>
</ds:datastoreItem>
</file>

<file path=customXml/itemProps4.xml><?xml version="1.0" encoding="utf-8"?>
<ds:datastoreItem xmlns:ds="http://schemas.openxmlformats.org/officeDocument/2006/customXml" ds:itemID="{DC3D7A73-53AF-46EF-A94A-6AFB53AF775A}">
  <ds:schemaRefs/>
</ds:datastoreItem>
</file>

<file path=customXml/itemProps5.xml><?xml version="1.0" encoding="utf-8"?>
<ds:datastoreItem xmlns:ds="http://schemas.openxmlformats.org/officeDocument/2006/customXml" ds:itemID="{61290F84-7769-4215-9D85-82873492D70A}">
  <ds:schemaRefs/>
</ds:datastoreItem>
</file>

<file path=customXml/itemProps6.xml><?xml version="1.0" encoding="utf-8"?>
<ds:datastoreItem xmlns:ds="http://schemas.openxmlformats.org/officeDocument/2006/customXml" ds:itemID="{ACF4E61F-BF18-486C-A34A-8F18580961A2}">
  <ds:schemaRefs/>
</ds:datastoreItem>
</file>

<file path=customXml/itemProps7.xml><?xml version="1.0" encoding="utf-8"?>
<ds:datastoreItem xmlns:ds="http://schemas.openxmlformats.org/officeDocument/2006/customXml" ds:itemID="{1D838B4D-34E5-4A06-A70C-BD0440F0D77F}">
  <ds:schemaRefs/>
</ds:datastoreItem>
</file>

<file path=customXml/itemProps8.xml><?xml version="1.0" encoding="utf-8"?>
<ds:datastoreItem xmlns:ds="http://schemas.openxmlformats.org/officeDocument/2006/customXml" ds:itemID="{883059D9-828D-43C4-AA9B-040AE699CF20}">
  <ds:schemaRefs/>
</ds:datastoreItem>
</file>

<file path=customXml/itemProps9.xml><?xml version="1.0" encoding="utf-8"?>
<ds:datastoreItem xmlns:ds="http://schemas.openxmlformats.org/officeDocument/2006/customXml" ds:itemID="{4FE64CF6-8658-4249-B5F1-2C68CBBBC6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Pivot Table</vt:lpstr>
      <vt:lpstr>Status</vt:lpstr>
      <vt:lpstr>Conditional Fomating</vt:lpstr>
      <vt:lpstr>DATA VALIDATION AND LOOKUP</vt:lpstr>
      <vt:lpstr>LoGo</vt:lpstr>
      <vt:lpstr>WireFrame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Sandeep Ray</cp:lastModifiedBy>
  <cp:revision/>
  <dcterms:created xsi:type="dcterms:W3CDTF">2022-11-26T09:51:45Z</dcterms:created>
  <dcterms:modified xsi:type="dcterms:W3CDTF">2024-07-11T10:36:17Z</dcterms:modified>
  <cp:category/>
  <cp:contentStatus/>
</cp:coreProperties>
</file>