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1.xml" ContentType="application/vnd.openxmlformats-officedocument.drawingml.chart+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9.xml" ContentType="application/vnd.ms-excel.slicer+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slicers/slicer10.xml" ContentType="application/vnd.ms-excel.slicer+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slicers/slicer11.xml" ContentType="application/vnd.ms-excel.slicer+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slicers/slicer12.xml" ContentType="application/vnd.ms-excel.slicer+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3.xml" ContentType="application/vnd.openxmlformats-officedocument.drawing+xml"/>
  <Override PartName="/xl/slicers/slicer13.xml" ContentType="application/vnd.ms-excel.slicer+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14.xml" ContentType="application/vnd.openxmlformats-officedocument.drawing+xml"/>
  <Override PartName="/xl/slicers/slicer14.xml" ContentType="application/vnd.ms-excel.slicer+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harts/chart47.xml" ContentType="application/vnd.openxmlformats-officedocument.drawingml.chart+xml"/>
  <Override PartName="/xl/charts/style46.xml" ContentType="application/vnd.ms-office.chartstyle+xml"/>
  <Override PartName="/xl/charts/colors46.xml" ContentType="application/vnd.ms-office.chartcolorstyle+xml"/>
  <Override PartName="/xl/charts/chart48.xml" ContentType="application/vnd.openxmlformats-officedocument.drawingml.chart+xml"/>
  <Override PartName="/xl/charts/style47.xml" ContentType="application/vnd.ms-office.chartstyle+xml"/>
  <Override PartName="/xl/charts/colors4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mc:AlternateContent xmlns:mc="http://schemas.openxmlformats.org/markup-compatibility/2006">
    <mc:Choice Requires="x15">
      <x15ac:absPath xmlns:x15ac="http://schemas.microsoft.com/office/spreadsheetml/2010/11/ac" url="https://d.docs.live.net/7fb09c299055c00e/Documents/Desktop/Project done/"/>
    </mc:Choice>
  </mc:AlternateContent>
  <xr:revisionPtr revIDLastSave="0" documentId="8_{DDF865B4-E255-4B56-994A-C72E382C73EF}" xr6:coauthVersionLast="47" xr6:coauthVersionMax="47" xr10:uidLastSave="{00000000-0000-0000-0000-000000000000}"/>
  <bookViews>
    <workbookView xWindow="-108" yWindow="-108" windowWidth="23256" windowHeight="12456" xr2:uid="{00000000-000D-0000-FFFF-FFFF00000000}"/>
  </bookViews>
  <sheets>
    <sheet name="IS" sheetId="25" r:id="rId1"/>
    <sheet name="BS" sheetId="28" r:id="rId2"/>
    <sheet name="CFS" sheetId="27" r:id="rId3"/>
    <sheet name="Profit &amp; Loss" sheetId="1" r:id="rId4"/>
    <sheet name="Quarters" sheetId="3" r:id="rId5"/>
    <sheet name="Balance Sheet" sheetId="2" r:id="rId6"/>
    <sheet name="Cash Flow" sheetId="4" state="hidden" r:id="rId7"/>
    <sheet name="Customization" sheetId="5" state="hidden" r:id="rId8"/>
    <sheet name="dashboard" sheetId="7" state="hidden" r:id="rId9"/>
    <sheet name="Data Sheet" sheetId="6" state="hidden" r:id="rId10"/>
    <sheet name="objective 3" sheetId="13" r:id="rId11"/>
    <sheet name="objective sales" sheetId="12" r:id="rId12"/>
    <sheet name="total operating profit" sheetId="14" r:id="rId13"/>
    <sheet name="total reserve" sheetId="15" r:id="rId14"/>
    <sheet name="debtors days " sheetId="21" r:id="rId15"/>
    <sheet name="cash from financing activity" sheetId="22" r:id="rId16"/>
    <sheet name="total net profit" sheetId="24" r:id="rId17"/>
    <sheet name="opm" sheetId="30" r:id="rId18"/>
    <sheet name="dividend profit" sheetId="31" r:id="rId19"/>
    <sheet name="inventory turnover" sheetId="33" r:id="rId20"/>
    <sheet name="cash from investing activity" sheetId="34" r:id="rId21"/>
    <sheet name="return on equity" sheetId="35" r:id="rId22"/>
    <sheet name=" dashboard data" sheetId="8" r:id="rId23"/>
    <sheet name="dashboard 2" sheetId="9" r:id="rId24"/>
    <sheet name="dashboard 3" sheetId="29" r:id="rId25"/>
  </sheets>
  <definedNames>
    <definedName name="Slicer_Company">#N/A</definedName>
    <definedName name="Slicer_Year">#N/A</definedName>
    <definedName name="UPDATE">'Data Sheet'!$E$1</definedName>
  </definedNames>
  <calcPr calcId="191029"/>
  <pivotCaches>
    <pivotCache cacheId="0" r:id="rId26"/>
  </pivotCaches>
  <extLst>
    <ext xmlns:x14="http://schemas.microsoft.com/office/spreadsheetml/2009/9/main" uri="{BBE1A952-AA13-448e-AADC-164F8A28A991}">
      <x14:slicerCaches>
        <x14:slicerCache r:id="rId27"/>
        <x14:slicerCache r:id="rId28"/>
      </x14:slicerCaches>
    </ex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5" i="25" l="1"/>
  <c r="C59" i="25"/>
  <c r="C51" i="25"/>
  <c r="C53" i="25"/>
  <c r="C46" i="25"/>
  <c r="M95" i="28"/>
  <c r="N95" i="28"/>
  <c r="O95" i="28"/>
  <c r="P95" i="28"/>
  <c r="L95" i="28"/>
  <c r="M94" i="28"/>
  <c r="N94" i="28"/>
  <c r="O94" i="28"/>
  <c r="P94" i="28"/>
  <c r="L94" i="28"/>
  <c r="M93" i="28"/>
  <c r="N93" i="28"/>
  <c r="O93" i="28"/>
  <c r="P93" i="28"/>
  <c r="L93" i="28"/>
  <c r="M86" i="28"/>
  <c r="N86" i="28"/>
  <c r="O86" i="28"/>
  <c r="P86" i="28"/>
  <c r="L86" i="28"/>
  <c r="M85" i="28"/>
  <c r="N85" i="28"/>
  <c r="O85" i="28"/>
  <c r="P85" i="28"/>
  <c r="L85" i="28"/>
  <c r="N79" i="28"/>
  <c r="O79" i="28"/>
  <c r="P79" i="28"/>
  <c r="M79" i="28"/>
  <c r="E69" i="28"/>
  <c r="F69" i="28"/>
  <c r="G69" i="28"/>
  <c r="H69" i="28"/>
  <c r="D69" i="28"/>
  <c r="E68" i="28"/>
  <c r="F68" i="28"/>
  <c r="G68" i="28"/>
  <c r="H68" i="28"/>
  <c r="D68" i="28"/>
  <c r="E66" i="28"/>
  <c r="F66" i="28"/>
  <c r="G66" i="28"/>
  <c r="H66" i="28"/>
  <c r="D66" i="28"/>
  <c r="E65" i="28"/>
  <c r="F65" i="28"/>
  <c r="G65" i="28"/>
  <c r="H65" i="28"/>
  <c r="D65" i="28"/>
  <c r="F64" i="28"/>
  <c r="G64" i="28"/>
  <c r="H64" i="28"/>
  <c r="E64" i="28"/>
  <c r="Z30" i="28"/>
  <c r="Z31" i="28"/>
  <c r="Z32" i="28"/>
  <c r="Z33" i="28"/>
  <c r="Z34" i="28"/>
  <c r="Z35" i="28"/>
  <c r="Z36" i="28"/>
  <c r="Z37" i="28"/>
  <c r="Z38" i="28"/>
  <c r="Z39" i="28"/>
  <c r="Z40" i="28"/>
  <c r="Z41" i="28"/>
  <c r="Z42" i="28"/>
  <c r="Z43" i="28"/>
  <c r="Z44" i="28"/>
  <c r="Z45" i="28"/>
  <c r="Z46" i="28"/>
  <c r="Z29" i="28"/>
  <c r="Y46" i="28"/>
  <c r="Y30" i="28"/>
  <c r="Y31" i="28"/>
  <c r="Y32" i="28"/>
  <c r="Y33" i="28"/>
  <c r="Y34" i="28"/>
  <c r="Y35" i="28"/>
  <c r="Y36" i="28"/>
  <c r="Y37" i="28"/>
  <c r="Y38" i="28"/>
  <c r="Y39" i="28"/>
  <c r="Y40" i="28"/>
  <c r="Y41" i="28"/>
  <c r="Y42" i="28"/>
  <c r="Y43" i="28"/>
  <c r="Y44" i="28"/>
  <c r="Y45" i="28"/>
  <c r="Y29" i="28"/>
  <c r="X30" i="28"/>
  <c r="X31" i="28"/>
  <c r="X32" i="28"/>
  <c r="X33" i="28"/>
  <c r="X34" i="28"/>
  <c r="X35" i="28"/>
  <c r="X36" i="28"/>
  <c r="X37" i="28"/>
  <c r="X38" i="28"/>
  <c r="X39" i="28"/>
  <c r="X40" i="28"/>
  <c r="X41" i="28"/>
  <c r="X42" i="28"/>
  <c r="X43" i="28"/>
  <c r="X44" i="28"/>
  <c r="X45" i="28"/>
  <c r="X46" i="28"/>
  <c r="X29" i="28"/>
  <c r="W30" i="28"/>
  <c r="W31" i="28"/>
  <c r="W32" i="28"/>
  <c r="W33" i="28"/>
  <c r="W34" i="28"/>
  <c r="W35" i="28"/>
  <c r="W36" i="28"/>
  <c r="W37" i="28"/>
  <c r="W38" i="28"/>
  <c r="W39" i="28"/>
  <c r="W40" i="28"/>
  <c r="W41" i="28"/>
  <c r="W42" i="28"/>
  <c r="W43" i="28"/>
  <c r="W44" i="28"/>
  <c r="W45" i="28"/>
  <c r="W46" i="28"/>
  <c r="W29" i="28"/>
  <c r="V30" i="28"/>
  <c r="V31" i="28"/>
  <c r="V32" i="28"/>
  <c r="V33" i="28"/>
  <c r="V34" i="28"/>
  <c r="V35" i="28"/>
  <c r="V36" i="28"/>
  <c r="V37" i="28"/>
  <c r="V38" i="28"/>
  <c r="V39" i="28"/>
  <c r="V40" i="28"/>
  <c r="V41" i="28"/>
  <c r="V42" i="28"/>
  <c r="V43" i="28"/>
  <c r="V44" i="28"/>
  <c r="V45" i="28"/>
  <c r="V46" i="28"/>
  <c r="V29" i="28"/>
  <c r="Z8" i="28"/>
  <c r="Z9" i="28"/>
  <c r="Z10" i="28"/>
  <c r="Z11" i="28"/>
  <c r="Z12" i="28"/>
  <c r="Z13" i="28"/>
  <c r="Z14" i="28"/>
  <c r="Z15" i="28"/>
  <c r="Z16" i="28"/>
  <c r="Z17" i="28"/>
  <c r="Z18" i="28"/>
  <c r="Z19" i="28"/>
  <c r="Z20" i="28"/>
  <c r="Z21" i="28"/>
  <c r="Z22" i="28"/>
  <c r="Z23" i="28"/>
  <c r="Z24" i="28"/>
  <c r="Z25" i="28"/>
  <c r="Z26" i="28"/>
  <c r="Z7" i="28"/>
  <c r="Y8" i="28"/>
  <c r="Y9" i="28"/>
  <c r="Y10" i="28"/>
  <c r="Y11" i="28"/>
  <c r="Y12" i="28"/>
  <c r="Y13" i="28"/>
  <c r="Y14" i="28"/>
  <c r="Y15" i="28"/>
  <c r="Y16" i="28"/>
  <c r="Y17" i="28"/>
  <c r="Y18" i="28"/>
  <c r="Y19" i="28"/>
  <c r="Y20" i="28"/>
  <c r="Y21" i="28"/>
  <c r="Y22" i="28"/>
  <c r="Y23" i="28"/>
  <c r="Y24" i="28"/>
  <c r="Y25" i="28"/>
  <c r="Y26" i="28"/>
  <c r="Y7" i="28"/>
  <c r="X8" i="28"/>
  <c r="X9" i="28"/>
  <c r="X10" i="28"/>
  <c r="X11" i="28"/>
  <c r="X12" i="28"/>
  <c r="X13" i="28"/>
  <c r="X14" i="28"/>
  <c r="X15" i="28"/>
  <c r="X16" i="28"/>
  <c r="X17" i="28"/>
  <c r="X18" i="28"/>
  <c r="X19" i="28"/>
  <c r="X20" i="28"/>
  <c r="X21" i="28"/>
  <c r="X22" i="28"/>
  <c r="X23" i="28"/>
  <c r="X24" i="28"/>
  <c r="X25" i="28"/>
  <c r="X26" i="28"/>
  <c r="X7" i="28"/>
  <c r="W8" i="28"/>
  <c r="W9" i="28"/>
  <c r="W10" i="28"/>
  <c r="W11" i="28"/>
  <c r="W12" i="28"/>
  <c r="W13" i="28"/>
  <c r="W14" i="28"/>
  <c r="W15" i="28"/>
  <c r="W16" i="28"/>
  <c r="W17" i="28"/>
  <c r="W18" i="28"/>
  <c r="W19" i="28"/>
  <c r="W20" i="28"/>
  <c r="W21" i="28"/>
  <c r="W22" i="28"/>
  <c r="W23" i="28"/>
  <c r="W24" i="28"/>
  <c r="W25" i="28"/>
  <c r="W26" i="28"/>
  <c r="W7" i="28"/>
  <c r="V8" i="28"/>
  <c r="V9" i="28"/>
  <c r="V10" i="28"/>
  <c r="V11" i="28"/>
  <c r="V12" i="28"/>
  <c r="V13" i="28"/>
  <c r="V14" i="28"/>
  <c r="V15" i="28"/>
  <c r="V16" i="28"/>
  <c r="V17" i="28"/>
  <c r="V18" i="28"/>
  <c r="V19" i="28"/>
  <c r="V20" i="28"/>
  <c r="V21" i="28"/>
  <c r="V22" i="28"/>
  <c r="V23" i="28"/>
  <c r="V24" i="28"/>
  <c r="V25" i="28"/>
  <c r="V26" i="28"/>
  <c r="V7" i="28"/>
  <c r="N57" i="28"/>
  <c r="O57" i="28"/>
  <c r="P57" i="28"/>
  <c r="M57" i="28"/>
  <c r="N56" i="28"/>
  <c r="O56" i="28"/>
  <c r="P56" i="28"/>
  <c r="M56" i="28"/>
  <c r="N54" i="28"/>
  <c r="O54" i="28"/>
  <c r="P54" i="28"/>
  <c r="M54" i="28"/>
  <c r="N53" i="28"/>
  <c r="O53" i="28"/>
  <c r="P53" i="28"/>
  <c r="M53" i="28"/>
  <c r="N51" i="28"/>
  <c r="O51" i="28"/>
  <c r="P51" i="28"/>
  <c r="M51" i="28"/>
  <c r="N49" i="28"/>
  <c r="O49" i="28"/>
  <c r="P49" i="28"/>
  <c r="M49" i="28"/>
  <c r="N46" i="28"/>
  <c r="O46" i="28"/>
  <c r="P46" i="28"/>
  <c r="M46" i="28"/>
  <c r="N45" i="28"/>
  <c r="O45" i="28"/>
  <c r="P45" i="28"/>
  <c r="M45" i="28"/>
  <c r="N44" i="28"/>
  <c r="O44" i="28"/>
  <c r="P44" i="28"/>
  <c r="M44" i="28"/>
  <c r="N43" i="28"/>
  <c r="O43" i="28"/>
  <c r="P43" i="28"/>
  <c r="M43" i="28"/>
  <c r="N42" i="28"/>
  <c r="O42" i="28"/>
  <c r="P42" i="28"/>
  <c r="M42" i="28"/>
  <c r="N41" i="28"/>
  <c r="O41" i="28"/>
  <c r="P41" i="28"/>
  <c r="M41" i="28"/>
  <c r="N40" i="28"/>
  <c r="O40" i="28"/>
  <c r="P40" i="28"/>
  <c r="M40" i="28"/>
  <c r="N39" i="28"/>
  <c r="O39" i="28"/>
  <c r="P39" i="28"/>
  <c r="M39" i="28"/>
  <c r="N37" i="28"/>
  <c r="O37" i="28"/>
  <c r="P37" i="28"/>
  <c r="M37" i="28"/>
  <c r="N36" i="28"/>
  <c r="O36" i="28"/>
  <c r="P36" i="28"/>
  <c r="M36" i="28"/>
  <c r="N35" i="28"/>
  <c r="O35" i="28"/>
  <c r="P35" i="28"/>
  <c r="M35" i="28"/>
  <c r="N33" i="28"/>
  <c r="O33" i="28"/>
  <c r="P33" i="28"/>
  <c r="M33" i="28"/>
  <c r="N32" i="28"/>
  <c r="O32" i="28"/>
  <c r="P32" i="28"/>
  <c r="M32" i="28"/>
  <c r="N31" i="28"/>
  <c r="O31" i="28"/>
  <c r="P31" i="28"/>
  <c r="M31" i="28"/>
  <c r="N30" i="28"/>
  <c r="O30" i="28"/>
  <c r="P30" i="28"/>
  <c r="M30" i="28"/>
  <c r="P29" i="28"/>
  <c r="N29" i="28"/>
  <c r="O29" i="28"/>
  <c r="M29" i="28"/>
  <c r="N26" i="28"/>
  <c r="O26" i="28"/>
  <c r="P26" i="28"/>
  <c r="M26" i="28"/>
  <c r="N25" i="28"/>
  <c r="O25" i="28"/>
  <c r="P25" i="28"/>
  <c r="M25" i="28"/>
  <c r="N24" i="28"/>
  <c r="O24" i="28"/>
  <c r="P24" i="28"/>
  <c r="M24" i="28"/>
  <c r="N23" i="28"/>
  <c r="O23" i="28"/>
  <c r="P23" i="28"/>
  <c r="M23" i="28"/>
  <c r="N22" i="28"/>
  <c r="O22" i="28"/>
  <c r="P22" i="28"/>
  <c r="M22" i="28"/>
  <c r="N21" i="28"/>
  <c r="O21" i="28"/>
  <c r="P21" i="28"/>
  <c r="M21" i="28"/>
  <c r="N19" i="28"/>
  <c r="O19" i="28"/>
  <c r="P19" i="28"/>
  <c r="M19" i="28"/>
  <c r="N18" i="28"/>
  <c r="O18" i="28"/>
  <c r="P18" i="28"/>
  <c r="M18" i="28"/>
  <c r="N17" i="28"/>
  <c r="O17" i="28"/>
  <c r="P17" i="28"/>
  <c r="M17" i="28"/>
  <c r="N16" i="28"/>
  <c r="O16" i="28"/>
  <c r="P16" i="28"/>
  <c r="M16" i="28"/>
  <c r="N15" i="28"/>
  <c r="O15" i="28"/>
  <c r="P15" i="28"/>
  <c r="M15" i="28"/>
  <c r="N13" i="28"/>
  <c r="O13" i="28"/>
  <c r="P13" i="28"/>
  <c r="M13" i="28"/>
  <c r="N12" i="28"/>
  <c r="O12" i="28"/>
  <c r="P12" i="28"/>
  <c r="M12" i="28"/>
  <c r="N10" i="28"/>
  <c r="O10" i="28"/>
  <c r="P10" i="28"/>
  <c r="M10" i="28"/>
  <c r="N9" i="28"/>
  <c r="O9" i="28"/>
  <c r="P9" i="28"/>
  <c r="M9" i="28"/>
  <c r="N8" i="28"/>
  <c r="O8" i="28"/>
  <c r="P8" i="28"/>
  <c r="M8" i="28"/>
  <c r="N7" i="28"/>
  <c r="O7" i="28"/>
  <c r="P7" i="28"/>
  <c r="M7" i="28"/>
  <c r="E13" i="27"/>
  <c r="F13" i="27"/>
  <c r="G13" i="27"/>
  <c r="D13" i="27"/>
  <c r="E12" i="27"/>
  <c r="F12" i="27"/>
  <c r="G12" i="27"/>
  <c r="D12" i="27"/>
  <c r="D59" i="25"/>
  <c r="E59" i="25"/>
  <c r="F59" i="25"/>
  <c r="G59" i="25"/>
  <c r="D57" i="25"/>
  <c r="E57" i="25"/>
  <c r="F57" i="25"/>
  <c r="G57" i="25"/>
  <c r="C57" i="25"/>
  <c r="C15" i="27" s="1"/>
  <c r="D55" i="25"/>
  <c r="E55" i="25"/>
  <c r="F55" i="25"/>
  <c r="G55" i="25"/>
  <c r="D53" i="25"/>
  <c r="E53" i="25"/>
  <c r="F53" i="25"/>
  <c r="G53" i="25"/>
  <c r="D51" i="25"/>
  <c r="E51" i="25"/>
  <c r="F51" i="25"/>
  <c r="G51" i="25"/>
  <c r="D49" i="25"/>
  <c r="E49" i="25"/>
  <c r="F49" i="25"/>
  <c r="G49" i="25"/>
  <c r="C49" i="25"/>
  <c r="C50" i="25" s="1"/>
  <c r="C52" i="25" s="1"/>
  <c r="C54" i="25" s="1"/>
  <c r="D48" i="25"/>
  <c r="E48" i="25"/>
  <c r="F48" i="25"/>
  <c r="G48" i="25"/>
  <c r="C48" i="25"/>
  <c r="D47" i="25"/>
  <c r="E47" i="25"/>
  <c r="F47" i="25"/>
  <c r="G47" i="25"/>
  <c r="C47" i="25"/>
  <c r="D46" i="25"/>
  <c r="E72" i="28" s="1"/>
  <c r="E46" i="25"/>
  <c r="N74" i="28" s="1"/>
  <c r="F46" i="25"/>
  <c r="W46" i="25" s="1"/>
  <c r="G46" i="25"/>
  <c r="P69" i="28" s="1"/>
  <c r="D70" i="28"/>
  <c r="X27" i="25"/>
  <c r="X28" i="25"/>
  <c r="X26" i="25"/>
  <c r="W27" i="25"/>
  <c r="W28" i="25"/>
  <c r="W26" i="25"/>
  <c r="V27" i="25"/>
  <c r="V28" i="25"/>
  <c r="V26" i="25"/>
  <c r="U27" i="25"/>
  <c r="U28" i="25"/>
  <c r="U26" i="25"/>
  <c r="T27" i="25"/>
  <c r="T28" i="25"/>
  <c r="T26" i="25"/>
  <c r="X21" i="25"/>
  <c r="W21" i="25"/>
  <c r="V21" i="25"/>
  <c r="U21" i="25"/>
  <c r="T21" i="25"/>
  <c r="X15" i="25"/>
  <c r="X16" i="25"/>
  <c r="X17" i="25"/>
  <c r="X18" i="25"/>
  <c r="X19" i="25"/>
  <c r="X20" i="25"/>
  <c r="X14" i="25"/>
  <c r="W15" i="25"/>
  <c r="W16" i="25"/>
  <c r="W17" i="25"/>
  <c r="W18" i="25"/>
  <c r="W19" i="25"/>
  <c r="W20" i="25"/>
  <c r="W14" i="25"/>
  <c r="V15" i="25"/>
  <c r="V16" i="25"/>
  <c r="V17" i="25"/>
  <c r="V18" i="25"/>
  <c r="V19" i="25"/>
  <c r="V20" i="25"/>
  <c r="V14" i="25"/>
  <c r="U15" i="25"/>
  <c r="U16" i="25"/>
  <c r="U17" i="25"/>
  <c r="U18" i="25"/>
  <c r="U19" i="25"/>
  <c r="U20" i="25"/>
  <c r="U14" i="25"/>
  <c r="T15" i="25"/>
  <c r="T16" i="25"/>
  <c r="T17" i="25"/>
  <c r="T18" i="25"/>
  <c r="T19" i="25"/>
  <c r="T20" i="25"/>
  <c r="T14" i="25"/>
  <c r="X7" i="25"/>
  <c r="X8" i="25"/>
  <c r="X9" i="25"/>
  <c r="X10" i="25"/>
  <c r="X11" i="25"/>
  <c r="X12" i="25"/>
  <c r="X6" i="25"/>
  <c r="W7" i="25"/>
  <c r="W8" i="25"/>
  <c r="W9" i="25"/>
  <c r="W10" i="25"/>
  <c r="W11" i="25"/>
  <c r="W12" i="25"/>
  <c r="W6" i="25"/>
  <c r="V7" i="25"/>
  <c r="V8" i="25"/>
  <c r="V9" i="25"/>
  <c r="V10" i="25"/>
  <c r="V11" i="25"/>
  <c r="V12" i="25"/>
  <c r="V6" i="25"/>
  <c r="U7" i="25"/>
  <c r="U8" i="25"/>
  <c r="U9" i="25"/>
  <c r="U10" i="25"/>
  <c r="U11" i="25"/>
  <c r="U12" i="25"/>
  <c r="U6" i="25"/>
  <c r="T7" i="25"/>
  <c r="T8" i="25"/>
  <c r="T9" i="25"/>
  <c r="T10" i="25"/>
  <c r="T11" i="25"/>
  <c r="T12" i="25"/>
  <c r="T6" i="25"/>
  <c r="O7" i="25"/>
  <c r="O8" i="25"/>
  <c r="O9" i="25"/>
  <c r="O10" i="25"/>
  <c r="O11" i="25"/>
  <c r="O12" i="25"/>
  <c r="O14" i="25"/>
  <c r="O15" i="25"/>
  <c r="O16" i="25"/>
  <c r="O17" i="25"/>
  <c r="O18" i="25"/>
  <c r="O19" i="25"/>
  <c r="O20" i="25"/>
  <c r="O21" i="25"/>
  <c r="O22" i="25"/>
  <c r="O23" i="25"/>
  <c r="O24" i="25"/>
  <c r="O26" i="25"/>
  <c r="O27" i="25"/>
  <c r="O28" i="25"/>
  <c r="O29" i="25"/>
  <c r="O30" i="25"/>
  <c r="O31" i="25"/>
  <c r="O32" i="25"/>
  <c r="O33" i="25"/>
  <c r="O34" i="25"/>
  <c r="O37" i="25"/>
  <c r="O38" i="25"/>
  <c r="O40" i="25"/>
  <c r="O41" i="25"/>
  <c r="O6" i="25"/>
  <c r="N7" i="25"/>
  <c r="N8" i="25"/>
  <c r="N9" i="25"/>
  <c r="N10" i="25"/>
  <c r="N11" i="25"/>
  <c r="N12" i="25"/>
  <c r="N14" i="25"/>
  <c r="N15" i="25"/>
  <c r="N16" i="25"/>
  <c r="N17" i="25"/>
  <c r="N18" i="25"/>
  <c r="N19" i="25"/>
  <c r="N20" i="25"/>
  <c r="N21" i="25"/>
  <c r="N22" i="25"/>
  <c r="N23" i="25"/>
  <c r="N24" i="25"/>
  <c r="N26" i="25"/>
  <c r="N27" i="25"/>
  <c r="N28" i="25"/>
  <c r="N29" i="25"/>
  <c r="N30" i="25"/>
  <c r="N31" i="25"/>
  <c r="N32" i="25"/>
  <c r="N33" i="25"/>
  <c r="N34" i="25"/>
  <c r="N37" i="25"/>
  <c r="N38" i="25"/>
  <c r="N40" i="25"/>
  <c r="N41" i="25"/>
  <c r="N6" i="25"/>
  <c r="M7" i="25"/>
  <c r="M8" i="25"/>
  <c r="M9" i="25"/>
  <c r="M10" i="25"/>
  <c r="M11" i="25"/>
  <c r="M12" i="25"/>
  <c r="M14" i="25"/>
  <c r="M15" i="25"/>
  <c r="M16" i="25"/>
  <c r="M17" i="25"/>
  <c r="M18" i="25"/>
  <c r="M19" i="25"/>
  <c r="M20" i="25"/>
  <c r="M21" i="25"/>
  <c r="M22" i="25"/>
  <c r="M23" i="25"/>
  <c r="M24" i="25"/>
  <c r="M26" i="25"/>
  <c r="M27" i="25"/>
  <c r="M28" i="25"/>
  <c r="M29" i="25"/>
  <c r="M30" i="25"/>
  <c r="M31" i="25"/>
  <c r="M32" i="25"/>
  <c r="M33" i="25"/>
  <c r="M34" i="25"/>
  <c r="M37" i="25"/>
  <c r="M38" i="25"/>
  <c r="M40" i="25"/>
  <c r="M41" i="25"/>
  <c r="M6" i="25"/>
  <c r="L7" i="25"/>
  <c r="L8" i="25"/>
  <c r="L9" i="25"/>
  <c r="L10" i="25"/>
  <c r="L11" i="25"/>
  <c r="L12" i="25"/>
  <c r="L14" i="25"/>
  <c r="L15" i="25"/>
  <c r="L16" i="25"/>
  <c r="L17" i="25"/>
  <c r="L18" i="25"/>
  <c r="L19" i="25"/>
  <c r="L20" i="25"/>
  <c r="L21" i="25"/>
  <c r="L22" i="25"/>
  <c r="L23" i="25"/>
  <c r="L24" i="25"/>
  <c r="L26" i="25"/>
  <c r="L27" i="25"/>
  <c r="L28" i="25"/>
  <c r="L29" i="25"/>
  <c r="L30" i="25"/>
  <c r="L31" i="25"/>
  <c r="L32" i="25"/>
  <c r="L33" i="25"/>
  <c r="L34" i="25"/>
  <c r="L37" i="25"/>
  <c r="L38" i="25"/>
  <c r="L40" i="25"/>
  <c r="L41" i="25"/>
  <c r="L6" i="25"/>
  <c r="D5" i="2"/>
  <c r="E5" i="2"/>
  <c r="F5" i="2"/>
  <c r="G5" i="2"/>
  <c r="C6" i="3"/>
  <c r="D6" i="3"/>
  <c r="E6" i="3"/>
  <c r="F6" i="3"/>
  <c r="G6" i="3"/>
  <c r="H6" i="3"/>
  <c r="I6" i="3"/>
  <c r="J6" i="3"/>
  <c r="K6" i="3"/>
  <c r="B6" i="3"/>
  <c r="C5" i="1"/>
  <c r="D5" i="1"/>
  <c r="E5" i="1"/>
  <c r="F5" i="1"/>
  <c r="G5" i="1"/>
  <c r="H5" i="1"/>
  <c r="I5" i="1"/>
  <c r="J5" i="1"/>
  <c r="K5" i="1"/>
  <c r="B5" i="1"/>
  <c r="B6" i="6"/>
  <c r="C17" i="2"/>
  <c r="D17" i="2"/>
  <c r="E17" i="2"/>
  <c r="F17" i="2"/>
  <c r="G17" i="2"/>
  <c r="H17" i="2"/>
  <c r="I17" i="2"/>
  <c r="J17" i="2"/>
  <c r="K17" i="2"/>
  <c r="C18" i="2"/>
  <c r="D18" i="2"/>
  <c r="E18" i="2"/>
  <c r="F18" i="2"/>
  <c r="G18" i="2"/>
  <c r="H18" i="2"/>
  <c r="I18" i="2"/>
  <c r="J18" i="2"/>
  <c r="K18" i="2"/>
  <c r="B17" i="2"/>
  <c r="C4" i="2"/>
  <c r="D4" i="2"/>
  <c r="E4" i="2"/>
  <c r="F4" i="2"/>
  <c r="G4" i="2"/>
  <c r="H4" i="2"/>
  <c r="I4" i="2"/>
  <c r="I5" i="2"/>
  <c r="J4" i="2"/>
  <c r="J5" i="2"/>
  <c r="K4" i="2"/>
  <c r="C5" i="2"/>
  <c r="H5" i="2"/>
  <c r="K5" i="2"/>
  <c r="C6" i="2"/>
  <c r="D6" i="2"/>
  <c r="E6" i="2"/>
  <c r="F6" i="2"/>
  <c r="G6" i="2"/>
  <c r="H6" i="2"/>
  <c r="I6" i="2"/>
  <c r="J6" i="2"/>
  <c r="K6" i="2"/>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C4" i="3"/>
  <c r="D4" i="3"/>
  <c r="E4" i="3"/>
  <c r="F4" i="3"/>
  <c r="G4" i="3"/>
  <c r="H4" i="3"/>
  <c r="I4" i="3"/>
  <c r="J4" i="3"/>
  <c r="K4" i="3"/>
  <c r="C5" i="3"/>
  <c r="D5" i="3"/>
  <c r="E5" i="3"/>
  <c r="F5" i="3"/>
  <c r="G5" i="3"/>
  <c r="H5" i="3"/>
  <c r="I5" i="3"/>
  <c r="J5" i="3"/>
  <c r="K5"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G11" i="3"/>
  <c r="H11" i="3"/>
  <c r="I11" i="3"/>
  <c r="J11" i="3"/>
  <c r="K11" i="3"/>
  <c r="C12" i="3"/>
  <c r="D12" i="3"/>
  <c r="E12" i="3"/>
  <c r="F12" i="3"/>
  <c r="G12" i="3"/>
  <c r="H12" i="3"/>
  <c r="I12" i="3"/>
  <c r="J12" i="3"/>
  <c r="K12" i="3"/>
  <c r="B5" i="3"/>
  <c r="C18" i="1"/>
  <c r="D18" i="1"/>
  <c r="E18" i="1"/>
  <c r="F18" i="1"/>
  <c r="G18" i="1"/>
  <c r="H18" i="1"/>
  <c r="I18" i="1"/>
  <c r="J18" i="1"/>
  <c r="K18" i="1"/>
  <c r="B18" i="1"/>
  <c r="C4" i="1"/>
  <c r="D4" i="1"/>
  <c r="E4" i="1"/>
  <c r="F4" i="1"/>
  <c r="G4" i="1"/>
  <c r="H4" i="1"/>
  <c r="I4" i="1"/>
  <c r="J4" i="1"/>
  <c r="K4" i="1"/>
  <c r="C7" i="1"/>
  <c r="D7" i="1"/>
  <c r="E7" i="1"/>
  <c r="F7" i="1"/>
  <c r="G7" i="1"/>
  <c r="H7" i="1"/>
  <c r="I7" i="1"/>
  <c r="J7" i="1"/>
  <c r="K7" i="1"/>
  <c r="C8" i="1"/>
  <c r="D8" i="1"/>
  <c r="E8" i="1"/>
  <c r="F8" i="1"/>
  <c r="G8" i="1"/>
  <c r="H8" i="1"/>
  <c r="I8" i="1"/>
  <c r="J8" i="1"/>
  <c r="K8" i="1"/>
  <c r="C9" i="1"/>
  <c r="D9" i="1"/>
  <c r="E9" i="1"/>
  <c r="F9" i="1"/>
  <c r="G9" i="1"/>
  <c r="H9" i="1"/>
  <c r="I9" i="1"/>
  <c r="J9" i="1"/>
  <c r="K9" i="1"/>
  <c r="C10" i="1"/>
  <c r="D10" i="1"/>
  <c r="E10" i="1"/>
  <c r="F10" i="1"/>
  <c r="G10" i="1"/>
  <c r="H10" i="1"/>
  <c r="I10" i="1"/>
  <c r="J10" i="1"/>
  <c r="K10" i="1"/>
  <c r="C11" i="1"/>
  <c r="D11" i="1"/>
  <c r="E11" i="1"/>
  <c r="F11" i="1"/>
  <c r="G11" i="1"/>
  <c r="H11" i="1"/>
  <c r="I11" i="1"/>
  <c r="J11" i="1"/>
  <c r="K11" i="1"/>
  <c r="C12" i="1"/>
  <c r="C13" i="1" s="1"/>
  <c r="D12" i="1"/>
  <c r="E12" i="1"/>
  <c r="F12" i="1"/>
  <c r="F13" i="1" s="1"/>
  <c r="G12" i="1"/>
  <c r="G13" i="1" s="1"/>
  <c r="H12" i="1"/>
  <c r="H13" i="1" s="1"/>
  <c r="I12" i="1"/>
  <c r="I13" i="1" s="1"/>
  <c r="J12" i="1"/>
  <c r="J13" i="1" s="1"/>
  <c r="K12" i="1"/>
  <c r="K13" i="1" s="1"/>
  <c r="C15" i="1"/>
  <c r="D15" i="1"/>
  <c r="E15" i="1"/>
  <c r="F15" i="1"/>
  <c r="G15" i="1"/>
  <c r="H15" i="1"/>
  <c r="I15" i="1"/>
  <c r="J15" i="1"/>
  <c r="K15" i="1"/>
  <c r="B15" i="1"/>
  <c r="B7" i="1"/>
  <c r="B4" i="1"/>
  <c r="A1" i="1"/>
  <c r="A1" i="3" s="1"/>
  <c r="E1" i="6"/>
  <c r="H1" i="1" s="1"/>
  <c r="C3" i="4"/>
  <c r="D3" i="4"/>
  <c r="E3" i="4"/>
  <c r="F3" i="4"/>
  <c r="G3" i="4"/>
  <c r="H3" i="4"/>
  <c r="I3" i="4"/>
  <c r="J3" i="4"/>
  <c r="K3" i="4"/>
  <c r="C3" i="2"/>
  <c r="D3" i="2"/>
  <c r="E3" i="2"/>
  <c r="F3" i="2"/>
  <c r="G3" i="2"/>
  <c r="H3" i="2"/>
  <c r="I3" i="2"/>
  <c r="J3" i="2"/>
  <c r="K3" i="2"/>
  <c r="C3" i="3"/>
  <c r="D3" i="3"/>
  <c r="E3" i="3"/>
  <c r="F3" i="3"/>
  <c r="G3" i="3"/>
  <c r="H3" i="3"/>
  <c r="I3" i="3"/>
  <c r="J3" i="3"/>
  <c r="K3" i="3"/>
  <c r="C3" i="1"/>
  <c r="D3" i="1"/>
  <c r="E3" i="1"/>
  <c r="F3" i="1"/>
  <c r="G3" i="1"/>
  <c r="H3" i="1"/>
  <c r="I3" i="1"/>
  <c r="J3" i="1"/>
  <c r="K3" i="1"/>
  <c r="B7" i="4"/>
  <c r="B6" i="4"/>
  <c r="B5" i="4"/>
  <c r="B4" i="4"/>
  <c r="B3" i="4"/>
  <c r="B18" i="2"/>
  <c r="B13" i="2"/>
  <c r="B12" i="2"/>
  <c r="B11" i="2"/>
  <c r="B10" i="2"/>
  <c r="B8" i="2"/>
  <c r="B7" i="2"/>
  <c r="B6" i="2"/>
  <c r="B3" i="2"/>
  <c r="B12" i="3"/>
  <c r="B11" i="3"/>
  <c r="B10" i="3"/>
  <c r="B9" i="3"/>
  <c r="B8" i="3"/>
  <c r="B7" i="3"/>
  <c r="B4" i="3"/>
  <c r="B3" i="3"/>
  <c r="L15" i="1"/>
  <c r="B12" i="1"/>
  <c r="B13" i="1" s="1"/>
  <c r="B11" i="1"/>
  <c r="B10" i="1"/>
  <c r="B9" i="1"/>
  <c r="B8" i="1"/>
  <c r="B3" i="1"/>
  <c r="W49" i="25" l="1"/>
  <c r="O74" i="28"/>
  <c r="L90" i="28"/>
  <c r="N48" i="25"/>
  <c r="T55" i="25"/>
  <c r="T57" i="25"/>
  <c r="T46" i="25"/>
  <c r="O55" i="25"/>
  <c r="N55" i="25"/>
  <c r="V59" i="25"/>
  <c r="T51" i="25"/>
  <c r="J14" i="3"/>
  <c r="M57" i="25"/>
  <c r="T47" i="25"/>
  <c r="B21" i="2"/>
  <c r="M69" i="28"/>
  <c r="N89" i="28"/>
  <c r="F21" i="2"/>
  <c r="T48" i="25"/>
  <c r="W59" i="25"/>
  <c r="M90" i="28"/>
  <c r="W53" i="25"/>
  <c r="V53" i="25"/>
  <c r="F14" i="3"/>
  <c r="E50" i="25"/>
  <c r="V50" i="25" s="1"/>
  <c r="E14" i="3"/>
  <c r="D50" i="25"/>
  <c r="D52" i="25" s="1"/>
  <c r="U52" i="25" s="1"/>
  <c r="E14" i="27"/>
  <c r="M49" i="25"/>
  <c r="E1" i="3"/>
  <c r="X49" i="25"/>
  <c r="T59" i="25"/>
  <c r="M74" i="28"/>
  <c r="U48" i="25"/>
  <c r="P74" i="28"/>
  <c r="X57" i="25"/>
  <c r="N57" i="25"/>
  <c r="M89" i="28"/>
  <c r="W47" i="25"/>
  <c r="V51" i="25"/>
  <c r="U57" i="25"/>
  <c r="P90" i="28"/>
  <c r="X47" i="25"/>
  <c r="I21" i="2"/>
  <c r="H21" i="2"/>
  <c r="V47" i="25"/>
  <c r="O90" i="28"/>
  <c r="N53" i="25"/>
  <c r="N80" i="28"/>
  <c r="N90" i="28"/>
  <c r="O51" i="25"/>
  <c r="L47" i="25"/>
  <c r="O59" i="25"/>
  <c r="T53" i="25"/>
  <c r="H14" i="3"/>
  <c r="X48" i="25"/>
  <c r="X53" i="25"/>
  <c r="G14" i="3"/>
  <c r="F50" i="25"/>
  <c r="F52" i="25" s="1"/>
  <c r="M59" i="25"/>
  <c r="V46" i="25"/>
  <c r="M80" i="28"/>
  <c r="N51" i="25"/>
  <c r="C16" i="2"/>
  <c r="L51" i="25"/>
  <c r="C20" i="2"/>
  <c r="L59" i="25"/>
  <c r="P80" i="28"/>
  <c r="U53" i="25"/>
  <c r="M47" i="25"/>
  <c r="G15" i="27"/>
  <c r="O80" i="28"/>
  <c r="W51" i="25"/>
  <c r="O53" i="25"/>
  <c r="L11" i="1"/>
  <c r="V49" i="25"/>
  <c r="M55" i="25"/>
  <c r="M53" i="25"/>
  <c r="G67" i="25"/>
  <c r="L89" i="28"/>
  <c r="O46" i="25"/>
  <c r="L69" i="28"/>
  <c r="M46" i="25"/>
  <c r="U55" i="25"/>
  <c r="L55" i="25"/>
  <c r="F67" i="25"/>
  <c r="O69" i="28"/>
  <c r="P89" i="28"/>
  <c r="G23" i="2"/>
  <c r="K21" i="2"/>
  <c r="N49" i="25"/>
  <c r="D67" i="25"/>
  <c r="G50" i="25"/>
  <c r="G52" i="25" s="1"/>
  <c r="X52" i="25" s="1"/>
  <c r="E67" i="25"/>
  <c r="N69" i="28"/>
  <c r="O89" i="28"/>
  <c r="O47" i="25"/>
  <c r="M51" i="25"/>
  <c r="U51" i="25"/>
  <c r="W57" i="25"/>
  <c r="G14" i="27"/>
  <c r="H70" i="28"/>
  <c r="E6" i="1"/>
  <c r="E19" i="1" s="1"/>
  <c r="N47" i="25"/>
  <c r="L53" i="25"/>
  <c r="U49" i="25"/>
  <c r="W55" i="25"/>
  <c r="F14" i="27"/>
  <c r="G70" i="28"/>
  <c r="J20" i="2"/>
  <c r="A1" i="2"/>
  <c r="A1" i="4" s="1"/>
  <c r="L12" i="1"/>
  <c r="L13" i="1" s="1"/>
  <c r="L14" i="1" s="1"/>
  <c r="L25" i="1" s="1"/>
  <c r="F70" i="28"/>
  <c r="C23" i="2"/>
  <c r="L48" i="25"/>
  <c r="U47" i="25"/>
  <c r="D14" i="27"/>
  <c r="E70" i="28"/>
  <c r="O48" i="25"/>
  <c r="D71" i="28"/>
  <c r="H71" i="28"/>
  <c r="E1" i="2"/>
  <c r="I16" i="2"/>
  <c r="J21" i="2"/>
  <c r="M48" i="25"/>
  <c r="V57" i="25"/>
  <c r="W48" i="25"/>
  <c r="F15" i="27"/>
  <c r="G71" i="28"/>
  <c r="L49" i="25"/>
  <c r="V55" i="25"/>
  <c r="E15" i="27"/>
  <c r="F71" i="28"/>
  <c r="O49" i="25"/>
  <c r="T49" i="25"/>
  <c r="X46" i="25"/>
  <c r="D15" i="27"/>
  <c r="E71" i="28"/>
  <c r="L57" i="25"/>
  <c r="X59" i="25"/>
  <c r="D72" i="28"/>
  <c r="O57" i="25"/>
  <c r="H72" i="28"/>
  <c r="L46" i="25"/>
  <c r="U46" i="25"/>
  <c r="X55" i="25"/>
  <c r="G72" i="28"/>
  <c r="U59" i="25"/>
  <c r="V48" i="25"/>
  <c r="F72" i="28"/>
  <c r="N46" i="25"/>
  <c r="X51" i="25"/>
  <c r="N59" i="25"/>
  <c r="C14" i="27"/>
  <c r="I14" i="3"/>
  <c r="F23" i="2"/>
  <c r="C14" i="1"/>
  <c r="J14" i="1"/>
  <c r="G14" i="1"/>
  <c r="D6" i="1"/>
  <c r="D19" i="1" s="1"/>
  <c r="E20" i="2"/>
  <c r="H16" i="2"/>
  <c r="J6" i="1"/>
  <c r="J19" i="1" s="1"/>
  <c r="F16" i="2"/>
  <c r="K14" i="3"/>
  <c r="G20" i="2"/>
  <c r="C6" i="1"/>
  <c r="C19" i="1" s="1"/>
  <c r="L4" i="1"/>
  <c r="L23" i="1" s="1"/>
  <c r="L10" i="1"/>
  <c r="N11" i="1" s="1"/>
  <c r="L6" i="1"/>
  <c r="K23" i="2"/>
  <c r="D20" i="2"/>
  <c r="K14" i="1"/>
  <c r="K16" i="2"/>
  <c r="H23" i="2"/>
  <c r="L5" i="1"/>
  <c r="J16" i="2"/>
  <c r="G16" i="2"/>
  <c r="F14" i="1"/>
  <c r="K20" i="2"/>
  <c r="D16" i="2"/>
  <c r="E21" i="2"/>
  <c r="C21" i="2"/>
  <c r="D21" i="2"/>
  <c r="G6" i="1"/>
  <c r="G19" i="1" s="1"/>
  <c r="G21" i="2"/>
  <c r="B14" i="1"/>
  <c r="C14" i="3"/>
  <c r="F24" i="2"/>
  <c r="E24" i="2"/>
  <c r="D24" i="2"/>
  <c r="I14" i="1"/>
  <c r="C24" i="2"/>
  <c r="J23" i="1"/>
  <c r="K6" i="1"/>
  <c r="K19" i="1" s="1"/>
  <c r="H14" i="1"/>
  <c r="I23" i="1"/>
  <c r="L9" i="1"/>
  <c r="N9" i="1" s="1"/>
  <c r="L7" i="1"/>
  <c r="E16" i="2"/>
  <c r="J23" i="2"/>
  <c r="H23" i="1"/>
  <c r="K24" i="2"/>
  <c r="B14" i="3"/>
  <c r="I6" i="1"/>
  <c r="I19" i="1" s="1"/>
  <c r="I23" i="2"/>
  <c r="B16" i="2"/>
  <c r="D23" i="2"/>
  <c r="F20" i="2"/>
  <c r="J24" i="2"/>
  <c r="B20" i="2"/>
  <c r="I24" i="2"/>
  <c r="H24" i="2"/>
  <c r="B23" i="2"/>
  <c r="G24" i="2"/>
  <c r="D13" i="1"/>
  <c r="E13" i="1" s="1"/>
  <c r="E14" i="1" s="1"/>
  <c r="B6" i="1"/>
  <c r="B19" i="1" s="1"/>
  <c r="L8" i="1"/>
  <c r="N8" i="1" s="1"/>
  <c r="D14" i="3"/>
  <c r="E23" i="2"/>
  <c r="I20" i="2"/>
  <c r="H20" i="2"/>
  <c r="K23" i="1"/>
  <c r="H6" i="1"/>
  <c r="H19" i="1" s="1"/>
  <c r="F6" i="1"/>
  <c r="F19" i="1" s="1"/>
  <c r="E1" i="4"/>
  <c r="G54" i="25" l="1"/>
  <c r="D73" i="28"/>
  <c r="E52" i="25"/>
  <c r="E54" i="25" s="1"/>
  <c r="V54" i="25" s="1"/>
  <c r="U50" i="25"/>
  <c r="K25" i="1"/>
  <c r="M25" i="1" s="1"/>
  <c r="M14" i="1" s="1"/>
  <c r="J25" i="1"/>
  <c r="L19" i="1"/>
  <c r="L24" i="1" s="1"/>
  <c r="G73" i="28"/>
  <c r="W52" i="25"/>
  <c r="F70" i="25"/>
  <c r="F54" i="25"/>
  <c r="G68" i="25" s="1"/>
  <c r="G70" i="25"/>
  <c r="H73" i="28"/>
  <c r="W50" i="25"/>
  <c r="X50" i="25"/>
  <c r="D54" i="25"/>
  <c r="D70" i="25"/>
  <c r="O50" i="25"/>
  <c r="T50" i="25"/>
  <c r="L50" i="25"/>
  <c r="E73" i="28"/>
  <c r="M50" i="25"/>
  <c r="F73" i="28"/>
  <c r="N50" i="25"/>
  <c r="X54" i="25"/>
  <c r="G71" i="25"/>
  <c r="G56" i="25"/>
  <c r="I25" i="1"/>
  <c r="M23" i="1"/>
  <c r="M4" i="1" s="1"/>
  <c r="K24" i="1"/>
  <c r="J24" i="1"/>
  <c r="I24" i="1"/>
  <c r="M8" i="1"/>
  <c r="M11" i="1"/>
  <c r="H24" i="1"/>
  <c r="N23" i="1"/>
  <c r="N4" i="1" s="1"/>
  <c r="M9" i="1"/>
  <c r="D14" i="1"/>
  <c r="H25" i="1" s="1"/>
  <c r="E56" i="25" l="1"/>
  <c r="N99" i="28" s="1"/>
  <c r="V52" i="25"/>
  <c r="E71" i="25"/>
  <c r="M52" i="25"/>
  <c r="C56" i="25"/>
  <c r="C58" i="25" s="1"/>
  <c r="E70" i="25"/>
  <c r="M24" i="1"/>
  <c r="M6" i="1" s="1"/>
  <c r="M5" i="1" s="1"/>
  <c r="F71" i="25"/>
  <c r="F56" i="25"/>
  <c r="O98" i="28" s="1"/>
  <c r="W54" i="25"/>
  <c r="V56" i="25"/>
  <c r="N75" i="28"/>
  <c r="F68" i="25"/>
  <c r="N52" i="25"/>
  <c r="N98" i="28"/>
  <c r="C70" i="25"/>
  <c r="T52" i="25"/>
  <c r="L52" i="25"/>
  <c r="O52" i="25"/>
  <c r="N24" i="1"/>
  <c r="N6" i="1" s="1"/>
  <c r="N5" i="1" s="1"/>
  <c r="P75" i="28"/>
  <c r="P98" i="28"/>
  <c r="P99" i="28"/>
  <c r="N25" i="1"/>
  <c r="N14" i="1" s="1"/>
  <c r="D56" i="25"/>
  <c r="D71" i="25"/>
  <c r="E68" i="25"/>
  <c r="U54" i="25"/>
  <c r="G58" i="25"/>
  <c r="X56" i="25"/>
  <c r="G73" i="25"/>
  <c r="E73" i="25" l="1"/>
  <c r="E58" i="25"/>
  <c r="V58" i="25" s="1"/>
  <c r="P81" i="28"/>
  <c r="O75" i="28"/>
  <c r="F58" i="25"/>
  <c r="F60" i="25" s="1"/>
  <c r="W56" i="25"/>
  <c r="O81" i="28"/>
  <c r="F73" i="25"/>
  <c r="O99" i="28"/>
  <c r="E60" i="25"/>
  <c r="N73" i="28" s="1"/>
  <c r="M54" i="25"/>
  <c r="D68" i="25"/>
  <c r="L54" i="25"/>
  <c r="T54" i="25"/>
  <c r="N56" i="25"/>
  <c r="L75" i="28"/>
  <c r="L98" i="28"/>
  <c r="L99" i="28"/>
  <c r="O56" i="25"/>
  <c r="C71" i="25"/>
  <c r="M10" i="1"/>
  <c r="M12" i="1" s="1"/>
  <c r="M13" i="1" s="1"/>
  <c r="M15" i="1" s="1"/>
  <c r="M81" i="28"/>
  <c r="M98" i="28"/>
  <c r="M75" i="28"/>
  <c r="M99" i="28"/>
  <c r="N81" i="28"/>
  <c r="D58" i="25"/>
  <c r="U56" i="25"/>
  <c r="D73" i="25"/>
  <c r="N54" i="25"/>
  <c r="O54" i="25"/>
  <c r="N10" i="1"/>
  <c r="N12" i="1" s="1"/>
  <c r="N13" i="1" s="1"/>
  <c r="N15" i="1" s="1"/>
  <c r="C73" i="25"/>
  <c r="T56" i="25"/>
  <c r="N58" i="25"/>
  <c r="L56" i="25"/>
  <c r="M56" i="25"/>
  <c r="G60" i="25"/>
  <c r="X58" i="25"/>
  <c r="W58" i="25" l="1"/>
  <c r="V60" i="25"/>
  <c r="E72" i="25"/>
  <c r="N72" i="28"/>
  <c r="P82" i="28"/>
  <c r="P73" i="28"/>
  <c r="P72" i="28"/>
  <c r="O72" i="28"/>
  <c r="O82" i="28"/>
  <c r="O73" i="28"/>
  <c r="U58" i="25"/>
  <c r="D60" i="25"/>
  <c r="T58" i="25"/>
  <c r="C60" i="25"/>
  <c r="L58" i="25"/>
  <c r="M58" i="25"/>
  <c r="F69" i="25"/>
  <c r="F72" i="25"/>
  <c r="W60" i="25"/>
  <c r="G69" i="25"/>
  <c r="X60" i="25"/>
  <c r="G72" i="25"/>
  <c r="O58" i="25"/>
  <c r="N60" i="25" l="1"/>
  <c r="L72" i="28"/>
  <c r="M82" i="28"/>
  <c r="M72" i="28"/>
  <c r="M73" i="28"/>
  <c r="N82" i="28"/>
  <c r="E69" i="25"/>
  <c r="D72" i="25"/>
  <c r="U60" i="25"/>
  <c r="O60" i="25"/>
  <c r="C72" i="25"/>
  <c r="T60" i="25"/>
  <c r="D69" i="25"/>
  <c r="L60" i="25"/>
  <c r="M60" i="25"/>
  <c r="H41" i="25" l="1"/>
  <c r="H41" i="2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<sst xmlns="http://schemas.openxmlformats.org/spreadsheetml/2006/main" count="681" uniqueCount="283">
  <si>
    <t>COMPANY NAME</t>
  </si>
  <si>
    <t>SCREENER.IN</t>
  </si>
  <si>
    <t>Narration</t>
  </si>
  <si>
    <t>Trailing</t>
  </si>
  <si>
    <t>Best Case</t>
  </si>
  <si>
    <t>Worst Case</t>
  </si>
  <si>
    <t>Sales</t>
  </si>
  <si>
    <t>Expenses</t>
  </si>
  <si>
    <t>Operating Profit</t>
  </si>
  <si>
    <t>Other Income</t>
  </si>
  <si>
    <t>Depreciation</t>
  </si>
  <si>
    <t>Interest</t>
  </si>
  <si>
    <t>Profit before tax</t>
  </si>
  <si>
    <t>Tax</t>
  </si>
  <si>
    <t>Net profit</t>
  </si>
  <si>
    <t>RATIOS:</t>
  </si>
  <si>
    <t>Price to earning</t>
  </si>
  <si>
    <t>Dividend Payout</t>
  </si>
  <si>
    <t>OPM</t>
  </si>
  <si>
    <t>TRENDS:</t>
  </si>
  <si>
    <t>BEST</t>
  </si>
  <si>
    <t>WORST</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</si>
  <si>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</si>
  <si>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</si>
  <si>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</si>
  <si>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</si>
  <si>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</si>
  <si>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</si>
  <si>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</si>
  <si>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</si>
  <si>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</si>
  <si>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</si>
  <si>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</si>
  <si>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</si>
  <si>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</si>
  <si>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</si>
  <si>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</si>
  <si>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</si>
  <si>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</si>
  <si>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</si>
  <si>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</si>
  <si>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</si>
  <si>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</si>
  <si>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</si>
  <si>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</si>
  <si>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</si>
  <si>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</si>
  <si>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</si>
  <si>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</si>
  <si>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</si>
  <si>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</si>
  <si>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</si>
  <si>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</si>
  <si>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</si>
  <si>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</si>
  <si>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</si>
  <si>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How to use it?</t>
  </si>
  <si>
    <t>EPS</t>
  </si>
  <si>
    <t>Price</t>
  </si>
  <si>
    <t>Return on Equity</t>
  </si>
  <si>
    <t>Return on Capital Emp</t>
  </si>
  <si>
    <t>LATEST VERSION</t>
  </si>
  <si>
    <t>CURRENT VERSION</t>
  </si>
  <si>
    <t>DABUR INDIA LTD</t>
  </si>
  <si>
    <t>META</t>
  </si>
  <si>
    <t>10 YEARS</t>
  </si>
  <si>
    <t>7 YEARS</t>
  </si>
  <si>
    <t>5 YEARS</t>
  </si>
  <si>
    <t>3 YEARS</t>
  </si>
  <si>
    <t>RECENT</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</si>
  <si>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</si>
  <si>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</si>
  <si>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</si>
  <si>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</si>
  <si>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</si>
  <si>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</si>
  <si>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</si>
  <si>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</si>
  <si>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</si>
  <si>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</si>
  <si>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</si>
  <si>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</si>
  <si>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</si>
  <si>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</si>
  <si>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</si>
  <si>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</si>
  <si>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</si>
  <si>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</si>
  <si>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</si>
  <si>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</si>
  <si>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</si>
  <si>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</si>
  <si>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r>
      <t xml:space="preserve">You can report any formula errors on the worksheet at: </t>
    </r>
    <r>
      <rPr>
        <b/>
        <sz val="11"/>
        <color theme="1"/>
        <rFont val="Calibri"/>
        <family val="2"/>
        <scheme val="minor"/>
      </rPr>
      <t>support@screener.in</t>
    </r>
  </si>
  <si>
    <t>Year</t>
  </si>
  <si>
    <t>year</t>
  </si>
  <si>
    <t>Company</t>
  </si>
  <si>
    <t>Dabur</t>
  </si>
  <si>
    <t>HUL</t>
  </si>
  <si>
    <t>Row Labels</t>
  </si>
  <si>
    <t>Grand Total</t>
  </si>
  <si>
    <t>Sum of Net profit</t>
  </si>
  <si>
    <t>Sum of Sales</t>
  </si>
  <si>
    <t>Sum of Cash from Operating Activity</t>
  </si>
  <si>
    <t>Sum of Cash from Investing Activity</t>
  </si>
  <si>
    <t>Sum of Operating Profit</t>
  </si>
  <si>
    <t>Sum of Reserves</t>
  </si>
  <si>
    <t>Sum of Debtor Days</t>
  </si>
  <si>
    <t>Sum of Cash from Financing Activity</t>
  </si>
  <si>
    <t xml:space="preserve">Dashboard of peer company DABUR AND HUL </t>
  </si>
  <si>
    <t>PROFIT AND LOSS ACCOUNT OF DABUR INDIA (in RS CR.)</t>
  </si>
  <si>
    <t>Mar 23</t>
  </si>
  <si>
    <t>TRENDLINE</t>
  </si>
  <si>
    <t>INCOME</t>
  </si>
  <si>
    <t>Revenue From Operations [Gross]</t>
  </si>
  <si>
    <t>Less: Excise/Sevice Tax/Other Levies</t>
  </si>
  <si>
    <t>Revenue From Operations [Net]</t>
  </si>
  <si>
    <t>Other Operating Revenues</t>
  </si>
  <si>
    <t>Total Operating Revenues</t>
  </si>
  <si>
    <t>Total Revenue</t>
  </si>
  <si>
    <t>EXPENSES</t>
  </si>
  <si>
    <t>Cost Of Materials Consumed</t>
  </si>
  <si>
    <t>Purchase Of Stock-In Trade</t>
  </si>
  <si>
    <t>Changes In Inventories Of FG,WIP And Stock-In Trade</t>
  </si>
  <si>
    <t>Employee Benefit Expenses</t>
  </si>
  <si>
    <t>Finance Costs</t>
  </si>
  <si>
    <t>Depreciation And Amortisation Expenses</t>
  </si>
  <si>
    <t>Total Expenses</t>
  </si>
  <si>
    <t>Profit/Loss Before Exceptional, ExtraOrdinary Items And Tax</t>
  </si>
  <si>
    <t>Exceptional Items</t>
  </si>
  <si>
    <t>Profit/Loss Before Tax</t>
  </si>
  <si>
    <t>Tax Expenses-Continued Operations</t>
  </si>
  <si>
    <t>Current Tax</t>
  </si>
  <si>
    <t>Deferred Tax</t>
  </si>
  <si>
    <t>Total Tax Expenses</t>
  </si>
  <si>
    <t>Profit/Loss After Tax And Before ExtraOrdinary Items</t>
  </si>
  <si>
    <t>Profit/Loss From Continuing Operations</t>
  </si>
  <si>
    <t>Profit/Loss For The Period</t>
  </si>
  <si>
    <t>Minority Interest</t>
  </si>
  <si>
    <t>Share Of Profit/Loss Of Associates</t>
  </si>
  <si>
    <t>Consolidated Profit/Loss After MI And Associates</t>
  </si>
  <si>
    <t>OTHER ADDITIONAL INFORMATION</t>
  </si>
  <si>
    <t>EARNINGS PER SHARE</t>
  </si>
  <si>
    <t>Basic EPS (Rs.)</t>
  </si>
  <si>
    <t>Diluted EPS (Rs.)</t>
  </si>
  <si>
    <t>DIVIDEND AND DIVIDEND PERCENTAGE</t>
  </si>
  <si>
    <t>Equity Share Dividend</t>
  </si>
  <si>
    <t>Tax On Dividend</t>
  </si>
  <si>
    <r>
      <t xml:space="preserve">                                                                                                    </t>
    </r>
    <r>
      <rPr>
        <b/>
        <sz val="10"/>
        <color theme="1" tint="4.9989318521683403E-2"/>
        <rFont val="Calibri"/>
        <family val="2"/>
        <scheme val="minor"/>
      </rPr>
      <t>DABUR INDIA</t>
    </r>
  </si>
  <si>
    <t xml:space="preserve">                INCOME STATEMENT</t>
  </si>
  <si>
    <r>
      <rPr>
        <b/>
        <sz val="9"/>
        <color theme="1"/>
        <rFont val="Calibri"/>
        <family val="2"/>
        <scheme val="minor"/>
      </rPr>
      <t>PROFIT AND LOSS ACCOUNT OF DABUR INDIA (in RS CR.</t>
    </r>
    <r>
      <rPr>
        <b/>
        <sz val="10"/>
        <color theme="1"/>
        <rFont val="Calibri"/>
        <family val="2"/>
        <scheme val="minor"/>
      </rPr>
      <t>)</t>
    </r>
  </si>
  <si>
    <t>(HORIZONTAL)</t>
  </si>
  <si>
    <t>Income statement ANALYST</t>
  </si>
  <si>
    <t>Revenue from Operation</t>
  </si>
  <si>
    <t>Other Operating Revenue</t>
  </si>
  <si>
    <t>Total Revenue From Operations</t>
  </si>
  <si>
    <t>Total Income</t>
  </si>
  <si>
    <t>COGS</t>
  </si>
  <si>
    <t>GP</t>
  </si>
  <si>
    <t>SGA</t>
  </si>
  <si>
    <t>EBITDA</t>
  </si>
  <si>
    <t>DA</t>
  </si>
  <si>
    <t xml:space="preserve">EBIT </t>
  </si>
  <si>
    <t>Int/Finance Cost</t>
  </si>
  <si>
    <t>EBT</t>
  </si>
  <si>
    <t>PAT</t>
  </si>
  <si>
    <t>Indicators</t>
  </si>
  <si>
    <t>YOY_growth of sales</t>
  </si>
  <si>
    <t xml:space="preserve">YOY_growth of EBITDA </t>
  </si>
  <si>
    <t>YOY_ growth of PAT</t>
  </si>
  <si>
    <t>GPM</t>
  </si>
  <si>
    <t>EBITDAM</t>
  </si>
  <si>
    <t>NPM</t>
  </si>
  <si>
    <t>Interest coverage</t>
  </si>
  <si>
    <t xml:space="preserve">                                Benjamin Graham Income Statement: Health Check			</t>
  </si>
  <si>
    <t>CASH FLOW OF DABUR INDIA (in Rs Cr.)</t>
  </si>
  <si>
    <t>Net Cash From Operating Activities</t>
  </si>
  <si>
    <t>Net Cash used in Investing activities</t>
  </si>
  <si>
    <t>Net Cash used from Financing Activities</t>
  </si>
  <si>
    <t xml:space="preserve">                                                                            DABUR INDIA CASH FLOW STATEMENT</t>
  </si>
  <si>
    <t>HEALTH CHECK OF CFS</t>
  </si>
  <si>
    <t>YOY_CFO</t>
  </si>
  <si>
    <t>YOY_CFI</t>
  </si>
  <si>
    <t>CFO MARGIN</t>
  </si>
  <si>
    <t>CFO/INTEREST</t>
  </si>
  <si>
    <t>Balance sheet of DABUR INDIA (in CR.)</t>
  </si>
  <si>
    <t>EQUITIES AND LIABILITIES</t>
  </si>
  <si>
    <t>SHAREHOLDER'S FUNDS</t>
  </si>
  <si>
    <t>Total Share Capital</t>
  </si>
  <si>
    <t>Reserves and Surplus</t>
  </si>
  <si>
    <t>Total Reserves and Surplus</t>
  </si>
  <si>
    <t>Employees Stock Options</t>
  </si>
  <si>
    <t>Total Shareholders Funds</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</si>
  <si>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</si>
  <si>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</si>
  <si>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</si>
  <si>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</si>
  <si>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</si>
  <si>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</si>
  <si>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</si>
  <si>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</si>
  <si>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</si>
  <si>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</si>
  <si>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</si>
  <si>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</si>
  <si>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</si>
  <si>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</si>
  <si>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</si>
  <si>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</si>
  <si>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Intangible Assets</t>
  </si>
  <si>
    <t>Capital Work-In-Progress</t>
  </si>
  <si>
    <t>Fixed Assets</t>
  </si>
  <si>
    <t>Non-Current Investments</t>
  </si>
  <si>
    <t>Deferred Tax Assets [Net]</t>
  </si>
  <si>
    <t>Long Term Loans And Advances</t>
  </si>
  <si>
    <t>Other Non-Current Assets</t>
  </si>
  <si>
    <t>Total Non-Current Assets</t>
  </si>
  <si>
    <t>CURRENT ASSETS</t>
  </si>
  <si>
    <t>Current Investments</t>
  </si>
  <si>
    <t>Inventories</t>
  </si>
  <si>
    <t>Trade Receivables</t>
  </si>
  <si>
    <t>Cash And Cash Equivalents</t>
  </si>
  <si>
    <t>Short Term Loans And Advances</t>
  </si>
  <si>
    <t>OtherCurrentAssets</t>
  </si>
  <si>
    <t>Total Current Assets</t>
  </si>
  <si>
    <t>Total Assets</t>
  </si>
  <si>
    <t>CONTINGENT LIABILITIES, COMMITMENTS</t>
  </si>
  <si>
    <t>Contingent Liabilities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</si>
  <si>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</si>
  <si>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</si>
  <si>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</si>
  <si>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</si>
  <si>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</si>
  <si>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</si>
  <si>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</si>
  <si>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</si>
  <si>
    <t>Long Term Solvency:</t>
  </si>
  <si>
    <t>YOY_Revenue</t>
  </si>
  <si>
    <t>Debit to equity ratio</t>
  </si>
  <si>
    <t>Reserve as % Total Capital</t>
  </si>
  <si>
    <t>Short Term Solvency</t>
  </si>
  <si>
    <t>Current Ratio</t>
  </si>
  <si>
    <t>Quick Ratio</t>
  </si>
  <si>
    <t>Debtors Conversion Period</t>
  </si>
  <si>
    <t>Inventory Conversion Period</t>
  </si>
  <si>
    <t>Creditors Payable Period</t>
  </si>
  <si>
    <t>Working Capital Conversion Days</t>
  </si>
  <si>
    <r>
      <rPr>
        <b/>
        <sz val="11"/>
        <color theme="1"/>
        <rFont val="Calibri"/>
        <family val="2"/>
        <scheme val="minor"/>
      </rPr>
      <t xml:space="preserve">                           Benjamin Graham Income Statement: Health Check</t>
    </r>
    <r>
      <rPr>
        <sz val="11"/>
        <color theme="1"/>
        <rFont val="Calibri"/>
        <family val="2"/>
        <scheme val="minor"/>
      </rPr>
      <t xml:space="preserve">			</t>
    </r>
  </si>
  <si>
    <t>HORIZONTAL ANALYSIS</t>
  </si>
  <si>
    <t>VERTICAL ANALYSIS</t>
  </si>
  <si>
    <t>Inventory Turnover Ratio</t>
  </si>
  <si>
    <t>Dividend Payout Ratio</t>
  </si>
  <si>
    <t>Profitability Ratio</t>
  </si>
  <si>
    <t>Return on Equity(ROE)</t>
  </si>
  <si>
    <t>Return on Sales(ROS)</t>
  </si>
  <si>
    <t>Growth Rates</t>
  </si>
  <si>
    <t>Dividend Growth Rate</t>
  </si>
  <si>
    <t>EPS Growth Rate</t>
  </si>
  <si>
    <t>Sales Growth Rate</t>
  </si>
  <si>
    <t>EBIT Growth Rate</t>
  </si>
  <si>
    <t>Net Income Growth Rate</t>
  </si>
  <si>
    <t>Liquidity Ratios</t>
  </si>
  <si>
    <t>Operating Efficiency Ratios</t>
  </si>
  <si>
    <t>Receivable Turnover Ratio</t>
  </si>
  <si>
    <t>Leverage Ratios</t>
  </si>
  <si>
    <t>Total Debt to Total Capitalization</t>
  </si>
  <si>
    <t>lomg-Term Debt to Total Capitalization</t>
  </si>
  <si>
    <t>Total Debt to Equity</t>
  </si>
  <si>
    <t>Coverage Ratios</t>
  </si>
  <si>
    <t>Times Interest Earned (TIE)</t>
  </si>
  <si>
    <t>Cash Coverage Ratio</t>
  </si>
  <si>
    <t>Profit Ratio</t>
  </si>
  <si>
    <t>Return on Asset</t>
  </si>
  <si>
    <t>RATIOS</t>
  </si>
  <si>
    <r>
      <t xml:space="preserve">                                                                           </t>
    </r>
    <r>
      <rPr>
        <b/>
        <sz val="11"/>
        <color theme="1"/>
        <rFont val="Calibri"/>
        <family val="2"/>
        <scheme val="minor"/>
      </rPr>
      <t xml:space="preserve"> DABUR FINANCIAL RATIOS</t>
    </r>
  </si>
  <si>
    <t>DABUR INDIA</t>
  </si>
  <si>
    <t>V</t>
  </si>
  <si>
    <t>INCOME STATEMENT ANALYSIS VERTICAL</t>
  </si>
  <si>
    <t>Sum of OPM</t>
  </si>
  <si>
    <t>Sum of Dividend Payout</t>
  </si>
  <si>
    <t>Sum of Inventory Turnover</t>
  </si>
  <si>
    <t>Sum of Return on Equity</t>
  </si>
  <si>
    <t>Valuation Ratio</t>
  </si>
  <si>
    <r>
      <t xml:space="preserve">                                  </t>
    </r>
    <r>
      <rPr>
        <b/>
        <sz val="10"/>
        <color theme="1" tint="4.9989318521683403E-2"/>
        <rFont val="Calibri"/>
        <family val="2"/>
        <scheme val="minor"/>
      </rPr>
      <t>DABUR INDIA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</si>
</sst>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0.00_);_(* \(#,##0.00\);_(* &quot;-&quot;??_);_(@_)"/>
    <numFmt numFmtId="165" formatCode="[$-409]mmm\-yy;@"/>
  </numFmts>
  <fonts count="19"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1"/>
      <color rgb="FFFF0000"/>
      <name val="Calibri"/>
      <family val="2"/>
      <scheme val="minor"/>
    </font>
    <font>
      <sz val="11"/>
      <name val="Calibri"/>
      <family val="2"/>
      <scheme val="minor"/>
    </font>
    <font>
      <b/>
      <sz val="14"/>
      <color theme="1"/>
      <name val="Calibri"/>
      <family val="2"/>
      <scheme val="minor"/>
    </font>
    <font>
      <b/>
      <sz val="9"/>
      <color theme="1"/>
      <name val="Calibri"/>
      <family val="2"/>
      <scheme val="minor"/>
    </font>
    <font>
      <sz val="10"/>
      <color theme="1"/>
      <name val="Calibri"/>
      <family val="2"/>
      <scheme val="minor"/>
    </font>
    <font>
      <b/>
      <sz val="10"/>
      <color theme="1" tint="4.9989318521683403E-2"/>
      <name val="Calibri"/>
      <family val="2"/>
      <scheme val="minor"/>
    </font>
    <font>
      <b/>
      <sz val="10"/>
      <color theme="1"/>
      <name val="Calibri"/>
      <family val="2"/>
      <scheme val="minor"/>
    </font>
    <font>
      <sz val="8"/>
      <color theme="1"/>
      <name val="Calibri"/>
      <family val="2"/>
      <scheme val="minor"/>
    </font>
    <font>
      <sz val="9"/>
      <color theme="1"/>
      <name val="Calibri"/>
      <family val="2"/>
      <scheme val="minor"/>
    </font>
    <font>
      <b/>
      <sz val="11"/>
      <color theme="1"/>
      <name val="Arial Black"/>
      <family val="2"/>
    </font>
    <font>
      <sz val="9"/>
      <color theme="0"/>
      <name val="Calibri"/>
      <family val="2"/>
      <scheme val="minor"/>
    </font>
  </fonts>
  <fills count="24">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bgColor indexed="64"/>
      </patternFill>
    </fill>
    <fill>
      <patternFill patternType="solid">
        <fgColor theme="0"/>
        <bgColor indexed="64"/>
      </patternFill>
    </fill>
    <fill>
      <patternFill patternType="solid">
        <fgColor theme="8"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9" fontId="3" fillId="0" borderId="0" applyFont="0" applyFill="0" applyBorder="0" applyAlignment="0" applyProtection="0"/>
  </cellStyleXfs>
  <cellXfs count="154">
    <xf numFmtId="0" fontId="0" fillId="0" borderId="0" xfId="0"/>
    <xf numFmtId="43" fontId="1" fillId="0" borderId="0" xfId="1" applyFont="1" applyBorder="1"/>
    <xf numFmtId="0" fontId="1" fillId="0" borderId="0" xfId="0" applyFont="1"/>
    <xf numFmtId="0" fontId="8" fillId="0" borderId="0" xfId="0" applyFont="1"/>
    <xf numFmtId="43" fontId="0" fillId="0" borderId="0" xfId="1" applyFont="1" applyBorder="1"/>
    <xf numFmtId="10" fontId="0" fillId="0" borderId="0" xfId="0" applyNumberFormat="1"/>
    <xf numFmtId="43" fontId="3" fillId="0" borderId="0" xfId="1" applyFont="1" applyBorder="1"/>
    <xf numFmtId="9" fontId="3" fillId="0" borderId="0" xfId="1" applyNumberFormat="1" applyFont="1" applyBorder="1"/>
    <xf numFmtId="43" fontId="2" fillId="2" borderId="0" xfId="3" applyNumberFormat="1" applyFont="1" applyBorder="1"/>
    <xf numFmtId="43" fontId="2" fillId="3" borderId="0" xfId="4" applyNumberFormat="1" applyFont="1" applyBorder="1"/>
    <xf numFmtId="9" fontId="1" fillId="0" borderId="0" xfId="6" applyFont="1" applyBorder="1"/>
    <xf numFmtId="0" fontId="2" fillId="5" borderId="0" xfId="0" applyFont="1" applyFill="1"/>
    <xf numFmtId="165" fontId="2" fillId="5" borderId="0" xfId="0" applyNumberFormat="1" applyFont="1" applyFill="1" applyAlignment="1">
      <alignment horizontal="center"/>
    </xf>
    <xf numFmtId="0" fontId="2" fillId="5" borderId="0" xfId="0" applyFont="1" applyFill="1" applyAlignment="1">
      <alignment horizontal="center"/>
    </xf>
    <xf numFmtId="43" fontId="0" fillId="0" borderId="0" xfId="1" applyFont="1" applyBorder="1" applyAlignment="1">
      <alignment horizontal="center"/>
    </xf>
    <xf numFmtId="43" fontId="1" fillId="0" borderId="0" xfId="1" applyFont="1" applyBorder="1" applyAlignment="1">
      <alignment horizontal="center"/>
    </xf>
    <xf numFmtId="10" fontId="1" fillId="0" borderId="0" xfId="0" applyNumberFormat="1" applyFont="1"/>
    <xf numFmtId="165" fontId="2" fillId="5" borderId="0" xfId="1" applyNumberFormat="1" applyFont="1" applyFill="1" applyBorder="1"/>
    <xf numFmtId="165" fontId="9" fillId="0" borderId="0" xfId="1" applyNumberFormat="1" applyFont="1" applyFill="1" applyBorder="1"/>
    <xf numFmtId="0" fontId="7" fillId="0" borderId="0" xfId="0" applyFont="1"/>
    <xf numFmtId="0" fontId="0" fillId="0" borderId="0" xfId="0" applyAlignment="1">
      <alignment horizontal="left"/>
    </xf>
    <xf numFmtId="0" fontId="6" fillId="0" borderId="0" xfId="2" applyFont="1" applyBorder="1" applyAlignment="1" applyProtection="1">
      <alignment horizontal="left"/>
    </xf>
    <xf numFmtId="0" fontId="6" fillId="0" borderId="0" xfId="2" applyFont="1" applyBorder="1" applyAlignment="1" applyProtection="1"/>
    <xf numFmtId="0" fontId="9" fillId="0" borderId="0" xfId="0" applyFont="1"/>
    <xf numFmtId="164" fontId="0" fillId="0" borderId="0" xfId="1" applyNumberFormat="1" applyFont="1" applyBorder="1"/>
    <xf numFmtId="0" fontId="0" fillId="0" borderId="0" xfId="0" pivotButton="1"/>
    <xf numFmtId="0" fontId="0" fillId="0" borderId="0" xfId="0" applyAlignment="1">
      <alignment horizontal="left" indent="1"/>
    </xf>
    <xf numFmtId="0" fontId="0" fillId="6" borderId="0" xfId="0" applyFill="1"/>
    <xf numFmtId="0" fontId="10" fillId="6" borderId="0" xfId="0" applyFont="1" applyFill="1"/>
    <xf numFmtId="0" fontId="1" fillId="7" borderId="0" xfId="0" applyFont="1" applyFill="1"/>
    <xf numFmtId="10" fontId="1" fillId="7" borderId="0" xfId="0" applyNumberFormat="1" applyFont="1" applyFill="1"/>
    <xf numFmtId="0" fontId="0" fillId="7" borderId="0" xfId="0" applyFill="1"/>
    <xf numFmtId="43" fontId="3" fillId="7" borderId="0" xfId="1" applyFont="1" applyFill="1" applyBorder="1"/>
    <xf numFmtId="43" fontId="3" fillId="7" borderId="0" xfId="1" applyFont="1" applyFill="1" applyBorder="1" applyAlignment="1">
      <alignment horizontal="center"/>
    </xf>
    <xf numFmtId="10" fontId="0" fillId="7" borderId="0" xfId="0" applyNumberFormat="1" applyFill="1"/>
    <xf numFmtId="0" fontId="0" fillId="8" borderId="1" xfId="0" applyFill="1" applyBorder="1"/>
    <xf numFmtId="17" fontId="1" fillId="9" borderId="1" xfId="0" applyNumberFormat="1" applyFont="1" applyFill="1" applyBorder="1"/>
    <xf numFmtId="0" fontId="1" fillId="9" borderId="1" xfId="0" applyFont="1" applyFill="1" applyBorder="1"/>
    <xf numFmtId="0" fontId="0" fillId="9" borderId="1" xfId="0" applyFill="1" applyBorder="1"/>
    <xf numFmtId="0" fontId="0" fillId="10" borderId="1" xfId="0" applyFill="1" applyBorder="1"/>
    <xf numFmtId="0" fontId="0" fillId="11" borderId="1" xfId="0" applyFill="1" applyBorder="1"/>
    <xf numFmtId="4" fontId="0" fillId="11" borderId="1" xfId="0" applyNumberFormat="1" applyFill="1" applyBorder="1"/>
    <xf numFmtId="0" fontId="0" fillId="0" borderId="1" xfId="0" applyBorder="1"/>
    <xf numFmtId="4" fontId="0" fillId="0" borderId="1" xfId="0" applyNumberFormat="1" applyBorder="1"/>
    <xf numFmtId="4" fontId="0" fillId="10" borderId="1" xfId="0" applyNumberFormat="1" applyFill="1" applyBorder="1"/>
    <xf numFmtId="0" fontId="12" fillId="0" borderId="1" xfId="0" applyFont="1" applyBorder="1"/>
    <xf numFmtId="0" fontId="12" fillId="8" borderId="1" xfId="0" applyFont="1" applyFill="1" applyBorder="1"/>
    <xf numFmtId="0" fontId="14" fillId="9" borderId="1" xfId="0" applyFont="1" applyFill="1" applyBorder="1"/>
    <xf numFmtId="0" fontId="12" fillId="10" borderId="1" xfId="0" applyFont="1" applyFill="1" applyBorder="1"/>
    <xf numFmtId="0" fontId="12" fillId="11" borderId="1" xfId="0" applyFont="1" applyFill="1" applyBorder="1"/>
    <xf numFmtId="0" fontId="0" fillId="8" borderId="2" xfId="0" applyFill="1" applyBorder="1"/>
    <xf numFmtId="17" fontId="1" fillId="13" borderId="3" xfId="0" applyNumberFormat="1" applyFont="1" applyFill="1" applyBorder="1"/>
    <xf numFmtId="0" fontId="1" fillId="13" borderId="3" xfId="0" applyFont="1" applyFill="1" applyBorder="1"/>
    <xf numFmtId="0" fontId="0" fillId="13" borderId="4" xfId="0" applyFill="1" applyBorder="1"/>
    <xf numFmtId="0" fontId="0" fillId="0" borderId="5" xfId="0" applyBorder="1"/>
    <xf numFmtId="0" fontId="12" fillId="14" borderId="6" xfId="0" applyFont="1" applyFill="1" applyBorder="1"/>
    <xf numFmtId="0" fontId="12" fillId="12" borderId="6" xfId="0" applyFont="1" applyFill="1" applyBorder="1"/>
    <xf numFmtId="0" fontId="12" fillId="12" borderId="7" xfId="0" applyFont="1" applyFill="1" applyBorder="1"/>
    <xf numFmtId="4" fontId="0" fillId="0" borderId="8" xfId="0" applyNumberFormat="1" applyBorder="1"/>
    <xf numFmtId="0" fontId="0" fillId="0" borderId="9" xfId="0" applyBorder="1"/>
    <xf numFmtId="0" fontId="0" fillId="15" borderId="6" xfId="0" applyFill="1" applyBorder="1"/>
    <xf numFmtId="0" fontId="0" fillId="0" borderId="6" xfId="0" applyBorder="1"/>
    <xf numFmtId="0" fontId="0" fillId="16" borderId="6" xfId="0" applyFill="1" applyBorder="1"/>
    <xf numFmtId="0" fontId="0" fillId="0" borderId="7" xfId="0" applyBorder="1"/>
    <xf numFmtId="0" fontId="1" fillId="8" borderId="2" xfId="0" applyFont="1" applyFill="1" applyBorder="1"/>
    <xf numFmtId="0" fontId="1" fillId="8" borderId="3" xfId="0" applyFont="1" applyFill="1" applyBorder="1"/>
    <xf numFmtId="0" fontId="1" fillId="8" borderId="4" xfId="0" applyFont="1" applyFill="1" applyBorder="1"/>
    <xf numFmtId="17" fontId="1" fillId="13" borderId="1" xfId="0" applyNumberFormat="1" applyFont="1" applyFill="1" applyBorder="1"/>
    <xf numFmtId="0" fontId="1" fillId="13" borderId="1" xfId="0" applyFont="1" applyFill="1" applyBorder="1"/>
    <xf numFmtId="0" fontId="1" fillId="17" borderId="1" xfId="0" applyFont="1" applyFill="1" applyBorder="1"/>
    <xf numFmtId="0" fontId="1" fillId="11" borderId="1" xfId="0" applyFont="1" applyFill="1" applyBorder="1"/>
    <xf numFmtId="0" fontId="1" fillId="18" borderId="1" xfId="0" applyFont="1" applyFill="1" applyBorder="1"/>
    <xf numFmtId="0" fontId="0" fillId="18" borderId="1" xfId="0" applyFill="1" applyBorder="1"/>
    <xf numFmtId="17" fontId="1" fillId="17" borderId="1" xfId="0" applyNumberFormat="1" applyFont="1" applyFill="1" applyBorder="1"/>
    <xf numFmtId="0" fontId="1" fillId="17" borderId="2" xfId="0" applyFont="1" applyFill="1" applyBorder="1"/>
    <xf numFmtId="0" fontId="1" fillId="6" borderId="6" xfId="0" applyFont="1" applyFill="1" applyBorder="1"/>
    <xf numFmtId="0" fontId="1" fillId="0" borderId="6" xfId="0" applyFont="1" applyBorder="1"/>
    <xf numFmtId="0" fontId="1" fillId="0" borderId="7" xfId="0" applyFont="1" applyBorder="1"/>
    <xf numFmtId="0" fontId="15" fillId="19" borderId="1" xfId="0" applyFont="1" applyFill="1" applyBorder="1"/>
    <xf numFmtId="17" fontId="1" fillId="19" borderId="1" xfId="0" applyNumberFormat="1" applyFont="1" applyFill="1" applyBorder="1"/>
    <xf numFmtId="0" fontId="0" fillId="6" borderId="1" xfId="0" applyFill="1" applyBorder="1"/>
    <xf numFmtId="0" fontId="0" fillId="6" borderId="6" xfId="0" applyFill="1" applyBorder="1"/>
    <xf numFmtId="0" fontId="0" fillId="18" borderId="2" xfId="0" applyFill="1" applyBorder="1"/>
    <xf numFmtId="0" fontId="0" fillId="18" borderId="3" xfId="0" applyFill="1" applyBorder="1"/>
    <xf numFmtId="0" fontId="0" fillId="18" borderId="4" xfId="0" applyFill="1" applyBorder="1"/>
    <xf numFmtId="0" fontId="15" fillId="19" borderId="6" xfId="0" applyFont="1" applyFill="1" applyBorder="1"/>
    <xf numFmtId="0" fontId="1" fillId="19" borderId="5" xfId="0" applyFont="1" applyFill="1" applyBorder="1"/>
    <xf numFmtId="0" fontId="0" fillId="0" borderId="10" xfId="0" applyBorder="1"/>
    <xf numFmtId="10" fontId="0" fillId="0" borderId="10" xfId="0" applyNumberFormat="1" applyBorder="1"/>
    <xf numFmtId="10" fontId="0" fillId="0" borderId="11" xfId="0" applyNumberFormat="1" applyBorder="1"/>
    <xf numFmtId="10" fontId="0" fillId="0" borderId="12" xfId="0" applyNumberFormat="1" applyBorder="1"/>
    <xf numFmtId="0" fontId="16" fillId="0" borderId="0" xfId="0" applyFont="1"/>
    <xf numFmtId="10" fontId="0" fillId="0" borderId="1" xfId="0" applyNumberFormat="1" applyBorder="1"/>
    <xf numFmtId="0" fontId="17" fillId="0" borderId="2" xfId="0" applyFont="1" applyBorder="1"/>
    <xf numFmtId="17" fontId="1" fillId="22" borderId="3" xfId="0" applyNumberFormat="1" applyFont="1" applyFill="1" applyBorder="1"/>
    <xf numFmtId="0" fontId="1" fillId="22" borderId="3" xfId="0" applyFont="1" applyFill="1" applyBorder="1"/>
    <xf numFmtId="0" fontId="0" fillId="22" borderId="4" xfId="0" applyFill="1" applyBorder="1"/>
    <xf numFmtId="10" fontId="0" fillId="0" borderId="5" xfId="0" applyNumberFormat="1" applyBorder="1"/>
    <xf numFmtId="0" fontId="0" fillId="0" borderId="8" xfId="0" applyBorder="1"/>
    <xf numFmtId="10" fontId="0" fillId="0" borderId="9" xfId="0" applyNumberFormat="1" applyBorder="1"/>
    <xf numFmtId="0" fontId="1" fillId="8" borderId="1" xfId="0" applyFont="1" applyFill="1" applyBorder="1"/>
    <xf numFmtId="0" fontId="0" fillId="0" borderId="11" xfId="0" applyBorder="1"/>
    <xf numFmtId="0" fontId="0" fillId="0" borderId="12" xfId="0" applyBorder="1"/>
    <xf numFmtId="0" fontId="16" fillId="13" borderId="5" xfId="0" applyFont="1" applyFill="1" applyBorder="1"/>
    <xf numFmtId="10" fontId="0" fillId="0" borderId="16" xfId="0" applyNumberFormat="1" applyBorder="1"/>
    <xf numFmtId="0" fontId="0" fillId="8" borderId="3" xfId="0" applyFill="1" applyBorder="1"/>
    <xf numFmtId="0" fontId="0" fillId="8" borderId="4" xfId="0" applyFill="1" applyBorder="1"/>
    <xf numFmtId="0" fontId="14" fillId="9" borderId="6" xfId="0" applyFont="1" applyFill="1" applyBorder="1"/>
    <xf numFmtId="0" fontId="0" fillId="9" borderId="5" xfId="0" applyFill="1" applyBorder="1"/>
    <xf numFmtId="0" fontId="12" fillId="10" borderId="6" xfId="0" applyFont="1" applyFill="1" applyBorder="1"/>
    <xf numFmtId="0" fontId="12" fillId="11" borderId="6" xfId="0" applyFont="1" applyFill="1" applyBorder="1"/>
    <xf numFmtId="0" fontId="12" fillId="0" borderId="6" xfId="0" applyFont="1" applyBorder="1"/>
    <xf numFmtId="0" fontId="12" fillId="8" borderId="2" xfId="0" applyFont="1" applyFill="1" applyBorder="1"/>
    <xf numFmtId="0" fontId="12" fillId="0" borderId="7" xfId="0" applyFont="1" applyBorder="1"/>
    <xf numFmtId="0" fontId="0" fillId="8" borderId="13" xfId="0" applyFill="1" applyBorder="1"/>
    <xf numFmtId="17" fontId="1" fillId="13" borderId="14" xfId="0" applyNumberFormat="1" applyFont="1" applyFill="1" applyBorder="1"/>
    <xf numFmtId="0" fontId="1" fillId="13" borderId="14" xfId="0" applyFont="1" applyFill="1" applyBorder="1"/>
    <xf numFmtId="0" fontId="0" fillId="13" borderId="15" xfId="0" applyFill="1" applyBorder="1"/>
    <xf numFmtId="0" fontId="12" fillId="14" borderId="16" xfId="0" applyFont="1" applyFill="1" applyBorder="1"/>
    <xf numFmtId="0" fontId="12" fillId="12" borderId="16" xfId="0" applyFont="1" applyFill="1" applyBorder="1"/>
    <xf numFmtId="0" fontId="12" fillId="12" borderId="17" xfId="0" applyFont="1" applyFill="1" applyBorder="1"/>
    <xf numFmtId="0" fontId="0" fillId="21" borderId="18" xfId="0" applyFill="1" applyBorder="1"/>
    <xf numFmtId="0" fontId="0" fillId="21" borderId="19" xfId="0" applyFill="1" applyBorder="1"/>
    <xf numFmtId="0" fontId="0" fillId="21" borderId="20" xfId="0" applyFill="1" applyBorder="1"/>
    <xf numFmtId="0" fontId="0" fillId="20" borderId="2" xfId="0" applyFill="1" applyBorder="1"/>
    <xf numFmtId="17" fontId="1" fillId="20" borderId="3" xfId="0" applyNumberFormat="1" applyFont="1" applyFill="1" applyBorder="1"/>
    <xf numFmtId="0" fontId="1" fillId="20" borderId="3" xfId="0" applyFont="1" applyFill="1" applyBorder="1"/>
    <xf numFmtId="0" fontId="0" fillId="20" borderId="4" xfId="0" applyFill="1" applyBorder="1"/>
    <xf numFmtId="0" fontId="16" fillId="18" borderId="2" xfId="0" applyFont="1" applyFill="1" applyBorder="1"/>
    <xf numFmtId="0" fontId="16" fillId="19" borderId="6" xfId="0" applyFont="1" applyFill="1" applyBorder="1"/>
    <xf numFmtId="0" fontId="16" fillId="6" borderId="6" xfId="0" applyFont="1" applyFill="1" applyBorder="1"/>
    <xf numFmtId="0" fontId="16" fillId="0" borderId="6" xfId="0" applyFont="1" applyBorder="1"/>
    <xf numFmtId="0" fontId="16" fillId="0" borderId="7" xfId="0" applyFont="1" applyBorder="1"/>
    <xf numFmtId="0" fontId="0" fillId="23" borderId="0" xfId="0" applyFill="1"/>
    <xf numFmtId="0" fontId="0" fillId="6" borderId="21" xfId="0" applyFill="1" applyBorder="1"/>
    <xf numFmtId="0" fontId="0" fillId="6" borderId="22" xfId="0" applyFill="1" applyBorder="1"/>
    <xf numFmtId="0" fontId="0" fillId="6" borderId="23" xfId="0" applyFill="1" applyBorder="1"/>
    <xf numFmtId="0" fontId="1" fillId="18" borderId="3" xfId="0" applyFont="1" applyFill="1" applyBorder="1"/>
    <xf numFmtId="0" fontId="18" fillId="0" borderId="0" xfId="0" applyFont="1"/>
    <xf numFmtId="0" fontId="0" fillId="0" borderId="25" xfId="0" applyBorder="1"/>
    <xf numFmtId="10" fontId="0" fillId="0" borderId="25" xfId="0" applyNumberFormat="1" applyBorder="1"/>
    <xf numFmtId="10" fontId="0" fillId="0" borderId="26" xfId="0" applyNumberFormat="1" applyBorder="1"/>
    <xf numFmtId="0" fontId="0" fillId="0" borderId="26" xfId="0" applyBorder="1"/>
    <xf numFmtId="0" fontId="0" fillId="18" borderId="24" xfId="0" applyFill="1" applyBorder="1"/>
    <xf numFmtId="0" fontId="1" fillId="14" borderId="25" xfId="0" applyFont="1" applyFill="1" applyBorder="1"/>
    <xf numFmtId="0" fontId="0" fillId="18" borderId="27" xfId="0" applyFill="1" applyBorder="1"/>
    <xf numFmtId="0" fontId="1" fillId="19" borderId="27" xfId="0" applyFont="1" applyFill="1" applyBorder="1"/>
    <xf numFmtId="0" fontId="0" fillId="6" borderId="27" xfId="0" applyFill="1" applyBorder="1"/>
    <xf numFmtId="0" fontId="0" fillId="0" borderId="27" xfId="0" applyBorder="1"/>
    <xf numFmtId="4" fontId="0" fillId="0" borderId="27" xfId="0" applyNumberFormat="1" applyBorder="1"/>
    <xf numFmtId="0" fontId="14" fillId="8" borderId="1" xfId="0" applyFont="1" applyFill="1" applyBorder="1"/>
    <xf numFmtId="0" fontId="0" fillId="0" borderId="0" xfId="0" applyNumberFormat="1"/>
    <xf numFmtId="43" fontId="4" fillId="0" borderId="0" xfId="2" applyNumberFormat="1" applyBorder="1" applyAlignment="1" applyProtection="1">
      <alignment horizontal="center"/>
    </xf>
    <xf numFmtId="43" fontId="2" fillId="4" borderId="0" xfId="5" applyNumberFormat="1" applyFont="1" applyBorder="1" applyAlignment="1">
      <alignment horizontal="center"/>
    </xf>
  </cellXfs>
  <cellStyles count="7">
    <cellStyle name="60% - Accent1" xfId="3" builtinId="32"/>
    <cellStyle name="60% - Accent3" xfId="4" builtinId="40"/>
    <cellStyle name="Accent6" xfId="5" builtinId="49"/>
    <cellStyle name="Comma" xfId="1" builtinId="3"/>
    <cellStyle name="Hyperlink" xfId="2" builtinId="8"/>
    <cellStyle name="Normal" xfId="0" builtinId="0"/>
    <cellStyle name="Percent" xfId="6" builtinId="5"/>
  </cellStyles>
  <dxfs count="31">
    <dxf>
      <font>
        <b/>
        <i val="0"/>
        <color theme="0"/>
      </font>
      <fill>
        <patternFill>
          <bgColor theme="5"/>
        </patternFill>
      </fill>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style="thin">
          <color theme="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275D8"/>
      <color rgb="FF5226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1.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7.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8.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3!PivotTable3</c:name>
    <c:fmtId val="3"/>
  </c:pivotSource>
  <c:chart>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3'!$B$3</c:f>
              <c:strCache>
                <c:ptCount val="1"/>
                <c:pt idx="0">
                  <c:v>Sum of Cash from Operating Activity</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'objective 3'!$A$4:$A$7</c:f>
              <c:multiLvlStrCache>
                <c:ptCount val="2"/>
                <c:lvl>
                  <c:pt idx="0">
                    <c:v>Dabur</c:v>
                  </c:pt>
                  <c:pt idx="1">
                    <c:v>HUL</c:v>
                  </c:pt>
                </c:lvl>
                <c:lvl>
                  <c:pt idx="0">
                    <c:v>2017</c:v>
                  </c:pt>
                </c:lvl>
              </c:multiLvlStrCache>
            </c:multiLvlStrRef>
          </c:cat>
          <c:val>
            <c:numRef>
              <c:f>'objective 3'!$B$4:$B$7</c:f>
              <c:numCache>
                <c:formatCode>General</c:formatCode>
                <c:ptCount val="2"/>
                <c:pt idx="0">
                  <c:v>1226.94</c:v>
                </c:pt>
                <c:pt idx="1">
                  <c:v>5185</c:v>
                </c:pt>
              </c:numCache>
            </c:numRef>
          </c:val>
          <c:extLst>
            <c:ext xmlns:c16="http://schemas.microsoft.com/office/drawing/2014/chart" uri="{C3380CC4-5D6E-409C-BE32-E72D297353CC}">
              <c16:uniqueId val="{00000000-F780-4506-8222-27498D7D4E47}"/>
            </c:ext>
          </c:extLst>
        </c:ser>
        <c:ser>
          <c:idx val="1"/>
          <c:order val="1"/>
          <c:tx>
            <c:strRef>
              <c:f>'objective 3'!$C$3</c:f>
              <c:strCache>
                <c:ptCount val="1"/>
                <c:pt idx="0">
                  <c:v>Sum of Cash from Investing Activity</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multiLvlStrRef>
              <c:f>'objective 3'!$A$4:$A$7</c:f>
              <c:multiLvlStrCache>
                <c:ptCount val="2"/>
                <c:lvl>
                  <c:pt idx="0">
                    <c:v>Dabur</c:v>
                  </c:pt>
                  <c:pt idx="1">
                    <c:v>HUL</c:v>
                  </c:pt>
                </c:lvl>
                <c:lvl>
                  <c:pt idx="0">
                    <c:v>2017</c:v>
                  </c:pt>
                </c:lvl>
              </c:multiLvlStrCache>
            </c:multiLvlStrRef>
          </c:cat>
          <c:val>
            <c:numRef>
              <c:f>'objective 3'!$C$4:$C$7</c:f>
              <c:numCache>
                <c:formatCode>General</c:formatCode>
                <c:ptCount val="2"/>
                <c:pt idx="0">
                  <c:v>-807.07</c:v>
                </c:pt>
                <c:pt idx="1">
                  <c:v>-1173</c:v>
                </c:pt>
              </c:numCache>
            </c:numRef>
          </c:val>
          <c:extLst>
            <c:ext xmlns:c16="http://schemas.microsoft.com/office/drawing/2014/chart" uri="{C3380CC4-5D6E-409C-BE32-E72D297353CC}">
              <c16:uniqueId val="{00000001-F780-4506-8222-27498D7D4E47}"/>
            </c:ext>
          </c:extLst>
        </c:ser>
        <c:dLbls>
          <c:showLegendKey val="0"/>
          <c:showVal val="0"/>
          <c:showCatName val="0"/>
          <c:showSerName val="0"/>
          <c:showPercent val="0"/>
          <c:showBubbleSize val="0"/>
        </c:dLbls>
        <c:gapWidth val="164"/>
        <c:overlap val="-22"/>
        <c:axId val="133926720"/>
        <c:axId val="2046309248"/>
      </c:barChart>
      <c:catAx>
        <c:axId val="13392672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309248"/>
        <c:crosses val="autoZero"/>
        <c:auto val="1"/>
        <c:lblAlgn val="ctr"/>
        <c:lblOffset val="100"/>
        <c:noMultiLvlLbl val="0"/>
      </c:catAx>
      <c:valAx>
        <c:axId val="204630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2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3!PivotTable3</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3'!$B$3</c:f>
              <c:strCache>
                <c:ptCount val="1"/>
                <c:pt idx="0">
                  <c:v>Sum of Cash from Operating Activity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'objective 3'!$A$4:$A$7</c:f>
              <c:multiLvlStrCache>
                <c:ptCount val="2"/>
                <c:lvl>
                  <c:pt idx="0">
                    <c:v>Dabur</c:v>
                  </c:pt>
                  <c:pt idx="1">
                    <c:v>HUL</c:v>
                  </c:pt>
                </c:lvl>
                <c:lvl>
                  <c:pt idx="0">
                    <c:v>2017</c:v>
                  </c:pt>
                </c:lvl>
              </c:multiLvlStrCache>
            </c:multiLvlStrRef>
          </c:cat>
          <c:val>
            <c:numRef>
              <c:f>'objective 3'!$B$4:$B$7</c:f>
              <c:numCache>
                <c:formatCode>General</c:formatCode>
                <c:ptCount val="2"/>
                <c:pt idx="0">
                  <c:v>1226.94</c:v>
                </c:pt>
                <c:pt idx="1">
                  <c:v>5185</c:v>
                </c:pt>
              </c:numCache>
            </c:numRef>
          </c:val>
          <c:smooth val="0"/>
          <c:extLst>
            <c:ext xmlns:c16="http://schemas.microsoft.com/office/drawing/2014/chart" uri="{C3380CC4-5D6E-409C-BE32-E72D297353CC}">
              <c16:uniqueId val="{00000000-F089-47A0-98C0-DB10ECB627C8}"/>
            </c:ext>
          </c:extLst>
        </c:ser>
        <c:ser>
          <c:idx val="1"/>
          <c:order val="1"/>
          <c:tx>
            <c:strRef>
              <c:f>'objective 3'!$C$3</c:f>
              <c:strCache>
                <c:ptCount val="1"/>
                <c:pt idx="0">
                  <c:v>Sum of Cash from Investing Activity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'objective 3'!$A$4:$A$7</c:f>
              <c:multiLvlStrCache>
                <c:ptCount val="2"/>
                <c:lvl>
                  <c:pt idx="0">
                    <c:v>Dabur</c:v>
                  </c:pt>
                  <c:pt idx="1">
                    <c:v>HUL</c:v>
                  </c:pt>
                </c:lvl>
                <c:lvl>
                  <c:pt idx="0">
                    <c:v>2017</c:v>
                  </c:pt>
                </c:lvl>
              </c:multiLvlStrCache>
            </c:multiLvlStrRef>
          </c:cat>
          <c:val>
            <c:numRef>
              <c:f>'objective 3'!$C$4:$C$7</c:f>
              <c:numCache>
                <c:formatCode>General</c:formatCode>
                <c:ptCount val="2"/>
                <c:pt idx="0">
                  <c:v>-807.07</c:v>
                </c:pt>
                <c:pt idx="1">
                  <c:v>-1173</c:v>
                </c:pt>
              </c:numCache>
            </c:numRef>
          </c:val>
          <c:smooth val="0"/>
          <c:extLst>
            <c:ext xmlns:c16="http://schemas.microsoft.com/office/drawing/2014/chart" uri="{C3380CC4-5D6E-409C-BE32-E72D297353CC}">
              <c16:uniqueId val="{00000001-F089-47A0-98C0-DB10ECB627C8}"/>
            </c:ext>
          </c:extLst>
        </c:ser>
        <c:dLbls>
          <c:showLegendKey val="0"/>
          <c:showVal val="0"/>
          <c:showCatName val="0"/>
          <c:showSerName val="0"/>
          <c:showPercent val="0"/>
          <c:showBubbleSize val="0"/>
        </c:dLbls>
        <c:marker val="1"/>
        <c:smooth val="0"/>
        <c:axId val="2073733152"/>
        <c:axId val="1857905168"/>
      </c:lineChart>
      <c:catAx>
        <c:axId val="207373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905168"/>
        <c:crosses val="autoZero"/>
        <c:auto val="1"/>
        <c:lblAlgn val="ctr"/>
        <c:lblOffset val="100"/>
        <c:noMultiLvlLbl val="0"/>
      </c:catAx>
      <c:valAx>
        <c:axId val="185790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3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sales!PivotTable2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sales'!$B$3</c:f>
              <c:strCache>
                <c:ptCount val="1"/>
                <c:pt idx="0">
                  <c:v>Total</c:v>
                </c:pt>
              </c:strCache>
            </c:strRef>
          </c:tx>
          <c:spPr>
            <a:solidFill>
              <a:schemeClr val="accent1"/>
            </a:solidFill>
            <a:ln>
              <a:noFill/>
            </a:ln>
            <a:effectLst/>
          </c:spPr>
          <c:invertIfNegative val="0"/>
          <c:cat>
            <c:multiLvlStrRef>
              <c:f>'objective sales'!$A$4:$A$7</c:f>
              <c:multiLvlStrCache>
                <c:ptCount val="2"/>
                <c:lvl>
                  <c:pt idx="0">
                    <c:v>Dabur</c:v>
                  </c:pt>
                  <c:pt idx="1">
                    <c:v>HUL</c:v>
                  </c:pt>
                </c:lvl>
                <c:lvl>
                  <c:pt idx="0">
                    <c:v>2017</c:v>
                  </c:pt>
                </c:lvl>
              </c:multiLvlStrCache>
            </c:multiLvlStrRef>
          </c:cat>
          <c:val>
            <c:numRef>
              <c:f>'objective sales'!$B$4:$B$7</c:f>
              <c:numCache>
                <c:formatCode>General</c:formatCode>
                <c:ptCount val="2"/>
                <c:pt idx="0">
                  <c:v>7613.59</c:v>
                </c:pt>
                <c:pt idx="1">
                  <c:v>33162</c:v>
                </c:pt>
              </c:numCache>
            </c:numRef>
          </c:val>
          <c:extLst>
            <c:ext xmlns:c16="http://schemas.microsoft.com/office/drawing/2014/chart" uri="{C3380CC4-5D6E-409C-BE32-E72D297353CC}">
              <c16:uniqueId val="{00000000-AC59-46DF-87B8-B4AE8BB85F54}"/>
            </c:ext>
          </c:extLst>
        </c:ser>
        <c:dLbls>
          <c:showLegendKey val="0"/>
          <c:showVal val="0"/>
          <c:showCatName val="0"/>
          <c:showSerName val="0"/>
          <c:showPercent val="0"/>
          <c:showBubbleSize val="0"/>
        </c:dLbls>
        <c:gapWidth val="219"/>
        <c:overlap val="-27"/>
        <c:axId val="102385232"/>
        <c:axId val="98631120"/>
      </c:barChart>
      <c:catAx>
        <c:axId val="10238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1120"/>
        <c:crosses val="autoZero"/>
        <c:auto val="1"/>
        <c:lblAlgn val="ctr"/>
        <c:lblOffset val="100"/>
        <c:noMultiLvlLbl val="0"/>
      </c:catAx>
      <c:valAx>
        <c:axId val="9863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8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sales!PivotTable2</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sales'!$B$3</c:f>
              <c:strCache>
                <c:ptCount val="1"/>
                <c:pt idx="0">
                  <c:v>Total</c:v>
                </c:pt>
              </c:strCache>
            </c:strRef>
          </c:tx>
          <c:spPr>
            <a:ln w="28575" cap="rnd">
              <a:solidFill>
                <a:schemeClr val="accent1"/>
              </a:solidFill>
              <a:round/>
            </a:ln>
            <a:effectLst/>
          </c:spPr>
          <c:marker>
            <c:symbol val="none"/>
          </c:marker>
          <c:cat>
            <c:multiLvlStrRef>
              <c:f>'objective sales'!$A$4:$A$7</c:f>
              <c:multiLvlStrCache>
                <c:ptCount val="2"/>
                <c:lvl>
                  <c:pt idx="0">
                    <c:v>Dabur</c:v>
                  </c:pt>
                  <c:pt idx="1">
                    <c:v>HUL</c:v>
                  </c:pt>
                </c:lvl>
                <c:lvl>
                  <c:pt idx="0">
                    <c:v>2017</c:v>
                  </c:pt>
                </c:lvl>
              </c:multiLvlStrCache>
            </c:multiLvlStrRef>
          </c:cat>
          <c:val>
            <c:numRef>
              <c:f>'objective sales'!$B$4:$B$7</c:f>
              <c:numCache>
                <c:formatCode>General</c:formatCode>
                <c:ptCount val="2"/>
                <c:pt idx="0">
                  <c:v>7613.59</c:v>
                </c:pt>
                <c:pt idx="1">
                  <c:v>33162</c:v>
                </c:pt>
              </c:numCache>
            </c:numRef>
          </c:val>
          <c:smooth val="0"/>
          <c:extLst>
            <c:ext xmlns:c16="http://schemas.microsoft.com/office/drawing/2014/chart" uri="{C3380CC4-5D6E-409C-BE32-E72D297353CC}">
              <c16:uniqueId val="{00000000-6F34-4E00-A820-E09799F7629E}"/>
            </c:ext>
          </c:extLst>
        </c:ser>
        <c:dLbls>
          <c:showLegendKey val="0"/>
          <c:showVal val="0"/>
          <c:showCatName val="0"/>
          <c:showSerName val="0"/>
          <c:showPercent val="0"/>
          <c:showBubbleSize val="0"/>
        </c:dLbls>
        <c:smooth val="0"/>
        <c:axId val="1854373088"/>
        <c:axId val="2067185280"/>
      </c:lineChart>
      <c:catAx>
        <c:axId val="185437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85280"/>
        <c:crosses val="autoZero"/>
        <c:auto val="1"/>
        <c:lblAlgn val="ctr"/>
        <c:lblOffset val="100"/>
        <c:noMultiLvlLbl val="0"/>
      </c:catAx>
      <c:valAx>
        <c:axId val="206718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7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operating profit!PivotTable4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operating profit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operating profit'!$B$3</c:f>
              <c:strCache>
                <c:ptCount val="1"/>
                <c:pt idx="0">
                  <c:v>Total</c:v>
                </c:pt>
              </c:strCache>
            </c:strRef>
          </c:tx>
          <c:spPr>
            <a:solidFill>
              <a:schemeClr val="accent1"/>
            </a:solidFill>
            <a:ln>
              <a:noFill/>
            </a:ln>
            <a:effectLst/>
          </c:spPr>
          <c:invertIfNegative val="0"/>
          <c:cat>
            <c:multiLvlStrRef>
              <c:f>'total operating profit'!$A$4:$A$7</c:f>
              <c:multiLvlStrCache>
                <c:ptCount val="2"/>
                <c:lvl>
                  <c:pt idx="0">
                    <c:v>Dabur</c:v>
                  </c:pt>
                  <c:pt idx="1">
                    <c:v>HUL</c:v>
                  </c:pt>
                </c:lvl>
                <c:lvl>
                  <c:pt idx="0">
                    <c:v>2017</c:v>
                  </c:pt>
                </c:lvl>
              </c:multiLvlStrCache>
            </c:multiLvlStrRef>
          </c:cat>
          <c:val>
            <c:numRef>
              <c:f>'total operating profit'!$B$4:$B$7</c:f>
              <c:numCache>
                <c:formatCode>General</c:formatCode>
                <c:ptCount val="2"/>
                <c:pt idx="0">
                  <c:v>1511.6100000000006</c:v>
                </c:pt>
                <c:pt idx="1">
                  <c:v>6328</c:v>
                </c:pt>
              </c:numCache>
            </c:numRef>
          </c:val>
          <c:extLst>
            <c:ext xmlns:c16="http://schemas.microsoft.com/office/drawing/2014/chart" uri="{C3380CC4-5D6E-409C-BE32-E72D297353CC}">
              <c16:uniqueId val="{00000000-4FA2-4A2B-B41E-2B28CB046E0F}"/>
            </c:ext>
          </c:extLst>
        </c:ser>
        <c:dLbls>
          <c:showLegendKey val="0"/>
          <c:showVal val="0"/>
          <c:showCatName val="0"/>
          <c:showSerName val="0"/>
          <c:showPercent val="0"/>
          <c:showBubbleSize val="0"/>
        </c:dLbls>
        <c:gapWidth val="219"/>
        <c:overlap val="-27"/>
        <c:axId val="137795728"/>
        <c:axId val="105978272"/>
      </c:barChart>
      <c:catAx>
        <c:axId val="13779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78272"/>
        <c:crosses val="autoZero"/>
        <c:auto val="1"/>
        <c:lblAlgn val="ctr"/>
        <c:lblOffset val="100"/>
        <c:noMultiLvlLbl val="0"/>
      </c:catAx>
      <c:valAx>
        <c:axId val="10597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9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operating profit!PivotTable4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operating profit</a:t>
            </a:r>
            <a:r>
              <a:rPr lang="en-IN" baseline="0"/>
              <a:t> </a:t>
            </a:r>
            <a:endParaRPr lang="en-IN"/>
          </a:p>
        </c:rich>
      </c:tx>
      <c:layout>
        <c:manualLayout>
          <c:xMode val="edge"/>
          <c:yMode val="edge"/>
          <c:x val="0.32820445392799175"/>
          <c:y val="9.43199975213890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'total operating profit'!$B$3</c:f>
              <c:strCache>
                <c:ptCount val="1"/>
                <c:pt idx="0">
                  <c:v>Total</c:v>
                </c:pt>
              </c:strCache>
            </c:strRef>
          </c:tx>
          <c:spPr>
            <a:ln w="28575" cap="rnd">
              <a:solidFill>
                <a:schemeClr val="accent1"/>
              </a:solidFill>
              <a:round/>
            </a:ln>
            <a:effectLst/>
          </c:spPr>
          <c:marker>
            <c:symbol val="none"/>
          </c:marker>
          <c:cat>
            <c:multiLvlStrRef>
              <c:f>'total operating profit'!$A$4:$A$7</c:f>
              <c:multiLvlStrCache>
                <c:ptCount val="2"/>
                <c:lvl>
                  <c:pt idx="0">
                    <c:v>Dabur</c:v>
                  </c:pt>
                  <c:pt idx="1">
                    <c:v>HUL</c:v>
                  </c:pt>
                </c:lvl>
                <c:lvl>
                  <c:pt idx="0">
                    <c:v>2017</c:v>
                  </c:pt>
                </c:lvl>
              </c:multiLvlStrCache>
            </c:multiLvlStrRef>
          </c:cat>
          <c:val>
            <c:numRef>
              <c:f>'total operating profit'!$B$4:$B$7</c:f>
              <c:numCache>
                <c:formatCode>General</c:formatCode>
                <c:ptCount val="2"/>
                <c:pt idx="0">
                  <c:v>1511.6100000000006</c:v>
                </c:pt>
                <c:pt idx="1">
                  <c:v>6328</c:v>
                </c:pt>
              </c:numCache>
            </c:numRef>
          </c:val>
          <c:smooth val="0"/>
          <c:extLst>
            <c:ext xmlns:c16="http://schemas.microsoft.com/office/drawing/2014/chart" uri="{C3380CC4-5D6E-409C-BE32-E72D297353CC}">
              <c16:uniqueId val="{00000000-3D29-4F4D-932E-21E1CA3EA55F}"/>
            </c:ext>
          </c:extLst>
        </c:ser>
        <c:dLbls>
          <c:showLegendKey val="0"/>
          <c:showVal val="0"/>
          <c:showCatName val="0"/>
          <c:showSerName val="0"/>
          <c:showPercent val="0"/>
          <c:showBubbleSize val="0"/>
        </c:dLbls>
        <c:smooth val="0"/>
        <c:axId val="8639696"/>
        <c:axId val="2126578128"/>
      </c:lineChart>
      <c:catAx>
        <c:axId val="863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78128"/>
        <c:crosses val="autoZero"/>
        <c:auto val="1"/>
        <c:lblAlgn val="ctr"/>
        <c:lblOffset val="100"/>
        <c:noMultiLvlLbl val="0"/>
      </c:catAx>
      <c:valAx>
        <c:axId val="212657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reserve!PivotTable1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Reserve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reserve'!$B$3</c:f>
              <c:strCache>
                <c:ptCount val="1"/>
                <c:pt idx="0">
                  <c:v>Total</c:v>
                </c:pt>
              </c:strCache>
            </c:strRef>
          </c:tx>
          <c:spPr>
            <a:solidFill>
              <a:schemeClr val="accent1"/>
            </a:solidFill>
            <a:ln>
              <a:noFill/>
            </a:ln>
            <a:effectLst/>
          </c:spPr>
          <c:invertIfNegative val="0"/>
          <c:cat>
            <c:multiLvlStrRef>
              <c:f>'total reserve'!$A$4:$A$7</c:f>
              <c:multiLvlStrCache>
                <c:ptCount val="2"/>
                <c:lvl>
                  <c:pt idx="0">
                    <c:v>Dabur</c:v>
                  </c:pt>
                  <c:pt idx="1">
                    <c:v>HUL</c:v>
                  </c:pt>
                </c:lvl>
                <c:lvl>
                  <c:pt idx="0">
                    <c:v>2017</c:v>
                  </c:pt>
                </c:lvl>
              </c:multiLvlStrCache>
            </c:multiLvlStrRef>
          </c:cat>
          <c:val>
            <c:numRef>
              <c:f>'total reserve'!$B$4:$B$7</c:f>
              <c:numCache>
                <c:formatCode>General</c:formatCode>
                <c:ptCount val="2"/>
                <c:pt idx="0">
                  <c:v>4671.24</c:v>
                </c:pt>
                <c:pt idx="1">
                  <c:v>6528</c:v>
                </c:pt>
              </c:numCache>
            </c:numRef>
          </c:val>
          <c:extLst>
            <c:ext xmlns:c16="http://schemas.microsoft.com/office/drawing/2014/chart" uri="{C3380CC4-5D6E-409C-BE32-E72D297353CC}">
              <c16:uniqueId val="{00000000-6EB8-4051-97AB-FCF9ADBBD86D}"/>
            </c:ext>
          </c:extLst>
        </c:ser>
        <c:dLbls>
          <c:showLegendKey val="0"/>
          <c:showVal val="0"/>
          <c:showCatName val="0"/>
          <c:showSerName val="0"/>
          <c:showPercent val="0"/>
          <c:showBubbleSize val="0"/>
        </c:dLbls>
        <c:gapWidth val="219"/>
        <c:overlap val="-27"/>
        <c:axId val="559251775"/>
        <c:axId val="576045855"/>
      </c:barChart>
      <c:catAx>
        <c:axId val="55925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045855"/>
        <c:crosses val="autoZero"/>
        <c:auto val="1"/>
        <c:lblAlgn val="ctr"/>
        <c:lblOffset val="100"/>
        <c:noMultiLvlLbl val="0"/>
      </c:catAx>
      <c:valAx>
        <c:axId val="576045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25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reserve!PivotTable1</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Reserve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reserve'!$B$3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reserve'!$A$4:$A$7</c:f>
              <c:multiLvlStrCache>
                <c:ptCount val="2"/>
                <c:lvl>
                  <c:pt idx="0">
                    <c:v>Dabur</c:v>
                  </c:pt>
                  <c:pt idx="1">
                    <c:v>HUL</c:v>
                  </c:pt>
                </c:lvl>
                <c:lvl>
                  <c:pt idx="0">
                    <c:v>2017</c:v>
                  </c:pt>
                </c:lvl>
              </c:multiLvlStrCache>
            </c:multiLvlStrRef>
          </c:cat>
          <c:val>
            <c:numRef>
              <c:f>'total reserve'!$B$4:$B$7</c:f>
              <c:numCache>
                <c:formatCode>General</c:formatCode>
                <c:ptCount val="2"/>
                <c:pt idx="0">
                  <c:v>4671.24</c:v>
                </c:pt>
                <c:pt idx="1">
                  <c:v>6528</c:v>
                </c:pt>
              </c:numCache>
            </c:numRef>
          </c:val>
          <c:smooth val="0"/>
          <c:extLst>
            <c:ext xmlns:c16="http://schemas.microsoft.com/office/drawing/2014/chart" uri="{C3380CC4-5D6E-409C-BE32-E72D297353CC}">
              <c16:uniqueId val="{00000000-CCA1-4D5B-A009-BCF4D3EAF223}"/>
            </c:ext>
          </c:extLst>
        </c:ser>
        <c:dLbls>
          <c:showLegendKey val="0"/>
          <c:showVal val="0"/>
          <c:showCatName val="0"/>
          <c:showSerName val="0"/>
          <c:showPercent val="0"/>
          <c:showBubbleSize val="0"/>
        </c:dLbls>
        <c:marker val="1"/>
        <c:smooth val="0"/>
        <c:axId val="4684384"/>
        <c:axId val="2126584080"/>
      </c:lineChart>
      <c:catAx>
        <c:axId val="468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84080"/>
        <c:crosses val="autoZero"/>
        <c:auto val="1"/>
        <c:lblAlgn val="ctr"/>
        <c:lblOffset val="100"/>
        <c:noMultiLvlLbl val="0"/>
      </c:catAx>
      <c:valAx>
        <c:axId val="21265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021.xlsx]debtors days !PivotTable1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debtors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'debtors days '!$B$3</c:f>
              <c:strCache>
                <c:ptCount val="1"/>
                <c:pt idx="0">
                  <c:v>Total</c:v>
                </c:pt>
              </c:strCache>
            </c:strRef>
          </c:tx>
          <c:spPr>
            <a:solidFill>
              <a:schemeClr val="accent1"/>
            </a:solidFill>
            <a:ln>
              <a:noFill/>
            </a:ln>
            <a:effectLst/>
            <a:sp3d/>
          </c:spPr>
          <c:invertIfNegative val="0"/>
          <c:cat>
            <c:multiLvlStrRef>
              <c:f>'debtors days '!$A$4:$A$7</c:f>
              <c:multiLvlStrCache>
                <c:ptCount val="2"/>
                <c:lvl>
                  <c:pt idx="0">
                    <c:v>Dabur</c:v>
                  </c:pt>
                  <c:pt idx="1">
                    <c:v>HUL</c:v>
                  </c:pt>
                </c:lvl>
                <c:lvl>
                  <c:pt idx="0">
                    <c:v>2017</c:v>
                  </c:pt>
                </c:lvl>
              </c:multiLvlStrCache>
            </c:multiLvlStrRef>
          </c:cat>
          <c:val>
            <c:numRef>
              <c:f>'debtors days '!$B$4:$B$7</c:f>
              <c:numCache>
                <c:formatCode>General</c:formatCode>
                <c:ptCount val="2"/>
                <c:pt idx="0">
                  <c:v>31.181518836711721</c:v>
                </c:pt>
                <c:pt idx="1">
                  <c:v>11.942132561365419</c:v>
                </c:pt>
              </c:numCache>
            </c:numRef>
          </c:val>
          <c:extLst>
            <c:ext xmlns:c16="http://schemas.microsoft.com/office/drawing/2014/chart" uri="{C3380CC4-5D6E-409C-BE32-E72D297353CC}">
              <c16:uniqueId val="{00000000-4AAA-44A0-A03E-28B2C8FB8BD9}"/>
            </c:ext>
          </c:extLst>
        </c:ser>
        <c:dLbls>
          <c:showLegendKey val="0"/>
          <c:showVal val="0"/>
          <c:showCatName val="0"/>
          <c:showSerName val="0"/>
          <c:showPercent val="0"/>
          <c:showBubbleSize val="0"/>
        </c:dLbls>
        <c:gapWidth val="150"/>
        <c:shape val="box"/>
        <c:axId val="926072063"/>
        <c:axId val="821793887"/>
        <c:axId val="0"/>
      </c:bar3DChart>
      <c:catAx>
        <c:axId val="926072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93887"/>
        <c:crosses val="autoZero"/>
        <c:auto val="1"/>
        <c:lblAlgn val="ctr"/>
        <c:lblOffset val="100"/>
        <c:noMultiLvlLbl val="0"/>
      </c:catAx>
      <c:valAx>
        <c:axId val="82179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07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021.xlsx]debtors days !PivotTable1</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'debtors days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'debtors days '!$A$4:$A$7</c:f>
              <c:multiLvlStrCache>
                <c:ptCount val="2"/>
                <c:lvl>
                  <c:pt idx="0">
                    <c:v>Dabur</c:v>
                  </c:pt>
                  <c:pt idx="1">
                    <c:v>HUL</c:v>
                  </c:pt>
                </c:lvl>
                <c:lvl>
                  <c:pt idx="0">
                    <c:v>2017</c:v>
                  </c:pt>
                </c:lvl>
              </c:multiLvlStrCache>
            </c:multiLvlStrRef>
          </c:cat>
          <c:val>
            <c:numRef>
              <c:f>'debtors days '!$B$4:$B$7</c:f>
              <c:numCache>
                <c:formatCode>General</c:formatCode>
                <c:ptCount val="2"/>
                <c:pt idx="0">
                  <c:v>31.181518836711721</c:v>
                </c:pt>
                <c:pt idx="1">
                  <c:v>11.942132561365419</c:v>
                </c:pt>
              </c:numCache>
            </c:numRef>
          </c:val>
          <c:smooth val="0"/>
          <c:extLst>
            <c:ext xmlns:c16="http://schemas.microsoft.com/office/drawing/2014/chart" uri="{C3380CC4-5D6E-409C-BE32-E72D297353CC}">
              <c16:uniqueId val="{00000000-EEEB-437C-B927-160D2B9A5B3F}"/>
            </c:ext>
          </c:extLst>
        </c:ser>
        <c:dLbls>
          <c:showLegendKey val="0"/>
          <c:showVal val="0"/>
          <c:showCatName val="0"/>
          <c:showSerName val="0"/>
          <c:showPercent val="0"/>
          <c:showBubbleSize val="0"/>
        </c:dLbls>
        <c:marker val="1"/>
        <c:smooth val="0"/>
        <c:axId val="1967288144"/>
        <c:axId val="2126579120"/>
      </c:lineChart>
      <c:catAx>
        <c:axId val="196728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79120"/>
        <c:crosses val="autoZero"/>
        <c:auto val="1"/>
        <c:lblAlgn val="ctr"/>
        <c:lblOffset val="100"/>
        <c:noMultiLvlLbl val="0"/>
      </c:catAx>
      <c:valAx>
        <c:axId val="212657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28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financing activity!PivotTable1</c:name>
    <c:fmtId val="7"/>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10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'cash from financing activity'!$B$3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F3A4-480D-9A36-239564AC4DBE}"/>
              </c:ext>
            </c:extLst>
          </c:dPt>
          <c:dPt>
            <c:idx val="1"/>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F3A4-480D-9A36-239564AC4DBE}"/>
              </c:ext>
            </c:extLst>
          </c:dPt>
          <c:dPt>
            <c:idx val="2"/>
            <c:bubble3D val="0"/>
            <c:extLst>
              <c:ext xmlns:c16="http://schemas.microsoft.com/office/drawing/2014/chart" uri="{C3380CC4-5D6E-409C-BE32-E72D297353CC}">
                <c16:uniqueId val="{00000004-F3A4-480D-9A36-239564AC4DBE}"/>
              </c:ext>
            </c:extLst>
          </c:dPt>
          <c:dPt>
            <c:idx val="3"/>
            <c:bubble3D val="0"/>
            <c:extLst>
              <c:ext xmlns:c16="http://schemas.microsoft.com/office/drawing/2014/chart" uri="{C3380CC4-5D6E-409C-BE32-E72D297353CC}">
                <c16:uniqueId val="{00000005-F3A4-480D-9A36-239564AC4DBE}"/>
              </c:ext>
            </c:extLst>
          </c:dPt>
          <c:dPt>
            <c:idx val="4"/>
            <c:bubble3D val="0"/>
            <c:extLst>
              <c:ext xmlns:c16="http://schemas.microsoft.com/office/drawing/2014/chart" uri="{C3380CC4-5D6E-409C-BE32-E72D297353CC}">
                <c16:uniqueId val="{00000006-F3A4-480D-9A36-239564AC4DBE}"/>
              </c:ext>
            </c:extLst>
          </c:dPt>
          <c:dPt>
            <c:idx val="5"/>
            <c:bubble3D val="0"/>
            <c:extLst>
              <c:ext xmlns:c16="http://schemas.microsoft.com/office/drawing/2014/chart" uri="{C3380CC4-5D6E-409C-BE32-E72D297353CC}">
                <c16:uniqueId val="{00000007-F3A4-480D-9A36-239564AC4DBE}"/>
              </c:ext>
            </c:extLst>
          </c:dPt>
          <c:dPt>
            <c:idx val="6"/>
            <c:bubble3D val="0"/>
            <c:extLst>
              <c:ext xmlns:c16="http://schemas.microsoft.com/office/drawing/2014/chart" uri="{C3380CC4-5D6E-409C-BE32-E72D297353CC}">
                <c16:uniqueId val="{00000008-F3A4-480D-9A36-239564AC4DBE}"/>
              </c:ext>
            </c:extLst>
          </c:dPt>
          <c:dPt>
            <c:idx val="7"/>
            <c:bubble3D val="0"/>
            <c:extLst>
              <c:ext xmlns:c16="http://schemas.microsoft.com/office/drawing/2014/chart" uri="{C3380CC4-5D6E-409C-BE32-E72D297353CC}">
                <c16:uniqueId val="{00000009-F3A4-480D-9A36-239564AC4DBE}"/>
              </c:ext>
            </c:extLst>
          </c:dPt>
          <c:dPt>
            <c:idx val="8"/>
            <c:bubble3D val="0"/>
            <c:extLst>
              <c:ext xmlns:c16="http://schemas.microsoft.com/office/drawing/2014/chart" uri="{C3380CC4-5D6E-409C-BE32-E72D297353CC}">
                <c16:uniqueId val="{0000000A-F3A4-480D-9A36-239564AC4DBE}"/>
              </c:ext>
            </c:extLst>
          </c:dPt>
          <c:dPt>
            <c:idx val="9"/>
            <c:bubble3D val="0"/>
            <c:extLst>
              <c:ext xmlns:c16="http://schemas.microsoft.com/office/drawing/2014/chart" uri="{C3380CC4-5D6E-409C-BE32-E72D297353CC}">
                <c16:uniqueId val="{0000000B-F3A4-480D-9A36-239564AC4DBE}"/>
              </c:ext>
            </c:extLst>
          </c:dPt>
          <c:dPt>
            <c:idx val="10"/>
            <c:bubble3D val="0"/>
            <c:extLst>
              <c:ext xmlns:c16="http://schemas.microsoft.com/office/drawing/2014/chart" uri="{C3380CC4-5D6E-409C-BE32-E72D297353CC}">
                <c16:uniqueId val="{0000000C-F3A4-480D-9A36-239564AC4DBE}"/>
              </c:ext>
            </c:extLst>
          </c:dPt>
          <c:dPt>
            <c:idx val="11"/>
            <c:bubble3D val="0"/>
            <c:extLst>
              <c:ext xmlns:c16="http://schemas.microsoft.com/office/drawing/2014/chart" uri="{C3380CC4-5D6E-409C-BE32-E72D297353CC}">
                <c16:uniqueId val="{0000000D-F3A4-480D-9A36-239564AC4DBE}"/>
              </c:ext>
            </c:extLst>
          </c:dPt>
          <c:dPt>
            <c:idx val="12"/>
            <c:bubble3D val="0"/>
            <c:extLst>
              <c:ext xmlns:c16="http://schemas.microsoft.com/office/drawing/2014/chart" uri="{C3380CC4-5D6E-409C-BE32-E72D297353CC}">
                <c16:uniqueId val="{0000000E-F3A4-480D-9A36-239564AC4DBE}"/>
              </c:ext>
            </c:extLst>
          </c:dPt>
          <c:dPt>
            <c:idx val="13"/>
            <c:bubble3D val="0"/>
            <c:extLst>
              <c:ext xmlns:c16="http://schemas.microsoft.com/office/drawing/2014/chart" uri="{C3380CC4-5D6E-409C-BE32-E72D297353CC}">
                <c16:uniqueId val="{0000000F-F3A4-480D-9A36-239564AC4DBE}"/>
              </c:ext>
            </c:extLst>
          </c:dPt>
          <c:dPt>
            <c:idx val="14"/>
            <c:bubble3D val="0"/>
            <c:extLst>
              <c:ext xmlns:c16="http://schemas.microsoft.com/office/drawing/2014/chart" uri="{C3380CC4-5D6E-409C-BE32-E72D297353CC}">
                <c16:uniqueId val="{00000010-F3A4-480D-9A36-239564AC4DBE}"/>
              </c:ext>
            </c:extLst>
          </c:dPt>
          <c:dPt>
            <c:idx val="15"/>
            <c:bubble3D val="0"/>
            <c:extLst>
              <c:ext xmlns:c16="http://schemas.microsoft.com/office/drawing/2014/chart" uri="{C3380CC4-5D6E-409C-BE32-E72D297353CC}">
                <c16:uniqueId val="{00000011-F3A4-480D-9A36-239564AC4DBE}"/>
              </c:ext>
            </c:extLst>
          </c:dPt>
          <c:dPt>
            <c:idx val="16"/>
            <c:bubble3D val="0"/>
            <c:extLst>
              <c:ext xmlns:c16="http://schemas.microsoft.com/office/drawing/2014/chart" uri="{C3380CC4-5D6E-409C-BE32-E72D297353CC}">
                <c16:uniqueId val="{00000012-F3A4-480D-9A36-239564AC4DBE}"/>
              </c:ext>
            </c:extLst>
          </c:dPt>
          <c:dPt>
            <c:idx val="17"/>
            <c:bubble3D val="0"/>
            <c:extLst>
              <c:ext xmlns:c16="http://schemas.microsoft.com/office/drawing/2014/chart" uri="{C3380CC4-5D6E-409C-BE32-E72D297353CC}">
                <c16:uniqueId val="{00000013-F3A4-480D-9A36-239564AC4DBE}"/>
              </c:ext>
            </c:extLst>
          </c:dPt>
          <c:dPt>
            <c:idx val="18"/>
            <c:bubble3D val="0"/>
            <c:extLst>
              <c:ext xmlns:c16="http://schemas.microsoft.com/office/drawing/2014/chart" uri="{C3380CC4-5D6E-409C-BE32-E72D297353CC}">
                <c16:uniqueId val="{00000014-F3A4-480D-9A36-239564AC4DBE}"/>
              </c:ext>
            </c:extLst>
          </c:dPt>
          <c:dPt>
            <c:idx val="19"/>
            <c:bubble3D val="0"/>
            <c:extLst>
              <c:ext xmlns:c16="http://schemas.microsoft.com/office/drawing/2014/chart" uri="{C3380CC4-5D6E-409C-BE32-E72D297353CC}">
                <c16:uniqueId val="{00000015-F3A4-480D-9A36-239564AC4DB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'cash from financing activity'!$A$4:$A$7</c:f>
              <c:multiLvlStrCache>
                <c:ptCount val="2"/>
                <c:lvl>
                  <c:pt idx="0">
                    <c:v>Dabur</c:v>
                  </c:pt>
                  <c:pt idx="1">
                    <c:v>HUL</c:v>
                  </c:pt>
                </c:lvl>
                <c:lvl>
                  <c:pt idx="0">
                    <c:v>2017</c:v>
                  </c:pt>
                </c:lvl>
              </c:multiLvlStrCache>
            </c:multiLvlStrRef>
          </c:cat>
          <c:val>
            <c:numRef>
              <c:f>'cash from financing activity'!$B$4:$B$7</c:f>
              <c:numCache>
                <c:formatCode>General</c:formatCode>
                <c:ptCount val="2"/>
                <c:pt idx="0">
                  <c:v>-338.97</c:v>
                </c:pt>
                <c:pt idx="1">
                  <c:v>-4214</c:v>
                </c:pt>
              </c:numCache>
            </c:numRef>
          </c:val>
          <c:extLst>
            <c:ext xmlns:c16="http://schemas.microsoft.com/office/drawing/2014/chart" uri="{C3380CC4-5D6E-409C-BE32-E72D297353CC}">
              <c16:uniqueId val="{00000000-F3A4-480D-9A36-239564AC4DBE}"/>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financing activity!PivotTable1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23381452318461"/>
          <c:y val="0.24476633129192185"/>
          <c:w val="0.7015990813648294"/>
          <c:h val="0.59421733741615634"/>
        </c:manualLayout>
      </c:layout>
      <c:lineChart>
        <c:grouping val="standard"/>
        <c:varyColors val="0"/>
        <c:ser>
          <c:idx val="0"/>
          <c:order val="0"/>
          <c:tx>
            <c:strRef>
              <c:f>'cash from financing activity'!$B$3</c:f>
              <c:strCache>
                <c:ptCount val="1"/>
                <c:pt idx="0">
                  <c:v>Total</c:v>
                </c:pt>
              </c:strCache>
            </c:strRef>
          </c:tx>
          <c:spPr>
            <a:ln w="28575" cap="rnd">
              <a:solidFill>
                <a:schemeClr val="accent1"/>
              </a:solidFill>
              <a:round/>
            </a:ln>
            <a:effectLst/>
          </c:spPr>
          <c:marker>
            <c:symbol val="none"/>
          </c:marker>
          <c:cat>
            <c:multiLvlStrRef>
              <c:f>'cash from financing activity'!$A$4:$A$7</c:f>
              <c:multiLvlStrCache>
                <c:ptCount val="2"/>
                <c:lvl>
                  <c:pt idx="0">
                    <c:v>Dabur</c:v>
                  </c:pt>
                  <c:pt idx="1">
                    <c:v>HUL</c:v>
                  </c:pt>
                </c:lvl>
                <c:lvl>
                  <c:pt idx="0">
                    <c:v>2017</c:v>
                  </c:pt>
                </c:lvl>
              </c:multiLvlStrCache>
            </c:multiLvlStrRef>
          </c:cat>
          <c:val>
            <c:numRef>
              <c:f>'cash from financing activity'!$B$4:$B$7</c:f>
              <c:numCache>
                <c:formatCode>General</c:formatCode>
                <c:ptCount val="2"/>
                <c:pt idx="0">
                  <c:v>-338.97</c:v>
                </c:pt>
                <c:pt idx="1">
                  <c:v>-4214</c:v>
                </c:pt>
              </c:numCache>
            </c:numRef>
          </c:val>
          <c:smooth val="0"/>
          <c:extLst>
            <c:ext xmlns:c16="http://schemas.microsoft.com/office/drawing/2014/chart" uri="{C3380CC4-5D6E-409C-BE32-E72D297353CC}">
              <c16:uniqueId val="{00000000-B898-4D41-B63A-50E9990A198D}"/>
            </c:ext>
          </c:extLst>
        </c:ser>
        <c:dLbls>
          <c:showLegendKey val="0"/>
          <c:showVal val="0"/>
          <c:showCatName val="0"/>
          <c:showSerName val="0"/>
          <c:showPercent val="0"/>
          <c:showBubbleSize val="0"/>
        </c:dLbls>
        <c:smooth val="0"/>
        <c:axId val="2086200640"/>
        <c:axId val="2067172880"/>
      </c:lineChart>
      <c:catAx>
        <c:axId val="208620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72880"/>
        <c:crosses val="autoZero"/>
        <c:auto val="1"/>
        <c:lblAlgn val="ctr"/>
        <c:lblOffset val="100"/>
        <c:noMultiLvlLbl val="0"/>
      </c:catAx>
      <c:valAx>
        <c:axId val="206717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20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net profit!PivotTable2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net profit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net profit'!$B$3</c:f>
              <c:strCache>
                <c:ptCount val="1"/>
                <c:pt idx="0">
                  <c:v>Total</c:v>
                </c:pt>
              </c:strCache>
            </c:strRef>
          </c:tx>
          <c:spPr>
            <a:solidFill>
              <a:schemeClr val="accent6"/>
            </a:solidFill>
            <a:ln>
              <a:noFill/>
            </a:ln>
            <a:effectLst/>
          </c:spPr>
          <c:invertIfNegative val="0"/>
          <c:cat>
            <c:multiLvlStrRef>
              <c:f>'total net profit'!$A$4:$A$7</c:f>
              <c:multiLvlStrCache>
                <c:ptCount val="2"/>
                <c:lvl>
                  <c:pt idx="0">
                    <c:v>Dabur</c:v>
                  </c:pt>
                  <c:pt idx="1">
                    <c:v>HUL</c:v>
                  </c:pt>
                </c:lvl>
                <c:lvl>
                  <c:pt idx="0">
                    <c:v>2017</c:v>
                  </c:pt>
                </c:lvl>
              </c:multiLvlStrCache>
            </c:multiLvlStrRef>
          </c:cat>
          <c:val>
            <c:numRef>
              <c:f>'total net profit'!$B$4:$B$7</c:f>
              <c:numCache>
                <c:formatCode>General</c:formatCode>
                <c:ptCount val="2"/>
                <c:pt idx="0">
                  <c:v>1276.94</c:v>
                </c:pt>
                <c:pt idx="1">
                  <c:v>4476</c:v>
                </c:pt>
              </c:numCache>
            </c:numRef>
          </c:val>
          <c:extLst>
            <c:ext xmlns:c16="http://schemas.microsoft.com/office/drawing/2014/chart" uri="{C3380CC4-5D6E-409C-BE32-E72D297353CC}">
              <c16:uniqueId val="{00000000-A531-41EF-A447-F18331B7B3E9}"/>
            </c:ext>
          </c:extLst>
        </c:ser>
        <c:dLbls>
          <c:showLegendKey val="0"/>
          <c:showVal val="0"/>
          <c:showCatName val="0"/>
          <c:showSerName val="0"/>
          <c:showPercent val="0"/>
          <c:showBubbleSize val="0"/>
        </c:dLbls>
        <c:gapWidth val="219"/>
        <c:axId val="2140075296"/>
        <c:axId val="191858688"/>
      </c:barChart>
      <c:catAx>
        <c:axId val="214007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8688"/>
        <c:crosses val="autoZero"/>
        <c:auto val="1"/>
        <c:lblAlgn val="ctr"/>
        <c:lblOffset val="100"/>
        <c:noMultiLvlLbl val="0"/>
      </c:catAx>
      <c:valAx>
        <c:axId val="191858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07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net profit!PivotTable2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Net Profit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'total net profit'!$B$3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net profit'!$A$4:$A$7</c:f>
              <c:multiLvlStrCache>
                <c:ptCount val="2"/>
                <c:lvl>
                  <c:pt idx="0">
                    <c:v>Dabur</c:v>
                  </c:pt>
                  <c:pt idx="1">
                    <c:v>HUL</c:v>
                  </c:pt>
                </c:lvl>
                <c:lvl>
                  <c:pt idx="0">
                    <c:v>2017</c:v>
                  </c:pt>
                </c:lvl>
              </c:multiLvlStrCache>
            </c:multiLvlStrRef>
          </c:cat>
          <c:val>
            <c:numRef>
              <c:f>'total net profit'!$B$4:$B$7</c:f>
              <c:numCache>
                <c:formatCode>General</c:formatCode>
                <c:ptCount val="2"/>
                <c:pt idx="0">
                  <c:v>1276.94</c:v>
                </c:pt>
                <c:pt idx="1">
                  <c:v>4476</c:v>
                </c:pt>
              </c:numCache>
            </c:numRef>
          </c:val>
          <c:smooth val="0"/>
          <c:extLst>
            <c:ext xmlns:c16="http://schemas.microsoft.com/office/drawing/2014/chart" uri="{C3380CC4-5D6E-409C-BE32-E72D297353CC}">
              <c16:uniqueId val="{00000000-EC85-4202-B523-6FC8A8E589AC}"/>
            </c:ext>
          </c:extLst>
        </c:ser>
        <c:dLbls>
          <c:showLegendKey val="0"/>
          <c:showVal val="0"/>
          <c:showCatName val="0"/>
          <c:showSerName val="0"/>
          <c:showPercent val="0"/>
          <c:showBubbleSize val="0"/>
        </c:dLbls>
        <c:marker val="1"/>
        <c:smooth val="0"/>
        <c:axId val="2120417104"/>
        <c:axId val="88833104"/>
      </c:lineChart>
      <c:catAx>
        <c:axId val="212041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3104"/>
        <c:crosses val="autoZero"/>
        <c:auto val="1"/>
        <c:lblAlgn val="ctr"/>
        <c:lblOffset val="100"/>
        <c:noMultiLvlLbl val="0"/>
      </c:catAx>
      <c:valAx>
        <c:axId val="8883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41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021.xlsx]opm!PivotTable1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Operating</a:t>
            </a:r>
            <a:r>
              <a:rPr lang="en-US" baseline="0"/>
              <a:t> Profit Margin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opm!$B$3</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multiLvlStrRef>
              <c:f>opm!$A$4:$A$7</c:f>
              <c:multiLvlStrCache>
                <c:ptCount val="2"/>
                <c:lvl>
                  <c:pt idx="0">
                    <c:v>Dabur</c:v>
                  </c:pt>
                  <c:pt idx="1">
                    <c:v>HUL</c:v>
                  </c:pt>
                </c:lvl>
                <c:lvl>
                  <c:pt idx="0">
                    <c:v>2017</c:v>
                  </c:pt>
                </c:lvl>
              </c:multiLvlStrCache>
            </c:multiLvlStrRef>
          </c:cat>
          <c:val>
            <c:numRef>
              <c:f>opm!$B$4:$B$7</c:f>
              <c:numCache>
                <c:formatCode>General</c:formatCode>
                <c:ptCount val="2"/>
                <c:pt idx="0">
                  <c:v>0.19854102992149572</c:v>
                </c:pt>
                <c:pt idx="1">
                  <c:v>0.1908208190097099</c:v>
                </c:pt>
              </c:numCache>
            </c:numRef>
          </c:val>
          <c:extLst>
            <c:ext xmlns:c16="http://schemas.microsoft.com/office/drawing/2014/chart" uri="{C3380CC4-5D6E-409C-BE32-E72D297353CC}">
              <c16:uniqueId val="{00000000-DECB-43F6-B3CB-8F16F3A2F44D}"/>
            </c:ext>
          </c:extLst>
        </c:ser>
        <c:dLbls>
          <c:showLegendKey val="0"/>
          <c:showVal val="0"/>
          <c:showCatName val="0"/>
          <c:showSerName val="0"/>
          <c:showPercent val="0"/>
          <c:showBubbleSize val="0"/>
        </c:dLbls>
        <c:gapWidth val="100"/>
        <c:overlap val="-24"/>
        <c:axId val="1011561695"/>
        <c:axId val="1013497839"/>
      </c:barChart>
      <c:catAx>
        <c:axId val="10115616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497839"/>
        <c:crosses val="autoZero"/>
        <c:auto val="1"/>
        <c:lblAlgn val="ctr"/>
        <c:lblOffset val="100"/>
        <c:noMultiLvlLbl val="0"/>
      </c:catAx>
      <c:valAx>
        <c:axId val="10134978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15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021.xlsx]opm!PivotTable1</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opm!$B$3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opm!$A$4:$A$7</c:f>
              <c:multiLvlStrCache>
                <c:ptCount val="2"/>
                <c:lvl>
                  <c:pt idx="0">
                    <c:v>Dabur</c:v>
                  </c:pt>
                  <c:pt idx="1">
                    <c:v>HUL</c:v>
                  </c:pt>
                </c:lvl>
                <c:lvl>
                  <c:pt idx="0">
                    <c:v>2017</c:v>
                  </c:pt>
                </c:lvl>
              </c:multiLvlStrCache>
            </c:multiLvlStrRef>
          </c:cat>
          <c:val>
            <c:numRef>
              <c:f>opm!$B$4:$B$7</c:f>
              <c:numCache>
                <c:formatCode>General</c:formatCode>
                <c:ptCount val="2"/>
                <c:pt idx="0">
                  <c:v>0.19854102992149572</c:v>
                </c:pt>
                <c:pt idx="1">
                  <c:v>0.1908208190097099</c:v>
                </c:pt>
              </c:numCache>
            </c:numRef>
          </c:val>
          <c:smooth val="0"/>
          <c:extLst>
            <c:ext xmlns:c16="http://schemas.microsoft.com/office/drawing/2014/chart" uri="{C3380CC4-5D6E-409C-BE32-E72D297353CC}">
              <c16:uniqueId val="{00000000-8EA9-41CE-B1E9-D08CB1D866A7}"/>
            </c:ext>
          </c:extLst>
        </c:ser>
        <c:dLbls>
          <c:showLegendKey val="0"/>
          <c:showVal val="0"/>
          <c:showCatName val="0"/>
          <c:showSerName val="0"/>
          <c:showPercent val="0"/>
          <c:showBubbleSize val="0"/>
        </c:dLbls>
        <c:marker val="1"/>
        <c:smooth val="0"/>
        <c:axId val="1989937135"/>
        <c:axId val="210159439"/>
      </c:lineChart>
      <c:catAx>
        <c:axId val="198993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59439"/>
        <c:crosses val="autoZero"/>
        <c:auto val="1"/>
        <c:lblAlgn val="ctr"/>
        <c:lblOffset val="100"/>
        <c:noMultiLvlLbl val="0"/>
      </c:catAx>
      <c:valAx>
        <c:axId val="21015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93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021.xlsx]dividend profit!PivotTable2</c:name>
    <c:fmtId val="1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Dividend</a:t>
            </a:r>
            <a:r>
              <a:rPr lang="en-US" baseline="0"/>
              <a:t> Payout</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'dividend profit'!$B$3</c:f>
              <c:strCache>
                <c:ptCount val="1"/>
                <c:pt idx="0">
                  <c:v>Total</c:v>
                </c:pt>
              </c:strCache>
            </c:strRef>
          </c:tx>
          <c:spPr>
            <a:solidFill>
              <a:schemeClr val="accent1"/>
            </a:solidFill>
            <a:ln>
              <a:noFill/>
            </a:ln>
            <a:effectLst/>
          </c:spPr>
          <c:invertIfNegative val="0"/>
          <c:cat>
            <c:multiLvlStrRef>
              <c:f>'dividend profit'!$A$4:$A$7</c:f>
              <c:multiLvlStrCache>
                <c:ptCount val="2"/>
                <c:lvl>
                  <c:pt idx="0">
                    <c:v>Dabur</c:v>
                  </c:pt>
                  <c:pt idx="1">
                    <c:v>HUL</c:v>
                  </c:pt>
                </c:lvl>
                <c:lvl>
                  <c:pt idx="0">
                    <c:v>2017</c:v>
                  </c:pt>
                </c:lvl>
              </c:multiLvlStrCache>
            </c:multiLvlStrRef>
          </c:cat>
          <c:val>
            <c:numRef>
              <c:f>'dividend profit'!$B$4:$B$7</c:f>
              <c:numCache>
                <c:formatCode>General</c:formatCode>
                <c:ptCount val="2"/>
                <c:pt idx="0">
                  <c:v>0.31038263348317069</c:v>
                </c:pt>
                <c:pt idx="1">
                  <c:v>0.82037533512064342</c:v>
                </c:pt>
              </c:numCache>
            </c:numRef>
          </c:val>
          <c:extLst>
            <c:ext xmlns:c16="http://schemas.microsoft.com/office/drawing/2014/chart" uri="{C3380CC4-5D6E-409C-BE32-E72D297353CC}">
              <c16:uniqueId val="{00000000-82AC-4187-B5E9-66BC9AFFC67E}"/>
            </c:ext>
          </c:extLst>
        </c:ser>
        <c:dLbls>
          <c:showLegendKey val="0"/>
          <c:showVal val="0"/>
          <c:showCatName val="0"/>
          <c:showSerName val="0"/>
          <c:showPercent val="0"/>
          <c:showBubbleSize val="0"/>
        </c:dLbls>
        <c:gapWidth val="267"/>
        <c:overlap val="-43"/>
        <c:axId val="1065249231"/>
        <c:axId val="1019256911"/>
      </c:barChart>
      <c:catAx>
        <c:axId val="106524923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19256911"/>
        <c:crosses val="autoZero"/>
        <c:auto val="1"/>
        <c:lblAlgn val="ctr"/>
        <c:lblOffset val="100"/>
        <c:noMultiLvlLbl val="0"/>
      </c:catAx>
      <c:valAx>
        <c:axId val="101925691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65249231"/>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021.xlsx]dividend profit!PivotTable2</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Divident</a:t>
            </a:r>
            <a:r>
              <a:rPr lang="en-US" baseline="0"/>
              <a:t> Payout</a:t>
            </a:r>
            <a:endParaRPr lang="en-US"/>
          </a:p>
        </c:rich>
      </c:tx>
      <c:layout>
        <c:manualLayout>
          <c:xMode val="edge"/>
          <c:yMode val="edge"/>
          <c:x val="0.44879321591650351"/>
          <c:y val="0.1280652139048937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'dividend profit'!$B$3</c:f>
              <c:strCache>
                <c:ptCount val="1"/>
                <c:pt idx="0">
                  <c:v>Total</c:v>
                </c:pt>
              </c:strCache>
            </c:strRef>
          </c:tx>
          <c:spPr>
            <a:ln w="28575" cap="rnd">
              <a:solidFill>
                <a:schemeClr val="accent1"/>
              </a:solidFill>
              <a:round/>
            </a:ln>
            <a:effectLst/>
          </c:spPr>
          <c:marker>
            <c:symbol val="none"/>
          </c:marker>
          <c:cat>
            <c:multiLvlStrRef>
              <c:f>'dividend profit'!$A$4:$A$7</c:f>
              <c:multiLvlStrCache>
                <c:ptCount val="2"/>
                <c:lvl>
                  <c:pt idx="0">
                    <c:v>Dabur</c:v>
                  </c:pt>
                  <c:pt idx="1">
                    <c:v>HUL</c:v>
                  </c:pt>
                </c:lvl>
                <c:lvl>
                  <c:pt idx="0">
                    <c:v>2017</c:v>
                  </c:pt>
                </c:lvl>
              </c:multiLvlStrCache>
            </c:multiLvlStrRef>
          </c:cat>
          <c:val>
            <c:numRef>
              <c:f>'dividend profit'!$B$4:$B$7</c:f>
              <c:numCache>
                <c:formatCode>General</c:formatCode>
                <c:ptCount val="2"/>
                <c:pt idx="0">
                  <c:v>0.31038263348317069</c:v>
                </c:pt>
                <c:pt idx="1">
                  <c:v>0.82037533512064342</c:v>
                </c:pt>
              </c:numCache>
            </c:numRef>
          </c:val>
          <c:smooth val="0"/>
          <c:extLst>
            <c:ext xmlns:c16="http://schemas.microsoft.com/office/drawing/2014/chart" uri="{C3380CC4-5D6E-409C-BE32-E72D297353CC}">
              <c16:uniqueId val="{00000000-D53D-4454-A1E9-6D2087C1E663}"/>
            </c:ext>
          </c:extLst>
        </c:ser>
        <c:dLbls>
          <c:showLegendKey val="0"/>
          <c:showVal val="0"/>
          <c:showCatName val="0"/>
          <c:showSerName val="0"/>
          <c:showPercent val="0"/>
          <c:showBubbleSize val="0"/>
        </c:dLbls>
        <c:smooth val="0"/>
        <c:axId val="1995115887"/>
        <c:axId val="192308271"/>
      </c:lineChart>
      <c:catAx>
        <c:axId val="199511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08271"/>
        <c:crosses val="autoZero"/>
        <c:auto val="1"/>
        <c:lblAlgn val="ctr"/>
        <c:lblOffset val="100"/>
        <c:noMultiLvlLbl val="0"/>
      </c:catAx>
      <c:valAx>
        <c:axId val="19230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11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021.xlsx]inventory turnover!PivotTable4</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000" b="1"/>
              <a:t>Inventory</a:t>
            </a:r>
            <a:r>
              <a:rPr lang="en-US" sz="1000" b="1" baseline="0"/>
              <a:t> Turnover</a:t>
            </a:r>
            <a:endParaRPr lang="en-US" sz="1000" b="1"/>
          </a:p>
        </c:rich>
      </c:tx>
      <c:layout>
        <c:manualLayout>
          <c:xMode val="edge"/>
          <c:yMode val="edge"/>
          <c:x val="0.30355087370835404"/>
          <c:y val="0.13504552475569903"/>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'inventory turnover'!$B$3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'inventory turnover'!$A$4:$A$7</c:f>
              <c:multiLvlStrCache>
                <c:ptCount val="2"/>
                <c:lvl>
                  <c:pt idx="0">
                    <c:v>Dabur</c:v>
                  </c:pt>
                  <c:pt idx="1">
                    <c:v>HUL</c:v>
                  </c:pt>
                </c:lvl>
                <c:lvl>
                  <c:pt idx="0">
                    <c:v>2017</c:v>
                  </c:pt>
                </c:lvl>
              </c:multiLvlStrCache>
            </c:multiLvlStrRef>
          </c:cat>
          <c:val>
            <c:numRef>
              <c:f>'inventory turnover'!$B$4:$B$7</c:f>
              <c:numCache>
                <c:formatCode>General</c:formatCode>
                <c:ptCount val="2"/>
                <c:pt idx="0">
                  <c:v>6.8794806227466996</c:v>
                </c:pt>
                <c:pt idx="1">
                  <c:v>13.050767414403778</c:v>
                </c:pt>
              </c:numCache>
            </c:numRef>
          </c:val>
          <c:extLst>
            <c:ext xmlns:c16="http://schemas.microsoft.com/office/drawing/2014/chart" uri="{C3380CC4-5D6E-409C-BE32-E72D297353CC}">
              <c16:uniqueId val="{00000000-EF59-4F07-A2A4-27EC16E12FBF}"/>
            </c:ext>
          </c:extLst>
        </c:ser>
        <c:dLbls>
          <c:showLegendKey val="0"/>
          <c:showVal val="0"/>
          <c:showCatName val="0"/>
          <c:showSerName val="0"/>
          <c:showPercent val="0"/>
          <c:showBubbleSize val="0"/>
        </c:dLbls>
        <c:gapWidth val="164"/>
        <c:overlap val="-22"/>
        <c:axId val="1077631903"/>
        <c:axId val="1071661807"/>
      </c:barChart>
      <c:catAx>
        <c:axId val="1077631903"/>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61807"/>
        <c:crosses val="autoZero"/>
        <c:auto val="1"/>
        <c:lblAlgn val="ctr"/>
        <c:lblOffset val="100"/>
        <c:noMultiLvlLbl val="0"/>
      </c:catAx>
      <c:valAx>
        <c:axId val="1071661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63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021.xlsx]inventory turnover!PivotTable4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a:t>
            </a:r>
          </a:p>
        </c:rich>
      </c:tx>
      <c:layout>
        <c:manualLayout>
          <c:xMode val="edge"/>
          <c:yMode val="edge"/>
          <c:x val="0.44444444444444436"/>
          <c:y val="0.150452504912295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'inventory turnover'!$B$3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'inventory turnover'!$A$4:$A$7</c:f>
              <c:multiLvlStrCache>
                <c:ptCount val="2"/>
                <c:lvl>
                  <c:pt idx="0">
                    <c:v>Dabur</c:v>
                  </c:pt>
                  <c:pt idx="1">
                    <c:v>HUL</c:v>
                  </c:pt>
                </c:lvl>
                <c:lvl>
                  <c:pt idx="0">
                    <c:v>2017</c:v>
                  </c:pt>
                </c:lvl>
              </c:multiLvlStrCache>
            </c:multiLvlStrRef>
          </c:cat>
          <c:val>
            <c:numRef>
              <c:f>'inventory turnover'!$B$4:$B$7</c:f>
              <c:numCache>
                <c:formatCode>General</c:formatCode>
                <c:ptCount val="2"/>
                <c:pt idx="0">
                  <c:v>6.8794806227466996</c:v>
                </c:pt>
                <c:pt idx="1">
                  <c:v>13.050767414403778</c:v>
                </c:pt>
              </c:numCache>
            </c:numRef>
          </c:val>
          <c:smooth val="0"/>
          <c:extLst>
            <c:ext xmlns:c16="http://schemas.microsoft.com/office/drawing/2014/chart" uri="{C3380CC4-5D6E-409C-BE32-E72D297353CC}">
              <c16:uniqueId val="{00000000-22D8-4927-8D26-810E0999E9D1}"/>
            </c:ext>
          </c:extLst>
        </c:ser>
        <c:dLbls>
          <c:showLegendKey val="0"/>
          <c:showVal val="0"/>
          <c:showCatName val="0"/>
          <c:showSerName val="0"/>
          <c:showPercent val="0"/>
          <c:showBubbleSize val="0"/>
        </c:dLbls>
        <c:marker val="1"/>
        <c:smooth val="0"/>
        <c:axId val="19154991"/>
        <c:axId val="210116783"/>
      </c:lineChart>
      <c:catAx>
        <c:axId val="1915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16783"/>
        <c:crosses val="autoZero"/>
        <c:auto val="1"/>
        <c:lblAlgn val="ctr"/>
        <c:lblOffset val="100"/>
        <c:noMultiLvlLbl val="0"/>
      </c:catAx>
      <c:valAx>
        <c:axId val="21011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investing activity!PivotTable5</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Cash from Investing Activity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'cash from investing activity'!$B$3</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multiLvlStrRef>
              <c:f>'cash from investing activity'!$A$4:$A$7</c:f>
              <c:multiLvlStrCache>
                <c:ptCount val="2"/>
                <c:lvl>
                  <c:pt idx="0">
                    <c:v>Dabur</c:v>
                  </c:pt>
                  <c:pt idx="1">
                    <c:v>HUL</c:v>
                  </c:pt>
                </c:lvl>
                <c:lvl>
                  <c:pt idx="0">
                    <c:v>2017</c:v>
                  </c:pt>
                </c:lvl>
              </c:multiLvlStrCache>
            </c:multiLvlStrRef>
          </c:cat>
          <c:val>
            <c:numRef>
              <c:f>'cash from investing activity'!$B$4:$B$7</c:f>
              <c:numCache>
                <c:formatCode>General</c:formatCode>
                <c:ptCount val="2"/>
                <c:pt idx="0">
                  <c:v>-807.07</c:v>
                </c:pt>
                <c:pt idx="1">
                  <c:v>-1173</c:v>
                </c:pt>
              </c:numCache>
            </c:numRef>
          </c:val>
          <c:extLst>
            <c:ext xmlns:c16="http://schemas.microsoft.com/office/drawing/2014/chart" uri="{C3380CC4-5D6E-409C-BE32-E72D297353CC}">
              <c16:uniqueId val="{00000000-D97B-4578-BF7A-F80614D79E47}"/>
            </c:ext>
          </c:extLst>
        </c:ser>
        <c:dLbls>
          <c:showLegendKey val="0"/>
          <c:showVal val="0"/>
          <c:showCatName val="0"/>
          <c:showSerName val="0"/>
          <c:showPercent val="0"/>
          <c:showBubbleSize val="0"/>
        </c:dLbls>
        <c:gapWidth val="100"/>
        <c:overlap val="-24"/>
        <c:axId val="1077638143"/>
        <c:axId val="1071620639"/>
      </c:barChart>
      <c:catAx>
        <c:axId val="1077638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1620639"/>
        <c:crosses val="autoZero"/>
        <c:auto val="1"/>
        <c:lblAlgn val="ctr"/>
        <c:lblOffset val="100"/>
        <c:noMultiLvlLbl val="0"/>
      </c:catAx>
      <c:valAx>
        <c:axId val="10716206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763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investing activity!PivotTable5</c:name>
    <c:fmtId val="2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Cash from investing activities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'cash from investing activity'!$B$3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'cash from investing activity'!$A$4:$A$7</c:f>
              <c:multiLvlStrCache>
                <c:ptCount val="2"/>
                <c:lvl>
                  <c:pt idx="0">
                    <c:v>Dabur</c:v>
                  </c:pt>
                  <c:pt idx="1">
                    <c:v>HUL</c:v>
                  </c:pt>
                </c:lvl>
                <c:lvl>
                  <c:pt idx="0">
                    <c:v>2017</c:v>
                  </c:pt>
                </c:lvl>
              </c:multiLvlStrCache>
            </c:multiLvlStrRef>
          </c:cat>
          <c:val>
            <c:numRef>
              <c:f>'cash from investing activity'!$B$4:$B$7</c:f>
              <c:numCache>
                <c:formatCode>General</c:formatCode>
                <c:ptCount val="2"/>
                <c:pt idx="0">
                  <c:v>-807.07</c:v>
                </c:pt>
                <c:pt idx="1">
                  <c:v>-1173</c:v>
                </c:pt>
              </c:numCache>
            </c:numRef>
          </c:val>
          <c:smooth val="0"/>
          <c:extLst>
            <c:ext xmlns:c16="http://schemas.microsoft.com/office/drawing/2014/chart" uri="{C3380CC4-5D6E-409C-BE32-E72D297353CC}">
              <c16:uniqueId val="{00000000-9983-41C4-A553-2F39FE9987EF}"/>
            </c:ext>
          </c:extLst>
        </c:ser>
        <c:dLbls>
          <c:showLegendKey val="0"/>
          <c:showVal val="0"/>
          <c:showCatName val="0"/>
          <c:showSerName val="0"/>
          <c:showPercent val="0"/>
          <c:showBubbleSize val="0"/>
        </c:dLbls>
        <c:marker val="1"/>
        <c:smooth val="0"/>
        <c:axId val="271552799"/>
        <c:axId val="275331087"/>
      </c:lineChart>
      <c:catAx>
        <c:axId val="2715527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5331087"/>
        <c:crosses val="autoZero"/>
        <c:auto val="1"/>
        <c:lblAlgn val="ctr"/>
        <c:lblOffset val="100"/>
        <c:noMultiLvlLbl val="0"/>
      </c:catAx>
      <c:valAx>
        <c:axId val="2753310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55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021.xlsx]return on equity!PivotTable6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Return on Equity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 on equity'!$B$3</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multiLvlStrRef>
              <c:f>'return on equity'!$A$4:$A$7</c:f>
              <c:multiLvlStrCache>
                <c:ptCount val="2"/>
                <c:lvl>
                  <c:pt idx="0">
                    <c:v>Dabur</c:v>
                  </c:pt>
                  <c:pt idx="1">
                    <c:v>HUL</c:v>
                  </c:pt>
                </c:lvl>
                <c:lvl>
                  <c:pt idx="0">
                    <c:v>2017</c:v>
                  </c:pt>
                </c:lvl>
              </c:multiLvlStrCache>
            </c:multiLvlStrRef>
          </c:cat>
          <c:val>
            <c:numRef>
              <c:f>'return on equity'!$B$4:$B$7</c:f>
              <c:numCache>
                <c:formatCode>General</c:formatCode>
                <c:ptCount val="2"/>
                <c:pt idx="0">
                  <c:v>0.26342836041663664</c:v>
                </c:pt>
                <c:pt idx="1">
                  <c:v>0.66370106761565839</c:v>
                </c:pt>
              </c:numCache>
            </c:numRef>
          </c:val>
          <c:extLst>
            <c:ext xmlns:c16="http://schemas.microsoft.com/office/drawing/2014/chart" uri="{C3380CC4-5D6E-409C-BE32-E72D297353CC}">
              <c16:uniqueId val="{00000000-9D8F-41CE-A711-AAC3E27D8F47}"/>
            </c:ext>
          </c:extLst>
        </c:ser>
        <c:dLbls>
          <c:showLegendKey val="0"/>
          <c:showVal val="0"/>
          <c:showCatName val="0"/>
          <c:showSerName val="0"/>
          <c:showPercent val="0"/>
          <c:showBubbleSize val="0"/>
        </c:dLbls>
        <c:gapWidth val="100"/>
        <c:overlap val="-24"/>
        <c:axId val="1011553535"/>
        <c:axId val="1088961903"/>
      </c:barChart>
      <c:catAx>
        <c:axId val="1011553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961903"/>
        <c:crosses val="autoZero"/>
        <c:auto val="1"/>
        <c:lblAlgn val="ctr"/>
        <c:lblOffset val="100"/>
        <c:noMultiLvlLbl val="0"/>
      </c:catAx>
      <c:valAx>
        <c:axId val="10889619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155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021.xlsx]return on equity!PivotTable6</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Return on Equity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'return on equity'!$B$3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cat>
            <c:multiLvlStrRef>
              <c:f>'return on equity'!$A$4:$A$7</c:f>
              <c:multiLvlStrCache>
                <c:ptCount val="2"/>
                <c:lvl>
                  <c:pt idx="0">
                    <c:v>Dabur</c:v>
                  </c:pt>
                  <c:pt idx="1">
                    <c:v>HUL</c:v>
                  </c:pt>
                </c:lvl>
                <c:lvl>
                  <c:pt idx="0">
                    <c:v>2017</c:v>
                  </c:pt>
                </c:lvl>
              </c:multiLvlStrCache>
            </c:multiLvlStrRef>
          </c:cat>
          <c:val>
            <c:numRef>
              <c:f>'return on equity'!$B$4:$B$7</c:f>
              <c:numCache>
                <c:formatCode>General</c:formatCode>
                <c:ptCount val="2"/>
                <c:pt idx="0">
                  <c:v>0.26342836041663664</c:v>
                </c:pt>
                <c:pt idx="1">
                  <c:v>0.66370106761565839</c:v>
                </c:pt>
              </c:numCache>
            </c:numRef>
          </c:val>
          <c:smooth val="0"/>
          <c:extLst>
            <c:ext xmlns:c16="http://schemas.microsoft.com/office/drawing/2014/chart" uri="{C3380CC4-5D6E-409C-BE32-E72D297353CC}">
              <c16:uniqueId val="{00000000-8ECE-4F8A-BAE8-750A3466F5BB}"/>
            </c:ext>
          </c:extLst>
        </c:ser>
        <c:dLbls>
          <c:showLegendKey val="0"/>
          <c:showVal val="0"/>
          <c:showCatName val="0"/>
          <c:showSerName val="0"/>
          <c:showPercent val="0"/>
          <c:showBubbleSize val="0"/>
        </c:dLbls>
        <c:marker val="1"/>
        <c:smooth val="0"/>
        <c:axId val="1572404879"/>
        <c:axId val="275324639"/>
      </c:lineChart>
      <c:catAx>
        <c:axId val="15724048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5324639"/>
        <c:crosses val="autoZero"/>
        <c:auto val="1"/>
        <c:lblAlgn val="ctr"/>
        <c:lblOffset val="100"/>
        <c:noMultiLvlLbl val="0"/>
      </c:catAx>
      <c:valAx>
        <c:axId val="2753246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240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3!PivotTable3</c:name>
    <c:fmtId val="8"/>
  </c:pivotSource>
  <c:chart>
    <c:autoTitleDeleted val="1"/>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81328419711574"/>
          <c:y val="0.12315415954237016"/>
          <c:w val="0.51486351706036748"/>
          <c:h val="0.71348425196850396"/>
        </c:manualLayout>
      </c:layout>
      <c:barChart>
        <c:barDir val="col"/>
        <c:grouping val="clustered"/>
        <c:varyColors val="0"/>
        <c:ser>
          <c:idx val="0"/>
          <c:order val="0"/>
          <c:tx>
            <c:strRef>
              <c:f>'objective 3'!$B$3</c:f>
              <c:strCache>
                <c:ptCount val="1"/>
                <c:pt idx="0">
                  <c:v>Sum of Cash from Operating Activity</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'objective 3'!$A$4:$A$7</c:f>
              <c:multiLvlStrCache>
                <c:ptCount val="2"/>
                <c:lvl>
                  <c:pt idx="0">
                    <c:v>Dabur</c:v>
                  </c:pt>
                  <c:pt idx="1">
                    <c:v>HUL</c:v>
                  </c:pt>
                </c:lvl>
                <c:lvl>
                  <c:pt idx="0">
                    <c:v>2017</c:v>
                  </c:pt>
                </c:lvl>
              </c:multiLvlStrCache>
            </c:multiLvlStrRef>
          </c:cat>
          <c:val>
            <c:numRef>
              <c:f>'objective 3'!$B$4:$B$7</c:f>
              <c:numCache>
                <c:formatCode>General</c:formatCode>
                <c:ptCount val="2"/>
                <c:pt idx="0">
                  <c:v>1226.94</c:v>
                </c:pt>
                <c:pt idx="1">
                  <c:v>5185</c:v>
                </c:pt>
              </c:numCache>
            </c:numRef>
          </c:val>
          <c:extLst>
            <c:ext xmlns:c16="http://schemas.microsoft.com/office/drawing/2014/chart" uri="{C3380CC4-5D6E-409C-BE32-E72D297353CC}">
              <c16:uniqueId val="{00000000-4157-4C6E-9C1B-EB3B69D7A395}"/>
            </c:ext>
          </c:extLst>
        </c:ser>
        <c:ser>
          <c:idx val="1"/>
          <c:order val="1"/>
          <c:tx>
            <c:strRef>
              <c:f>'objective 3'!$C$3</c:f>
              <c:strCache>
                <c:ptCount val="1"/>
                <c:pt idx="0">
                  <c:v>Sum of Cash from Investing Activity</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multiLvlStrRef>
              <c:f>'objective 3'!$A$4:$A$7</c:f>
              <c:multiLvlStrCache>
                <c:ptCount val="2"/>
                <c:lvl>
                  <c:pt idx="0">
                    <c:v>Dabur</c:v>
                  </c:pt>
                  <c:pt idx="1">
                    <c:v>HUL</c:v>
                  </c:pt>
                </c:lvl>
                <c:lvl>
                  <c:pt idx="0">
                    <c:v>2017</c:v>
                  </c:pt>
                </c:lvl>
              </c:multiLvlStrCache>
            </c:multiLvlStrRef>
          </c:cat>
          <c:val>
            <c:numRef>
              <c:f>'objective 3'!$C$4:$C$7</c:f>
              <c:numCache>
                <c:formatCode>General</c:formatCode>
                <c:ptCount val="2"/>
                <c:pt idx="0">
                  <c:v>-807.07</c:v>
                </c:pt>
                <c:pt idx="1">
                  <c:v>-1173</c:v>
                </c:pt>
              </c:numCache>
            </c:numRef>
          </c:val>
          <c:extLst>
            <c:ext xmlns:c16="http://schemas.microsoft.com/office/drawing/2014/chart" uri="{C3380CC4-5D6E-409C-BE32-E72D297353CC}">
              <c16:uniqueId val="{00000001-4157-4C6E-9C1B-EB3B69D7A395}"/>
            </c:ext>
          </c:extLst>
        </c:ser>
        <c:dLbls>
          <c:showLegendKey val="0"/>
          <c:showVal val="0"/>
          <c:showCatName val="0"/>
          <c:showSerName val="0"/>
          <c:showPercent val="0"/>
          <c:showBubbleSize val="0"/>
        </c:dLbls>
        <c:gapWidth val="164"/>
        <c:overlap val="-22"/>
        <c:axId val="133926720"/>
        <c:axId val="2046309248"/>
      </c:barChart>
      <c:catAx>
        <c:axId val="13392672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46309248"/>
        <c:crosses val="autoZero"/>
        <c:auto val="1"/>
        <c:lblAlgn val="ctr"/>
        <c:lblOffset val="100"/>
        <c:noMultiLvlLbl val="0"/>
      </c:catAx>
      <c:valAx>
        <c:axId val="204630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392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operating profit!PivotTable4</c:name>
    <c:fmtId val="10"/>
  </c:pivotSource>
  <c:chart>
    <c:title>
      <c:tx>
        <c:rich>
          <a:bodyPr rot="0" spcFirstLastPara="1" vertOverflow="ellipsis" vert="horz" wrap="square" anchor="ctr" anchorCtr="1"/>
          <a:lstStyle/>
          <a:p>
            <a:pPr>
              <a:defRPr sz="1600" b="1" i="0" u="none" strike="noStrike" kern="1200" spc="100" baseline="0">
                <a:solidFill>
                  <a:sysClr val="windowText" lastClr="000000"/>
                </a:solidFill>
                <a:effectLst>
                  <a:outerShdw blurRad="50800" dist="38100" dir="5400000" algn="t" rotWithShape="0">
                    <a:prstClr val="black">
                      <a:alpha val="40000"/>
                    </a:prstClr>
                  </a:outerShdw>
                </a:effectLst>
                <a:latin typeface="+mn-lt"/>
                <a:ea typeface="+mn-ea"/>
                <a:cs typeface="+mn-cs"/>
              </a:defRPr>
            </a:pPr>
            <a:r>
              <a:rPr lang="en-IN" baseline="0">
                <a:solidFill>
                  <a:sysClr val="windowText" lastClr="000000"/>
                </a:solidFill>
              </a:rPr>
              <a:t>Total operating profit</a:t>
            </a:r>
          </a:p>
          <a:p>
            <a:pPr>
              <a:defRPr>
                <a:solidFill>
                  <a:sysClr val="windowText" lastClr="000000"/>
                </a:solidFill>
              </a:defRPr>
            </a:pPr>
            <a:endParaRPr lang="en-IN" baseline="0">
              <a:solidFill>
                <a:sysClr val="windowText" lastClr="000000"/>
              </a:solidFill>
            </a:endParaRPr>
          </a:p>
        </c:rich>
      </c:tx>
      <c:layout>
        <c:manualLayout>
          <c:xMode val="edge"/>
          <c:yMode val="edge"/>
          <c:x val="0.22996695157842872"/>
          <c:y val="0.12731818517555424"/>
        </c:manualLayout>
      </c:layout>
      <c:overlay val="0"/>
      <c:spPr>
        <a:solidFill>
          <a:schemeClr val="accent6">
            <a:lumMod val="20000"/>
            <a:lumOff val="80000"/>
          </a:schemeClr>
        </a:solidFill>
        <a:ln>
          <a:noFill/>
        </a:ln>
        <a:effectLst/>
      </c:spPr>
      <c:txPr>
        <a:bodyPr rot="0" spcFirstLastPara="1" vertOverflow="ellipsis" vert="horz" wrap="square" anchor="ctr" anchorCtr="1"/>
        <a:lstStyle/>
        <a:p>
          <a:pPr>
            <a:defRPr sz="1600" b="1" i="0" u="none" strike="noStrike" kern="1200" spc="100" baseline="0">
              <a:solidFill>
                <a:sysClr val="windowText" lastClr="0000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operating profit'!$B$3</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multiLvlStrRef>
              <c:f>'total operating profit'!$A$4:$A$7</c:f>
              <c:multiLvlStrCache>
                <c:ptCount val="2"/>
                <c:lvl>
                  <c:pt idx="0">
                    <c:v>Dabur</c:v>
                  </c:pt>
                  <c:pt idx="1">
                    <c:v>HUL</c:v>
                  </c:pt>
                </c:lvl>
                <c:lvl>
                  <c:pt idx="0">
                    <c:v>2017</c:v>
                  </c:pt>
                </c:lvl>
              </c:multiLvlStrCache>
            </c:multiLvlStrRef>
          </c:cat>
          <c:val>
            <c:numRef>
              <c:f>'total operating profit'!$B$4:$B$7</c:f>
              <c:numCache>
                <c:formatCode>General</c:formatCode>
                <c:ptCount val="2"/>
                <c:pt idx="0">
                  <c:v>1511.6100000000006</c:v>
                </c:pt>
                <c:pt idx="1">
                  <c:v>6328</c:v>
                </c:pt>
              </c:numCache>
            </c:numRef>
          </c:val>
          <c:extLst>
            <c:ext xmlns:c16="http://schemas.microsoft.com/office/drawing/2014/chart" uri="{C3380CC4-5D6E-409C-BE32-E72D297353CC}">
              <c16:uniqueId val="{00000000-BE36-491D-9EA9-FE79808FA4FC}"/>
            </c:ext>
          </c:extLst>
        </c:ser>
        <c:dLbls>
          <c:showLegendKey val="0"/>
          <c:showVal val="0"/>
          <c:showCatName val="0"/>
          <c:showSerName val="0"/>
          <c:showPercent val="0"/>
          <c:showBubbleSize val="0"/>
        </c:dLbls>
        <c:gapWidth val="100"/>
        <c:overlap val="-24"/>
        <c:axId val="137795728"/>
        <c:axId val="105978272"/>
      </c:barChart>
      <c:catAx>
        <c:axId val="137795728"/>
        <c:scaling>
          <c:orientation val="minMax"/>
        </c:scaling>
        <c:delete val="0"/>
        <c:axPos val="b"/>
        <c:title>
          <c:tx>
            <c:rich>
              <a:bodyPr rot="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r>
                  <a:rPr lang="en-IN" sz="1600" baseline="0">
                    <a:solidFill>
                      <a:sysClr val="windowText" lastClr="000000"/>
                    </a:solidFill>
                  </a:rPr>
                  <a:t>year</a:t>
                </a:r>
              </a:p>
            </c:rich>
          </c:tx>
          <c:layout>
            <c:manualLayout>
              <c:xMode val="edge"/>
              <c:yMode val="edge"/>
              <c:x val="0.48553399816241449"/>
              <c:y val="0.82539179846346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5978272"/>
        <c:crosses val="autoZero"/>
        <c:auto val="1"/>
        <c:lblAlgn val="ctr"/>
        <c:lblOffset val="100"/>
        <c:noMultiLvlLbl val="0"/>
      </c:catAx>
      <c:valAx>
        <c:axId val="1059782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baseline="0">
                    <a:solidFill>
                      <a:sysClr val="windowText" lastClr="000000"/>
                    </a:solidFill>
                  </a:rPr>
                  <a:t>operating profit</a:t>
                </a:r>
              </a:p>
            </c:rich>
          </c:tx>
          <c:layout>
            <c:manualLayout>
              <c:xMode val="edge"/>
              <c:yMode val="edge"/>
              <c:x val="2.9311564303844052E-2"/>
              <c:y val="0.33769592452700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779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reserve!PivotTable1</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solidFill>
                  <a:schemeClr val="tx1"/>
                </a:solidFill>
              </a:rPr>
              <a:t>Total Reserve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reserve'!$B$3</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multiLvlStrRef>
              <c:f>'total reserve'!$A$4:$A$7</c:f>
              <c:multiLvlStrCache>
                <c:ptCount val="2"/>
                <c:lvl>
                  <c:pt idx="0">
                    <c:v>Dabur</c:v>
                  </c:pt>
                  <c:pt idx="1">
                    <c:v>HUL</c:v>
                  </c:pt>
                </c:lvl>
                <c:lvl>
                  <c:pt idx="0">
                    <c:v>2017</c:v>
                  </c:pt>
                </c:lvl>
              </c:multiLvlStrCache>
            </c:multiLvlStrRef>
          </c:cat>
          <c:val>
            <c:numRef>
              <c:f>'total reserve'!$B$4:$B$7</c:f>
              <c:numCache>
                <c:formatCode>General</c:formatCode>
                <c:ptCount val="2"/>
                <c:pt idx="0">
                  <c:v>4671.24</c:v>
                </c:pt>
                <c:pt idx="1">
                  <c:v>6528</c:v>
                </c:pt>
              </c:numCache>
            </c:numRef>
          </c:val>
          <c:extLst>
            <c:ext xmlns:c16="http://schemas.microsoft.com/office/drawing/2014/chart" uri="{C3380CC4-5D6E-409C-BE32-E72D297353CC}">
              <c16:uniqueId val="{00000000-6BD3-43BA-BFB4-5AA16BB80921}"/>
            </c:ext>
          </c:extLst>
        </c:ser>
        <c:dLbls>
          <c:showLegendKey val="0"/>
          <c:showVal val="0"/>
          <c:showCatName val="0"/>
          <c:showSerName val="0"/>
          <c:showPercent val="0"/>
          <c:showBubbleSize val="0"/>
        </c:dLbls>
        <c:gapWidth val="100"/>
        <c:overlap val="-24"/>
        <c:axId val="559251775"/>
        <c:axId val="576045855"/>
      </c:barChart>
      <c:catAx>
        <c:axId val="559251775"/>
        <c:scaling>
          <c:orientation val="minMax"/>
        </c:scaling>
        <c:delete val="0"/>
        <c:axPos val="b"/>
        <c:title>
          <c:tx>
            <c:rich>
              <a:bodyPr rot="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r>
                  <a:rPr lang="en-IN" sz="1400" b="1" baseline="0">
                    <a:solidFill>
                      <a:sysClr val="windowText" lastClr="000000"/>
                    </a:solidFill>
                  </a:rPr>
                  <a:t>YEAR</a:t>
                </a:r>
              </a:p>
            </c:rich>
          </c:tx>
          <c:layout>
            <c:manualLayout>
              <c:xMode val="edge"/>
              <c:yMode val="edge"/>
              <c:x val="0.46932207354063593"/>
              <c:y val="0.7971107332392007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76045855"/>
        <c:crosses val="autoZero"/>
        <c:auto val="1"/>
        <c:lblAlgn val="ctr"/>
        <c:lblOffset val="100"/>
        <c:noMultiLvlLbl val="0"/>
      </c:catAx>
      <c:valAx>
        <c:axId val="57604585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600" b="1" baseline="0">
                    <a:solidFill>
                      <a:sysClr val="windowText" lastClr="000000"/>
                    </a:solidFill>
                  </a:rPr>
                  <a:t>RESERVES</a:t>
                </a:r>
              </a:p>
            </c:rich>
          </c:tx>
          <c:layout>
            <c:manualLayout>
              <c:xMode val="edge"/>
              <c:yMode val="edge"/>
              <c:x val="1.4589390227819646E-2"/>
              <c:y val="0.2901605359371465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5925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a:solidFill>
        <a:sysClr val="windowText" lastClr="0000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sales!PivotTable2</c:name>
    <c:fmtId val="2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800" b="1" baseline="0">
                <a:solidFill>
                  <a:sysClr val="windowText" lastClr="000000"/>
                </a:solidFill>
              </a:rPr>
              <a:t>Total sales</a:t>
            </a:r>
          </a:p>
        </c:rich>
      </c:tx>
      <c:layout>
        <c:manualLayout>
          <c:xMode val="edge"/>
          <c:yMode val="edge"/>
          <c:x val="0.45125889642408884"/>
          <c:y val="0.1413596605986499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sales'!$B$3</c:f>
              <c:strCache>
                <c:ptCount val="1"/>
                <c:pt idx="0">
                  <c:v>Total</c:v>
                </c:pt>
              </c:strCache>
            </c:strRef>
          </c:tx>
          <c:spPr>
            <a:solidFill>
              <a:schemeClr val="accent1"/>
            </a:solidFill>
            <a:ln>
              <a:noFill/>
            </a:ln>
            <a:effectLst/>
          </c:spPr>
          <c:invertIfNegative val="0"/>
          <c:cat>
            <c:multiLvlStrRef>
              <c:f>'objective sales'!$A$4:$A$7</c:f>
              <c:multiLvlStrCache>
                <c:ptCount val="2"/>
                <c:lvl>
                  <c:pt idx="0">
                    <c:v>Dabur</c:v>
                  </c:pt>
                  <c:pt idx="1">
                    <c:v>HUL</c:v>
                  </c:pt>
                </c:lvl>
                <c:lvl>
                  <c:pt idx="0">
                    <c:v>2017</c:v>
                  </c:pt>
                </c:lvl>
              </c:multiLvlStrCache>
            </c:multiLvlStrRef>
          </c:cat>
          <c:val>
            <c:numRef>
              <c:f>'objective sales'!$B$4:$B$7</c:f>
              <c:numCache>
                <c:formatCode>General</c:formatCode>
                <c:ptCount val="2"/>
                <c:pt idx="0">
                  <c:v>7613.59</c:v>
                </c:pt>
                <c:pt idx="1">
                  <c:v>33162</c:v>
                </c:pt>
              </c:numCache>
            </c:numRef>
          </c:val>
          <c:extLst>
            <c:ext xmlns:c16="http://schemas.microsoft.com/office/drawing/2014/chart" uri="{C3380CC4-5D6E-409C-BE32-E72D297353CC}">
              <c16:uniqueId val="{00000000-3403-46E7-B443-F7B486FEEDA8}"/>
            </c:ext>
          </c:extLst>
        </c:ser>
        <c:dLbls>
          <c:showLegendKey val="0"/>
          <c:showVal val="0"/>
          <c:showCatName val="0"/>
          <c:showSerName val="0"/>
          <c:showPercent val="0"/>
          <c:showBubbleSize val="0"/>
        </c:dLbls>
        <c:gapWidth val="219"/>
        <c:axId val="102385232"/>
        <c:axId val="98631120"/>
      </c:barChart>
      <c:catAx>
        <c:axId val="102385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8631120"/>
        <c:crosses val="autoZero"/>
        <c:auto val="1"/>
        <c:lblAlgn val="ctr"/>
        <c:lblOffset val="100"/>
        <c:noMultiLvlLbl val="0"/>
      </c:catAx>
      <c:valAx>
        <c:axId val="98631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t>SALES</a:t>
                </a:r>
              </a:p>
            </c:rich>
          </c:tx>
          <c:layout>
            <c:manualLayout>
              <c:xMode val="edge"/>
              <c:yMode val="edge"/>
              <c:x val="2.6805319507448151E-2"/>
              <c:y val="0.362321670273142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238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021.xlsx]debtors days !PivotTable1</c:name>
    <c:fmtId val="1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800" b="1" baseline="0">
                <a:solidFill>
                  <a:sysClr val="windowText" lastClr="000000"/>
                </a:solidFill>
              </a:rPr>
              <a:t>Total debtors days</a:t>
            </a:r>
          </a:p>
        </c:rich>
      </c:tx>
      <c:layout>
        <c:manualLayout>
          <c:xMode val="edge"/>
          <c:yMode val="edge"/>
          <c:x val="0.43402198258911595"/>
          <c:y val="0.1329974376756764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86698723923152"/>
          <c:y val="0.29154526428483807"/>
          <c:w val="0.74206138100656871"/>
          <c:h val="0.24944741625744862"/>
        </c:manualLayout>
      </c:layout>
      <c:bar3DChart>
        <c:barDir val="col"/>
        <c:grouping val="clustered"/>
        <c:varyColors val="0"/>
        <c:ser>
          <c:idx val="0"/>
          <c:order val="0"/>
          <c:tx>
            <c:strRef>
              <c:f>'debtors days '!$B$3</c:f>
              <c:strCache>
                <c:ptCount val="1"/>
                <c:pt idx="0">
                  <c:v>Total</c:v>
                </c:pt>
              </c:strCache>
            </c:strRef>
          </c:tx>
          <c:spPr>
            <a:solidFill>
              <a:schemeClr val="accent1"/>
            </a:solidFill>
            <a:ln>
              <a:noFill/>
            </a:ln>
            <a:effectLst/>
            <a:sp3d/>
          </c:spPr>
          <c:invertIfNegative val="0"/>
          <c:cat>
            <c:multiLvlStrRef>
              <c:f>'debtors days '!$A$4:$A$7</c:f>
              <c:multiLvlStrCache>
                <c:ptCount val="2"/>
                <c:lvl>
                  <c:pt idx="0">
                    <c:v>Dabur</c:v>
                  </c:pt>
                  <c:pt idx="1">
                    <c:v>HUL</c:v>
                  </c:pt>
                </c:lvl>
                <c:lvl>
                  <c:pt idx="0">
                    <c:v>2017</c:v>
                  </c:pt>
                </c:lvl>
              </c:multiLvlStrCache>
            </c:multiLvlStrRef>
          </c:cat>
          <c:val>
            <c:numRef>
              <c:f>'debtors days '!$B$4:$B$7</c:f>
              <c:numCache>
                <c:formatCode>General</c:formatCode>
                <c:ptCount val="2"/>
                <c:pt idx="0">
                  <c:v>31.181518836711721</c:v>
                </c:pt>
                <c:pt idx="1">
                  <c:v>11.942132561365419</c:v>
                </c:pt>
              </c:numCache>
            </c:numRef>
          </c:val>
          <c:extLst>
            <c:ext xmlns:c16="http://schemas.microsoft.com/office/drawing/2014/chart" uri="{C3380CC4-5D6E-409C-BE32-E72D297353CC}">
              <c16:uniqueId val="{00000000-4ADB-4806-AEBA-1BDAABB770E3}"/>
            </c:ext>
          </c:extLst>
        </c:ser>
        <c:dLbls>
          <c:showLegendKey val="0"/>
          <c:showVal val="0"/>
          <c:showCatName val="0"/>
          <c:showSerName val="0"/>
          <c:showPercent val="0"/>
          <c:showBubbleSize val="0"/>
        </c:dLbls>
        <c:gapWidth val="150"/>
        <c:shape val="box"/>
        <c:axId val="926072063"/>
        <c:axId val="821793887"/>
        <c:axId val="0"/>
      </c:bar3DChart>
      <c:catAx>
        <c:axId val="92607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t>YEAR</a:t>
                </a:r>
              </a:p>
            </c:rich>
          </c:tx>
          <c:layout>
            <c:manualLayout>
              <c:xMode val="edge"/>
              <c:yMode val="edge"/>
              <c:x val="0.42704586284893331"/>
              <c:y val="0.818001376308888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1793887"/>
        <c:crosses val="autoZero"/>
        <c:auto val="1"/>
        <c:lblAlgn val="ctr"/>
        <c:lblOffset val="100"/>
        <c:noMultiLvlLbl val="0"/>
      </c:catAx>
      <c:valAx>
        <c:axId val="821793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t>DEBTORS</a:t>
                </a:r>
                <a:r>
                  <a:rPr lang="en-IN" sz="1400" b="1" baseline="0"/>
                  <a:t> DAYS</a:t>
                </a:r>
                <a:endParaRPr lang="en-IN" sz="1400" b="1"/>
              </a:p>
            </c:rich>
          </c:tx>
          <c:layout>
            <c:manualLayout>
              <c:xMode val="edge"/>
              <c:yMode val="edge"/>
              <c:x val="7.2228872083604526E-2"/>
              <c:y val="0.305906225007904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2607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financing activity!PivotTable1</c:name>
    <c:fmtId val="9"/>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cash from financing activity</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8"/>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9"/>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0"/>
        <c:spPr>
          <a:solidFill>
            <a:schemeClr val="accent2">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63500" sx="102000" sy="102000" algn="ctr" rotWithShape="0">
              <a:prstClr val="black">
                <a:alpha val="20000"/>
              </a:prstClr>
            </a:outerShdw>
          </a:effectLst>
        </c:spPr>
      </c:pivotFmt>
      <c:pivotFmt>
        <c:idx val="44"/>
        <c:spPr>
          <a:solidFill>
            <a:schemeClr val="accent1"/>
          </a:solidFill>
          <a:ln>
            <a:noFill/>
          </a:ln>
          <a:effectLst>
            <a:outerShdw blurRad="63500" sx="102000" sy="102000" algn="ctr" rotWithShape="0">
              <a:prstClr val="black">
                <a:alpha val="20000"/>
              </a:prstClr>
            </a:outerShdw>
          </a:effectLst>
        </c:spPr>
      </c:pivotFmt>
      <c:pivotFmt>
        <c:idx val="45"/>
        <c:spPr>
          <a:solidFill>
            <a:schemeClr val="accent1"/>
          </a:solidFill>
          <a:ln>
            <a:noFill/>
          </a:ln>
          <a:effectLst>
            <a:outerShdw blurRad="63500" sx="102000" sy="102000" algn="ctr" rotWithShape="0">
              <a:prstClr val="black">
                <a:alpha val="20000"/>
              </a:prstClr>
            </a:outerShdw>
          </a:effectLst>
        </c:spPr>
      </c:pivotFmt>
      <c:pivotFmt>
        <c:idx val="46"/>
        <c:spPr>
          <a:solidFill>
            <a:schemeClr val="accent1"/>
          </a:solidFill>
          <a:ln>
            <a:noFill/>
          </a:ln>
          <a:effectLst>
            <a:outerShdw blurRad="63500" sx="102000" sy="102000" algn="ctr" rotWithShape="0">
              <a:prstClr val="black">
                <a:alpha val="20000"/>
              </a:prstClr>
            </a:outerShdw>
          </a:effectLst>
        </c:spPr>
      </c:pivotFmt>
      <c:pivotFmt>
        <c:idx val="47"/>
      </c:pivotFmt>
      <c:pivotFmt>
        <c:idx val="48"/>
      </c:pivotFmt>
      <c:pivotFmt>
        <c:idx val="49"/>
        <c:spPr>
          <a:solidFill>
            <a:schemeClr val="accent1"/>
          </a:solidFill>
          <a:ln>
            <a:noFill/>
          </a:ln>
          <a:effectLst>
            <a:outerShdw blurRad="63500" sx="102000" sy="102000" algn="ctr" rotWithShape="0">
              <a:prstClr val="black">
                <a:alpha val="20000"/>
              </a:prstClr>
            </a:outerShdw>
          </a:effectLst>
        </c:spPr>
      </c:pivotFmt>
      <c:pivotFmt>
        <c:idx val="50"/>
        <c:spPr>
          <a:solidFill>
            <a:schemeClr val="accent1"/>
          </a:solidFill>
          <a:ln>
            <a:noFill/>
          </a:ln>
          <a:effectLst>
            <a:outerShdw blurRad="63500" sx="102000" sy="102000" algn="ctr" rotWithShape="0">
              <a:prstClr val="black">
                <a:alpha val="20000"/>
              </a:prstClr>
            </a:outerShdw>
          </a:effectLst>
        </c:spPr>
      </c:pivotFmt>
      <c:pivotFmt>
        <c:idx val="51"/>
        <c:spPr>
          <a:solidFill>
            <a:schemeClr val="accent1"/>
          </a:solidFill>
          <a:ln>
            <a:noFill/>
          </a:ln>
          <a:effectLst>
            <a:outerShdw blurRad="63500" sx="102000" sy="102000" algn="ctr" rotWithShape="0">
              <a:prstClr val="black">
                <a:alpha val="20000"/>
              </a:prstClr>
            </a:outerShdw>
          </a:effectLst>
        </c:spPr>
      </c:pivotFmt>
      <c:pivotFmt>
        <c:idx val="52"/>
        <c:spPr>
          <a:solidFill>
            <a:schemeClr val="accent1"/>
          </a:solidFill>
          <a:ln>
            <a:noFill/>
          </a:ln>
          <a:effectLst>
            <a:outerShdw blurRad="63500" sx="102000" sy="102000" algn="ctr" rotWithShape="0">
              <a:prstClr val="black">
                <a:alpha val="20000"/>
              </a:prstClr>
            </a:outerShdw>
          </a:effectLst>
        </c:spPr>
      </c:pivotFmt>
      <c:pivotFmt>
        <c:idx val="53"/>
        <c:spPr>
          <a:solidFill>
            <a:schemeClr val="accent1"/>
          </a:solidFill>
          <a:ln>
            <a:noFill/>
          </a:ln>
          <a:effectLst>
            <a:outerShdw blurRad="63500" sx="102000" sy="102000" algn="ctr" rotWithShape="0">
              <a:prstClr val="black">
                <a:alpha val="20000"/>
              </a:prstClr>
            </a:outerShdw>
          </a:effectLst>
        </c:spPr>
      </c:pivotFmt>
      <c:pivotFmt>
        <c:idx val="54"/>
        <c:spPr>
          <a:solidFill>
            <a:schemeClr val="accent1"/>
          </a:solidFill>
          <a:ln>
            <a:noFill/>
          </a:ln>
          <a:effectLst>
            <a:outerShdw blurRad="63500" sx="102000" sy="102000" algn="ctr" rotWithShape="0">
              <a:prstClr val="black">
                <a:alpha val="20000"/>
              </a:prstClr>
            </a:outerShdw>
          </a:effectLst>
        </c:spPr>
      </c:pivotFmt>
      <c:pivotFmt>
        <c:idx val="55"/>
        <c:spPr>
          <a:solidFill>
            <a:schemeClr val="accent1"/>
          </a:solidFill>
          <a:ln>
            <a:noFill/>
          </a:ln>
          <a:effectLst>
            <a:outerShdw blurRad="63500" sx="102000" sy="102000" algn="ctr" rotWithShape="0">
              <a:prstClr val="black">
                <a:alpha val="20000"/>
              </a:prstClr>
            </a:outerShdw>
          </a:effectLst>
        </c:spPr>
      </c:pivotFmt>
      <c:pivotFmt>
        <c:idx val="56"/>
        <c:spPr>
          <a:solidFill>
            <a:schemeClr val="accent1"/>
          </a:solidFill>
          <a:ln>
            <a:noFill/>
          </a:ln>
          <a:effectLst>
            <a:outerShdw blurRad="63500" sx="102000" sy="102000" algn="ctr" rotWithShape="0">
              <a:prstClr val="black">
                <a:alpha val="20000"/>
              </a:prstClr>
            </a:outerShdw>
          </a:effectLst>
        </c:spPr>
      </c:pivotFmt>
      <c:pivotFmt>
        <c:idx val="57"/>
        <c:spPr>
          <a:solidFill>
            <a:schemeClr val="accent1"/>
          </a:solidFill>
          <a:ln>
            <a:noFill/>
          </a:ln>
          <a:effectLst>
            <a:outerShdw blurRad="63500" sx="102000" sy="102000" algn="ctr" rotWithShape="0">
              <a:prstClr val="black">
                <a:alpha val="20000"/>
              </a:prstClr>
            </a:outerShdw>
          </a:effectLst>
        </c:spPr>
      </c:pivotFmt>
      <c:pivotFmt>
        <c:idx val="58"/>
        <c:spPr>
          <a:solidFill>
            <a:schemeClr val="accent1"/>
          </a:solidFill>
          <a:ln>
            <a:noFill/>
          </a:ln>
          <a:effectLst>
            <a:outerShdw blurRad="63500" sx="102000" sy="102000" algn="ctr" rotWithShape="0">
              <a:prstClr val="black">
                <a:alpha val="20000"/>
              </a:prstClr>
            </a:outerShdw>
          </a:effectLst>
        </c:spPr>
      </c:pivotFmt>
      <c:pivotFmt>
        <c:idx val="59"/>
        <c:spPr>
          <a:solidFill>
            <a:schemeClr val="accent1"/>
          </a:solidFill>
          <a:ln>
            <a:noFill/>
          </a:ln>
          <a:effectLst>
            <a:outerShdw blurRad="63500" sx="102000" sy="102000" algn="ctr" rotWithShape="0">
              <a:prstClr val="black">
                <a:alpha val="20000"/>
              </a:prstClr>
            </a:outerShdw>
          </a:effectLst>
        </c:spPr>
      </c:pivotFmt>
      <c:pivotFmt>
        <c:idx val="60"/>
        <c:spPr>
          <a:solidFill>
            <a:schemeClr val="accent1"/>
          </a:solidFill>
          <a:ln>
            <a:noFill/>
          </a:ln>
          <a:effectLst>
            <a:outerShdw blurRad="63500" sx="102000" sy="102000" algn="ctr" rotWithShape="0">
              <a:prstClr val="black">
                <a:alpha val="20000"/>
              </a:prstClr>
            </a:outerShdw>
          </a:effectLst>
        </c:spPr>
      </c:pivotFmt>
      <c:pivotFmt>
        <c:idx val="61"/>
        <c:spPr>
          <a:solidFill>
            <a:schemeClr val="accent1"/>
          </a:solidFill>
          <a:ln>
            <a:noFill/>
          </a:ln>
          <a:effectLst>
            <a:outerShdw blurRad="63500" sx="102000" sy="102000" algn="ctr" rotWithShape="0">
              <a:prstClr val="black">
                <a:alpha val="20000"/>
              </a:prstClr>
            </a:outerShdw>
          </a:effectLst>
        </c:spPr>
      </c:pivotFmt>
      <c:pivotFmt>
        <c:idx val="62"/>
        <c:spPr>
          <a:solidFill>
            <a:schemeClr val="accent1"/>
          </a:solidFill>
          <a:ln>
            <a:noFill/>
          </a:ln>
          <a:effectLst>
            <a:outerShdw blurRad="63500" sx="102000" sy="102000" algn="ctr" rotWithShape="0">
              <a:prstClr val="black">
                <a:alpha val="20000"/>
              </a:prstClr>
            </a:outerShdw>
          </a:effectLst>
        </c:spPr>
      </c:pivotFmt>
    </c:pivotFmts>
    <c:plotArea>
      <c:layout/>
      <c:barChart>
        <c:barDir val="col"/>
        <c:grouping val="clustered"/>
        <c:varyColors val="0"/>
        <c:ser>
          <c:idx val="0"/>
          <c:order val="0"/>
          <c:tx>
            <c:strRef>
              <c:f>'cash from financing activity'!$B$3</c:f>
              <c:strCache>
                <c:ptCount val="1"/>
                <c:pt idx="0">
                  <c:v>Total</c:v>
                </c:pt>
              </c:strCache>
            </c:strRef>
          </c:tx>
          <c:spPr>
            <a:solidFill>
              <a:schemeClr val="accent1"/>
            </a:solidFill>
            <a:ln>
              <a:noFill/>
            </a:ln>
            <a:effectLst>
              <a:outerShdw blurRad="63500" sx="102000" sy="102000" algn="ctr" rotWithShape="0">
                <a:prstClr val="black">
                  <a:alpha val="20000"/>
                </a:prstClr>
              </a:outerShdw>
            </a:effectLst>
          </c:spPr>
          <c:invertIfNegative val="0"/>
          <c:dPt>
            <c:idx val="0"/>
            <c:invertIfNegative val="0"/>
            <c:bubble3D val="0"/>
            <c:extLst>
              <c:ext xmlns:c16="http://schemas.microsoft.com/office/drawing/2014/chart" uri="{C3380CC4-5D6E-409C-BE32-E72D297353CC}">
                <c16:uniqueId val="{00000001-C104-4E84-807F-41C1A6048F75}"/>
              </c:ext>
            </c:extLst>
          </c:dPt>
          <c:dPt>
            <c:idx val="1"/>
            <c:invertIfNegative val="0"/>
            <c:bubble3D val="0"/>
            <c:extLst>
              <c:ext xmlns:c16="http://schemas.microsoft.com/office/drawing/2014/chart" uri="{C3380CC4-5D6E-409C-BE32-E72D297353CC}">
                <c16:uniqueId val="{00000003-C104-4E84-807F-41C1A6048F75}"/>
              </c:ext>
            </c:extLst>
          </c:dPt>
          <c:dPt>
            <c:idx val="2"/>
            <c:invertIfNegative val="0"/>
            <c:bubble3D val="0"/>
            <c:extLst>
              <c:ext xmlns:c16="http://schemas.microsoft.com/office/drawing/2014/chart" uri="{C3380CC4-5D6E-409C-BE32-E72D297353CC}">
                <c16:uniqueId val="{00000005-C104-4E84-807F-41C1A6048F75}"/>
              </c:ext>
            </c:extLst>
          </c:dPt>
          <c:dPt>
            <c:idx val="3"/>
            <c:invertIfNegative val="0"/>
            <c:bubble3D val="0"/>
            <c:extLst>
              <c:ext xmlns:c16="http://schemas.microsoft.com/office/drawing/2014/chart" uri="{C3380CC4-5D6E-409C-BE32-E72D297353CC}">
                <c16:uniqueId val="{00000007-C104-4E84-807F-41C1A6048F75}"/>
              </c:ext>
            </c:extLst>
          </c:dPt>
          <c:dPt>
            <c:idx val="4"/>
            <c:invertIfNegative val="0"/>
            <c:bubble3D val="0"/>
            <c:extLst>
              <c:ext xmlns:c16="http://schemas.microsoft.com/office/drawing/2014/chart" uri="{C3380CC4-5D6E-409C-BE32-E72D297353CC}">
                <c16:uniqueId val="{00000009-C104-4E84-807F-41C1A6048F75}"/>
              </c:ext>
            </c:extLst>
          </c:dPt>
          <c:dPt>
            <c:idx val="5"/>
            <c:invertIfNegative val="0"/>
            <c:bubble3D val="0"/>
            <c:extLst>
              <c:ext xmlns:c16="http://schemas.microsoft.com/office/drawing/2014/chart" uri="{C3380CC4-5D6E-409C-BE32-E72D297353CC}">
                <c16:uniqueId val="{0000000B-C104-4E84-807F-41C1A6048F75}"/>
              </c:ext>
            </c:extLst>
          </c:dPt>
          <c:dPt>
            <c:idx val="6"/>
            <c:invertIfNegative val="0"/>
            <c:bubble3D val="0"/>
            <c:extLst>
              <c:ext xmlns:c16="http://schemas.microsoft.com/office/drawing/2014/chart" uri="{C3380CC4-5D6E-409C-BE32-E72D297353CC}">
                <c16:uniqueId val="{0000000D-C104-4E84-807F-41C1A6048F75}"/>
              </c:ext>
            </c:extLst>
          </c:dPt>
          <c:dPt>
            <c:idx val="7"/>
            <c:invertIfNegative val="0"/>
            <c:bubble3D val="0"/>
            <c:extLst>
              <c:ext xmlns:c16="http://schemas.microsoft.com/office/drawing/2014/chart" uri="{C3380CC4-5D6E-409C-BE32-E72D297353CC}">
                <c16:uniqueId val="{0000000F-C104-4E84-807F-41C1A6048F75}"/>
              </c:ext>
            </c:extLst>
          </c:dPt>
          <c:dPt>
            <c:idx val="8"/>
            <c:invertIfNegative val="0"/>
            <c:bubble3D val="0"/>
            <c:extLst>
              <c:ext xmlns:c16="http://schemas.microsoft.com/office/drawing/2014/chart" uri="{C3380CC4-5D6E-409C-BE32-E72D297353CC}">
                <c16:uniqueId val="{00000011-C104-4E84-807F-41C1A6048F75}"/>
              </c:ext>
            </c:extLst>
          </c:dPt>
          <c:dPt>
            <c:idx val="9"/>
            <c:invertIfNegative val="0"/>
            <c:bubble3D val="0"/>
            <c:extLst>
              <c:ext xmlns:c16="http://schemas.microsoft.com/office/drawing/2014/chart" uri="{C3380CC4-5D6E-409C-BE32-E72D297353CC}">
                <c16:uniqueId val="{00000013-C104-4E84-807F-41C1A6048F75}"/>
              </c:ext>
            </c:extLst>
          </c:dPt>
          <c:dPt>
            <c:idx val="10"/>
            <c:invertIfNegative val="0"/>
            <c:bubble3D val="0"/>
            <c:extLst>
              <c:ext xmlns:c16="http://schemas.microsoft.com/office/drawing/2014/chart" uri="{C3380CC4-5D6E-409C-BE32-E72D297353CC}">
                <c16:uniqueId val="{00000015-C104-4E84-807F-41C1A6048F75}"/>
              </c:ext>
            </c:extLst>
          </c:dPt>
          <c:dPt>
            <c:idx val="11"/>
            <c:invertIfNegative val="0"/>
            <c:bubble3D val="0"/>
            <c:extLst>
              <c:ext xmlns:c16="http://schemas.microsoft.com/office/drawing/2014/chart" uri="{C3380CC4-5D6E-409C-BE32-E72D297353CC}">
                <c16:uniqueId val="{00000017-C104-4E84-807F-41C1A6048F75}"/>
              </c:ext>
            </c:extLst>
          </c:dPt>
          <c:dPt>
            <c:idx val="12"/>
            <c:invertIfNegative val="0"/>
            <c:bubble3D val="0"/>
            <c:extLst>
              <c:ext xmlns:c16="http://schemas.microsoft.com/office/drawing/2014/chart" uri="{C3380CC4-5D6E-409C-BE32-E72D297353CC}">
                <c16:uniqueId val="{00000019-C104-4E84-807F-41C1A6048F75}"/>
              </c:ext>
            </c:extLst>
          </c:dPt>
          <c:dPt>
            <c:idx val="13"/>
            <c:invertIfNegative val="0"/>
            <c:bubble3D val="0"/>
            <c:extLst>
              <c:ext xmlns:c16="http://schemas.microsoft.com/office/drawing/2014/chart" uri="{C3380CC4-5D6E-409C-BE32-E72D297353CC}">
                <c16:uniqueId val="{0000001B-C104-4E84-807F-41C1A6048F75}"/>
              </c:ext>
            </c:extLst>
          </c:dPt>
          <c:dPt>
            <c:idx val="14"/>
            <c:invertIfNegative val="0"/>
            <c:bubble3D val="0"/>
            <c:extLst>
              <c:ext xmlns:c16="http://schemas.microsoft.com/office/drawing/2014/chart" uri="{C3380CC4-5D6E-409C-BE32-E72D297353CC}">
                <c16:uniqueId val="{0000001D-C104-4E84-807F-41C1A6048F75}"/>
              </c:ext>
            </c:extLst>
          </c:dPt>
          <c:dPt>
            <c:idx val="15"/>
            <c:invertIfNegative val="0"/>
            <c:bubble3D val="0"/>
            <c:extLst>
              <c:ext xmlns:c16="http://schemas.microsoft.com/office/drawing/2014/chart" uri="{C3380CC4-5D6E-409C-BE32-E72D297353CC}">
                <c16:uniqueId val="{0000001F-C104-4E84-807F-41C1A6048F75}"/>
              </c:ext>
            </c:extLst>
          </c:dPt>
          <c:dPt>
            <c:idx val="16"/>
            <c:invertIfNegative val="0"/>
            <c:bubble3D val="0"/>
            <c:extLst>
              <c:ext xmlns:c16="http://schemas.microsoft.com/office/drawing/2014/chart" uri="{C3380CC4-5D6E-409C-BE32-E72D297353CC}">
                <c16:uniqueId val="{00000021-C104-4E84-807F-41C1A6048F75}"/>
              </c:ext>
            </c:extLst>
          </c:dPt>
          <c:dPt>
            <c:idx val="17"/>
            <c:invertIfNegative val="0"/>
            <c:bubble3D val="0"/>
            <c:extLst>
              <c:ext xmlns:c16="http://schemas.microsoft.com/office/drawing/2014/chart" uri="{C3380CC4-5D6E-409C-BE32-E72D297353CC}">
                <c16:uniqueId val="{00000023-C104-4E84-807F-41C1A6048F75}"/>
              </c:ext>
            </c:extLst>
          </c:dPt>
          <c:dPt>
            <c:idx val="18"/>
            <c:invertIfNegative val="0"/>
            <c:bubble3D val="0"/>
            <c:extLst>
              <c:ext xmlns:c16="http://schemas.microsoft.com/office/drawing/2014/chart" uri="{C3380CC4-5D6E-409C-BE32-E72D297353CC}">
                <c16:uniqueId val="{00000025-C104-4E84-807F-41C1A6048F75}"/>
              </c:ext>
            </c:extLst>
          </c:dPt>
          <c:dPt>
            <c:idx val="19"/>
            <c:invertIfNegative val="0"/>
            <c:bubble3D val="0"/>
            <c:extLst>
              <c:ext xmlns:c16="http://schemas.microsoft.com/office/drawing/2014/chart" uri="{C3380CC4-5D6E-409C-BE32-E72D297353CC}">
                <c16:uniqueId val="{00000027-C104-4E84-807F-41C1A6048F7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'cash from financing activity'!$A$4:$A$7</c:f>
              <c:multiLvlStrCache>
                <c:ptCount val="2"/>
                <c:lvl>
                  <c:pt idx="0">
                    <c:v>Dabur</c:v>
                  </c:pt>
                  <c:pt idx="1">
                    <c:v>HUL</c:v>
                  </c:pt>
                </c:lvl>
                <c:lvl>
                  <c:pt idx="0">
                    <c:v>2017</c:v>
                  </c:pt>
                </c:lvl>
              </c:multiLvlStrCache>
            </c:multiLvlStrRef>
          </c:cat>
          <c:val>
            <c:numRef>
              <c:f>'cash from financing activity'!$B$4:$B$7</c:f>
              <c:numCache>
                <c:formatCode>General</c:formatCode>
                <c:ptCount val="2"/>
                <c:pt idx="0">
                  <c:v>-338.97</c:v>
                </c:pt>
                <c:pt idx="1">
                  <c:v>-4214</c:v>
                </c:pt>
              </c:numCache>
            </c:numRef>
          </c:val>
          <c:extLst>
            <c:ext xmlns:c16="http://schemas.microsoft.com/office/drawing/2014/chart" uri="{C3380CC4-5D6E-409C-BE32-E72D297353CC}">
              <c16:uniqueId val="{00000028-C104-4E84-807F-41C1A6048F75}"/>
            </c:ext>
          </c:extLst>
        </c:ser>
        <c:dLbls>
          <c:showLegendKey val="0"/>
          <c:showVal val="0"/>
          <c:showCatName val="0"/>
          <c:showSerName val="0"/>
          <c:showPercent val="0"/>
          <c:showBubbleSize val="0"/>
        </c:dLbls>
        <c:gapWidth val="100"/>
        <c:axId val="1131073632"/>
        <c:axId val="1133610704"/>
      </c:barChart>
      <c:catAx>
        <c:axId val="11310736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610704"/>
        <c:crosses val="autoZero"/>
        <c:auto val="1"/>
        <c:lblAlgn val="ctr"/>
        <c:lblOffset val="100"/>
        <c:noMultiLvlLbl val="0"/>
      </c:catAx>
      <c:valAx>
        <c:axId val="113361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07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net profit!PivotTable2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net profit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net profit'!$B$3</c:f>
              <c:strCache>
                <c:ptCount val="1"/>
                <c:pt idx="0">
                  <c:v>Total</c:v>
                </c:pt>
              </c:strCache>
            </c:strRef>
          </c:tx>
          <c:spPr>
            <a:solidFill>
              <a:schemeClr val="accent1"/>
            </a:solidFill>
            <a:ln>
              <a:noFill/>
            </a:ln>
            <a:effectLst/>
          </c:spPr>
          <c:invertIfNegative val="0"/>
          <c:cat>
            <c:multiLvlStrRef>
              <c:f>'total net profit'!$A$4:$A$7</c:f>
              <c:multiLvlStrCache>
                <c:ptCount val="2"/>
                <c:lvl>
                  <c:pt idx="0">
                    <c:v>Dabur</c:v>
                  </c:pt>
                  <c:pt idx="1">
                    <c:v>HUL</c:v>
                  </c:pt>
                </c:lvl>
                <c:lvl>
                  <c:pt idx="0">
                    <c:v>2017</c:v>
                  </c:pt>
                </c:lvl>
              </c:multiLvlStrCache>
            </c:multiLvlStrRef>
          </c:cat>
          <c:val>
            <c:numRef>
              <c:f>'total net profit'!$B$4:$B$7</c:f>
              <c:numCache>
                <c:formatCode>General</c:formatCode>
                <c:ptCount val="2"/>
                <c:pt idx="0">
                  <c:v>1276.94</c:v>
                </c:pt>
                <c:pt idx="1">
                  <c:v>4476</c:v>
                </c:pt>
              </c:numCache>
            </c:numRef>
          </c:val>
          <c:extLst>
            <c:ext xmlns:c16="http://schemas.microsoft.com/office/drawing/2014/chart" uri="{C3380CC4-5D6E-409C-BE32-E72D297353CC}">
              <c16:uniqueId val="{00000000-286B-4F44-B447-D79969E00826}"/>
            </c:ext>
          </c:extLst>
        </c:ser>
        <c:dLbls>
          <c:showLegendKey val="0"/>
          <c:showVal val="0"/>
          <c:showCatName val="0"/>
          <c:showSerName val="0"/>
          <c:showPercent val="0"/>
          <c:showBubbleSize val="0"/>
        </c:dLbls>
        <c:gapWidth val="219"/>
        <c:axId val="2140075296"/>
        <c:axId val="191858688"/>
      </c:barChart>
      <c:catAx>
        <c:axId val="2140075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8688"/>
        <c:crosses val="autoZero"/>
        <c:auto val="1"/>
        <c:lblAlgn val="ctr"/>
        <c:lblOffset val="100"/>
        <c:noMultiLvlLbl val="0"/>
      </c:catAx>
      <c:valAx>
        <c:axId val="191858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t>NET</a:t>
                </a:r>
                <a:r>
                  <a:rPr lang="en-IN" sz="1400" b="1" baseline="0"/>
                  <a:t> PROFIT</a:t>
                </a:r>
                <a:endParaRPr lang="en-IN"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07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021.xlsx]opm!PivotTable1</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Operating</a:t>
            </a:r>
            <a:r>
              <a:rPr lang="en-US" b="1" baseline="0"/>
              <a:t> Profit Margin</a:t>
            </a:r>
            <a:endParaRPr lang="en-US"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circle"/>
          <c:size val="6"/>
          <c:spPr>
            <a:solidFill>
              <a:schemeClr val="accent1"/>
            </a:solidFill>
            <a:ln w="9525">
              <a:solidFill>
                <a:schemeClr val="accent1"/>
              </a:solidFill>
              <a:round/>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opm!$B$3</c:f>
              <c:strCache>
                <c:ptCount val="1"/>
                <c:pt idx="0">
                  <c:v>Total</c:v>
                </c:pt>
              </c:strCache>
            </c:strRef>
          </c:tx>
          <c:spPr>
            <a:solidFill>
              <a:schemeClr val="accent1"/>
            </a:solidFill>
            <a:ln>
              <a:noFill/>
            </a:ln>
            <a:effectLst/>
            <a:scene3d>
              <a:camera prst="orthographicFront">
                <a:rot lat="0" lon="0" rev="0"/>
              </a:camera>
              <a:lightRig rig="brightRoom" dir="tl">
                <a:rot lat="0" lon="0" rev="1800000"/>
              </a:lightRig>
            </a:scene3d>
            <a:sp3d contourW="10160" prstMaterial="dkEdge">
              <a:bevelT w="38100" h="50800" prst="angle"/>
              <a:contourClr>
                <a:scrgbClr r="0" g="0" b="0">
                  <a:shade val="40000"/>
                  <a:satMod val="150000"/>
                </a:scrgbClr>
              </a:contourClr>
            </a:sp3d>
          </c:spPr>
          <c:invertIfNegative val="0"/>
          <c:cat>
            <c:multiLvlStrRef>
              <c:f>opm!$A$4:$A$7</c:f>
              <c:multiLvlStrCache>
                <c:ptCount val="2"/>
                <c:lvl>
                  <c:pt idx="0">
                    <c:v>Dabur</c:v>
                  </c:pt>
                  <c:pt idx="1">
                    <c:v>HUL</c:v>
                  </c:pt>
                </c:lvl>
                <c:lvl>
                  <c:pt idx="0">
                    <c:v>2017</c:v>
                  </c:pt>
                </c:lvl>
              </c:multiLvlStrCache>
            </c:multiLvlStrRef>
          </c:cat>
          <c:val>
            <c:numRef>
              <c:f>opm!$B$4:$B$7</c:f>
              <c:numCache>
                <c:formatCode>General</c:formatCode>
                <c:ptCount val="2"/>
                <c:pt idx="0">
                  <c:v>0.19854102992149572</c:v>
                </c:pt>
                <c:pt idx="1">
                  <c:v>0.1908208190097099</c:v>
                </c:pt>
              </c:numCache>
            </c:numRef>
          </c:val>
          <c:extLst>
            <c:ext xmlns:c16="http://schemas.microsoft.com/office/drawing/2014/chart" uri="{C3380CC4-5D6E-409C-BE32-E72D297353CC}">
              <c16:uniqueId val="{00000000-7E6A-42BC-9E11-B50D151F5CBC}"/>
            </c:ext>
          </c:extLst>
        </c:ser>
        <c:dLbls>
          <c:showLegendKey val="0"/>
          <c:showVal val="0"/>
          <c:showCatName val="0"/>
          <c:showSerName val="0"/>
          <c:showPercent val="0"/>
          <c:showBubbleSize val="0"/>
        </c:dLbls>
        <c:gapWidth val="100"/>
        <c:overlap val="-24"/>
        <c:axId val="1011561695"/>
        <c:axId val="1013497839"/>
      </c:barChart>
      <c:catAx>
        <c:axId val="10115616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497839"/>
        <c:crosses val="autoZero"/>
        <c:auto val="1"/>
        <c:lblAlgn val="ctr"/>
        <c:lblOffset val="100"/>
        <c:noMultiLvlLbl val="0"/>
      </c:catAx>
      <c:valAx>
        <c:axId val="10134978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15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021.xlsx]dividend profit!PivotTable2</c:name>
    <c:fmtId val="15"/>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b="1"/>
              <a:t>Dividend Payout</a:t>
            </a:r>
          </a:p>
        </c:rich>
      </c:tx>
      <c:layout>
        <c:manualLayout>
          <c:xMode val="edge"/>
          <c:yMode val="edge"/>
          <c:x val="0.3348300008954303"/>
          <c:y val="0.10643118739365821"/>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'dividend profit'!$B$3</c:f>
              <c:strCache>
                <c:ptCount val="1"/>
                <c:pt idx="0">
                  <c:v>Total</c:v>
                </c:pt>
              </c:strCache>
            </c:strRef>
          </c:tx>
          <c:spPr>
            <a:solidFill>
              <a:schemeClr val="accent1">
                <a:alpha val="70000"/>
              </a:schemeClr>
            </a:solidFill>
            <a:ln>
              <a:noFill/>
            </a:ln>
            <a:effectLst/>
          </c:spPr>
          <c:invertIfNegative val="0"/>
          <c:cat>
            <c:multiLvlStrRef>
              <c:f>'dividend profit'!$A$4:$A$7</c:f>
              <c:multiLvlStrCache>
                <c:ptCount val="2"/>
                <c:lvl>
                  <c:pt idx="0">
                    <c:v>Dabur</c:v>
                  </c:pt>
                  <c:pt idx="1">
                    <c:v>HUL</c:v>
                  </c:pt>
                </c:lvl>
                <c:lvl>
                  <c:pt idx="0">
                    <c:v>2017</c:v>
                  </c:pt>
                </c:lvl>
              </c:multiLvlStrCache>
            </c:multiLvlStrRef>
          </c:cat>
          <c:val>
            <c:numRef>
              <c:f>'dividend profit'!$B$4:$B$7</c:f>
              <c:numCache>
                <c:formatCode>General</c:formatCode>
                <c:ptCount val="2"/>
                <c:pt idx="0">
                  <c:v>0.31038263348317069</c:v>
                </c:pt>
                <c:pt idx="1">
                  <c:v>0.82037533512064342</c:v>
                </c:pt>
              </c:numCache>
            </c:numRef>
          </c:val>
          <c:extLst>
            <c:ext xmlns:c16="http://schemas.microsoft.com/office/drawing/2014/chart" uri="{C3380CC4-5D6E-409C-BE32-E72D297353CC}">
              <c16:uniqueId val="{00000000-74C2-4359-8624-4EA39D2987A1}"/>
            </c:ext>
          </c:extLst>
        </c:ser>
        <c:dLbls>
          <c:showLegendKey val="0"/>
          <c:showVal val="0"/>
          <c:showCatName val="0"/>
          <c:showSerName val="0"/>
          <c:showPercent val="0"/>
          <c:showBubbleSize val="0"/>
        </c:dLbls>
        <c:gapWidth val="80"/>
        <c:overlap val="25"/>
        <c:axId val="1065249231"/>
        <c:axId val="1019256911"/>
      </c:barChart>
      <c:catAx>
        <c:axId val="106524923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019256911"/>
        <c:crosses val="autoZero"/>
        <c:auto val="1"/>
        <c:lblAlgn val="ctr"/>
        <c:lblOffset val="100"/>
        <c:noMultiLvlLbl val="0"/>
      </c:catAx>
      <c:valAx>
        <c:axId val="101925691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065249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021.xlsx]inventory turnover!PivotTable4</c:name>
    <c:fmtId val="6"/>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000" b="1">
                <a:latin typeface="Arial Black" panose="020B0A04020102020204" pitchFamily="34" charset="0"/>
                <a:cs typeface="Arial" panose="020B0604020202020204" pitchFamily="34" charset="0"/>
              </a:rPr>
              <a:t>Inventory</a:t>
            </a:r>
            <a:r>
              <a:rPr lang="en-US" sz="1000" b="1" baseline="0">
                <a:latin typeface="Arial Black" panose="020B0A04020102020204" pitchFamily="34" charset="0"/>
                <a:cs typeface="Arial" panose="020B0604020202020204" pitchFamily="34" charset="0"/>
              </a:rPr>
              <a:t> Turnover</a:t>
            </a:r>
            <a:endParaRPr lang="en-US" sz="1000" b="1">
              <a:latin typeface="Arial Black" panose="020B0A04020102020204" pitchFamily="34" charset="0"/>
              <a:cs typeface="Arial" panose="020B0604020202020204" pitchFamily="34" charset="0"/>
            </a:endParaRPr>
          </a:p>
        </c:rich>
      </c:tx>
      <c:layout>
        <c:manualLayout>
          <c:xMode val="edge"/>
          <c:yMode val="edge"/>
          <c:x val="0.30355087370835404"/>
          <c:y val="0.13504552475569903"/>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141917384390554E-2"/>
          <c:y val="0.20979090309956075"/>
          <c:w val="0.80106075338798011"/>
          <c:h val="0.5031296850740492"/>
        </c:manualLayout>
      </c:layout>
      <c:barChart>
        <c:barDir val="col"/>
        <c:grouping val="clustered"/>
        <c:varyColors val="0"/>
        <c:ser>
          <c:idx val="0"/>
          <c:order val="0"/>
          <c:tx>
            <c:strRef>
              <c:f>'inventory turnover'!$B$3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'inventory turnover'!$A$4:$A$7</c:f>
              <c:multiLvlStrCache>
                <c:ptCount val="2"/>
                <c:lvl>
                  <c:pt idx="0">
                    <c:v>Dabur</c:v>
                  </c:pt>
                  <c:pt idx="1">
                    <c:v>HUL</c:v>
                  </c:pt>
                </c:lvl>
                <c:lvl>
                  <c:pt idx="0">
                    <c:v>2017</c:v>
                  </c:pt>
                </c:lvl>
              </c:multiLvlStrCache>
            </c:multiLvlStrRef>
          </c:cat>
          <c:val>
            <c:numRef>
              <c:f>'inventory turnover'!$B$4:$B$7</c:f>
              <c:numCache>
                <c:formatCode>General</c:formatCode>
                <c:ptCount val="2"/>
                <c:pt idx="0">
                  <c:v>6.8794806227466996</c:v>
                </c:pt>
                <c:pt idx="1">
                  <c:v>13.050767414403778</c:v>
                </c:pt>
              </c:numCache>
            </c:numRef>
          </c:val>
          <c:extLst>
            <c:ext xmlns:c16="http://schemas.microsoft.com/office/drawing/2014/chart" uri="{C3380CC4-5D6E-409C-BE32-E72D297353CC}">
              <c16:uniqueId val="{00000000-A6B2-44EC-85E2-65EF388B6BE0}"/>
            </c:ext>
          </c:extLst>
        </c:ser>
        <c:dLbls>
          <c:showLegendKey val="0"/>
          <c:showVal val="0"/>
          <c:showCatName val="0"/>
          <c:showSerName val="0"/>
          <c:showPercent val="0"/>
          <c:showBubbleSize val="0"/>
        </c:dLbls>
        <c:gapWidth val="164"/>
        <c:overlap val="-22"/>
        <c:axId val="1077631903"/>
        <c:axId val="1071661807"/>
      </c:barChart>
      <c:catAx>
        <c:axId val="1077631903"/>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61807"/>
        <c:crosses val="autoZero"/>
        <c:auto val="1"/>
        <c:lblAlgn val="ctr"/>
        <c:lblOffset val="100"/>
        <c:noMultiLvlLbl val="0"/>
      </c:catAx>
      <c:valAx>
        <c:axId val="1071661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63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investing activity!PivotTable5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Cash</a:t>
            </a:r>
            <a:r>
              <a:rPr lang="en-US" b="1" baseline="0"/>
              <a:t> from Investing Activity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'cash from investing activity'!$B$3</c:f>
              <c:strCache>
                <c:ptCount val="1"/>
                <c:pt idx="0">
                  <c:v>Total</c:v>
                </c:pt>
              </c:strCache>
            </c:strRef>
          </c:tx>
          <c:spPr>
            <a:solidFill>
              <a:schemeClr val="accent1"/>
            </a:solidFill>
            <a:ln>
              <a:noFill/>
            </a:ln>
            <a:effectLst/>
          </c:spPr>
          <c:invertIfNegative val="0"/>
          <c:cat>
            <c:multiLvlStrRef>
              <c:f>'cash from investing activity'!$A$4:$A$7</c:f>
              <c:multiLvlStrCache>
                <c:ptCount val="2"/>
                <c:lvl>
                  <c:pt idx="0">
                    <c:v>Dabur</c:v>
                  </c:pt>
                  <c:pt idx="1">
                    <c:v>HUL</c:v>
                  </c:pt>
                </c:lvl>
                <c:lvl>
                  <c:pt idx="0">
                    <c:v>2017</c:v>
                  </c:pt>
                </c:lvl>
              </c:multiLvlStrCache>
            </c:multiLvlStrRef>
          </c:cat>
          <c:val>
            <c:numRef>
              <c:f>'cash from investing activity'!$B$4:$B$7</c:f>
              <c:numCache>
                <c:formatCode>General</c:formatCode>
                <c:ptCount val="2"/>
                <c:pt idx="0">
                  <c:v>-807.07</c:v>
                </c:pt>
                <c:pt idx="1">
                  <c:v>-1173</c:v>
                </c:pt>
              </c:numCache>
            </c:numRef>
          </c:val>
          <c:extLst>
            <c:ext xmlns:c16="http://schemas.microsoft.com/office/drawing/2014/chart" uri="{C3380CC4-5D6E-409C-BE32-E72D297353CC}">
              <c16:uniqueId val="{00000000-8CC1-41D7-B3B5-80CFE0FA0E9F}"/>
            </c:ext>
          </c:extLst>
        </c:ser>
        <c:dLbls>
          <c:showLegendKey val="0"/>
          <c:showVal val="0"/>
          <c:showCatName val="0"/>
          <c:showSerName val="0"/>
          <c:showPercent val="0"/>
          <c:showBubbleSize val="0"/>
        </c:dLbls>
        <c:gapWidth val="219"/>
        <c:overlap val="-27"/>
        <c:axId val="1077638143"/>
        <c:axId val="1071620639"/>
      </c:barChart>
      <c:catAx>
        <c:axId val="107763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20639"/>
        <c:crosses val="autoZero"/>
        <c:auto val="1"/>
        <c:lblAlgn val="ctr"/>
        <c:lblOffset val="100"/>
        <c:noMultiLvlLbl val="0"/>
      </c:catAx>
      <c:valAx>
        <c:axId val="1071620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63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021.xlsx]return on equity!PivotTable6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Return</a:t>
            </a:r>
            <a:r>
              <a:rPr lang="en-US" b="1" baseline="0"/>
              <a:t> on Equity</a:t>
            </a:r>
            <a:endParaRPr lang="en-US" b="1"/>
          </a:p>
        </c:rich>
      </c:tx>
      <c:layout>
        <c:manualLayout>
          <c:xMode val="edge"/>
          <c:yMode val="edge"/>
          <c:x val="0.36690371803308142"/>
          <c:y val="0.1082395989646819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 on equity'!$B$3</c:f>
              <c:strCache>
                <c:ptCount val="1"/>
                <c:pt idx="0">
                  <c:v>Total</c:v>
                </c:pt>
              </c:strCache>
            </c:strRef>
          </c:tx>
          <c:spPr>
            <a:solidFill>
              <a:schemeClr val="accent1"/>
            </a:solidFill>
            <a:ln>
              <a:noFill/>
            </a:ln>
            <a:effectLst/>
          </c:spPr>
          <c:invertIfNegative val="0"/>
          <c:cat>
            <c:multiLvlStrRef>
              <c:f>'return on equity'!$A$4:$A$7</c:f>
              <c:multiLvlStrCache>
                <c:ptCount val="2"/>
                <c:lvl>
                  <c:pt idx="0">
                    <c:v>Dabur</c:v>
                  </c:pt>
                  <c:pt idx="1">
                    <c:v>HUL</c:v>
                  </c:pt>
                </c:lvl>
                <c:lvl>
                  <c:pt idx="0">
                    <c:v>2017</c:v>
                  </c:pt>
                </c:lvl>
              </c:multiLvlStrCache>
            </c:multiLvlStrRef>
          </c:cat>
          <c:val>
            <c:numRef>
              <c:f>'return on equity'!$B$4:$B$7</c:f>
              <c:numCache>
                <c:formatCode>General</c:formatCode>
                <c:ptCount val="2"/>
                <c:pt idx="0">
                  <c:v>0.26342836041663664</c:v>
                </c:pt>
                <c:pt idx="1">
                  <c:v>0.66370106761565839</c:v>
                </c:pt>
              </c:numCache>
            </c:numRef>
          </c:val>
          <c:extLst>
            <c:ext xmlns:c16="http://schemas.microsoft.com/office/drawing/2014/chart" uri="{C3380CC4-5D6E-409C-BE32-E72D297353CC}">
              <c16:uniqueId val="{00000000-6AF0-4DF4-B41A-FECA88537D7F}"/>
            </c:ext>
          </c:extLst>
        </c:ser>
        <c:dLbls>
          <c:showLegendKey val="0"/>
          <c:showVal val="0"/>
          <c:showCatName val="0"/>
          <c:showSerName val="0"/>
          <c:showPercent val="0"/>
          <c:showBubbleSize val="0"/>
        </c:dLbls>
        <c:gapWidth val="219"/>
        <c:overlap val="-27"/>
        <c:axId val="1011553535"/>
        <c:axId val="1088961903"/>
      </c:barChart>
      <c:catAx>
        <c:axId val="101155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961903"/>
        <c:crosses val="autoZero"/>
        <c:auto val="1"/>
        <c:lblAlgn val="ctr"/>
        <c:lblOffset val="100"/>
        <c:noMultiLvlLbl val="0"/>
      </c:catAx>
      <c:valAx>
        <c:axId val="108896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55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net profit!PivotTable2</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Net Profit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'total net profit'!$B$3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net profit'!$A$4:$A$7</c:f>
              <c:multiLvlStrCache>
                <c:ptCount val="2"/>
                <c:lvl>
                  <c:pt idx="0">
                    <c:v>Dabur</c:v>
                  </c:pt>
                  <c:pt idx="1">
                    <c:v>HUL</c:v>
                  </c:pt>
                </c:lvl>
                <c:lvl>
                  <c:pt idx="0">
                    <c:v>2017</c:v>
                  </c:pt>
                </c:lvl>
              </c:multiLvlStrCache>
            </c:multiLvlStrRef>
          </c:cat>
          <c:val>
            <c:numRef>
              <c:f>'total net profit'!$B$4:$B$7</c:f>
              <c:numCache>
                <c:formatCode>General</c:formatCode>
                <c:ptCount val="2"/>
                <c:pt idx="0">
                  <c:v>1276.94</c:v>
                </c:pt>
                <c:pt idx="1">
                  <c:v>4476</c:v>
                </c:pt>
              </c:numCache>
            </c:numRef>
          </c:val>
          <c:smooth val="0"/>
          <c:extLst>
            <c:ext xmlns:c16="http://schemas.microsoft.com/office/drawing/2014/chart" uri="{C3380CC4-5D6E-409C-BE32-E72D297353CC}">
              <c16:uniqueId val="{00000000-2044-4343-A6DC-750269FD2D82}"/>
            </c:ext>
          </c:extLst>
        </c:ser>
        <c:dLbls>
          <c:showLegendKey val="0"/>
          <c:showVal val="0"/>
          <c:showCatName val="0"/>
          <c:showSerName val="0"/>
          <c:showPercent val="0"/>
          <c:showBubbleSize val="0"/>
        </c:dLbls>
        <c:marker val="1"/>
        <c:smooth val="0"/>
        <c:axId val="2120417104"/>
        <c:axId val="88833104"/>
      </c:lineChart>
      <c:catAx>
        <c:axId val="212041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3104"/>
        <c:crosses val="autoZero"/>
        <c:auto val="1"/>
        <c:lblAlgn val="ctr"/>
        <c:lblOffset val="100"/>
        <c:noMultiLvlLbl val="0"/>
      </c:catAx>
      <c:valAx>
        <c:axId val="8883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41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financing activity!PivotTable1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of financial activity</a:t>
            </a:r>
          </a:p>
        </c:rich>
      </c:tx>
      <c:layout>
        <c:manualLayout>
          <c:xMode val="edge"/>
          <c:yMode val="edge"/>
          <c:x val="0.27456903908516811"/>
          <c:y val="0.112341259832096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23381452318461"/>
          <c:y val="0.24476633129192185"/>
          <c:w val="0.7015990813648294"/>
          <c:h val="0.59421733741615634"/>
        </c:manualLayout>
      </c:layout>
      <c:lineChart>
        <c:grouping val="standard"/>
        <c:varyColors val="0"/>
        <c:ser>
          <c:idx val="0"/>
          <c:order val="0"/>
          <c:tx>
            <c:strRef>
              <c:f>'cash from financing activity'!$B$3</c:f>
              <c:strCache>
                <c:ptCount val="1"/>
                <c:pt idx="0">
                  <c:v>Total</c:v>
                </c:pt>
              </c:strCache>
            </c:strRef>
          </c:tx>
          <c:spPr>
            <a:ln w="28575" cap="rnd">
              <a:solidFill>
                <a:schemeClr val="accent1"/>
              </a:solidFill>
              <a:round/>
            </a:ln>
            <a:effectLst/>
          </c:spPr>
          <c:marker>
            <c:symbol val="none"/>
          </c:marker>
          <c:cat>
            <c:multiLvlStrRef>
              <c:f>'cash from financing activity'!$A$4:$A$7</c:f>
              <c:multiLvlStrCache>
                <c:ptCount val="2"/>
                <c:lvl>
                  <c:pt idx="0">
                    <c:v>Dabur</c:v>
                  </c:pt>
                  <c:pt idx="1">
                    <c:v>HUL</c:v>
                  </c:pt>
                </c:lvl>
                <c:lvl>
                  <c:pt idx="0">
                    <c:v>2017</c:v>
                  </c:pt>
                </c:lvl>
              </c:multiLvlStrCache>
            </c:multiLvlStrRef>
          </c:cat>
          <c:val>
            <c:numRef>
              <c:f>'cash from financing activity'!$B$4:$B$7</c:f>
              <c:numCache>
                <c:formatCode>General</c:formatCode>
                <c:ptCount val="2"/>
                <c:pt idx="0">
                  <c:v>-338.97</c:v>
                </c:pt>
                <c:pt idx="1">
                  <c:v>-4214</c:v>
                </c:pt>
              </c:numCache>
            </c:numRef>
          </c:val>
          <c:smooth val="0"/>
          <c:extLst>
            <c:ext xmlns:c16="http://schemas.microsoft.com/office/drawing/2014/chart" uri="{C3380CC4-5D6E-409C-BE32-E72D297353CC}">
              <c16:uniqueId val="{00000000-B0E8-4BCF-8FDA-6C5EAC8A29FD}"/>
            </c:ext>
          </c:extLst>
        </c:ser>
        <c:dLbls>
          <c:showLegendKey val="0"/>
          <c:showVal val="0"/>
          <c:showCatName val="0"/>
          <c:showSerName val="0"/>
          <c:showPercent val="0"/>
          <c:showBubbleSize val="0"/>
        </c:dLbls>
        <c:smooth val="0"/>
        <c:axId val="2086200640"/>
        <c:axId val="2067172880"/>
      </c:lineChart>
      <c:catAx>
        <c:axId val="208620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72880"/>
        <c:crosses val="autoZero"/>
        <c:auto val="1"/>
        <c:lblAlgn val="ctr"/>
        <c:lblOffset val="100"/>
        <c:noMultiLvlLbl val="0"/>
      </c:catAx>
      <c:valAx>
        <c:axId val="206717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20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021.xlsx]debtors days !PivotTable1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Debtors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83048781354359"/>
          <c:y val="0.32547291717111437"/>
          <c:w val="0.71685756997126593"/>
          <c:h val="0.337320406427907"/>
        </c:manualLayout>
      </c:layout>
      <c:lineChart>
        <c:grouping val="stacked"/>
        <c:varyColors val="0"/>
        <c:ser>
          <c:idx val="0"/>
          <c:order val="0"/>
          <c:tx>
            <c:strRef>
              <c:f>'debtors days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'debtors days '!$A$4:$A$7</c:f>
              <c:multiLvlStrCache>
                <c:ptCount val="2"/>
                <c:lvl>
                  <c:pt idx="0">
                    <c:v>Dabur</c:v>
                  </c:pt>
                  <c:pt idx="1">
                    <c:v>HUL</c:v>
                  </c:pt>
                </c:lvl>
                <c:lvl>
                  <c:pt idx="0">
                    <c:v>2017</c:v>
                  </c:pt>
                </c:lvl>
              </c:multiLvlStrCache>
            </c:multiLvlStrRef>
          </c:cat>
          <c:val>
            <c:numRef>
              <c:f>'debtors days '!$B$4:$B$7</c:f>
              <c:numCache>
                <c:formatCode>General</c:formatCode>
                <c:ptCount val="2"/>
                <c:pt idx="0">
                  <c:v>31.181518836711721</c:v>
                </c:pt>
                <c:pt idx="1">
                  <c:v>11.942132561365419</c:v>
                </c:pt>
              </c:numCache>
            </c:numRef>
          </c:val>
          <c:smooth val="0"/>
          <c:extLst>
            <c:ext xmlns:c16="http://schemas.microsoft.com/office/drawing/2014/chart" uri="{C3380CC4-5D6E-409C-BE32-E72D297353CC}">
              <c16:uniqueId val="{00000000-2F8E-47E6-85D1-736318328762}"/>
            </c:ext>
          </c:extLst>
        </c:ser>
        <c:dLbls>
          <c:showLegendKey val="0"/>
          <c:showVal val="0"/>
          <c:showCatName val="0"/>
          <c:showSerName val="0"/>
          <c:showPercent val="0"/>
          <c:showBubbleSize val="0"/>
        </c:dLbls>
        <c:marker val="1"/>
        <c:smooth val="0"/>
        <c:axId val="1967288144"/>
        <c:axId val="2126579120"/>
      </c:lineChart>
      <c:catAx>
        <c:axId val="196728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79120"/>
        <c:crosses val="autoZero"/>
        <c:auto val="1"/>
        <c:lblAlgn val="ctr"/>
        <c:lblOffset val="100"/>
        <c:noMultiLvlLbl val="0"/>
      </c:catAx>
      <c:valAx>
        <c:axId val="212657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28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reserve!PivotTable1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Reserve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reserve'!$B$3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reserve'!$A$4:$A$7</c:f>
              <c:multiLvlStrCache>
                <c:ptCount val="2"/>
                <c:lvl>
                  <c:pt idx="0">
                    <c:v>Dabur</c:v>
                  </c:pt>
                  <c:pt idx="1">
                    <c:v>HUL</c:v>
                  </c:pt>
                </c:lvl>
                <c:lvl>
                  <c:pt idx="0">
                    <c:v>2017</c:v>
                  </c:pt>
                </c:lvl>
              </c:multiLvlStrCache>
            </c:multiLvlStrRef>
          </c:cat>
          <c:val>
            <c:numRef>
              <c:f>'total reserve'!$B$4:$B$7</c:f>
              <c:numCache>
                <c:formatCode>General</c:formatCode>
                <c:ptCount val="2"/>
                <c:pt idx="0">
                  <c:v>4671.24</c:v>
                </c:pt>
                <c:pt idx="1">
                  <c:v>6528</c:v>
                </c:pt>
              </c:numCache>
            </c:numRef>
          </c:val>
          <c:smooth val="0"/>
          <c:extLst>
            <c:ext xmlns:c16="http://schemas.microsoft.com/office/drawing/2014/chart" uri="{C3380CC4-5D6E-409C-BE32-E72D297353CC}">
              <c16:uniqueId val="{00000000-F4D3-4E85-89BB-06B1483EB4ED}"/>
            </c:ext>
          </c:extLst>
        </c:ser>
        <c:dLbls>
          <c:showLegendKey val="0"/>
          <c:showVal val="0"/>
          <c:showCatName val="0"/>
          <c:showSerName val="0"/>
          <c:showPercent val="0"/>
          <c:showBubbleSize val="0"/>
        </c:dLbls>
        <c:marker val="1"/>
        <c:smooth val="0"/>
        <c:axId val="4684384"/>
        <c:axId val="2126584080"/>
      </c:lineChart>
      <c:catAx>
        <c:axId val="468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84080"/>
        <c:crosses val="autoZero"/>
        <c:auto val="1"/>
        <c:lblAlgn val="ctr"/>
        <c:lblOffset val="100"/>
        <c:noMultiLvlLbl val="0"/>
      </c:catAx>
      <c:valAx>
        <c:axId val="21265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021.xlsx]total operating profit!PivotTable4</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Operating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'total operating profit'!$B$3</c:f>
              <c:strCache>
                <c:ptCount val="1"/>
                <c:pt idx="0">
                  <c:v>Total</c:v>
                </c:pt>
              </c:strCache>
            </c:strRef>
          </c:tx>
          <c:spPr>
            <a:ln w="28575" cap="rnd">
              <a:solidFill>
                <a:schemeClr val="accent1"/>
              </a:solidFill>
              <a:round/>
            </a:ln>
            <a:effectLst/>
          </c:spPr>
          <c:marker>
            <c:symbol val="none"/>
          </c:marker>
          <c:cat>
            <c:multiLvlStrRef>
              <c:f>'total operating profit'!$A$4:$A$7</c:f>
              <c:multiLvlStrCache>
                <c:ptCount val="2"/>
                <c:lvl>
                  <c:pt idx="0">
                    <c:v>Dabur</c:v>
                  </c:pt>
                  <c:pt idx="1">
                    <c:v>HUL</c:v>
                  </c:pt>
                </c:lvl>
                <c:lvl>
                  <c:pt idx="0">
                    <c:v>2017</c:v>
                  </c:pt>
                </c:lvl>
              </c:multiLvlStrCache>
            </c:multiLvlStrRef>
          </c:cat>
          <c:val>
            <c:numRef>
              <c:f>'total operating profit'!$B$4:$B$7</c:f>
              <c:numCache>
                <c:formatCode>General</c:formatCode>
                <c:ptCount val="2"/>
                <c:pt idx="0">
                  <c:v>1511.6100000000006</c:v>
                </c:pt>
                <c:pt idx="1">
                  <c:v>6328</c:v>
                </c:pt>
              </c:numCache>
            </c:numRef>
          </c:val>
          <c:smooth val="0"/>
          <c:extLst>
            <c:ext xmlns:c16="http://schemas.microsoft.com/office/drawing/2014/chart" uri="{C3380CC4-5D6E-409C-BE32-E72D297353CC}">
              <c16:uniqueId val="{00000000-C66B-4181-A94C-CCB5A8C843B3}"/>
            </c:ext>
          </c:extLst>
        </c:ser>
        <c:dLbls>
          <c:showLegendKey val="0"/>
          <c:showVal val="0"/>
          <c:showCatName val="0"/>
          <c:showSerName val="0"/>
          <c:showPercent val="0"/>
          <c:showBubbleSize val="0"/>
        </c:dLbls>
        <c:smooth val="0"/>
        <c:axId val="8639696"/>
        <c:axId val="2126578128"/>
      </c:lineChart>
      <c:catAx>
        <c:axId val="863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78128"/>
        <c:crosses val="autoZero"/>
        <c:auto val="1"/>
        <c:lblAlgn val="ctr"/>
        <c:lblOffset val="100"/>
        <c:noMultiLvlLbl val="0"/>
      </c:catAx>
      <c:valAx>
        <c:axId val="212657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sales!PivotTable2</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sales'!$B$3</c:f>
              <c:strCache>
                <c:ptCount val="1"/>
                <c:pt idx="0">
                  <c:v>Total</c:v>
                </c:pt>
              </c:strCache>
            </c:strRef>
          </c:tx>
          <c:spPr>
            <a:ln w="28575" cap="rnd">
              <a:solidFill>
                <a:schemeClr val="accent1"/>
              </a:solidFill>
              <a:round/>
            </a:ln>
            <a:effectLst/>
          </c:spPr>
          <c:marker>
            <c:symbol val="none"/>
          </c:marker>
          <c:cat>
            <c:multiLvlStrRef>
              <c:f>'objective sales'!$A$4:$A$7</c:f>
              <c:multiLvlStrCache>
                <c:ptCount val="2"/>
                <c:lvl>
                  <c:pt idx="0">
                    <c:v>Dabur</c:v>
                  </c:pt>
                  <c:pt idx="1">
                    <c:v>HUL</c:v>
                  </c:pt>
                </c:lvl>
                <c:lvl>
                  <c:pt idx="0">
                    <c:v>2017</c:v>
                  </c:pt>
                </c:lvl>
              </c:multiLvlStrCache>
            </c:multiLvlStrRef>
          </c:cat>
          <c:val>
            <c:numRef>
              <c:f>'objective sales'!$B$4:$B$7</c:f>
              <c:numCache>
                <c:formatCode>General</c:formatCode>
                <c:ptCount val="2"/>
                <c:pt idx="0">
                  <c:v>7613.59</c:v>
                </c:pt>
                <c:pt idx="1">
                  <c:v>33162</c:v>
                </c:pt>
              </c:numCache>
            </c:numRef>
          </c:val>
          <c:smooth val="0"/>
          <c:extLst>
            <c:ext xmlns:c16="http://schemas.microsoft.com/office/drawing/2014/chart" uri="{C3380CC4-5D6E-409C-BE32-E72D297353CC}">
              <c16:uniqueId val="{00000000-5E34-4795-ACE7-9758D88F49F2}"/>
            </c:ext>
          </c:extLst>
        </c:ser>
        <c:dLbls>
          <c:showLegendKey val="0"/>
          <c:showVal val="0"/>
          <c:showCatName val="0"/>
          <c:showSerName val="0"/>
          <c:showPercent val="0"/>
          <c:showBubbleSize val="0"/>
        </c:dLbls>
        <c:smooth val="0"/>
        <c:axId val="1854373088"/>
        <c:axId val="2067185280"/>
      </c:lineChart>
      <c:catAx>
        <c:axId val="185437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85280"/>
        <c:crosses val="autoZero"/>
        <c:auto val="1"/>
        <c:lblAlgn val="ctr"/>
        <c:lblOffset val="100"/>
        <c:noMultiLvlLbl val="0"/>
      </c:catAx>
      <c:valAx>
        <c:axId val="206718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7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021.xlsx]objective 3!PivotTable3</c:name>
    <c:fmtId val="18"/>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3'!$B$3</c:f>
              <c:strCache>
                <c:ptCount val="1"/>
                <c:pt idx="0">
                  <c:v>Sum of Cash from Operating Activity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'objective 3'!$A$4:$A$7</c:f>
              <c:multiLvlStrCache>
                <c:ptCount val="2"/>
                <c:lvl>
                  <c:pt idx="0">
                    <c:v>Dabur</c:v>
                  </c:pt>
                  <c:pt idx="1">
                    <c:v>HUL</c:v>
                  </c:pt>
                </c:lvl>
                <c:lvl>
                  <c:pt idx="0">
                    <c:v>2017</c:v>
                  </c:pt>
                </c:lvl>
              </c:multiLvlStrCache>
            </c:multiLvlStrRef>
          </c:cat>
          <c:val>
            <c:numRef>
              <c:f>'objective 3'!$B$4:$B$7</c:f>
              <c:numCache>
                <c:formatCode>General</c:formatCode>
                <c:ptCount val="2"/>
                <c:pt idx="0">
                  <c:v>1226.94</c:v>
                </c:pt>
                <c:pt idx="1">
                  <c:v>5185</c:v>
                </c:pt>
              </c:numCache>
            </c:numRef>
          </c:val>
          <c:smooth val="0"/>
          <c:extLst>
            <c:ext xmlns:c16="http://schemas.microsoft.com/office/drawing/2014/chart" uri="{C3380CC4-5D6E-409C-BE32-E72D297353CC}">
              <c16:uniqueId val="{00000000-FC90-4CDD-AD76-4C8106891793}"/>
            </c:ext>
          </c:extLst>
        </c:ser>
        <c:ser>
          <c:idx val="1"/>
          <c:order val="1"/>
          <c:tx>
            <c:strRef>
              <c:f>'objective 3'!$C$3</c:f>
              <c:strCache>
                <c:ptCount val="1"/>
                <c:pt idx="0">
                  <c:v>Sum of Cash from Investing Activity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'objective 3'!$A$4:$A$7</c:f>
              <c:multiLvlStrCache>
                <c:ptCount val="2"/>
                <c:lvl>
                  <c:pt idx="0">
                    <c:v>Dabur</c:v>
                  </c:pt>
                  <c:pt idx="1">
                    <c:v>HUL</c:v>
                  </c:pt>
                </c:lvl>
                <c:lvl>
                  <c:pt idx="0">
                    <c:v>2017</c:v>
                  </c:pt>
                </c:lvl>
              </c:multiLvlStrCache>
            </c:multiLvlStrRef>
          </c:cat>
          <c:val>
            <c:numRef>
              <c:f>'objective 3'!$C$4:$C$7</c:f>
              <c:numCache>
                <c:formatCode>General</c:formatCode>
                <c:ptCount val="2"/>
                <c:pt idx="0">
                  <c:v>-807.07</c:v>
                </c:pt>
                <c:pt idx="1">
                  <c:v>-1173</c:v>
                </c:pt>
              </c:numCache>
            </c:numRef>
          </c:val>
          <c:smooth val="0"/>
          <c:extLst>
            <c:ext xmlns:c16="http://schemas.microsoft.com/office/drawing/2014/chart" uri="{C3380CC4-5D6E-409C-BE32-E72D297353CC}">
              <c16:uniqueId val="{00000001-FC90-4CDD-AD76-4C8106891793}"/>
            </c:ext>
          </c:extLst>
        </c:ser>
        <c:dLbls>
          <c:showLegendKey val="0"/>
          <c:showVal val="0"/>
          <c:showCatName val="0"/>
          <c:showSerName val="0"/>
          <c:showPercent val="0"/>
          <c:showBubbleSize val="0"/>
        </c:dLbls>
        <c:marker val="1"/>
        <c:smooth val="0"/>
        <c:axId val="2073733152"/>
        <c:axId val="1857905168"/>
      </c:lineChart>
      <c:catAx>
        <c:axId val="207373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905168"/>
        <c:crosses val="autoZero"/>
        <c:auto val="1"/>
        <c:lblAlgn val="ctr"/>
        <c:lblOffset val="100"/>
        <c:noMultiLvlLbl val="0"/>
      </c:catAx>
      <c:valAx>
        <c:axId val="185790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3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021.xlsx]opm!PivotTable1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opm!$B$3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opm!$A$4:$A$7</c:f>
              <c:multiLvlStrCache>
                <c:ptCount val="2"/>
                <c:lvl>
                  <c:pt idx="0">
                    <c:v>Dabur</c:v>
                  </c:pt>
                  <c:pt idx="1">
                    <c:v>HUL</c:v>
                  </c:pt>
                </c:lvl>
                <c:lvl>
                  <c:pt idx="0">
                    <c:v>2017</c:v>
                  </c:pt>
                </c:lvl>
              </c:multiLvlStrCache>
            </c:multiLvlStrRef>
          </c:cat>
          <c:val>
            <c:numRef>
              <c:f>opm!$B$4:$B$7</c:f>
              <c:numCache>
                <c:formatCode>General</c:formatCode>
                <c:ptCount val="2"/>
                <c:pt idx="0">
                  <c:v>0.19854102992149572</c:v>
                </c:pt>
                <c:pt idx="1">
                  <c:v>0.1908208190097099</c:v>
                </c:pt>
              </c:numCache>
            </c:numRef>
          </c:val>
          <c:smooth val="0"/>
          <c:extLst>
            <c:ext xmlns:c16="http://schemas.microsoft.com/office/drawing/2014/chart" uri="{C3380CC4-5D6E-409C-BE32-E72D297353CC}">
              <c16:uniqueId val="{00000000-A67D-4F73-BE60-F837E54E9BA2}"/>
            </c:ext>
          </c:extLst>
        </c:ser>
        <c:dLbls>
          <c:showLegendKey val="0"/>
          <c:showVal val="0"/>
          <c:showCatName val="0"/>
          <c:showSerName val="0"/>
          <c:showPercent val="0"/>
          <c:showBubbleSize val="0"/>
        </c:dLbls>
        <c:marker val="1"/>
        <c:smooth val="0"/>
        <c:axId val="1989937135"/>
        <c:axId val="210159439"/>
      </c:lineChart>
      <c:catAx>
        <c:axId val="198993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59439"/>
        <c:crosses val="autoZero"/>
        <c:auto val="1"/>
        <c:lblAlgn val="ctr"/>
        <c:lblOffset val="100"/>
        <c:noMultiLvlLbl val="0"/>
      </c:catAx>
      <c:valAx>
        <c:axId val="21015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93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021.xlsx]dividend profit!PivotTable2</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Divident</a:t>
            </a:r>
            <a:r>
              <a:rPr lang="en-US" baseline="0"/>
              <a:t> Payout</a:t>
            </a:r>
            <a:endParaRPr lang="en-US"/>
          </a:p>
        </c:rich>
      </c:tx>
      <c:layout>
        <c:manualLayout>
          <c:xMode val="edge"/>
          <c:yMode val="edge"/>
          <c:x val="0.44879321591650351"/>
          <c:y val="0.1280652139048937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'dividend profit'!$B$3</c:f>
              <c:strCache>
                <c:ptCount val="1"/>
                <c:pt idx="0">
                  <c:v>Total</c:v>
                </c:pt>
              </c:strCache>
            </c:strRef>
          </c:tx>
          <c:spPr>
            <a:ln w="28575" cap="rnd">
              <a:solidFill>
                <a:schemeClr val="accent1"/>
              </a:solidFill>
              <a:round/>
            </a:ln>
            <a:effectLst/>
          </c:spPr>
          <c:marker>
            <c:symbol val="none"/>
          </c:marker>
          <c:cat>
            <c:multiLvlStrRef>
              <c:f>'dividend profit'!$A$4:$A$7</c:f>
              <c:multiLvlStrCache>
                <c:ptCount val="2"/>
                <c:lvl>
                  <c:pt idx="0">
                    <c:v>Dabur</c:v>
                  </c:pt>
                  <c:pt idx="1">
                    <c:v>HUL</c:v>
                  </c:pt>
                </c:lvl>
                <c:lvl>
                  <c:pt idx="0">
                    <c:v>2017</c:v>
                  </c:pt>
                </c:lvl>
              </c:multiLvlStrCache>
            </c:multiLvlStrRef>
          </c:cat>
          <c:val>
            <c:numRef>
              <c:f>'dividend profit'!$B$4:$B$7</c:f>
              <c:numCache>
                <c:formatCode>General</c:formatCode>
                <c:ptCount val="2"/>
                <c:pt idx="0">
                  <c:v>0.31038263348317069</c:v>
                </c:pt>
                <c:pt idx="1">
                  <c:v>0.82037533512064342</c:v>
                </c:pt>
              </c:numCache>
            </c:numRef>
          </c:val>
          <c:smooth val="0"/>
          <c:extLst>
            <c:ext xmlns:c16="http://schemas.microsoft.com/office/drawing/2014/chart" uri="{C3380CC4-5D6E-409C-BE32-E72D297353CC}">
              <c16:uniqueId val="{00000000-6D59-4E9C-87B0-2242E1984CF1}"/>
            </c:ext>
          </c:extLst>
        </c:ser>
        <c:dLbls>
          <c:showLegendKey val="0"/>
          <c:showVal val="0"/>
          <c:showCatName val="0"/>
          <c:showSerName val="0"/>
          <c:showPercent val="0"/>
          <c:showBubbleSize val="0"/>
        </c:dLbls>
        <c:smooth val="0"/>
        <c:axId val="1995115887"/>
        <c:axId val="192308271"/>
      </c:lineChart>
      <c:catAx>
        <c:axId val="199511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08271"/>
        <c:crosses val="autoZero"/>
        <c:auto val="1"/>
        <c:lblAlgn val="ctr"/>
        <c:lblOffset val="100"/>
        <c:noMultiLvlLbl val="0"/>
      </c:catAx>
      <c:valAx>
        <c:axId val="19230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11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021.xlsx]inventory turnover!PivotTable4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a:t>
            </a:r>
          </a:p>
        </c:rich>
      </c:tx>
      <c:layout>
        <c:manualLayout>
          <c:xMode val="edge"/>
          <c:yMode val="edge"/>
          <c:x val="0.44444444444444436"/>
          <c:y val="0.150452504912295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'inventory turnover'!$B$3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'inventory turnover'!$A$4:$A$7</c:f>
              <c:multiLvlStrCache>
                <c:ptCount val="2"/>
                <c:lvl>
                  <c:pt idx="0">
                    <c:v>Dabur</c:v>
                  </c:pt>
                  <c:pt idx="1">
                    <c:v>HUL</c:v>
                  </c:pt>
                </c:lvl>
                <c:lvl>
                  <c:pt idx="0">
                    <c:v>2017</c:v>
                  </c:pt>
                </c:lvl>
              </c:multiLvlStrCache>
            </c:multiLvlStrRef>
          </c:cat>
          <c:val>
            <c:numRef>
              <c:f>'inventory turnover'!$B$4:$B$7</c:f>
              <c:numCache>
                <c:formatCode>General</c:formatCode>
                <c:ptCount val="2"/>
                <c:pt idx="0">
                  <c:v>6.8794806227466996</c:v>
                </c:pt>
                <c:pt idx="1">
                  <c:v>13.050767414403778</c:v>
                </c:pt>
              </c:numCache>
            </c:numRef>
          </c:val>
          <c:smooth val="0"/>
          <c:extLst>
            <c:ext xmlns:c16="http://schemas.microsoft.com/office/drawing/2014/chart" uri="{C3380CC4-5D6E-409C-BE32-E72D297353CC}">
              <c16:uniqueId val="{00000000-6D44-4841-B2C1-C21CFB76AAFF}"/>
            </c:ext>
          </c:extLst>
        </c:ser>
        <c:dLbls>
          <c:showLegendKey val="0"/>
          <c:showVal val="0"/>
          <c:showCatName val="0"/>
          <c:showSerName val="0"/>
          <c:showPercent val="0"/>
          <c:showBubbleSize val="0"/>
        </c:dLbls>
        <c:marker val="1"/>
        <c:smooth val="0"/>
        <c:axId val="19154991"/>
        <c:axId val="210116783"/>
      </c:lineChart>
      <c:catAx>
        <c:axId val="1915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16783"/>
        <c:crosses val="autoZero"/>
        <c:auto val="1"/>
        <c:lblAlgn val="ctr"/>
        <c:lblOffset val="100"/>
        <c:noMultiLvlLbl val="0"/>
      </c:catAx>
      <c:valAx>
        <c:axId val="21011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021.xlsx]cash from investing activity!PivotTable5</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a:t>
            </a:r>
            <a:r>
              <a:rPr lang="en-US" baseline="0"/>
              <a:t> from investing activities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'cash from investing activity'!$B$3</c:f>
              <c:strCache>
                <c:ptCount val="1"/>
                <c:pt idx="0">
                  <c:v>Total</c:v>
                </c:pt>
              </c:strCache>
            </c:strRef>
          </c:tx>
          <c:spPr>
            <a:ln w="28575" cap="rnd">
              <a:solidFill>
                <a:schemeClr val="accent1"/>
              </a:solidFill>
              <a:round/>
            </a:ln>
            <a:effectLst/>
          </c:spPr>
          <c:marker>
            <c:symbol val="none"/>
          </c:marker>
          <c:cat>
            <c:multiLvlStrRef>
              <c:f>'cash from investing activity'!$A$4:$A$7</c:f>
              <c:multiLvlStrCache>
                <c:ptCount val="2"/>
                <c:lvl>
                  <c:pt idx="0">
                    <c:v>Dabur</c:v>
                  </c:pt>
                  <c:pt idx="1">
                    <c:v>HUL</c:v>
                  </c:pt>
                </c:lvl>
                <c:lvl>
                  <c:pt idx="0">
                    <c:v>2017</c:v>
                  </c:pt>
                </c:lvl>
              </c:multiLvlStrCache>
            </c:multiLvlStrRef>
          </c:cat>
          <c:val>
            <c:numRef>
              <c:f>'cash from investing activity'!$B$4:$B$7</c:f>
              <c:numCache>
                <c:formatCode>General</c:formatCode>
                <c:ptCount val="2"/>
                <c:pt idx="0">
                  <c:v>-807.07</c:v>
                </c:pt>
                <c:pt idx="1">
                  <c:v>-1173</c:v>
                </c:pt>
              </c:numCache>
            </c:numRef>
          </c:val>
          <c:smooth val="0"/>
          <c:extLst>
            <c:ext xmlns:c16="http://schemas.microsoft.com/office/drawing/2014/chart" uri="{C3380CC4-5D6E-409C-BE32-E72D297353CC}">
              <c16:uniqueId val="{00000000-DADF-497B-B9AE-3825A2AF1E81}"/>
            </c:ext>
          </c:extLst>
        </c:ser>
        <c:dLbls>
          <c:showLegendKey val="0"/>
          <c:showVal val="0"/>
          <c:showCatName val="0"/>
          <c:showSerName val="0"/>
          <c:showPercent val="0"/>
          <c:showBubbleSize val="0"/>
        </c:dLbls>
        <c:smooth val="0"/>
        <c:axId val="271552799"/>
        <c:axId val="275331087"/>
      </c:lineChart>
      <c:catAx>
        <c:axId val="27155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331087"/>
        <c:crosses val="autoZero"/>
        <c:auto val="1"/>
        <c:lblAlgn val="ctr"/>
        <c:lblOffset val="100"/>
        <c:noMultiLvlLbl val="0"/>
      </c:catAx>
      <c:valAx>
        <c:axId val="27533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5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DABUR INDIA HEMANSHU BHANDARI 021.xlsx]return on equity!PivotTable6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a:t>
            </a:r>
            <a:r>
              <a:rPr lang="en-US" baseline="0"/>
              <a:t> on Equity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'return on equity'!$B$3</c:f>
              <c:strCache>
                <c:ptCount val="1"/>
                <c:pt idx="0">
                  <c:v>Total</c:v>
                </c:pt>
              </c:strCache>
            </c:strRef>
          </c:tx>
          <c:spPr>
            <a:ln w="28575" cap="rnd">
              <a:solidFill>
                <a:schemeClr val="accent1"/>
              </a:solidFill>
              <a:round/>
            </a:ln>
            <a:effectLst/>
          </c:spPr>
          <c:marker>
            <c:symbol val="none"/>
          </c:marker>
          <c:cat>
            <c:multiLvlStrRef>
              <c:f>'return on equity'!$A$4:$A$7</c:f>
              <c:multiLvlStrCache>
                <c:ptCount val="2"/>
                <c:lvl>
                  <c:pt idx="0">
                    <c:v>Dabur</c:v>
                  </c:pt>
                  <c:pt idx="1">
                    <c:v>HUL</c:v>
                  </c:pt>
                </c:lvl>
                <c:lvl>
                  <c:pt idx="0">
                    <c:v>2017</c:v>
                  </c:pt>
                </c:lvl>
              </c:multiLvlStrCache>
            </c:multiLvlStrRef>
          </c:cat>
          <c:val>
            <c:numRef>
              <c:f>'return on equity'!$B$4:$B$7</c:f>
              <c:numCache>
                <c:formatCode>General</c:formatCode>
                <c:ptCount val="2"/>
                <c:pt idx="0">
                  <c:v>0.26342836041663664</c:v>
                </c:pt>
                <c:pt idx="1">
                  <c:v>0.66370106761565839</c:v>
                </c:pt>
              </c:numCache>
            </c:numRef>
          </c:val>
          <c:smooth val="0"/>
          <c:extLst>
            <c:ext xmlns:c16="http://schemas.microsoft.com/office/drawing/2014/chart" uri="{C3380CC4-5D6E-409C-BE32-E72D297353CC}">
              <c16:uniqueId val="{00000000-F2AF-4A08-B048-E352D7555137}"/>
            </c:ext>
          </c:extLst>
        </c:ser>
        <c:dLbls>
          <c:showLegendKey val="0"/>
          <c:showVal val="0"/>
          <c:showCatName val="0"/>
          <c:showSerName val="0"/>
          <c:showPercent val="0"/>
          <c:showBubbleSize val="0"/>
        </c:dLbls>
        <c:smooth val="0"/>
        <c:axId val="1572404879"/>
        <c:axId val="275324639"/>
      </c:lineChart>
      <c:catAx>
        <c:axId val="157240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324639"/>
        <c:crosses val="autoZero"/>
        <c:auto val="1"/>
        <c:lblAlgn val="ctr"/>
        <c:lblOffset val="100"/>
        <c:noMultiLvlLbl val="0"/>
      </c:catAx>
      <c:valAx>
        <c:axId val="27532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40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44.xml"/><Relationship Id="rId3" Type="http://schemas.openxmlformats.org/officeDocument/2006/relationships/chart" Target="../charts/chart39.xml"/><Relationship Id="rId7" Type="http://schemas.openxmlformats.org/officeDocument/2006/relationships/chart" Target="../charts/chart43.xml"/><Relationship Id="rId12" Type="http://schemas.openxmlformats.org/officeDocument/2006/relationships/chart" Target="../charts/chart48.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11" Type="http://schemas.openxmlformats.org/officeDocument/2006/relationships/chart" Target="../charts/chart47.xml"/><Relationship Id="rId5" Type="http://schemas.openxmlformats.org/officeDocument/2006/relationships/chart" Target="../charts/chart41.xml"/><Relationship Id="rId10" Type="http://schemas.openxmlformats.org/officeDocument/2006/relationships/chart" Target="../charts/chart46.xml"/><Relationship Id="rId4" Type="http://schemas.openxmlformats.org/officeDocument/2006/relationships/chart" Target="../charts/chart40.xml"/><Relationship Id="rId9"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3</xdr:col>
      <xdr:colOff>381000</xdr:colOff>
      <xdr:row>2</xdr:row>
      <xdr:rowOff>7620</xdr:rowOff>
    </xdr:from>
    <xdr:to>
      <xdr:col>12</xdr:col>
      <xdr:colOff>22860</xdr:colOff>
      <xdr:row>13</xdr:row>
      <xdr:rowOff>137160</xdr:rowOff>
    </xdr:to>
    <xdr:graphicFrame macro="">
      <xdr:nvGraphicFramePr>
        <xdr:cNvPr id="2" name="Chart 1">
          <a:extLst>
            <a:ext uri="{FF2B5EF4-FFF2-40B4-BE49-F238E27FC236}">
              <a16:creationId xmlns:a16="http://schemas.microsoft.com/office/drawing/2014/main" id="{B2E5F940-5643-7D0A-E06E-715094195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121920</xdr:colOff>
      <xdr:row>1</xdr:row>
      <xdr:rowOff>144780</xdr:rowOff>
    </xdr:from>
    <xdr:to>
      <xdr:col>18</xdr:col>
      <xdr:colOff>121920</xdr:colOff>
      <xdr:row>12</xdr:row>
      <xdr:rowOff>81915</xdr:rowOff>
    </xdr:to>
    <mc:AlternateContent xmlns:mc="http://schemas.openxmlformats.org/markup-compatibility/2006" xmlns:a14="http://schemas.microsoft.com/office/drawing/2010/main">
      <mc:Choice Requires="a14">
        <xdr:graphicFrame macro="">
          <xdr:nvGraphicFramePr>
            <xdr:cNvPr id="3" name="Year 7">
              <a:extLst>
                <a:ext uri="{FF2B5EF4-FFF2-40B4-BE49-F238E27FC236}">
                  <a16:creationId xmlns:a16="http://schemas.microsoft.com/office/drawing/2014/main" id="{93C12A18-7DCF-C49F-8406-37739EB1CD2F}"/>
                </a:ext>
              </a:extLst>
            </xdr:cNvPr>
            <xdr:cNvGraphicFramePr/>
          </xdr:nvGraphicFramePr>
          <xdr:xfrm>
            <a:off x="0" y="0"/>
            <a:ext cx="0" cy="0"/>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12656820" y="327660"/>
              <a:ext cx="1828800" cy="1948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160020</xdr:colOff>
      <xdr:row>1</xdr:row>
      <xdr:rowOff>167641</xdr:rowOff>
    </xdr:from>
    <xdr:to>
      <xdr:col>15</xdr:col>
      <xdr:colOff>160020</xdr:colOff>
      <xdr:row>7</xdr:row>
      <xdr:rowOff>7620</xdr:rowOff>
    </xdr:to>
    <mc:AlternateContent xmlns:mc="http://schemas.openxmlformats.org/markup-compatibility/2006" xmlns:a14="http://schemas.microsoft.com/office/drawing/2010/main">
      <mc:Choice Requires="a14">
        <xdr:graphicFrame macro="">
          <xdr:nvGraphicFramePr>
            <xdr:cNvPr id="4" name="Company 7">
              <a:extLst>
                <a:ext uri="{FF2B5EF4-FFF2-40B4-BE49-F238E27FC236}">
                  <a16:creationId xmlns:a16="http://schemas.microsoft.com/office/drawing/2014/main" id="{5789DEAD-3784-2B9B-3A84-431ADB968F90}"/>
                </a:ext>
              </a:extLst>
            </xdr:cNvPr>
            <xdr:cNvGraphicFramePr/>
          </xdr:nvGraphicFramePr>
          <xdr:xfrm>
            <a:off x="0" y="0"/>
            <a:ext cx="0" cy="0"/>
          </xdr:xfrm>
          <a:graphic>
            <a:graphicData uri="http://schemas.microsoft.com/office/drawing/2010/slicer">
              <sle:slicer xmlns:sle="http://schemas.microsoft.com/office/drawing/2010/slicer" name="Company 7"/>
            </a:graphicData>
          </a:graphic>
        </xdr:graphicFrame>
      </mc:Choice>
      <mc:Fallback xmlns="">
        <xdr:sp macro="" textlink="">
          <xdr:nvSpPr>
            <xdr:cNvPr id="0" name=""/>
            <xdr:cNvSpPr>
              <a:spLocks noTextEdit="1"/>
            </xdr:cNvSpPr>
          </xdr:nvSpPr>
          <xdr:spPr>
            <a:xfrm>
              <a:off x="10866120" y="350521"/>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403860</xdr:colOff>
      <xdr:row>16</xdr:row>
      <xdr:rowOff>102870</xdr:rowOff>
    </xdr:from>
    <xdr:to>
      <xdr:col>11</xdr:col>
      <xdr:colOff>99060</xdr:colOff>
      <xdr:row>31</xdr:row>
      <xdr:rowOff>102870</xdr:rowOff>
    </xdr:to>
    <xdr:graphicFrame macro="">
      <xdr:nvGraphicFramePr>
        <xdr:cNvPr id="6" name="Chart 5">
          <a:extLst>
            <a:ext uri="{FF2B5EF4-FFF2-40B4-BE49-F238E27FC236}">
              <a16:creationId xmlns:a16="http://schemas.microsoft.com/office/drawing/2014/main" id="{8B658000-B7A4-8BB0-E5E8-B5B7A733EB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220980</xdr:colOff>
      <xdr:row>16</xdr:row>
      <xdr:rowOff>152400</xdr:rowOff>
    </xdr:from>
    <xdr:to>
      <xdr:col>17</xdr:col>
      <xdr:colOff>220980</xdr:colOff>
      <xdr:row>30</xdr:row>
      <xdr:rowOff>59055</xdr:rowOff>
    </xdr:to>
    <mc:AlternateContent xmlns:mc="http://schemas.openxmlformats.org/markup-compatibility/2006" xmlns:a14="http://schemas.microsoft.com/office/drawing/2010/main">
      <mc:Choice Requires="a14">
        <xdr:graphicFrame macro="">
          <xdr:nvGraphicFramePr>
            <xdr:cNvPr id="7" name="Year 9">
              <a:extLst>
                <a:ext uri="{FF2B5EF4-FFF2-40B4-BE49-F238E27FC236}">
                  <a16:creationId xmlns:a16="http://schemas.microsoft.com/office/drawing/2014/main" id="{3BC28B05-5784-E6D0-FE5D-5410531BBD57}"/>
                </a:ext>
              </a:extLst>
            </xdr:cNvPr>
            <xdr:cNvGraphicFramePr/>
          </xdr:nvGraphicFramePr>
          <xdr:xfrm>
            <a:off x="0" y="0"/>
            <a:ext cx="0" cy="0"/>
          </xdr:xfrm>
          <a:graphic>
            <a:graphicData uri="http://schemas.microsoft.com/office/drawing/2010/slicer">
              <sle:slicer xmlns:sle="http://schemas.microsoft.com/office/drawing/2010/slicer" name="Year 9"/>
            </a:graphicData>
          </a:graphic>
        </xdr:graphicFrame>
      </mc:Choice>
      <mc:Fallback xmlns="">
        <xdr:sp macro="" textlink="">
          <xdr:nvSpPr>
            <xdr:cNvPr id="0" name=""/>
            <xdr:cNvSpPr>
              <a:spLocks noTextEdit="1"/>
            </xdr:cNvSpPr>
          </xdr:nvSpPr>
          <xdr:spPr>
            <a:xfrm>
              <a:off x="12146280" y="3078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274320</xdr:colOff>
      <xdr:row>16</xdr:row>
      <xdr:rowOff>160021</xdr:rowOff>
    </xdr:from>
    <xdr:to>
      <xdr:col>14</xdr:col>
      <xdr:colOff>274320</xdr:colOff>
      <xdr:row>21</xdr:row>
      <xdr:rowOff>121921</xdr:rowOff>
    </xdr:to>
    <mc:AlternateContent xmlns:mc="http://schemas.openxmlformats.org/markup-compatibility/2006" xmlns:a14="http://schemas.microsoft.com/office/drawing/2010/main">
      <mc:Choice Requires="a14">
        <xdr:graphicFrame macro="">
          <xdr:nvGraphicFramePr>
            <xdr:cNvPr id="8" name="Company 9">
              <a:extLst>
                <a:ext uri="{FF2B5EF4-FFF2-40B4-BE49-F238E27FC236}">
                  <a16:creationId xmlns:a16="http://schemas.microsoft.com/office/drawing/2014/main" id="{1B38195E-DCA7-381B-3B5B-EA5B64ED9167}"/>
                </a:ext>
              </a:extLst>
            </xdr:cNvPr>
            <xdr:cNvGraphicFramePr/>
          </xdr:nvGraphicFramePr>
          <xdr:xfrm>
            <a:off x="0" y="0"/>
            <a:ext cx="0" cy="0"/>
          </xdr:xfrm>
          <a:graphic>
            <a:graphicData uri="http://schemas.microsoft.com/office/drawing/2010/slicer">
              <sle:slicer xmlns:sle="http://schemas.microsoft.com/office/drawing/2010/slicer" name="Company 9"/>
            </a:graphicData>
          </a:graphic>
        </xdr:graphicFrame>
      </mc:Choice>
      <mc:Fallback xmlns="">
        <xdr:sp macro="" textlink="">
          <xdr:nvSpPr>
            <xdr:cNvPr id="0" name=""/>
            <xdr:cNvSpPr>
              <a:spLocks noTextEdit="1"/>
            </xdr:cNvSpPr>
          </xdr:nvSpPr>
          <xdr:spPr>
            <a:xfrm>
              <a:off x="10370820" y="308610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228600</xdr:colOff>
      <xdr:row>1</xdr:row>
      <xdr:rowOff>15240</xdr:rowOff>
    </xdr:from>
    <xdr:to>
      <xdr:col>8</xdr:col>
      <xdr:colOff>38100</xdr:colOff>
      <xdr:row>14</xdr:row>
      <xdr:rowOff>57150</xdr:rowOff>
    </xdr:to>
    <xdr:graphicFrame macro="">
      <xdr:nvGraphicFramePr>
        <xdr:cNvPr id="3" name="Chart 2">
          <a:extLst>
            <a:ext uri="{FF2B5EF4-FFF2-40B4-BE49-F238E27FC236}">
              <a16:creationId xmlns:a16="http://schemas.microsoft.com/office/drawing/2014/main" id="{B0347A14-0D25-237A-E3B0-AF0BA7513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289560</xdr:colOff>
      <xdr:row>10</xdr:row>
      <xdr:rowOff>38100</xdr:rowOff>
    </xdr:from>
    <xdr:to>
      <xdr:col>11</xdr:col>
      <xdr:colOff>289560</xdr:colOff>
      <xdr:row>23</xdr:row>
      <xdr:rowOff>127635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1C548033-0989-3862-EE95-0B73960D9E7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608320" y="1866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274320</xdr:colOff>
      <xdr:row>4</xdr:row>
      <xdr:rowOff>60961</xdr:rowOff>
    </xdr:from>
    <xdr:to>
      <xdr:col>11</xdr:col>
      <xdr:colOff>274320</xdr:colOff>
      <xdr:row>9</xdr:row>
      <xdr:rowOff>68581</xdr:rowOff>
    </xdr:to>
    <mc:AlternateContent xmlns:mc="http://schemas.openxmlformats.org/markup-compatibility/2006" xmlns:a14="http://schemas.microsoft.com/office/drawing/2010/main">
      <mc:Choice Requires="a14">
        <xdr:graphicFrame macro="">
          <xdr:nvGraphicFramePr>
            <xdr:cNvPr id="5" name="Company">
              <a:extLst>
                <a:ext uri="{FF2B5EF4-FFF2-40B4-BE49-F238E27FC236}">
                  <a16:creationId xmlns:a16="http://schemas.microsoft.com/office/drawing/2014/main" id="{6815DC51-A0F1-8714-3878-FFCC9B608B3C}"/>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5593080" y="792481"/>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457200</xdr:colOff>
      <xdr:row>0</xdr:row>
      <xdr:rowOff>83820</xdr:rowOff>
    </xdr:from>
    <xdr:to>
      <xdr:col>18</xdr:col>
      <xdr:colOff>91440</xdr:colOff>
      <xdr:row>14</xdr:row>
      <xdr:rowOff>80010</xdr:rowOff>
    </xdr:to>
    <xdr:graphicFrame macro="">
      <xdr:nvGraphicFramePr>
        <xdr:cNvPr id="6" name="Chart 5">
          <a:extLst>
            <a:ext uri="{FF2B5EF4-FFF2-40B4-BE49-F238E27FC236}">
              <a16:creationId xmlns:a16="http://schemas.microsoft.com/office/drawing/2014/main" id="{833DB7DD-F53B-43AD-0186-D9772D392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175260</xdr:colOff>
      <xdr:row>7</xdr:row>
      <xdr:rowOff>160020</xdr:rowOff>
    </xdr:from>
    <xdr:to>
      <xdr:col>21</xdr:col>
      <xdr:colOff>175260</xdr:colOff>
      <xdr:row>21</xdr:row>
      <xdr:rowOff>66675</xdr:rowOff>
    </xdr:to>
    <mc:AlternateContent xmlns:mc="http://schemas.openxmlformats.org/markup-compatibility/2006" xmlns:a14="http://schemas.microsoft.com/office/drawing/2010/main">
      <mc:Choice Requires="a14">
        <xdr:graphicFrame macro="">
          <xdr:nvGraphicFramePr>
            <xdr:cNvPr id="7" name="Year 8">
              <a:extLst>
                <a:ext uri="{FF2B5EF4-FFF2-40B4-BE49-F238E27FC236}">
                  <a16:creationId xmlns:a16="http://schemas.microsoft.com/office/drawing/2014/main" id="{5B214E35-0D85-B2DE-197A-EFFFABB9650F}"/>
                </a:ext>
              </a:extLst>
            </xdr:cNvPr>
            <xdr:cNvGraphicFramePr/>
          </xdr:nvGraphicFramePr>
          <xdr:xfrm>
            <a:off x="0" y="0"/>
            <a:ext cx="0" cy="0"/>
          </xdr:xfrm>
          <a:graphic>
            <a:graphicData uri="http://schemas.microsoft.com/office/drawing/2010/slicer">
              <sle:slicer xmlns:sle="http://schemas.microsoft.com/office/drawing/2010/slicer" name="Year 8"/>
            </a:graphicData>
          </a:graphic>
        </xdr:graphicFrame>
      </mc:Choice>
      <mc:Fallback xmlns="">
        <xdr:sp macro="" textlink="">
          <xdr:nvSpPr>
            <xdr:cNvPr id="0" name=""/>
            <xdr:cNvSpPr>
              <a:spLocks noTextEdit="1"/>
            </xdr:cNvSpPr>
          </xdr:nvSpPr>
          <xdr:spPr>
            <a:xfrm>
              <a:off x="11590020" y="1440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144780</xdr:colOff>
      <xdr:row>1</xdr:row>
      <xdr:rowOff>53340</xdr:rowOff>
    </xdr:from>
    <xdr:to>
      <xdr:col>21</xdr:col>
      <xdr:colOff>144780</xdr:colOff>
      <xdr:row>7</xdr:row>
      <xdr:rowOff>158115</xdr:rowOff>
    </xdr:to>
    <mc:AlternateContent xmlns:mc="http://schemas.openxmlformats.org/markup-compatibility/2006" xmlns:a14="http://schemas.microsoft.com/office/drawing/2010/main">
      <mc:Choice Requires="a14">
        <xdr:graphicFrame macro="">
          <xdr:nvGraphicFramePr>
            <xdr:cNvPr id="8" name="Company 8">
              <a:extLst>
                <a:ext uri="{FF2B5EF4-FFF2-40B4-BE49-F238E27FC236}">
                  <a16:creationId xmlns:a16="http://schemas.microsoft.com/office/drawing/2014/main" id="{AE7635B5-E2C1-4846-018C-04234F2E376E}"/>
                </a:ext>
              </a:extLst>
            </xdr:cNvPr>
            <xdr:cNvGraphicFramePr/>
          </xdr:nvGraphicFramePr>
          <xdr:xfrm>
            <a:off x="0" y="0"/>
            <a:ext cx="0" cy="0"/>
          </xdr:xfrm>
          <a:graphic>
            <a:graphicData uri="http://schemas.microsoft.com/office/drawing/2010/slicer">
              <sle:slicer xmlns:sle="http://schemas.microsoft.com/office/drawing/2010/slicer" name="Company 8"/>
            </a:graphicData>
          </a:graphic>
        </xdr:graphicFrame>
      </mc:Choice>
      <mc:Fallback xmlns="">
        <xdr:sp macro="" textlink="">
          <xdr:nvSpPr>
            <xdr:cNvPr id="0" name=""/>
            <xdr:cNvSpPr>
              <a:spLocks noTextEdit="1"/>
            </xdr:cNvSpPr>
          </xdr:nvSpPr>
          <xdr:spPr>
            <a:xfrm>
              <a:off x="11559540" y="236220"/>
              <a:ext cx="1828800" cy="12020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15240</xdr:colOff>
      <xdr:row>8</xdr:row>
      <xdr:rowOff>11430</xdr:rowOff>
    </xdr:from>
    <xdr:to>
      <xdr:col>9</xdr:col>
      <xdr:colOff>99060</xdr:colOff>
      <xdr:row>20</xdr:row>
      <xdr:rowOff>45720</xdr:rowOff>
    </xdr:to>
    <xdr:graphicFrame macro="">
      <xdr:nvGraphicFramePr>
        <xdr:cNvPr id="3" name="Chart 2">
          <a:extLst>
            <a:ext uri="{FF2B5EF4-FFF2-40B4-BE49-F238E27FC236}">
              <a16:creationId xmlns:a16="http://schemas.microsoft.com/office/drawing/2014/main" id="{53F9832B-316A-A8A4-2EC3-8F1DECEEF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137160</xdr:colOff>
      <xdr:row>12</xdr:row>
      <xdr:rowOff>167640</xdr:rowOff>
    </xdr:from>
    <xdr:to>
      <xdr:col>12</xdr:col>
      <xdr:colOff>137160</xdr:colOff>
      <xdr:row>26</xdr:row>
      <xdr:rowOff>74295</xdr:rowOff>
    </xdr:to>
    <mc:AlternateContent xmlns:mc="http://schemas.openxmlformats.org/markup-compatibility/2006" xmlns:a14="http://schemas.microsoft.com/office/drawing/2010/main">
      <mc:Choice Requires="a14">
        <xdr:graphicFrame macro="">
          <xdr:nvGraphicFramePr>
            <xdr:cNvPr id="2" name="Year 6">
              <a:extLst>
                <a:ext uri="{FF2B5EF4-FFF2-40B4-BE49-F238E27FC236}">
                  <a16:creationId xmlns:a16="http://schemas.microsoft.com/office/drawing/2014/main" id="{D1EB0ADC-9890-A09F-51E2-BAEA912240F3}"/>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6713220" y="2362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121920</xdr:colOff>
      <xdr:row>8</xdr:row>
      <xdr:rowOff>38101</xdr:rowOff>
    </xdr:from>
    <xdr:to>
      <xdr:col>12</xdr:col>
      <xdr:colOff>121920</xdr:colOff>
      <xdr:row>13</xdr:row>
      <xdr:rowOff>1</xdr:rowOff>
    </xdr:to>
    <mc:AlternateContent xmlns:mc="http://schemas.openxmlformats.org/markup-compatibility/2006" xmlns:a14="http://schemas.microsoft.com/office/drawing/2010/main">
      <mc:Choice Requires="a14">
        <xdr:graphicFrame macro="">
          <xdr:nvGraphicFramePr>
            <xdr:cNvPr id="4" name="Company 6">
              <a:extLst>
                <a:ext uri="{FF2B5EF4-FFF2-40B4-BE49-F238E27FC236}">
                  <a16:creationId xmlns:a16="http://schemas.microsoft.com/office/drawing/2014/main" id="{DF1805C1-3DC6-4B68-11D8-DBE3EA4CF712}"/>
                </a:ext>
              </a:extLst>
            </xdr:cNvPr>
            <xdr:cNvGraphicFramePr/>
          </xdr:nvGraphicFramePr>
          <xdr:xfrm>
            <a:off x="0" y="0"/>
            <a:ext cx="0" cy="0"/>
          </xdr:xfrm>
          <a:graphic>
            <a:graphicData uri="http://schemas.microsoft.com/office/drawing/2010/slicer">
              <sle:slicer xmlns:sle="http://schemas.microsoft.com/office/drawing/2010/slicer" name="Company 6"/>
            </a:graphicData>
          </a:graphic>
        </xdr:graphicFrame>
      </mc:Choice>
      <mc:Fallback xmlns="">
        <xdr:sp macro="" textlink="">
          <xdr:nvSpPr>
            <xdr:cNvPr id="0" name=""/>
            <xdr:cNvSpPr>
              <a:spLocks noTextEdit="1"/>
            </xdr:cNvSpPr>
          </xdr:nvSpPr>
          <xdr:spPr>
            <a:xfrm>
              <a:off x="6697980" y="150114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312420</xdr:colOff>
      <xdr:row>8</xdr:row>
      <xdr:rowOff>45720</xdr:rowOff>
    </xdr:from>
    <xdr:to>
      <xdr:col>19</xdr:col>
      <xdr:colOff>38100</xdr:colOff>
      <xdr:row>20</xdr:row>
      <xdr:rowOff>110490</xdr:rowOff>
    </xdr:to>
    <xdr:graphicFrame macro="">
      <xdr:nvGraphicFramePr>
        <xdr:cNvPr id="5" name="Chart 4">
          <a:extLst>
            <a:ext uri="{FF2B5EF4-FFF2-40B4-BE49-F238E27FC236}">
              <a16:creationId xmlns:a16="http://schemas.microsoft.com/office/drawing/2014/main" id="{16989C70-AA1C-EBEC-4DAA-0DBD5A694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251460</xdr:colOff>
      <xdr:row>21</xdr:row>
      <xdr:rowOff>45720</xdr:rowOff>
    </xdr:from>
    <xdr:to>
      <xdr:col>19</xdr:col>
      <xdr:colOff>251460</xdr:colOff>
      <xdr:row>34</xdr:row>
      <xdr:rowOff>135255</xdr:rowOff>
    </xdr:to>
    <mc:AlternateContent xmlns:mc="http://schemas.openxmlformats.org/markup-compatibility/2006" xmlns:a14="http://schemas.microsoft.com/office/drawing/2010/main">
      <mc:Choice Requires="a14">
        <xdr:graphicFrame macro="">
          <xdr:nvGraphicFramePr>
            <xdr:cNvPr id="6" name="Year 10">
              <a:extLst>
                <a:ext uri="{FF2B5EF4-FFF2-40B4-BE49-F238E27FC236}">
                  <a16:creationId xmlns:a16="http://schemas.microsoft.com/office/drawing/2014/main" id="{AD2175DD-5559-49BE-44A6-FB4C1A70C3CB}"/>
                </a:ext>
              </a:extLst>
            </xdr:cNvPr>
            <xdr:cNvGraphicFramePr/>
          </xdr:nvGraphicFramePr>
          <xdr:xfrm>
            <a:off x="0" y="0"/>
            <a:ext cx="0" cy="0"/>
          </xdr:xfrm>
          <a:graphic>
            <a:graphicData uri="http://schemas.microsoft.com/office/drawing/2010/slicer">
              <sle:slicer xmlns:sle="http://schemas.microsoft.com/office/drawing/2010/slicer" name="Year 10"/>
            </a:graphicData>
          </a:graphic>
        </xdr:graphicFrame>
      </mc:Choice>
      <mc:Fallback xmlns="">
        <xdr:sp macro="" textlink="">
          <xdr:nvSpPr>
            <xdr:cNvPr id="0" name=""/>
            <xdr:cNvSpPr>
              <a:spLocks noTextEdit="1"/>
            </xdr:cNvSpPr>
          </xdr:nvSpPr>
          <xdr:spPr>
            <a:xfrm>
              <a:off x="11094720" y="3886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91440</xdr:colOff>
      <xdr:row>21</xdr:row>
      <xdr:rowOff>30481</xdr:rowOff>
    </xdr:from>
    <xdr:to>
      <xdr:col>16</xdr:col>
      <xdr:colOff>91440</xdr:colOff>
      <xdr:row>25</xdr:row>
      <xdr:rowOff>167641</xdr:rowOff>
    </xdr:to>
    <mc:AlternateContent xmlns:mc="http://schemas.openxmlformats.org/markup-compatibility/2006" xmlns:a14="http://schemas.microsoft.com/office/drawing/2010/main">
      <mc:Choice Requires="a14">
        <xdr:graphicFrame macro="">
          <xdr:nvGraphicFramePr>
            <xdr:cNvPr id="7" name="Company 10">
              <a:extLst>
                <a:ext uri="{FF2B5EF4-FFF2-40B4-BE49-F238E27FC236}">
                  <a16:creationId xmlns:a16="http://schemas.microsoft.com/office/drawing/2014/main" id="{8913F86D-5DF1-817E-A2E8-7589B2587EE7}"/>
                </a:ext>
              </a:extLst>
            </xdr:cNvPr>
            <xdr:cNvGraphicFramePr/>
          </xdr:nvGraphicFramePr>
          <xdr:xfrm>
            <a:off x="0" y="0"/>
            <a:ext cx="0" cy="0"/>
          </xdr:xfrm>
          <a:graphic>
            <a:graphicData uri="http://schemas.microsoft.com/office/drawing/2010/slicer">
              <sle:slicer xmlns:sle="http://schemas.microsoft.com/office/drawing/2010/slicer" name="Company 10"/>
            </a:graphicData>
          </a:graphic>
        </xdr:graphicFrame>
      </mc:Choice>
      <mc:Fallback xmlns="">
        <xdr:sp macro="" textlink="">
          <xdr:nvSpPr>
            <xdr:cNvPr id="0" name=""/>
            <xdr:cNvSpPr>
              <a:spLocks noTextEdit="1"/>
            </xdr:cNvSpPr>
          </xdr:nvSpPr>
          <xdr:spPr>
            <a:xfrm>
              <a:off x="9105900" y="3870961"/>
              <a:ext cx="182880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45720</xdr:colOff>
      <xdr:row>0</xdr:row>
      <xdr:rowOff>11430</xdr:rowOff>
    </xdr:from>
    <xdr:to>
      <xdr:col>9</xdr:col>
      <xdr:colOff>99060</xdr:colOff>
      <xdr:row>13</xdr:row>
      <xdr:rowOff>38100</xdr:rowOff>
    </xdr:to>
    <xdr:graphicFrame macro="">
      <xdr:nvGraphicFramePr>
        <xdr:cNvPr id="2" name="Chart 1">
          <a:extLst>
            <a:ext uri="{FF2B5EF4-FFF2-40B4-BE49-F238E27FC236}">
              <a16:creationId xmlns:a16="http://schemas.microsoft.com/office/drawing/2014/main" id="{453F3138-0E77-6AAE-E9B3-C5C234D399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83820</xdr:colOff>
      <xdr:row>5</xdr:row>
      <xdr:rowOff>60960</xdr:rowOff>
    </xdr:from>
    <xdr:to>
      <xdr:col>12</xdr:col>
      <xdr:colOff>83820</xdr:colOff>
      <xdr:row>18</xdr:row>
      <xdr:rowOff>150495</xdr:rowOff>
    </xdr:to>
    <mc:AlternateContent xmlns:mc="http://schemas.openxmlformats.org/markup-compatibility/2006" xmlns:a14="http://schemas.microsoft.com/office/drawing/2010/main">
      <mc:Choice Requires="a14">
        <xdr:graphicFrame macro="">
          <xdr:nvGraphicFramePr>
            <xdr:cNvPr id="3" name="Year 5">
              <a:extLst>
                <a:ext uri="{FF2B5EF4-FFF2-40B4-BE49-F238E27FC236}">
                  <a16:creationId xmlns:a16="http://schemas.microsoft.com/office/drawing/2014/main" id="{18BDDB8C-157E-2509-D422-5DA8245F8F17}"/>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6233160" y="975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99060</xdr:colOff>
      <xdr:row>0</xdr:row>
      <xdr:rowOff>22861</xdr:rowOff>
    </xdr:from>
    <xdr:to>
      <xdr:col>12</xdr:col>
      <xdr:colOff>99060</xdr:colOff>
      <xdr:row>5</xdr:row>
      <xdr:rowOff>15241</xdr:rowOff>
    </xdr:to>
    <mc:AlternateContent xmlns:mc="http://schemas.openxmlformats.org/markup-compatibility/2006" xmlns:a14="http://schemas.microsoft.com/office/drawing/2010/main">
      <mc:Choice Requires="a14">
        <xdr:graphicFrame macro="">
          <xdr:nvGraphicFramePr>
            <xdr:cNvPr id="4" name="Company 5">
              <a:extLst>
                <a:ext uri="{FF2B5EF4-FFF2-40B4-BE49-F238E27FC236}">
                  <a16:creationId xmlns:a16="http://schemas.microsoft.com/office/drawing/2014/main" id="{235D7DEE-2C61-F4EA-F577-4E66EC3D870B}"/>
                </a:ext>
              </a:extLst>
            </xdr:cNvPr>
            <xdr:cNvGraphicFramePr/>
          </xdr:nvGraphicFramePr>
          <xdr:xfrm>
            <a:off x="0" y="0"/>
            <a:ext cx="0" cy="0"/>
          </xdr:xfrm>
          <a:graphic>
            <a:graphicData uri="http://schemas.microsoft.com/office/drawing/2010/slicer">
              <sle:slicer xmlns:sle="http://schemas.microsoft.com/office/drawing/2010/slicer" name="Company 5"/>
            </a:graphicData>
          </a:graphic>
        </xdr:graphicFrame>
      </mc:Choice>
      <mc:Fallback xmlns="">
        <xdr:sp macro="" textlink="">
          <xdr:nvSpPr>
            <xdr:cNvPr id="0" name=""/>
            <xdr:cNvSpPr>
              <a:spLocks noTextEdit="1"/>
            </xdr:cNvSpPr>
          </xdr:nvSpPr>
          <xdr:spPr>
            <a:xfrm>
              <a:off x="6248400" y="2286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0</xdr:row>
      <xdr:rowOff>163830</xdr:rowOff>
    </xdr:from>
    <xdr:to>
      <xdr:col>19</xdr:col>
      <xdr:colOff>129540</xdr:colOff>
      <xdr:row>13</xdr:row>
      <xdr:rowOff>175260</xdr:rowOff>
    </xdr:to>
    <xdr:graphicFrame macro="">
      <xdr:nvGraphicFramePr>
        <xdr:cNvPr id="5" name="Chart 4">
          <a:extLst>
            <a:ext uri="{FF2B5EF4-FFF2-40B4-BE49-F238E27FC236}">
              <a16:creationId xmlns:a16="http://schemas.microsoft.com/office/drawing/2014/main" id="{EC407DAB-0959-1F5B-6EC6-B3AD91A9B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304800</xdr:colOff>
      <xdr:row>14</xdr:row>
      <xdr:rowOff>160020</xdr:rowOff>
    </xdr:from>
    <xdr:to>
      <xdr:col>18</xdr:col>
      <xdr:colOff>304800</xdr:colOff>
      <xdr:row>28</xdr:row>
      <xdr:rowOff>66675</xdr:rowOff>
    </xdr:to>
    <mc:AlternateContent xmlns:mc="http://schemas.openxmlformats.org/markup-compatibility/2006" xmlns:a14="http://schemas.microsoft.com/office/drawing/2010/main">
      <mc:Choice Requires="a14">
        <xdr:graphicFrame macro="">
          <xdr:nvGraphicFramePr>
            <xdr:cNvPr id="6" name="Year 11">
              <a:extLst>
                <a:ext uri="{FF2B5EF4-FFF2-40B4-BE49-F238E27FC236}">
                  <a16:creationId xmlns:a16="http://schemas.microsoft.com/office/drawing/2014/main" id="{91D26BBA-4B06-2ADE-E73B-7A4C8B5D1090}"/>
                </a:ext>
              </a:extLst>
            </xdr:cNvPr>
            <xdr:cNvGraphicFramePr/>
          </xdr:nvGraphicFramePr>
          <xdr:xfrm>
            <a:off x="0" y="0"/>
            <a:ext cx="0" cy="0"/>
          </xdr:xfrm>
          <a:graphic>
            <a:graphicData uri="http://schemas.microsoft.com/office/drawing/2010/slicer">
              <sle:slicer xmlns:sle="http://schemas.microsoft.com/office/drawing/2010/slicer" name="Year 11"/>
            </a:graphicData>
          </a:graphic>
        </xdr:graphicFrame>
      </mc:Choice>
      <mc:Fallback xmlns="">
        <xdr:sp macro="" textlink="">
          <xdr:nvSpPr>
            <xdr:cNvPr id="0" name=""/>
            <xdr:cNvSpPr>
              <a:spLocks noTextEdit="1"/>
            </xdr:cNvSpPr>
          </xdr:nvSpPr>
          <xdr:spPr>
            <a:xfrm>
              <a:off x="10111740" y="2720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259080</xdr:colOff>
      <xdr:row>14</xdr:row>
      <xdr:rowOff>144781</xdr:rowOff>
    </xdr:from>
    <xdr:to>
      <xdr:col>15</xdr:col>
      <xdr:colOff>259080</xdr:colOff>
      <xdr:row>19</xdr:row>
      <xdr:rowOff>152401</xdr:rowOff>
    </xdr:to>
    <mc:AlternateContent xmlns:mc="http://schemas.openxmlformats.org/markup-compatibility/2006" xmlns:a14="http://schemas.microsoft.com/office/drawing/2010/main">
      <mc:Choice Requires="a14">
        <xdr:graphicFrame macro="">
          <xdr:nvGraphicFramePr>
            <xdr:cNvPr id="7" name="Company 11">
              <a:extLst>
                <a:ext uri="{FF2B5EF4-FFF2-40B4-BE49-F238E27FC236}">
                  <a16:creationId xmlns:a16="http://schemas.microsoft.com/office/drawing/2014/main" id="{A05ADB72-E8ED-78D5-F838-3955399A91D8}"/>
                </a:ext>
              </a:extLst>
            </xdr:cNvPr>
            <xdr:cNvGraphicFramePr/>
          </xdr:nvGraphicFramePr>
          <xdr:xfrm>
            <a:off x="0" y="0"/>
            <a:ext cx="0" cy="0"/>
          </xdr:xfrm>
          <a:graphic>
            <a:graphicData uri="http://schemas.microsoft.com/office/drawing/2010/slicer">
              <sle:slicer xmlns:sle="http://schemas.microsoft.com/office/drawing/2010/slicer" name="Company 11"/>
            </a:graphicData>
          </a:graphic>
        </xdr:graphicFrame>
      </mc:Choice>
      <mc:Fallback xmlns="">
        <xdr:sp macro="" textlink="">
          <xdr:nvSpPr>
            <xdr:cNvPr id="0" name=""/>
            <xdr:cNvSpPr>
              <a:spLocks noTextEdit="1"/>
            </xdr:cNvSpPr>
          </xdr:nvSpPr>
          <xdr:spPr>
            <a:xfrm>
              <a:off x="8237220" y="2705101"/>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45720</xdr:colOff>
      <xdr:row>1</xdr:row>
      <xdr:rowOff>11430</xdr:rowOff>
    </xdr:from>
    <xdr:to>
      <xdr:col>9</xdr:col>
      <xdr:colOff>167640</xdr:colOff>
      <xdr:row>12</xdr:row>
      <xdr:rowOff>60960</xdr:rowOff>
    </xdr:to>
    <xdr:graphicFrame macro="">
      <xdr:nvGraphicFramePr>
        <xdr:cNvPr id="2" name="Chart 1">
          <a:extLst>
            <a:ext uri="{FF2B5EF4-FFF2-40B4-BE49-F238E27FC236}">
              <a16:creationId xmlns:a16="http://schemas.microsoft.com/office/drawing/2014/main" id="{1A9DAB7D-60E9-1FEB-6177-08AF1F841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205740</xdr:colOff>
      <xdr:row>6</xdr:row>
      <xdr:rowOff>15240</xdr:rowOff>
    </xdr:from>
    <xdr:to>
      <xdr:col>12</xdr:col>
      <xdr:colOff>205740</xdr:colOff>
      <xdr:row>19</xdr:row>
      <xdr:rowOff>104775</xdr:rowOff>
    </xdr:to>
    <mc:AlternateContent xmlns:mc="http://schemas.openxmlformats.org/markup-compatibility/2006" xmlns:a14="http://schemas.microsoft.com/office/drawing/2010/main">
      <mc:Choice Requires="a14">
        <xdr:graphicFrame macro="">
          <xdr:nvGraphicFramePr>
            <xdr:cNvPr id="3" name="Year 2">
              <a:extLst>
                <a:ext uri="{FF2B5EF4-FFF2-40B4-BE49-F238E27FC236}">
                  <a16:creationId xmlns:a16="http://schemas.microsoft.com/office/drawing/2014/main" id="{13B0654D-5950-D214-FCC1-85CA89772C0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560820" y="1112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190500</xdr:colOff>
      <xdr:row>1</xdr:row>
      <xdr:rowOff>38101</xdr:rowOff>
    </xdr:from>
    <xdr:to>
      <xdr:col>12</xdr:col>
      <xdr:colOff>190500</xdr:colOff>
      <xdr:row>6</xdr:row>
      <xdr:rowOff>7621</xdr:rowOff>
    </xdr:to>
    <mc:AlternateContent xmlns:mc="http://schemas.openxmlformats.org/markup-compatibility/2006" xmlns:a14="http://schemas.microsoft.com/office/drawing/2010/main">
      <mc:Choice Requires="a14">
        <xdr:graphicFrame macro="">
          <xdr:nvGraphicFramePr>
            <xdr:cNvPr id="4" name="Company 2">
              <a:extLst>
                <a:ext uri="{FF2B5EF4-FFF2-40B4-BE49-F238E27FC236}">
                  <a16:creationId xmlns:a16="http://schemas.microsoft.com/office/drawing/2014/main" id="{6A3C958A-0B79-32D4-1956-314F619ADE1F}"/>
                </a:ext>
              </a:extLst>
            </xdr:cNvPr>
            <xdr:cNvGraphicFramePr/>
          </xdr:nvGraphicFramePr>
          <xdr:xfrm>
            <a:off x="0" y="0"/>
            <a:ext cx="0" cy="0"/>
          </xdr:xfrm>
          <a:graphic>
            <a:graphicData uri="http://schemas.microsoft.com/office/drawing/2010/slicer">
              <sle:slicer xmlns:sle="http://schemas.microsoft.com/office/drawing/2010/slicer" name="Company 2"/>
            </a:graphicData>
          </a:graphic>
        </xdr:graphicFrame>
      </mc:Choice>
      <mc:Fallback xmlns="">
        <xdr:sp macro="" textlink="">
          <xdr:nvSpPr>
            <xdr:cNvPr id="0" name=""/>
            <xdr:cNvSpPr>
              <a:spLocks noTextEdit="1"/>
            </xdr:cNvSpPr>
          </xdr:nvSpPr>
          <xdr:spPr>
            <a:xfrm>
              <a:off x="6545580" y="22098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327660</xdr:colOff>
      <xdr:row>1</xdr:row>
      <xdr:rowOff>11430</xdr:rowOff>
    </xdr:from>
    <xdr:to>
      <xdr:col>19</xdr:col>
      <xdr:colOff>144780</xdr:colOff>
      <xdr:row>14</xdr:row>
      <xdr:rowOff>38100</xdr:rowOff>
    </xdr:to>
    <xdr:graphicFrame macro="">
      <xdr:nvGraphicFramePr>
        <xdr:cNvPr id="5" name="Chart 4">
          <a:extLst>
            <a:ext uri="{FF2B5EF4-FFF2-40B4-BE49-F238E27FC236}">
              <a16:creationId xmlns:a16="http://schemas.microsoft.com/office/drawing/2014/main" id="{733719ED-FF0D-83D7-29DD-9EB84BA1B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30480</xdr:colOff>
      <xdr:row>14</xdr:row>
      <xdr:rowOff>121920</xdr:rowOff>
    </xdr:from>
    <xdr:to>
      <xdr:col>16</xdr:col>
      <xdr:colOff>30480</xdr:colOff>
      <xdr:row>27</xdr:row>
      <xdr:rowOff>13335</xdr:rowOff>
    </xdr:to>
    <mc:AlternateContent xmlns:mc="http://schemas.openxmlformats.org/markup-compatibility/2006" xmlns:a14="http://schemas.microsoft.com/office/drawing/2010/main">
      <mc:Choice Requires="a14">
        <xdr:graphicFrame macro="">
          <xdr:nvGraphicFramePr>
            <xdr:cNvPr id="6" name="Year 12">
              <a:extLst>
                <a:ext uri="{FF2B5EF4-FFF2-40B4-BE49-F238E27FC236}">
                  <a16:creationId xmlns:a16="http://schemas.microsoft.com/office/drawing/2014/main" id="{577AAC0B-CD95-1E7F-492D-E87F611E20CD}"/>
                </a:ext>
              </a:extLst>
            </xdr:cNvPr>
            <xdr:cNvGraphicFramePr/>
          </xdr:nvGraphicFramePr>
          <xdr:xfrm>
            <a:off x="0" y="0"/>
            <a:ext cx="0" cy="0"/>
          </xdr:xfrm>
          <a:graphic>
            <a:graphicData uri="http://schemas.microsoft.com/office/drawing/2010/slicer">
              <sle:slicer xmlns:sle="http://schemas.microsoft.com/office/drawing/2010/slicer" name="Year 12"/>
            </a:graphicData>
          </a:graphic>
        </xdr:graphicFrame>
      </mc:Choice>
      <mc:Fallback xmlns="">
        <xdr:sp macro="" textlink="">
          <xdr:nvSpPr>
            <xdr:cNvPr id="0" name=""/>
            <xdr:cNvSpPr>
              <a:spLocks noTextEdit="1"/>
            </xdr:cNvSpPr>
          </xdr:nvSpPr>
          <xdr:spPr>
            <a:xfrm>
              <a:off x="8823960" y="2682240"/>
              <a:ext cx="1828800" cy="2268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289560</xdr:colOff>
      <xdr:row>14</xdr:row>
      <xdr:rowOff>99061</xdr:rowOff>
    </xdr:from>
    <xdr:to>
      <xdr:col>19</xdr:col>
      <xdr:colOff>289560</xdr:colOff>
      <xdr:row>19</xdr:row>
      <xdr:rowOff>22861</xdr:rowOff>
    </xdr:to>
    <mc:AlternateContent xmlns:mc="http://schemas.openxmlformats.org/markup-compatibility/2006" xmlns:a14="http://schemas.microsoft.com/office/drawing/2010/main">
      <mc:Choice Requires="a14">
        <xdr:graphicFrame macro="">
          <xdr:nvGraphicFramePr>
            <xdr:cNvPr id="7" name="Company 12">
              <a:extLst>
                <a:ext uri="{FF2B5EF4-FFF2-40B4-BE49-F238E27FC236}">
                  <a16:creationId xmlns:a16="http://schemas.microsoft.com/office/drawing/2014/main" id="{B9BD9FD4-7ACA-6688-CA91-B193CAE3BC1F}"/>
                </a:ext>
              </a:extLst>
            </xdr:cNvPr>
            <xdr:cNvGraphicFramePr/>
          </xdr:nvGraphicFramePr>
          <xdr:xfrm>
            <a:off x="0" y="0"/>
            <a:ext cx="0" cy="0"/>
          </xdr:xfrm>
          <a:graphic>
            <a:graphicData uri="http://schemas.microsoft.com/office/drawing/2010/slicer">
              <sle:slicer xmlns:sle="http://schemas.microsoft.com/office/drawing/2010/slicer" name="Company 12"/>
            </a:graphicData>
          </a:graphic>
        </xdr:graphicFrame>
      </mc:Choice>
      <mc:Fallback xmlns="">
        <xdr:sp macro="" textlink="">
          <xdr:nvSpPr>
            <xdr:cNvPr id="0" name=""/>
            <xdr:cNvSpPr>
              <a:spLocks noTextEdit="1"/>
            </xdr:cNvSpPr>
          </xdr:nvSpPr>
          <xdr:spPr>
            <a:xfrm>
              <a:off x="10911840" y="2659381"/>
              <a:ext cx="1828800" cy="83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38100</xdr:colOff>
      <xdr:row>0</xdr:row>
      <xdr:rowOff>137160</xdr:rowOff>
    </xdr:from>
    <xdr:to>
      <xdr:col>11</xdr:col>
      <xdr:colOff>411480</xdr:colOff>
      <xdr:row>18</xdr:row>
      <xdr:rowOff>137160</xdr:rowOff>
    </xdr:to>
    <xdr:graphicFrame macro="">
      <xdr:nvGraphicFramePr>
        <xdr:cNvPr id="3" name="Chart 2">
          <a:extLst>
            <a:ext uri="{FF2B5EF4-FFF2-40B4-BE49-F238E27FC236}">
              <a16:creationId xmlns:a16="http://schemas.microsoft.com/office/drawing/2014/main" id="{E469B33B-EBB0-2278-1EEA-A231DB3F1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434340</xdr:colOff>
      <xdr:row>5</xdr:row>
      <xdr:rowOff>114300</xdr:rowOff>
    </xdr:from>
    <xdr:to>
      <xdr:col>14</xdr:col>
      <xdr:colOff>434340</xdr:colOff>
      <xdr:row>19</xdr:row>
      <xdr:rowOff>20955</xdr:rowOff>
    </xdr:to>
    <mc:AlternateContent xmlns:mc="http://schemas.openxmlformats.org/markup-compatibility/2006" xmlns:a14="http://schemas.microsoft.com/office/drawing/2010/main">
      <mc:Choice Requires="a14">
        <xdr:graphicFrame macro="">
          <xdr:nvGraphicFramePr>
            <xdr:cNvPr id="4" name="Year 3">
              <a:extLst>
                <a:ext uri="{FF2B5EF4-FFF2-40B4-BE49-F238E27FC236}">
                  <a16:creationId xmlns:a16="http://schemas.microsoft.com/office/drawing/2014/main" id="{2AF4F414-F01D-E865-C268-D1923DF11857}"/>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8961120" y="1028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457200</xdr:colOff>
      <xdr:row>0</xdr:row>
      <xdr:rowOff>160021</xdr:rowOff>
    </xdr:from>
    <xdr:to>
      <xdr:col>14</xdr:col>
      <xdr:colOff>457200</xdr:colOff>
      <xdr:row>5</xdr:row>
      <xdr:rowOff>91441</xdr:rowOff>
    </xdr:to>
    <mc:AlternateContent xmlns:mc="http://schemas.openxmlformats.org/markup-compatibility/2006" xmlns:a14="http://schemas.microsoft.com/office/drawing/2010/main">
      <mc:Choice Requires="a14">
        <xdr:graphicFrame macro="">
          <xdr:nvGraphicFramePr>
            <xdr:cNvPr id="5" name="Company 3">
              <a:extLst>
                <a:ext uri="{FF2B5EF4-FFF2-40B4-BE49-F238E27FC236}">
                  <a16:creationId xmlns:a16="http://schemas.microsoft.com/office/drawing/2014/main" id="{55F88005-7893-3977-2AD2-B54B95C25C99}"/>
                </a:ext>
              </a:extLst>
            </xdr:cNvPr>
            <xdr:cNvGraphicFramePr/>
          </xdr:nvGraphicFramePr>
          <xdr:xfrm>
            <a:off x="0" y="0"/>
            <a:ext cx="0" cy="0"/>
          </xdr:xfrm>
          <a:graphic>
            <a:graphicData uri="http://schemas.microsoft.com/office/drawing/2010/slicer">
              <sle:slicer xmlns:sle="http://schemas.microsoft.com/office/drawing/2010/slicer" name="Company 3"/>
            </a:graphicData>
          </a:graphic>
        </xdr:graphicFrame>
      </mc:Choice>
      <mc:Fallback xmlns="">
        <xdr:sp macro="" textlink="">
          <xdr:nvSpPr>
            <xdr:cNvPr id="0" name=""/>
            <xdr:cNvSpPr>
              <a:spLocks noTextEdit="1"/>
            </xdr:cNvSpPr>
          </xdr:nvSpPr>
          <xdr:spPr>
            <a:xfrm>
              <a:off x="8983980" y="16002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83820</xdr:colOff>
      <xdr:row>1</xdr:row>
      <xdr:rowOff>45720</xdr:rowOff>
    </xdr:from>
    <xdr:to>
      <xdr:col>22</xdr:col>
      <xdr:colOff>281940</xdr:colOff>
      <xdr:row>13</xdr:row>
      <xdr:rowOff>41910</xdr:rowOff>
    </xdr:to>
    <xdr:graphicFrame macro="">
      <xdr:nvGraphicFramePr>
        <xdr:cNvPr id="2" name="Chart 1">
          <a:extLst>
            <a:ext uri="{FF2B5EF4-FFF2-40B4-BE49-F238E27FC236}">
              <a16:creationId xmlns:a16="http://schemas.microsoft.com/office/drawing/2014/main" id="{E95FCFCC-EF83-F973-0AFB-34D33A3BD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243840</xdr:colOff>
      <xdr:row>13</xdr:row>
      <xdr:rowOff>175260</xdr:rowOff>
    </xdr:from>
    <xdr:to>
      <xdr:col>21</xdr:col>
      <xdr:colOff>243840</xdr:colOff>
      <xdr:row>27</xdr:row>
      <xdr:rowOff>81915</xdr:rowOff>
    </xdr:to>
    <mc:AlternateContent xmlns:mc="http://schemas.openxmlformats.org/markup-compatibility/2006" xmlns:a14="http://schemas.microsoft.com/office/drawing/2010/main">
      <mc:Choice Requires="a14">
        <xdr:graphicFrame macro="">
          <xdr:nvGraphicFramePr>
            <xdr:cNvPr id="6" name="Year 13">
              <a:extLst>
                <a:ext uri="{FF2B5EF4-FFF2-40B4-BE49-F238E27FC236}">
                  <a16:creationId xmlns:a16="http://schemas.microsoft.com/office/drawing/2014/main" id="{ACEAB4D5-A5AC-C2BA-03AF-D28559E2E163}"/>
                </a:ext>
              </a:extLst>
            </xdr:cNvPr>
            <xdr:cNvGraphicFramePr/>
          </xdr:nvGraphicFramePr>
          <xdr:xfrm>
            <a:off x="0" y="0"/>
            <a:ext cx="0" cy="0"/>
          </xdr:xfrm>
          <a:graphic>
            <a:graphicData uri="http://schemas.microsoft.com/office/drawing/2010/slicer">
              <sle:slicer xmlns:sle="http://schemas.microsoft.com/office/drawing/2010/slicer" name="Year 13"/>
            </a:graphicData>
          </a:graphic>
        </xdr:graphicFrame>
      </mc:Choice>
      <mc:Fallback xmlns="">
        <xdr:sp macro="" textlink="">
          <xdr:nvSpPr>
            <xdr:cNvPr id="0" name=""/>
            <xdr:cNvSpPr>
              <a:spLocks noTextEdit="1"/>
            </xdr:cNvSpPr>
          </xdr:nvSpPr>
          <xdr:spPr>
            <a:xfrm>
              <a:off x="13037820" y="2552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14</xdr:row>
      <xdr:rowOff>45721</xdr:rowOff>
    </xdr:from>
    <xdr:to>
      <xdr:col>18</xdr:col>
      <xdr:colOff>76200</xdr:colOff>
      <xdr:row>19</xdr:row>
      <xdr:rowOff>30481</xdr:rowOff>
    </xdr:to>
    <mc:AlternateContent xmlns:mc="http://schemas.openxmlformats.org/markup-compatibility/2006" xmlns:a14="http://schemas.microsoft.com/office/drawing/2010/main">
      <mc:Choice Requires="a14">
        <xdr:graphicFrame macro="">
          <xdr:nvGraphicFramePr>
            <xdr:cNvPr id="7" name="Company 13">
              <a:extLst>
                <a:ext uri="{FF2B5EF4-FFF2-40B4-BE49-F238E27FC236}">
                  <a16:creationId xmlns:a16="http://schemas.microsoft.com/office/drawing/2014/main" id="{05888ED2-9E60-86E7-A157-58C41CECEB4F}"/>
                </a:ext>
              </a:extLst>
            </xdr:cNvPr>
            <xdr:cNvGraphicFramePr/>
          </xdr:nvGraphicFramePr>
          <xdr:xfrm>
            <a:off x="0" y="0"/>
            <a:ext cx="0" cy="0"/>
          </xdr:xfrm>
          <a:graphic>
            <a:graphicData uri="http://schemas.microsoft.com/office/drawing/2010/slicer">
              <sle:slicer xmlns:sle="http://schemas.microsoft.com/office/drawing/2010/slicer" name="Company 13"/>
            </a:graphicData>
          </a:graphic>
        </xdr:graphicFrame>
      </mc:Choice>
      <mc:Fallback xmlns="">
        <xdr:sp macro="" textlink="">
          <xdr:nvSpPr>
            <xdr:cNvPr id="0" name=""/>
            <xdr:cNvSpPr>
              <a:spLocks noTextEdit="1"/>
            </xdr:cNvSpPr>
          </xdr:nvSpPr>
          <xdr:spPr>
            <a:xfrm>
              <a:off x="11041380" y="2606041"/>
              <a:ext cx="18288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198120</xdr:colOff>
      <xdr:row>0</xdr:row>
      <xdr:rowOff>114300</xdr:rowOff>
    </xdr:from>
    <xdr:to>
      <xdr:col>9</xdr:col>
      <xdr:colOff>38100</xdr:colOff>
      <xdr:row>15</xdr:row>
      <xdr:rowOff>0</xdr:rowOff>
    </xdr:to>
    <xdr:graphicFrame macro="">
      <xdr:nvGraphicFramePr>
        <xdr:cNvPr id="2" name="Chart 1">
          <a:extLst>
            <a:ext uri="{FF2B5EF4-FFF2-40B4-BE49-F238E27FC236}">
              <a16:creationId xmlns:a16="http://schemas.microsoft.com/office/drawing/2014/main" id="{A4446C6B-C9E2-72AB-1BF6-42703A474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121920</xdr:colOff>
      <xdr:row>6</xdr:row>
      <xdr:rowOff>0</xdr:rowOff>
    </xdr:from>
    <xdr:to>
      <xdr:col>12</xdr:col>
      <xdr:colOff>121920</xdr:colOff>
      <xdr:row>19</xdr:row>
      <xdr:rowOff>89535</xdr:rowOff>
    </xdr:to>
    <mc:AlternateContent xmlns:mc="http://schemas.openxmlformats.org/markup-compatibility/2006" xmlns:a14="http://schemas.microsoft.com/office/drawing/2010/main">
      <mc:Choice Requires="a14">
        <xdr:graphicFrame macro="">
          <xdr:nvGraphicFramePr>
            <xdr:cNvPr id="3" name="Year 4">
              <a:extLst>
                <a:ext uri="{FF2B5EF4-FFF2-40B4-BE49-F238E27FC236}">
                  <a16:creationId xmlns:a16="http://schemas.microsoft.com/office/drawing/2014/main" id="{3E449415-BFA1-69E5-ADE0-8042BB5B6976}"/>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632460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xdr:colOff>
      <xdr:row>0</xdr:row>
      <xdr:rowOff>160021</xdr:rowOff>
    </xdr:from>
    <xdr:to>
      <xdr:col>12</xdr:col>
      <xdr:colOff>45720</xdr:colOff>
      <xdr:row>5</xdr:row>
      <xdr:rowOff>167641</xdr:rowOff>
    </xdr:to>
    <mc:AlternateContent xmlns:mc="http://schemas.openxmlformats.org/markup-compatibility/2006" xmlns:a14="http://schemas.microsoft.com/office/drawing/2010/main">
      <mc:Choice Requires="a14">
        <xdr:graphicFrame macro="">
          <xdr:nvGraphicFramePr>
            <xdr:cNvPr id="4" name="Company 4">
              <a:extLst>
                <a:ext uri="{FF2B5EF4-FFF2-40B4-BE49-F238E27FC236}">
                  <a16:creationId xmlns:a16="http://schemas.microsoft.com/office/drawing/2014/main" id="{E5B56FE8-FDC4-F7A4-5A7B-866D46AEEE11}"/>
                </a:ext>
              </a:extLst>
            </xdr:cNvPr>
            <xdr:cNvGraphicFramePr/>
          </xdr:nvGraphicFramePr>
          <xdr:xfrm>
            <a:off x="0" y="0"/>
            <a:ext cx="0" cy="0"/>
          </xdr:xfrm>
          <a:graphic>
            <a:graphicData uri="http://schemas.microsoft.com/office/drawing/2010/slicer">
              <sle:slicer xmlns:sle="http://schemas.microsoft.com/office/drawing/2010/slicer" name="Company 4"/>
            </a:graphicData>
          </a:graphic>
        </xdr:graphicFrame>
      </mc:Choice>
      <mc:Fallback xmlns="">
        <xdr:sp macro="" textlink="">
          <xdr:nvSpPr>
            <xdr:cNvPr id="0" name=""/>
            <xdr:cNvSpPr>
              <a:spLocks noTextEdit="1"/>
            </xdr:cNvSpPr>
          </xdr:nvSpPr>
          <xdr:spPr>
            <a:xfrm>
              <a:off x="6248400" y="160021"/>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495300</xdr:colOff>
      <xdr:row>0</xdr:row>
      <xdr:rowOff>137160</xdr:rowOff>
    </xdr:from>
    <xdr:to>
      <xdr:col>19</xdr:col>
      <xdr:colOff>594360</xdr:colOff>
      <xdr:row>14</xdr:row>
      <xdr:rowOff>156210</xdr:rowOff>
    </xdr:to>
    <xdr:graphicFrame macro="">
      <xdr:nvGraphicFramePr>
        <xdr:cNvPr id="5" name="Chart 4">
          <a:extLst>
            <a:ext uri="{FF2B5EF4-FFF2-40B4-BE49-F238E27FC236}">
              <a16:creationId xmlns:a16="http://schemas.microsoft.com/office/drawing/2014/main" id="{68C1A40D-232A-79FE-5A65-BB3CB561B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358140</xdr:colOff>
      <xdr:row>15</xdr:row>
      <xdr:rowOff>99060</xdr:rowOff>
    </xdr:from>
    <xdr:to>
      <xdr:col>19</xdr:col>
      <xdr:colOff>358140</xdr:colOff>
      <xdr:row>29</xdr:row>
      <xdr:rowOff>5715</xdr:rowOff>
    </xdr:to>
    <mc:AlternateContent xmlns:mc="http://schemas.openxmlformats.org/markup-compatibility/2006" xmlns:a14="http://schemas.microsoft.com/office/drawing/2010/main">
      <mc:Choice Requires="a14">
        <xdr:graphicFrame macro="">
          <xdr:nvGraphicFramePr>
            <xdr:cNvPr id="6" name="Year 14">
              <a:extLst>
                <a:ext uri="{FF2B5EF4-FFF2-40B4-BE49-F238E27FC236}">
                  <a16:creationId xmlns:a16="http://schemas.microsoft.com/office/drawing/2014/main" id="{6850D5EB-4BC2-9599-7BD2-B2C14F26B138}"/>
                </a:ext>
              </a:extLst>
            </xdr:cNvPr>
            <xdr:cNvGraphicFramePr/>
          </xdr:nvGraphicFramePr>
          <xdr:xfrm>
            <a:off x="0" y="0"/>
            <a:ext cx="0" cy="0"/>
          </xdr:xfrm>
          <a:graphic>
            <a:graphicData uri="http://schemas.microsoft.com/office/drawing/2010/slicer">
              <sle:slicer xmlns:sle="http://schemas.microsoft.com/office/drawing/2010/slicer" name="Year 14"/>
            </a:graphicData>
          </a:graphic>
        </xdr:graphicFrame>
      </mc:Choice>
      <mc:Fallback xmlns="">
        <xdr:sp macro="" textlink="">
          <xdr:nvSpPr>
            <xdr:cNvPr id="0" name=""/>
            <xdr:cNvSpPr>
              <a:spLocks noTextEdit="1"/>
            </xdr:cNvSpPr>
          </xdr:nvSpPr>
          <xdr:spPr>
            <a:xfrm>
              <a:off x="10828020" y="2842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175260</xdr:colOff>
      <xdr:row>15</xdr:row>
      <xdr:rowOff>53341</xdr:rowOff>
    </xdr:from>
    <xdr:to>
      <xdr:col>16</xdr:col>
      <xdr:colOff>175260</xdr:colOff>
      <xdr:row>19</xdr:row>
      <xdr:rowOff>152401</xdr:rowOff>
    </xdr:to>
    <mc:AlternateContent xmlns:mc="http://schemas.openxmlformats.org/markup-compatibility/2006" xmlns:a14="http://schemas.microsoft.com/office/drawing/2010/main">
      <mc:Choice Requires="a14">
        <xdr:graphicFrame macro="">
          <xdr:nvGraphicFramePr>
            <xdr:cNvPr id="7" name="Company 14">
              <a:extLst>
                <a:ext uri="{FF2B5EF4-FFF2-40B4-BE49-F238E27FC236}">
                  <a16:creationId xmlns:a16="http://schemas.microsoft.com/office/drawing/2014/main" id="{C5730B9C-F607-4B1B-A1C6-C2931B08A17E}"/>
                </a:ext>
              </a:extLst>
            </xdr:cNvPr>
            <xdr:cNvGraphicFramePr/>
          </xdr:nvGraphicFramePr>
          <xdr:xfrm>
            <a:off x="0" y="0"/>
            <a:ext cx="0" cy="0"/>
          </xdr:xfrm>
          <a:graphic>
            <a:graphicData uri="http://schemas.microsoft.com/office/drawing/2010/slicer">
              <sle:slicer xmlns:sle="http://schemas.microsoft.com/office/drawing/2010/slicer" name="Company 14"/>
            </a:graphicData>
          </a:graphic>
        </xdr:graphicFrame>
      </mc:Choice>
      <mc:Fallback xmlns="">
        <xdr:sp macro="" textlink="">
          <xdr:nvSpPr>
            <xdr:cNvPr id="0" name=""/>
            <xdr:cNvSpPr>
              <a:spLocks noTextEdit="1"/>
            </xdr:cNvSpPr>
          </xdr:nvSpPr>
          <xdr:spPr>
            <a:xfrm>
              <a:off x="8816340" y="2796541"/>
              <a:ext cx="182880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457200</xdr:colOff>
      <xdr:row>2</xdr:row>
      <xdr:rowOff>95250</xdr:rowOff>
    </xdr:from>
    <xdr:to>
      <xdr:col>10</xdr:col>
      <xdr:colOff>152400</xdr:colOff>
      <xdr:row>17</xdr:row>
      <xdr:rowOff>95250</xdr:rowOff>
    </xdr:to>
    <xdr:graphicFrame macro="">
      <xdr:nvGraphicFramePr>
        <xdr:cNvPr id="2" name="Chart 1">
          <a:extLst>
            <a:ext uri="{FF2B5EF4-FFF2-40B4-BE49-F238E27FC236}">
              <a16:creationId xmlns:a16="http://schemas.microsoft.com/office/drawing/2014/main" id="{FC3B6CCB-1338-D154-FE7C-F3D26C315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350520</xdr:colOff>
      <xdr:row>7</xdr:row>
      <xdr:rowOff>15240</xdr:rowOff>
    </xdr:from>
    <xdr:to>
      <xdr:col>13</xdr:col>
      <xdr:colOff>350520</xdr:colOff>
      <xdr:row>20</xdr:row>
      <xdr:rowOff>104775</xdr:rowOff>
    </xdr:to>
    <mc:AlternateContent xmlns:mc="http://schemas.openxmlformats.org/markup-compatibility/2006" xmlns:a14="http://schemas.microsoft.com/office/drawing/2010/main">
      <mc:Choice Requires="a14">
        <xdr:graphicFrame macro="">
          <xdr:nvGraphicFramePr>
            <xdr:cNvPr id="3" name="Year 16">
              <a:extLst>
                <a:ext uri="{FF2B5EF4-FFF2-40B4-BE49-F238E27FC236}">
                  <a16:creationId xmlns:a16="http://schemas.microsoft.com/office/drawing/2014/main" id="{55DC3744-0978-F93F-0C32-37D5987D4949}"/>
                </a:ext>
              </a:extLst>
            </xdr:cNvPr>
            <xdr:cNvGraphicFramePr/>
          </xdr:nvGraphicFramePr>
          <xdr:xfrm>
            <a:off x="0" y="0"/>
            <a:ext cx="0" cy="0"/>
          </xdr:xfrm>
          <a:graphic>
            <a:graphicData uri="http://schemas.microsoft.com/office/drawing/2010/slicer">
              <sle:slicer xmlns:sle="http://schemas.microsoft.com/office/drawing/2010/slicer" name="Year 16"/>
            </a:graphicData>
          </a:graphic>
        </xdr:graphicFrame>
      </mc:Choice>
      <mc:Fallback xmlns="">
        <xdr:sp macro="" textlink="">
          <xdr:nvSpPr>
            <xdr:cNvPr id="0" name=""/>
            <xdr:cNvSpPr>
              <a:spLocks noTextEdit="1"/>
            </xdr:cNvSpPr>
          </xdr:nvSpPr>
          <xdr:spPr>
            <a:xfrm>
              <a:off x="6911340" y="1295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327660</xdr:colOff>
      <xdr:row>2</xdr:row>
      <xdr:rowOff>76201</xdr:rowOff>
    </xdr:from>
    <xdr:to>
      <xdr:col>13</xdr:col>
      <xdr:colOff>327660</xdr:colOff>
      <xdr:row>7</xdr:row>
      <xdr:rowOff>22861</xdr:rowOff>
    </xdr:to>
    <mc:AlternateContent xmlns:mc="http://schemas.openxmlformats.org/markup-compatibility/2006" xmlns:a14="http://schemas.microsoft.com/office/drawing/2010/main">
      <mc:Choice Requires="a14">
        <xdr:graphicFrame macro="">
          <xdr:nvGraphicFramePr>
            <xdr:cNvPr id="4" name="Company 16">
              <a:extLst>
                <a:ext uri="{FF2B5EF4-FFF2-40B4-BE49-F238E27FC236}">
                  <a16:creationId xmlns:a16="http://schemas.microsoft.com/office/drawing/2014/main" id="{5772172B-9FDE-C5A6-9E55-A226B1F8E761}"/>
                </a:ext>
              </a:extLst>
            </xdr:cNvPr>
            <xdr:cNvGraphicFramePr/>
          </xdr:nvGraphicFramePr>
          <xdr:xfrm>
            <a:off x="0" y="0"/>
            <a:ext cx="0" cy="0"/>
          </xdr:xfrm>
          <a:graphic>
            <a:graphicData uri="http://schemas.microsoft.com/office/drawing/2010/slicer">
              <sle:slicer xmlns:sle="http://schemas.microsoft.com/office/drawing/2010/slicer" name="Company 16"/>
            </a:graphicData>
          </a:graphic>
        </xdr:graphicFrame>
      </mc:Choice>
      <mc:Fallback xmlns="">
        <xdr:sp macro="" textlink="">
          <xdr:nvSpPr>
            <xdr:cNvPr id="0" name=""/>
            <xdr:cNvSpPr>
              <a:spLocks noTextEdit="1"/>
            </xdr:cNvSpPr>
          </xdr:nvSpPr>
          <xdr:spPr>
            <a:xfrm>
              <a:off x="6888480" y="44196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495300</xdr:colOff>
      <xdr:row>1</xdr:row>
      <xdr:rowOff>125730</xdr:rowOff>
    </xdr:from>
    <xdr:to>
      <xdr:col>20</xdr:col>
      <xdr:colOff>190500</xdr:colOff>
      <xdr:row>14</xdr:row>
      <xdr:rowOff>68580</xdr:rowOff>
    </xdr:to>
    <xdr:graphicFrame macro="">
      <xdr:nvGraphicFramePr>
        <xdr:cNvPr id="6" name="Chart 5">
          <a:extLst>
            <a:ext uri="{FF2B5EF4-FFF2-40B4-BE49-F238E27FC236}">
              <a16:creationId xmlns:a16="http://schemas.microsoft.com/office/drawing/2014/main" id="{76E71695-23CD-7DC9-7373-03DE9E61F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76200</xdr:colOff>
      <xdr:row>14</xdr:row>
      <xdr:rowOff>114300</xdr:rowOff>
    </xdr:from>
    <xdr:to>
      <xdr:col>20</xdr:col>
      <xdr:colOff>76200</xdr:colOff>
      <xdr:row>28</xdr:row>
      <xdr:rowOff>20955</xdr:rowOff>
    </xdr:to>
    <mc:AlternateContent xmlns:mc="http://schemas.openxmlformats.org/markup-compatibility/2006" xmlns:a14="http://schemas.microsoft.com/office/drawing/2010/main">
      <mc:Choice Requires="a14">
        <xdr:graphicFrame macro="">
          <xdr:nvGraphicFramePr>
            <xdr:cNvPr id="7" name="Year 21">
              <a:extLst>
                <a:ext uri="{FF2B5EF4-FFF2-40B4-BE49-F238E27FC236}">
                  <a16:creationId xmlns:a16="http://schemas.microsoft.com/office/drawing/2014/main" id="{5CA8AB6B-6613-E433-F0C7-50C892BFD116}"/>
                </a:ext>
              </a:extLst>
            </xdr:cNvPr>
            <xdr:cNvGraphicFramePr/>
          </xdr:nvGraphicFramePr>
          <xdr:xfrm>
            <a:off x="0" y="0"/>
            <a:ext cx="0" cy="0"/>
          </xdr:xfrm>
          <a:graphic>
            <a:graphicData uri="http://schemas.microsoft.com/office/drawing/2010/slicer">
              <sle:slicer xmlns:sle="http://schemas.microsoft.com/office/drawing/2010/slicer" name="Year 21"/>
            </a:graphicData>
          </a:graphic>
        </xdr:graphicFrame>
      </mc:Choice>
      <mc:Fallback xmlns="">
        <xdr:sp macro="" textlink="">
          <xdr:nvSpPr>
            <xdr:cNvPr id="0" name=""/>
            <xdr:cNvSpPr>
              <a:spLocks noTextEdit="1"/>
            </xdr:cNvSpPr>
          </xdr:nvSpPr>
          <xdr:spPr>
            <a:xfrm>
              <a:off x="10904220" y="2674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99060</xdr:colOff>
      <xdr:row>14</xdr:row>
      <xdr:rowOff>106681</xdr:rowOff>
    </xdr:from>
    <xdr:to>
      <xdr:col>17</xdr:col>
      <xdr:colOff>99060</xdr:colOff>
      <xdr:row>19</xdr:row>
      <xdr:rowOff>45721</xdr:rowOff>
    </xdr:to>
    <mc:AlternateContent xmlns:mc="http://schemas.openxmlformats.org/markup-compatibility/2006" xmlns:a14="http://schemas.microsoft.com/office/drawing/2010/main">
      <mc:Choice Requires="a14">
        <xdr:graphicFrame macro="">
          <xdr:nvGraphicFramePr>
            <xdr:cNvPr id="8" name="Company 21">
              <a:extLst>
                <a:ext uri="{FF2B5EF4-FFF2-40B4-BE49-F238E27FC236}">
                  <a16:creationId xmlns:a16="http://schemas.microsoft.com/office/drawing/2014/main" id="{C3D98292-BF60-25F6-22C2-FFA9D8B532AD}"/>
                </a:ext>
              </a:extLst>
            </xdr:cNvPr>
            <xdr:cNvGraphicFramePr/>
          </xdr:nvGraphicFramePr>
          <xdr:xfrm>
            <a:off x="0" y="0"/>
            <a:ext cx="0" cy="0"/>
          </xdr:xfrm>
          <a:graphic>
            <a:graphicData uri="http://schemas.microsoft.com/office/drawing/2010/slicer">
              <sle:slicer xmlns:sle="http://schemas.microsoft.com/office/drawing/2010/slicer" name="Company 21"/>
            </a:graphicData>
          </a:graphic>
        </xdr:graphicFrame>
      </mc:Choice>
      <mc:Fallback xmlns="">
        <xdr:sp macro="" textlink="">
          <xdr:nvSpPr>
            <xdr:cNvPr id="0" name=""/>
            <xdr:cNvSpPr>
              <a:spLocks noTextEdit="1"/>
            </xdr:cNvSpPr>
          </xdr:nvSpPr>
          <xdr:spPr>
            <a:xfrm>
              <a:off x="9098280" y="266700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190500</xdr:colOff>
      <xdr:row>1</xdr:row>
      <xdr:rowOff>163830</xdr:rowOff>
    </xdr:from>
    <xdr:to>
      <xdr:col>9</xdr:col>
      <xdr:colOff>403860</xdr:colOff>
      <xdr:row>15</xdr:row>
      <xdr:rowOff>45720</xdr:rowOff>
    </xdr:to>
    <xdr:graphicFrame macro="">
      <xdr:nvGraphicFramePr>
        <xdr:cNvPr id="2" name="Chart 1">
          <a:extLst>
            <a:ext uri="{FF2B5EF4-FFF2-40B4-BE49-F238E27FC236}">
              <a16:creationId xmlns:a16="http://schemas.microsoft.com/office/drawing/2014/main" id="{3A7F7075-4F7B-BE31-1589-C8C8621A9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464820</xdr:colOff>
      <xdr:row>5</xdr:row>
      <xdr:rowOff>15240</xdr:rowOff>
    </xdr:from>
    <xdr:to>
      <xdr:col>12</xdr:col>
      <xdr:colOff>464820</xdr:colOff>
      <xdr:row>18</xdr:row>
      <xdr:rowOff>104775</xdr:rowOff>
    </xdr:to>
    <mc:AlternateContent xmlns:mc="http://schemas.openxmlformats.org/markup-compatibility/2006" xmlns:a14="http://schemas.microsoft.com/office/drawing/2010/main">
      <mc:Choice Requires="a14">
        <xdr:graphicFrame macro="">
          <xdr:nvGraphicFramePr>
            <xdr:cNvPr id="5" name="Year 17">
              <a:extLst>
                <a:ext uri="{FF2B5EF4-FFF2-40B4-BE49-F238E27FC236}">
                  <a16:creationId xmlns:a16="http://schemas.microsoft.com/office/drawing/2014/main" id="{236C4882-92B4-F01D-B01D-86A7BC8B10EA}"/>
                </a:ext>
              </a:extLst>
            </xdr:cNvPr>
            <xdr:cNvGraphicFramePr/>
          </xdr:nvGraphicFramePr>
          <xdr:xfrm>
            <a:off x="0" y="0"/>
            <a:ext cx="0" cy="0"/>
          </xdr:xfrm>
          <a:graphic>
            <a:graphicData uri="http://schemas.microsoft.com/office/drawing/2010/slicer">
              <sle:slicer xmlns:sle="http://schemas.microsoft.com/office/drawing/2010/slicer" name="Year 17"/>
            </a:graphicData>
          </a:graphic>
        </xdr:graphicFrame>
      </mc:Choice>
      <mc:Fallback xmlns="">
        <xdr:sp macro="" textlink="">
          <xdr:nvSpPr>
            <xdr:cNvPr id="0" name=""/>
            <xdr:cNvSpPr>
              <a:spLocks noTextEdit="1"/>
            </xdr:cNvSpPr>
          </xdr:nvSpPr>
          <xdr:spPr>
            <a:xfrm>
              <a:off x="7078980" y="92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441960</xdr:colOff>
      <xdr:row>0</xdr:row>
      <xdr:rowOff>91441</xdr:rowOff>
    </xdr:from>
    <xdr:to>
      <xdr:col>12</xdr:col>
      <xdr:colOff>441960</xdr:colOff>
      <xdr:row>4</xdr:row>
      <xdr:rowOff>175261</xdr:rowOff>
    </xdr:to>
    <mc:AlternateContent xmlns:mc="http://schemas.openxmlformats.org/markup-compatibility/2006" xmlns:a14="http://schemas.microsoft.com/office/drawing/2010/main">
      <mc:Choice Requires="a14">
        <xdr:graphicFrame macro="">
          <xdr:nvGraphicFramePr>
            <xdr:cNvPr id="6" name="Company 17">
              <a:extLst>
                <a:ext uri="{FF2B5EF4-FFF2-40B4-BE49-F238E27FC236}">
                  <a16:creationId xmlns:a16="http://schemas.microsoft.com/office/drawing/2014/main" id="{9B5BF7DD-0D4C-10BD-4DC4-029439DDC05C}"/>
                </a:ext>
              </a:extLst>
            </xdr:cNvPr>
            <xdr:cNvGraphicFramePr/>
          </xdr:nvGraphicFramePr>
          <xdr:xfrm>
            <a:off x="0" y="0"/>
            <a:ext cx="0" cy="0"/>
          </xdr:xfrm>
          <a:graphic>
            <a:graphicData uri="http://schemas.microsoft.com/office/drawing/2010/slicer">
              <sle:slicer xmlns:sle="http://schemas.microsoft.com/office/drawing/2010/slicer" name="Company 17"/>
            </a:graphicData>
          </a:graphic>
        </xdr:graphicFrame>
      </mc:Choice>
      <mc:Fallback xmlns="">
        <xdr:sp macro="" textlink="">
          <xdr:nvSpPr>
            <xdr:cNvPr id="0" name=""/>
            <xdr:cNvSpPr>
              <a:spLocks noTextEdit="1"/>
            </xdr:cNvSpPr>
          </xdr:nvSpPr>
          <xdr:spPr>
            <a:xfrm>
              <a:off x="7056120" y="91441"/>
              <a:ext cx="1828800" cy="815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205740</xdr:colOff>
      <xdr:row>0</xdr:row>
      <xdr:rowOff>57150</xdr:rowOff>
    </xdr:from>
    <xdr:to>
      <xdr:col>19</xdr:col>
      <xdr:colOff>441960</xdr:colOff>
      <xdr:row>14</xdr:row>
      <xdr:rowOff>53340</xdr:rowOff>
    </xdr:to>
    <xdr:graphicFrame macro="">
      <xdr:nvGraphicFramePr>
        <xdr:cNvPr id="3" name="Chart 2">
          <a:extLst>
            <a:ext uri="{FF2B5EF4-FFF2-40B4-BE49-F238E27FC236}">
              <a16:creationId xmlns:a16="http://schemas.microsoft.com/office/drawing/2014/main" id="{C3C9DBD0-AE99-2BE4-775F-03F1C45E8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236220</xdr:colOff>
      <xdr:row>14</xdr:row>
      <xdr:rowOff>91440</xdr:rowOff>
    </xdr:from>
    <xdr:to>
      <xdr:col>19</xdr:col>
      <xdr:colOff>236220</xdr:colOff>
      <xdr:row>27</xdr:row>
      <xdr:rowOff>180975</xdr:rowOff>
    </xdr:to>
    <mc:AlternateContent xmlns:mc="http://schemas.openxmlformats.org/markup-compatibility/2006" xmlns:a14="http://schemas.microsoft.com/office/drawing/2010/main">
      <mc:Choice Requires="a14">
        <xdr:graphicFrame macro="">
          <xdr:nvGraphicFramePr>
            <xdr:cNvPr id="4" name="Year 22">
              <a:extLst>
                <a:ext uri="{FF2B5EF4-FFF2-40B4-BE49-F238E27FC236}">
                  <a16:creationId xmlns:a16="http://schemas.microsoft.com/office/drawing/2014/main" id="{C84B417B-446F-A7F2-CBBC-1BD89C93811B}"/>
                </a:ext>
              </a:extLst>
            </xdr:cNvPr>
            <xdr:cNvGraphicFramePr/>
          </xdr:nvGraphicFramePr>
          <xdr:xfrm>
            <a:off x="0" y="0"/>
            <a:ext cx="0" cy="0"/>
          </xdr:xfrm>
          <a:graphic>
            <a:graphicData uri="http://schemas.microsoft.com/office/drawing/2010/slicer">
              <sle:slicer xmlns:sle="http://schemas.microsoft.com/office/drawing/2010/slicer" name="Year 22"/>
            </a:graphicData>
          </a:graphic>
        </xdr:graphicFrame>
      </mc:Choice>
      <mc:Fallback xmlns="">
        <xdr:sp macro="" textlink="">
          <xdr:nvSpPr>
            <xdr:cNvPr id="0" name=""/>
            <xdr:cNvSpPr>
              <a:spLocks noTextEdit="1"/>
            </xdr:cNvSpPr>
          </xdr:nvSpPr>
          <xdr:spPr>
            <a:xfrm>
              <a:off x="11117580" y="2651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220980</xdr:colOff>
      <xdr:row>14</xdr:row>
      <xdr:rowOff>83821</xdr:rowOff>
    </xdr:from>
    <xdr:to>
      <xdr:col>16</xdr:col>
      <xdr:colOff>220980</xdr:colOff>
      <xdr:row>19</xdr:row>
      <xdr:rowOff>30481</xdr:rowOff>
    </xdr:to>
    <mc:AlternateContent xmlns:mc="http://schemas.openxmlformats.org/markup-compatibility/2006" xmlns:a14="http://schemas.microsoft.com/office/drawing/2010/main">
      <mc:Choice Requires="a14">
        <xdr:graphicFrame macro="">
          <xdr:nvGraphicFramePr>
            <xdr:cNvPr id="7" name="Company 22">
              <a:extLst>
                <a:ext uri="{FF2B5EF4-FFF2-40B4-BE49-F238E27FC236}">
                  <a16:creationId xmlns:a16="http://schemas.microsoft.com/office/drawing/2014/main" id="{1543AC5B-0D05-E10B-6A3D-EAE9350D7F8D}"/>
                </a:ext>
              </a:extLst>
            </xdr:cNvPr>
            <xdr:cNvGraphicFramePr/>
          </xdr:nvGraphicFramePr>
          <xdr:xfrm>
            <a:off x="0" y="0"/>
            <a:ext cx="0" cy="0"/>
          </xdr:xfrm>
          <a:graphic>
            <a:graphicData uri="http://schemas.microsoft.com/office/drawing/2010/slicer">
              <sle:slicer xmlns:sle="http://schemas.microsoft.com/office/drawing/2010/slicer" name="Company 22"/>
            </a:graphicData>
          </a:graphic>
        </xdr:graphicFrame>
      </mc:Choice>
      <mc:Fallback xmlns="">
        <xdr:sp macro="" textlink="">
          <xdr:nvSpPr>
            <xdr:cNvPr id="0" name=""/>
            <xdr:cNvSpPr>
              <a:spLocks noTextEdit="1"/>
            </xdr:cNvSpPr>
          </xdr:nvSpPr>
          <xdr:spPr>
            <a:xfrm>
              <a:off x="9273540" y="264414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38100</xdr:colOff>
      <xdr:row>2</xdr:row>
      <xdr:rowOff>7620</xdr:rowOff>
    </xdr:from>
    <xdr:to>
      <xdr:col>9</xdr:col>
      <xdr:colOff>0</xdr:colOff>
      <xdr:row>15</xdr:row>
      <xdr:rowOff>148590</xdr:rowOff>
    </xdr:to>
    <xdr:graphicFrame macro="">
      <xdr:nvGraphicFramePr>
        <xdr:cNvPr id="2" name="Chart 1">
          <a:extLst>
            <a:ext uri="{FF2B5EF4-FFF2-40B4-BE49-F238E27FC236}">
              <a16:creationId xmlns:a16="http://schemas.microsoft.com/office/drawing/2014/main" id="{4D26CD61-EEE8-6E4E-E9CB-256D3514F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53340</xdr:colOff>
      <xdr:row>5</xdr:row>
      <xdr:rowOff>106680</xdr:rowOff>
    </xdr:from>
    <xdr:to>
      <xdr:col>12</xdr:col>
      <xdr:colOff>53340</xdr:colOff>
      <xdr:row>19</xdr:row>
      <xdr:rowOff>13335</xdr:rowOff>
    </xdr:to>
    <mc:AlternateContent xmlns:mc="http://schemas.openxmlformats.org/markup-compatibility/2006" xmlns:a14="http://schemas.microsoft.com/office/drawing/2010/main">
      <mc:Choice Requires="a14">
        <xdr:graphicFrame macro="">
          <xdr:nvGraphicFramePr>
            <xdr:cNvPr id="3" name="Year 18">
              <a:extLst>
                <a:ext uri="{FF2B5EF4-FFF2-40B4-BE49-F238E27FC236}">
                  <a16:creationId xmlns:a16="http://schemas.microsoft.com/office/drawing/2014/main" id="{8505689D-2663-FA81-5F01-1FBE7F8DC338}"/>
                </a:ext>
              </a:extLst>
            </xdr:cNvPr>
            <xdr:cNvGraphicFramePr/>
          </xdr:nvGraphicFramePr>
          <xdr:xfrm>
            <a:off x="0" y="0"/>
            <a:ext cx="0" cy="0"/>
          </xdr:xfrm>
          <a:graphic>
            <a:graphicData uri="http://schemas.microsoft.com/office/drawing/2010/slicer">
              <sle:slicer xmlns:sle="http://schemas.microsoft.com/office/drawing/2010/slicer" name="Year 18"/>
            </a:graphicData>
          </a:graphic>
        </xdr:graphicFrame>
      </mc:Choice>
      <mc:Fallback xmlns="">
        <xdr:sp macro="" textlink="">
          <xdr:nvSpPr>
            <xdr:cNvPr id="0" name=""/>
            <xdr:cNvSpPr>
              <a:spLocks noTextEdit="1"/>
            </xdr:cNvSpPr>
          </xdr:nvSpPr>
          <xdr:spPr>
            <a:xfrm>
              <a:off x="6835140" y="1021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114300</xdr:colOff>
      <xdr:row>1</xdr:row>
      <xdr:rowOff>15241</xdr:rowOff>
    </xdr:from>
    <xdr:to>
      <xdr:col>12</xdr:col>
      <xdr:colOff>114300</xdr:colOff>
      <xdr:row>5</xdr:row>
      <xdr:rowOff>137161</xdr:rowOff>
    </xdr:to>
    <mc:AlternateContent xmlns:mc="http://schemas.openxmlformats.org/markup-compatibility/2006" xmlns:a14="http://schemas.microsoft.com/office/drawing/2010/main">
      <mc:Choice Requires="a14">
        <xdr:graphicFrame macro="">
          <xdr:nvGraphicFramePr>
            <xdr:cNvPr id="4" name="Company 18">
              <a:extLst>
                <a:ext uri="{FF2B5EF4-FFF2-40B4-BE49-F238E27FC236}">
                  <a16:creationId xmlns:a16="http://schemas.microsoft.com/office/drawing/2014/main" id="{89E0F8CA-BB8B-817E-EF61-0A0F6C3DF9BD}"/>
                </a:ext>
              </a:extLst>
            </xdr:cNvPr>
            <xdr:cNvGraphicFramePr/>
          </xdr:nvGraphicFramePr>
          <xdr:xfrm>
            <a:off x="0" y="0"/>
            <a:ext cx="0" cy="0"/>
          </xdr:xfrm>
          <a:graphic>
            <a:graphicData uri="http://schemas.microsoft.com/office/drawing/2010/slicer">
              <sle:slicer xmlns:sle="http://schemas.microsoft.com/office/drawing/2010/slicer" name="Company 18"/>
            </a:graphicData>
          </a:graphic>
        </xdr:graphicFrame>
      </mc:Choice>
      <mc:Fallback xmlns="">
        <xdr:sp macro="" textlink="">
          <xdr:nvSpPr>
            <xdr:cNvPr id="0" name=""/>
            <xdr:cNvSpPr>
              <a:spLocks noTextEdit="1"/>
            </xdr:cNvSpPr>
          </xdr:nvSpPr>
          <xdr:spPr>
            <a:xfrm>
              <a:off x="6896100" y="19812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563880</xdr:colOff>
      <xdr:row>0</xdr:row>
      <xdr:rowOff>163830</xdr:rowOff>
    </xdr:from>
    <xdr:to>
      <xdr:col>19</xdr:col>
      <xdr:colOff>114300</xdr:colOff>
      <xdr:row>12</xdr:row>
      <xdr:rowOff>60960</xdr:rowOff>
    </xdr:to>
    <xdr:graphicFrame macro="">
      <xdr:nvGraphicFramePr>
        <xdr:cNvPr id="5" name="Chart 4">
          <a:extLst>
            <a:ext uri="{FF2B5EF4-FFF2-40B4-BE49-F238E27FC236}">
              <a16:creationId xmlns:a16="http://schemas.microsoft.com/office/drawing/2014/main" id="{B6722EE3-3CA0-2CA9-85E8-15F6DF9453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533400</xdr:colOff>
      <xdr:row>12</xdr:row>
      <xdr:rowOff>83820</xdr:rowOff>
    </xdr:from>
    <xdr:to>
      <xdr:col>19</xdr:col>
      <xdr:colOff>533400</xdr:colOff>
      <xdr:row>25</xdr:row>
      <xdr:rowOff>173355</xdr:rowOff>
    </xdr:to>
    <mc:AlternateContent xmlns:mc="http://schemas.openxmlformats.org/markup-compatibility/2006" xmlns:a14="http://schemas.microsoft.com/office/drawing/2010/main">
      <mc:Choice Requires="a14">
        <xdr:graphicFrame macro="">
          <xdr:nvGraphicFramePr>
            <xdr:cNvPr id="6" name="Year 23">
              <a:extLst>
                <a:ext uri="{FF2B5EF4-FFF2-40B4-BE49-F238E27FC236}">
                  <a16:creationId xmlns:a16="http://schemas.microsoft.com/office/drawing/2014/main" id="{6865D977-D167-C2E0-AB9A-F59BFDF6D5C0}"/>
                </a:ext>
              </a:extLst>
            </xdr:cNvPr>
            <xdr:cNvGraphicFramePr/>
          </xdr:nvGraphicFramePr>
          <xdr:xfrm>
            <a:off x="0" y="0"/>
            <a:ext cx="0" cy="0"/>
          </xdr:xfrm>
          <a:graphic>
            <a:graphicData uri="http://schemas.microsoft.com/office/drawing/2010/slicer">
              <sle:slicer xmlns:sle="http://schemas.microsoft.com/office/drawing/2010/slicer" name="Year 23"/>
            </a:graphicData>
          </a:graphic>
        </xdr:graphicFrame>
      </mc:Choice>
      <mc:Fallback xmlns="">
        <xdr:sp macro="" textlink="">
          <xdr:nvSpPr>
            <xdr:cNvPr id="0" name=""/>
            <xdr:cNvSpPr>
              <a:spLocks noTextEdit="1"/>
            </xdr:cNvSpPr>
          </xdr:nvSpPr>
          <xdr:spPr>
            <a:xfrm>
              <a:off x="11582400" y="2278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518160</xdr:colOff>
      <xdr:row>12</xdr:row>
      <xdr:rowOff>91441</xdr:rowOff>
    </xdr:from>
    <xdr:to>
      <xdr:col>16</xdr:col>
      <xdr:colOff>518160</xdr:colOff>
      <xdr:row>17</xdr:row>
      <xdr:rowOff>45721</xdr:rowOff>
    </xdr:to>
    <mc:AlternateContent xmlns:mc="http://schemas.openxmlformats.org/markup-compatibility/2006" xmlns:a14="http://schemas.microsoft.com/office/drawing/2010/main">
      <mc:Choice Requires="a14">
        <xdr:graphicFrame macro="">
          <xdr:nvGraphicFramePr>
            <xdr:cNvPr id="7" name="Company 23">
              <a:extLst>
                <a:ext uri="{FF2B5EF4-FFF2-40B4-BE49-F238E27FC236}">
                  <a16:creationId xmlns:a16="http://schemas.microsoft.com/office/drawing/2014/main" id="{53EF0996-D177-B502-C4C5-F4CF0B7DA655}"/>
                </a:ext>
              </a:extLst>
            </xdr:cNvPr>
            <xdr:cNvGraphicFramePr/>
          </xdr:nvGraphicFramePr>
          <xdr:xfrm>
            <a:off x="0" y="0"/>
            <a:ext cx="0" cy="0"/>
          </xdr:xfrm>
          <a:graphic>
            <a:graphicData uri="http://schemas.microsoft.com/office/drawing/2010/slicer">
              <sle:slicer xmlns:sle="http://schemas.microsoft.com/office/drawing/2010/slicer" name="Company 23"/>
            </a:graphicData>
          </a:graphic>
        </xdr:graphicFrame>
      </mc:Choice>
      <mc:Fallback xmlns="">
        <xdr:sp macro="" textlink="">
          <xdr:nvSpPr>
            <xdr:cNvPr id="0" name=""/>
            <xdr:cNvSpPr>
              <a:spLocks noTextEdit="1"/>
            </xdr:cNvSpPr>
          </xdr:nvSpPr>
          <xdr:spPr>
            <a:xfrm>
              <a:off x="9738360" y="2286001"/>
              <a:ext cx="182880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38100</xdr:colOff>
      <xdr:row>1</xdr:row>
      <xdr:rowOff>156210</xdr:rowOff>
    </xdr:from>
    <xdr:to>
      <xdr:col>9</xdr:col>
      <xdr:colOff>106680</xdr:colOff>
      <xdr:row>16</xdr:row>
      <xdr:rowOff>91440</xdr:rowOff>
    </xdr:to>
    <xdr:graphicFrame macro="">
      <xdr:nvGraphicFramePr>
        <xdr:cNvPr id="2" name="Chart 1">
          <a:extLst>
            <a:ext uri="{FF2B5EF4-FFF2-40B4-BE49-F238E27FC236}">
              <a16:creationId xmlns:a16="http://schemas.microsoft.com/office/drawing/2014/main" id="{846EA76A-1E50-F9CD-EF3B-C20674537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312420</xdr:colOff>
      <xdr:row>6</xdr:row>
      <xdr:rowOff>76200</xdr:rowOff>
    </xdr:from>
    <xdr:to>
      <xdr:col>12</xdr:col>
      <xdr:colOff>312420</xdr:colOff>
      <xdr:row>19</xdr:row>
      <xdr:rowOff>165735</xdr:rowOff>
    </xdr:to>
    <mc:AlternateContent xmlns:mc="http://schemas.openxmlformats.org/markup-compatibility/2006" xmlns:a14="http://schemas.microsoft.com/office/drawing/2010/main">
      <mc:Choice Requires="a14">
        <xdr:graphicFrame macro="">
          <xdr:nvGraphicFramePr>
            <xdr:cNvPr id="3" name="Year 19">
              <a:extLst>
                <a:ext uri="{FF2B5EF4-FFF2-40B4-BE49-F238E27FC236}">
                  <a16:creationId xmlns:a16="http://schemas.microsoft.com/office/drawing/2014/main" id="{E71EB6AC-65BE-0463-175E-50229C2B8F1A}"/>
                </a:ext>
              </a:extLst>
            </xdr:cNvPr>
            <xdr:cNvGraphicFramePr/>
          </xdr:nvGraphicFramePr>
          <xdr:xfrm>
            <a:off x="0" y="0"/>
            <a:ext cx="0" cy="0"/>
          </xdr:xfrm>
          <a:graphic>
            <a:graphicData uri="http://schemas.microsoft.com/office/drawing/2010/slicer">
              <sle:slicer xmlns:sle="http://schemas.microsoft.com/office/drawing/2010/slicer" name="Year 19"/>
            </a:graphicData>
          </a:graphic>
        </xdr:graphicFrame>
      </mc:Choice>
      <mc:Fallback xmlns="">
        <xdr:sp macro="" textlink="">
          <xdr:nvSpPr>
            <xdr:cNvPr id="0" name=""/>
            <xdr:cNvSpPr>
              <a:spLocks noTextEdit="1"/>
            </xdr:cNvSpPr>
          </xdr:nvSpPr>
          <xdr:spPr>
            <a:xfrm>
              <a:off x="7597140" y="1173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281940</xdr:colOff>
      <xdr:row>1</xdr:row>
      <xdr:rowOff>137161</xdr:rowOff>
    </xdr:from>
    <xdr:to>
      <xdr:col>12</xdr:col>
      <xdr:colOff>281940</xdr:colOff>
      <xdr:row>6</xdr:row>
      <xdr:rowOff>68581</xdr:rowOff>
    </xdr:to>
    <mc:AlternateContent xmlns:mc="http://schemas.openxmlformats.org/markup-compatibility/2006" xmlns:a14="http://schemas.microsoft.com/office/drawing/2010/main">
      <mc:Choice Requires="a14">
        <xdr:graphicFrame macro="">
          <xdr:nvGraphicFramePr>
            <xdr:cNvPr id="4" name="Company 19">
              <a:extLst>
                <a:ext uri="{FF2B5EF4-FFF2-40B4-BE49-F238E27FC236}">
                  <a16:creationId xmlns:a16="http://schemas.microsoft.com/office/drawing/2014/main" id="{E3D7ED1C-703D-1C26-2E39-8AE73B158E56}"/>
                </a:ext>
              </a:extLst>
            </xdr:cNvPr>
            <xdr:cNvGraphicFramePr/>
          </xdr:nvGraphicFramePr>
          <xdr:xfrm>
            <a:off x="0" y="0"/>
            <a:ext cx="0" cy="0"/>
          </xdr:xfrm>
          <a:graphic>
            <a:graphicData uri="http://schemas.microsoft.com/office/drawing/2010/slicer">
              <sle:slicer xmlns:sle="http://schemas.microsoft.com/office/drawing/2010/slicer" name="Company 19"/>
            </a:graphicData>
          </a:graphic>
        </xdr:graphicFrame>
      </mc:Choice>
      <mc:Fallback xmlns="">
        <xdr:sp macro="" textlink="">
          <xdr:nvSpPr>
            <xdr:cNvPr id="0" name=""/>
            <xdr:cNvSpPr>
              <a:spLocks noTextEdit="1"/>
            </xdr:cNvSpPr>
          </xdr:nvSpPr>
          <xdr:spPr>
            <a:xfrm>
              <a:off x="7566660" y="32004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411480</xdr:colOff>
      <xdr:row>0</xdr:row>
      <xdr:rowOff>80010</xdr:rowOff>
    </xdr:from>
    <xdr:to>
      <xdr:col>19</xdr:col>
      <xdr:colOff>411480</xdr:colOff>
      <xdr:row>14</xdr:row>
      <xdr:rowOff>7620</xdr:rowOff>
    </xdr:to>
    <xdr:graphicFrame macro="">
      <xdr:nvGraphicFramePr>
        <xdr:cNvPr id="5" name="Chart 4">
          <a:extLst>
            <a:ext uri="{FF2B5EF4-FFF2-40B4-BE49-F238E27FC236}">
              <a16:creationId xmlns:a16="http://schemas.microsoft.com/office/drawing/2014/main" id="{7802C370-605B-1555-43D4-E120BECC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350520</xdr:colOff>
      <xdr:row>14</xdr:row>
      <xdr:rowOff>129540</xdr:rowOff>
    </xdr:from>
    <xdr:to>
      <xdr:col>19</xdr:col>
      <xdr:colOff>350520</xdr:colOff>
      <xdr:row>28</xdr:row>
      <xdr:rowOff>36195</xdr:rowOff>
    </xdr:to>
    <mc:AlternateContent xmlns:mc="http://schemas.openxmlformats.org/markup-compatibility/2006" xmlns:a14="http://schemas.microsoft.com/office/drawing/2010/main">
      <mc:Choice Requires="a14">
        <xdr:graphicFrame macro="">
          <xdr:nvGraphicFramePr>
            <xdr:cNvPr id="6" name="Year 24">
              <a:extLst>
                <a:ext uri="{FF2B5EF4-FFF2-40B4-BE49-F238E27FC236}">
                  <a16:creationId xmlns:a16="http://schemas.microsoft.com/office/drawing/2014/main" id="{5234B4DC-2430-3C7E-8ECC-93A3C459346B}"/>
                </a:ext>
              </a:extLst>
            </xdr:cNvPr>
            <xdr:cNvGraphicFramePr/>
          </xdr:nvGraphicFramePr>
          <xdr:xfrm>
            <a:off x="0" y="0"/>
            <a:ext cx="0" cy="0"/>
          </xdr:xfrm>
          <a:graphic>
            <a:graphicData uri="http://schemas.microsoft.com/office/drawing/2010/slicer">
              <sle:slicer xmlns:sle="http://schemas.microsoft.com/office/drawing/2010/slicer" name="Year 24"/>
            </a:graphicData>
          </a:graphic>
        </xdr:graphicFrame>
      </mc:Choice>
      <mc:Fallback xmlns="">
        <xdr:sp macro="" textlink="">
          <xdr:nvSpPr>
            <xdr:cNvPr id="0" name=""/>
            <xdr:cNvSpPr>
              <a:spLocks noTextEdit="1"/>
            </xdr:cNvSpPr>
          </xdr:nvSpPr>
          <xdr:spPr>
            <a:xfrm>
              <a:off x="11902440" y="2689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167640</xdr:colOff>
      <xdr:row>14</xdr:row>
      <xdr:rowOff>129541</xdr:rowOff>
    </xdr:from>
    <xdr:to>
      <xdr:col>16</xdr:col>
      <xdr:colOff>167640</xdr:colOff>
      <xdr:row>19</xdr:row>
      <xdr:rowOff>129541</xdr:rowOff>
    </xdr:to>
    <mc:AlternateContent xmlns:mc="http://schemas.openxmlformats.org/markup-compatibility/2006" xmlns:a14="http://schemas.microsoft.com/office/drawing/2010/main">
      <mc:Choice Requires="a14">
        <xdr:graphicFrame macro="">
          <xdr:nvGraphicFramePr>
            <xdr:cNvPr id="7" name="Company 24">
              <a:extLst>
                <a:ext uri="{FF2B5EF4-FFF2-40B4-BE49-F238E27FC236}">
                  <a16:creationId xmlns:a16="http://schemas.microsoft.com/office/drawing/2014/main" id="{004685F5-3B79-4079-AD55-8EC4E64D6004}"/>
                </a:ext>
              </a:extLst>
            </xdr:cNvPr>
            <xdr:cNvGraphicFramePr/>
          </xdr:nvGraphicFramePr>
          <xdr:xfrm>
            <a:off x="0" y="0"/>
            <a:ext cx="0" cy="0"/>
          </xdr:xfrm>
          <a:graphic>
            <a:graphicData uri="http://schemas.microsoft.com/office/drawing/2010/slicer">
              <sle:slicer xmlns:sle="http://schemas.microsoft.com/office/drawing/2010/slicer" name="Company 24"/>
            </a:graphicData>
          </a:graphic>
        </xdr:graphicFrame>
      </mc:Choice>
      <mc:Fallback xmlns="">
        <xdr:sp macro="" textlink="">
          <xdr:nvSpPr>
            <xdr:cNvPr id="0" name=""/>
            <xdr:cNvSpPr>
              <a:spLocks noTextEdit="1"/>
            </xdr:cNvSpPr>
          </xdr:nvSpPr>
          <xdr:spPr>
            <a:xfrm>
              <a:off x="9890760" y="268986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0</xdr:row>
      <xdr:rowOff>163830</xdr:rowOff>
    </xdr:from>
    <xdr:to>
      <xdr:col>9</xdr:col>
      <xdr:colOff>304800</xdr:colOff>
      <xdr:row>15</xdr:row>
      <xdr:rowOff>163830</xdr:rowOff>
    </xdr:to>
    <xdr:graphicFrame macro="">
      <xdr:nvGraphicFramePr>
        <xdr:cNvPr id="2" name="Chart 1">
          <a:extLst>
            <a:ext uri="{FF2B5EF4-FFF2-40B4-BE49-F238E27FC236}">
              <a16:creationId xmlns:a16="http://schemas.microsoft.com/office/drawing/2014/main" id="{825EBB4F-108D-B860-1B41-D5FA7C12AB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449580</xdr:colOff>
      <xdr:row>5</xdr:row>
      <xdr:rowOff>60960</xdr:rowOff>
    </xdr:from>
    <xdr:to>
      <xdr:col>12</xdr:col>
      <xdr:colOff>449580</xdr:colOff>
      <xdr:row>18</xdr:row>
      <xdr:rowOff>150495</xdr:rowOff>
    </xdr:to>
    <mc:AlternateContent xmlns:mc="http://schemas.openxmlformats.org/markup-compatibility/2006" xmlns:a14="http://schemas.microsoft.com/office/drawing/2010/main">
      <mc:Choice Requires="a14">
        <xdr:graphicFrame macro="">
          <xdr:nvGraphicFramePr>
            <xdr:cNvPr id="3" name="Year 20">
              <a:extLst>
                <a:ext uri="{FF2B5EF4-FFF2-40B4-BE49-F238E27FC236}">
                  <a16:creationId xmlns:a16="http://schemas.microsoft.com/office/drawing/2014/main" id="{3082ED98-0FAE-605A-C7AF-EFB056F20754}"/>
                </a:ext>
              </a:extLst>
            </xdr:cNvPr>
            <xdr:cNvGraphicFramePr/>
          </xdr:nvGraphicFramePr>
          <xdr:xfrm>
            <a:off x="0" y="0"/>
            <a:ext cx="0" cy="0"/>
          </xdr:xfrm>
          <a:graphic>
            <a:graphicData uri="http://schemas.microsoft.com/office/drawing/2010/slicer">
              <sle:slicer xmlns:sle="http://schemas.microsoft.com/office/drawing/2010/slicer" name="Year 20"/>
            </a:graphicData>
          </a:graphic>
        </xdr:graphicFrame>
      </mc:Choice>
      <mc:Fallback xmlns="">
        <xdr:sp macro="" textlink="">
          <xdr:nvSpPr>
            <xdr:cNvPr id="0" name=""/>
            <xdr:cNvSpPr>
              <a:spLocks noTextEdit="1"/>
            </xdr:cNvSpPr>
          </xdr:nvSpPr>
          <xdr:spPr>
            <a:xfrm>
              <a:off x="7078980" y="975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396240</xdr:colOff>
      <xdr:row>1</xdr:row>
      <xdr:rowOff>1</xdr:rowOff>
    </xdr:from>
    <xdr:to>
      <xdr:col>12</xdr:col>
      <xdr:colOff>396240</xdr:colOff>
      <xdr:row>5</xdr:row>
      <xdr:rowOff>106681</xdr:rowOff>
    </xdr:to>
    <mc:AlternateContent xmlns:mc="http://schemas.openxmlformats.org/markup-compatibility/2006" xmlns:a14="http://schemas.microsoft.com/office/drawing/2010/main">
      <mc:Choice Requires="a14">
        <xdr:graphicFrame macro="">
          <xdr:nvGraphicFramePr>
            <xdr:cNvPr id="4" name="Company 20">
              <a:extLst>
                <a:ext uri="{FF2B5EF4-FFF2-40B4-BE49-F238E27FC236}">
                  <a16:creationId xmlns:a16="http://schemas.microsoft.com/office/drawing/2014/main" id="{9789C405-AF7D-7A38-08E0-12DE89D2D9AF}"/>
                </a:ext>
              </a:extLst>
            </xdr:cNvPr>
            <xdr:cNvGraphicFramePr/>
          </xdr:nvGraphicFramePr>
          <xdr:xfrm>
            <a:off x="0" y="0"/>
            <a:ext cx="0" cy="0"/>
          </xdr:xfrm>
          <a:graphic>
            <a:graphicData uri="http://schemas.microsoft.com/office/drawing/2010/slicer">
              <sle:slicer xmlns:sle="http://schemas.microsoft.com/office/drawing/2010/slicer" name="Company 20"/>
            </a:graphicData>
          </a:graphic>
        </xdr:graphicFrame>
      </mc:Choice>
      <mc:Fallback xmlns="">
        <xdr:sp macro="" textlink="">
          <xdr:nvSpPr>
            <xdr:cNvPr id="0" name=""/>
            <xdr:cNvSpPr>
              <a:spLocks noTextEdit="1"/>
            </xdr:cNvSpPr>
          </xdr:nvSpPr>
          <xdr:spPr>
            <a:xfrm>
              <a:off x="7025640" y="182881"/>
              <a:ext cx="1828800" cy="83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144780</xdr:colOff>
      <xdr:row>0</xdr:row>
      <xdr:rowOff>148590</xdr:rowOff>
    </xdr:from>
    <xdr:to>
      <xdr:col>19</xdr:col>
      <xdr:colOff>586740</xdr:colOff>
      <xdr:row>13</xdr:row>
      <xdr:rowOff>68580</xdr:rowOff>
    </xdr:to>
    <xdr:graphicFrame macro="">
      <xdr:nvGraphicFramePr>
        <xdr:cNvPr id="5" name="Chart 4">
          <a:extLst>
            <a:ext uri="{FF2B5EF4-FFF2-40B4-BE49-F238E27FC236}">
              <a16:creationId xmlns:a16="http://schemas.microsoft.com/office/drawing/2014/main" id="{42B14BB6-B4F1-41D7-9BC9-BFCE4186C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381000</xdr:colOff>
      <xdr:row>14</xdr:row>
      <xdr:rowOff>0</xdr:rowOff>
    </xdr:from>
    <xdr:to>
      <xdr:col>19</xdr:col>
      <xdr:colOff>381000</xdr:colOff>
      <xdr:row>27</xdr:row>
      <xdr:rowOff>89535</xdr:rowOff>
    </xdr:to>
    <mc:AlternateContent xmlns:mc="http://schemas.openxmlformats.org/markup-compatibility/2006" xmlns:a14="http://schemas.microsoft.com/office/drawing/2010/main">
      <mc:Choice Requires="a14">
        <xdr:graphicFrame macro="">
          <xdr:nvGraphicFramePr>
            <xdr:cNvPr id="6" name="Year 25">
              <a:extLst>
                <a:ext uri="{FF2B5EF4-FFF2-40B4-BE49-F238E27FC236}">
                  <a16:creationId xmlns:a16="http://schemas.microsoft.com/office/drawing/2014/main" id="{A19C5A3E-4005-05D0-C6F2-3D188D308201}"/>
                </a:ext>
              </a:extLst>
            </xdr:cNvPr>
            <xdr:cNvGraphicFramePr/>
          </xdr:nvGraphicFramePr>
          <xdr:xfrm>
            <a:off x="0" y="0"/>
            <a:ext cx="0" cy="0"/>
          </xdr:xfrm>
          <a:graphic>
            <a:graphicData uri="http://schemas.microsoft.com/office/drawing/2010/slicer">
              <sle:slicer xmlns:sle="http://schemas.microsoft.com/office/drawing/2010/slicer" name="Year 25"/>
            </a:graphicData>
          </a:graphic>
        </xdr:graphicFrame>
      </mc:Choice>
      <mc:Fallback xmlns="">
        <xdr:sp macro="" textlink="">
          <xdr:nvSpPr>
            <xdr:cNvPr id="0" name=""/>
            <xdr:cNvSpPr>
              <a:spLocks noTextEdit="1"/>
            </xdr:cNvSpPr>
          </xdr:nvSpPr>
          <xdr:spPr>
            <a:xfrm>
              <a:off x="11277600" y="2560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220980</xdr:colOff>
      <xdr:row>13</xdr:row>
      <xdr:rowOff>106681</xdr:rowOff>
    </xdr:from>
    <xdr:to>
      <xdr:col>16</xdr:col>
      <xdr:colOff>220980</xdr:colOff>
      <xdr:row>18</xdr:row>
      <xdr:rowOff>22861</xdr:rowOff>
    </xdr:to>
    <mc:AlternateContent xmlns:mc="http://schemas.openxmlformats.org/markup-compatibility/2006" xmlns:a14="http://schemas.microsoft.com/office/drawing/2010/main">
      <mc:Choice Requires="a14">
        <xdr:graphicFrame macro="">
          <xdr:nvGraphicFramePr>
            <xdr:cNvPr id="7" name="Company 25">
              <a:extLst>
                <a:ext uri="{FF2B5EF4-FFF2-40B4-BE49-F238E27FC236}">
                  <a16:creationId xmlns:a16="http://schemas.microsoft.com/office/drawing/2014/main" id="{7E9D7205-B3F6-CAFD-41C2-A4A463D0F889}"/>
                </a:ext>
              </a:extLst>
            </xdr:cNvPr>
            <xdr:cNvGraphicFramePr/>
          </xdr:nvGraphicFramePr>
          <xdr:xfrm>
            <a:off x="0" y="0"/>
            <a:ext cx="0" cy="0"/>
          </xdr:xfrm>
          <a:graphic>
            <a:graphicData uri="http://schemas.microsoft.com/office/drawing/2010/slicer">
              <sle:slicer xmlns:sle="http://schemas.microsoft.com/office/drawing/2010/slicer" name="Company 25"/>
            </a:graphicData>
          </a:graphic>
        </xdr:graphicFrame>
      </mc:Choice>
      <mc:Fallback xmlns="">
        <xdr:sp macro="" textlink="">
          <xdr:nvSpPr>
            <xdr:cNvPr id="0" name=""/>
            <xdr:cNvSpPr>
              <a:spLocks noTextEdit="1"/>
            </xdr:cNvSpPr>
          </xdr:nvSpPr>
          <xdr:spPr>
            <a:xfrm>
              <a:off x="9288780" y="2484121"/>
              <a:ext cx="182880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35</xdr:col>
      <xdr:colOff>543512</xdr:colOff>
      <xdr:row>3</xdr:row>
      <xdr:rowOff>58888</xdr:rowOff>
    </xdr:from>
    <xdr:to>
      <xdr:col>38</xdr:col>
      <xdr:colOff>533229</xdr:colOff>
      <xdr:row>24</xdr:row>
      <xdr:rowOff>128151</xdr:rowOff>
    </xdr:to>
    <xdr:grpSp>
      <xdr:nvGrpSpPr>
        <xdr:cNvPr id="11" name="Group 10">
          <a:extLst>
            <a:ext uri="{FF2B5EF4-FFF2-40B4-BE49-F238E27FC236}">
              <a16:creationId xmlns:a16="http://schemas.microsoft.com/office/drawing/2014/main" id="{F58C5481-D469-1BB3-E644-BC42A3F4793C}"/>
            </a:ext>
          </a:extLst>
        </xdr:cNvPr>
        <xdr:cNvGrpSpPr/>
      </xdr:nvGrpSpPr>
      <xdr:grpSpPr>
        <a:xfrm>
          <a:off x="22084666" y="645042"/>
          <a:ext cx="1836101" cy="3762032"/>
          <a:chOff x="14077478" y="-87068"/>
          <a:chExt cx="1836703" cy="2520702"/>
        </a:xfrm>
        <a:solidFill>
          <a:schemeClr val="accent6">
            <a:lumMod val="20000"/>
            <a:lumOff val="80000"/>
            <a:alpha val="66000"/>
          </a:schemeClr>
        </a:solidFill>
      </xdr:grpSpPr>
      <mc:AlternateContent xmlns:mc="http://schemas.openxmlformats.org/markup-compatibility/2006" xmlns:a14="http://schemas.microsoft.com/office/drawing/2010/main">
        <mc:Choice Requires="a14">
          <xdr:graphicFrame macro="">
            <xdr:nvGraphicFramePr>
              <xdr:cNvPr id="24" name="Year 1">
                <a:extLst>
                  <a:ext uri="{FF2B5EF4-FFF2-40B4-BE49-F238E27FC236}">
                    <a16:creationId xmlns:a16="http://schemas.microsoft.com/office/drawing/2014/main" id="{8C12ECF0-B133-4227-BE5A-9FA80BE84512}"/>
                  </a:ext>
                </a:extLst>
              </xdr:cNvPr>
              <xdr:cNvGraphicFramePr/>
            </xdr:nvGraphicFramePr>
            <xdr:xfrm>
              <a:off x="14077478" y="553750"/>
              <a:ext cx="1834816" cy="1879884"/>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2084666" y="1601433"/>
                <a:ext cx="1834215" cy="28056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6" name="Company 1">
                <a:extLst>
                  <a:ext uri="{FF2B5EF4-FFF2-40B4-BE49-F238E27FC236}">
                    <a16:creationId xmlns:a16="http://schemas.microsoft.com/office/drawing/2014/main" id="{B3FD3DBA-7DF3-4FDA-8AB0-1FF64D923EE1}"/>
                  </a:ext>
                </a:extLst>
              </xdr:cNvPr>
              <xdr:cNvGraphicFramePr/>
            </xdr:nvGraphicFramePr>
            <xdr:xfrm>
              <a:off x="14079365" y="-87068"/>
              <a:ext cx="1834816" cy="636065"/>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22086552" y="645042"/>
                <a:ext cx="1834215" cy="9492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71717</xdr:colOff>
      <xdr:row>19</xdr:row>
      <xdr:rowOff>128620</xdr:rowOff>
    </xdr:from>
    <xdr:to>
      <xdr:col>7</xdr:col>
      <xdr:colOff>391978</xdr:colOff>
      <xdr:row>35</xdr:row>
      <xdr:rowOff>8965</xdr:rowOff>
    </xdr:to>
    <xdr:graphicFrame macro="">
      <xdr:nvGraphicFramePr>
        <xdr:cNvPr id="16" name="Chart 15">
          <a:extLst>
            <a:ext uri="{FF2B5EF4-FFF2-40B4-BE49-F238E27FC236}">
              <a16:creationId xmlns:a16="http://schemas.microsoft.com/office/drawing/2014/main" id="{A28A8E4E-EE6A-4071-AD14-D0FE13EB8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76360</xdr:colOff>
      <xdr:row>19</xdr:row>
      <xdr:rowOff>139434</xdr:rowOff>
    </xdr:from>
    <xdr:to>
      <xdr:col>16</xdr:col>
      <xdr:colOff>434948</xdr:colOff>
      <xdr:row>35</xdr:row>
      <xdr:rowOff>130469</xdr:rowOff>
    </xdr:to>
    <xdr:graphicFrame macro="">
      <xdr:nvGraphicFramePr>
        <xdr:cNvPr id="21" name="Chart 20">
          <a:extLst>
            <a:ext uri="{FF2B5EF4-FFF2-40B4-BE49-F238E27FC236}">
              <a16:creationId xmlns:a16="http://schemas.microsoft.com/office/drawing/2014/main" id="{C6159397-8F68-4473-9F5F-710374C5C3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203843</xdr:colOff>
      <xdr:row>2</xdr:row>
      <xdr:rowOff>12836</xdr:rowOff>
    </xdr:from>
    <xdr:to>
      <xdr:col>34</xdr:col>
      <xdr:colOff>403022</xdr:colOff>
      <xdr:row>17</xdr:row>
      <xdr:rowOff>170330</xdr:rowOff>
    </xdr:to>
    <xdr:graphicFrame macro="">
      <xdr:nvGraphicFramePr>
        <xdr:cNvPr id="7" name="Chart 6">
          <a:extLst>
            <a:ext uri="{FF2B5EF4-FFF2-40B4-BE49-F238E27FC236}">
              <a16:creationId xmlns:a16="http://schemas.microsoft.com/office/drawing/2014/main" id="{FFE9101F-7566-4960-A840-B213357E9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92262</xdr:colOff>
      <xdr:row>1</xdr:row>
      <xdr:rowOff>171185</xdr:rowOff>
    </xdr:from>
    <xdr:to>
      <xdr:col>16</xdr:col>
      <xdr:colOff>385742</xdr:colOff>
      <xdr:row>17</xdr:row>
      <xdr:rowOff>62754</xdr:rowOff>
    </xdr:to>
    <xdr:graphicFrame macro="">
      <xdr:nvGraphicFramePr>
        <xdr:cNvPr id="2" name="Chart 1">
          <a:extLst>
            <a:ext uri="{FF2B5EF4-FFF2-40B4-BE49-F238E27FC236}">
              <a16:creationId xmlns:a16="http://schemas.microsoft.com/office/drawing/2014/main" id="{D4FBBA36-6F33-40EB-B34C-6EE2A36DF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89647</xdr:colOff>
      <xdr:row>2</xdr:row>
      <xdr:rowOff>0</xdr:rowOff>
    </xdr:from>
    <xdr:to>
      <xdr:col>25</xdr:col>
      <xdr:colOff>516858</xdr:colOff>
      <xdr:row>17</xdr:row>
      <xdr:rowOff>130444</xdr:rowOff>
    </xdr:to>
    <xdr:graphicFrame macro="">
      <xdr:nvGraphicFramePr>
        <xdr:cNvPr id="4" name="Chart 3">
          <a:extLst>
            <a:ext uri="{FF2B5EF4-FFF2-40B4-BE49-F238E27FC236}">
              <a16:creationId xmlns:a16="http://schemas.microsoft.com/office/drawing/2014/main" id="{6C2FBCCF-29DD-493F-9F29-468BA556AC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112539</xdr:colOff>
      <xdr:row>19</xdr:row>
      <xdr:rowOff>153041</xdr:rowOff>
    </xdr:from>
    <xdr:to>
      <xdr:col>25</xdr:col>
      <xdr:colOff>596633</xdr:colOff>
      <xdr:row>35</xdr:row>
      <xdr:rowOff>117182</xdr:rowOff>
    </xdr:to>
    <xdr:graphicFrame macro="">
      <xdr:nvGraphicFramePr>
        <xdr:cNvPr id="3" name="Chart 2">
          <a:extLst>
            <a:ext uri="{FF2B5EF4-FFF2-40B4-BE49-F238E27FC236}">
              <a16:creationId xmlns:a16="http://schemas.microsoft.com/office/drawing/2014/main" id="{2E5E7AC5-94F7-4311-B94B-148CFCE9B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130149</xdr:colOff>
      <xdr:row>1</xdr:row>
      <xdr:rowOff>152140</xdr:rowOff>
    </xdr:from>
    <xdr:to>
      <xdr:col>7</xdr:col>
      <xdr:colOff>363231</xdr:colOff>
      <xdr:row>17</xdr:row>
      <xdr:rowOff>108538</xdr:rowOff>
    </xdr:to>
    <xdr:graphicFrame macro="">
      <xdr:nvGraphicFramePr>
        <xdr:cNvPr id="15" name="Chart 14">
          <a:extLst>
            <a:ext uri="{FF2B5EF4-FFF2-40B4-BE49-F238E27FC236}">
              <a16:creationId xmlns:a16="http://schemas.microsoft.com/office/drawing/2014/main" id="{989366D5-43E3-45BD-808B-67F8D8A0B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107576</xdr:colOff>
      <xdr:row>36</xdr:row>
      <xdr:rowOff>71719</xdr:rowOff>
    </xdr:from>
    <xdr:to>
      <xdr:col>7</xdr:col>
      <xdr:colOff>458064</xdr:colOff>
      <xdr:row>51</xdr:row>
      <xdr:rowOff>30737</xdr:rowOff>
    </xdr:to>
    <xdr:graphicFrame macro="">
      <xdr:nvGraphicFramePr>
        <xdr:cNvPr id="6" name="Chart 5">
          <a:extLst>
            <a:ext uri="{FF2B5EF4-FFF2-40B4-BE49-F238E27FC236}">
              <a16:creationId xmlns:a16="http://schemas.microsoft.com/office/drawing/2014/main" id="{504B366D-4661-4415-858D-A67D928E2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67291</xdr:colOff>
      <xdr:row>36</xdr:row>
      <xdr:rowOff>60961</xdr:rowOff>
    </xdr:from>
    <xdr:to>
      <xdr:col>16</xdr:col>
      <xdr:colOff>472660</xdr:colOff>
      <xdr:row>51</xdr:row>
      <xdr:rowOff>134471</xdr:rowOff>
    </xdr:to>
    <xdr:graphicFrame macro="">
      <xdr:nvGraphicFramePr>
        <xdr:cNvPr id="9" name="Chart 8">
          <a:extLst>
            <a:ext uri="{FF2B5EF4-FFF2-40B4-BE49-F238E27FC236}">
              <a16:creationId xmlns:a16="http://schemas.microsoft.com/office/drawing/2014/main" id="{183302F3-8C71-494C-8378-BAF0C5208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151178</xdr:colOff>
      <xdr:row>36</xdr:row>
      <xdr:rowOff>83083</xdr:rowOff>
    </xdr:from>
    <xdr:to>
      <xdr:col>26</xdr:col>
      <xdr:colOff>34098</xdr:colOff>
      <xdr:row>52</xdr:row>
      <xdr:rowOff>11687</xdr:rowOff>
    </xdr:to>
    <xdr:graphicFrame macro="">
      <xdr:nvGraphicFramePr>
        <xdr:cNvPr id="12" name="Chart 11">
          <a:extLst>
            <a:ext uri="{FF2B5EF4-FFF2-40B4-BE49-F238E27FC236}">
              <a16:creationId xmlns:a16="http://schemas.microsoft.com/office/drawing/2014/main" id="{8F73916D-0CD5-419D-A73B-C69A9DC77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295130</xdr:colOff>
      <xdr:row>36</xdr:row>
      <xdr:rowOff>127872</xdr:rowOff>
    </xdr:from>
    <xdr:to>
      <xdr:col>34</xdr:col>
      <xdr:colOff>566057</xdr:colOff>
      <xdr:row>52</xdr:row>
      <xdr:rowOff>40823</xdr:rowOff>
    </xdr:to>
    <xdr:graphicFrame macro="">
      <xdr:nvGraphicFramePr>
        <xdr:cNvPr id="14" name="Chart 13">
          <a:extLst>
            <a:ext uri="{FF2B5EF4-FFF2-40B4-BE49-F238E27FC236}">
              <a16:creationId xmlns:a16="http://schemas.microsoft.com/office/drawing/2014/main" id="{04A3D4FC-1D29-4D9B-A95B-C48B8E31B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26</xdr:col>
      <xdr:colOff>261211</xdr:colOff>
      <xdr:row>19</xdr:row>
      <xdr:rowOff>148898</xdr:rowOff>
    </xdr:from>
    <xdr:to>
      <xdr:col>34</xdr:col>
      <xdr:colOff>475770</xdr:colOff>
      <xdr:row>35</xdr:row>
      <xdr:rowOff>169843</xdr:rowOff>
    </xdr:to>
    <xdr:graphicFrame macro="">
      <xdr:nvGraphicFramePr>
        <xdr:cNvPr id="17" name="Chart 16">
          <a:extLst>
            <a:ext uri="{FF2B5EF4-FFF2-40B4-BE49-F238E27FC236}">
              <a16:creationId xmlns:a16="http://schemas.microsoft.com/office/drawing/2014/main" id="{1070C861-E756-48E2-8151-9CC5D4D06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32</xdr:col>
      <xdr:colOff>60537</xdr:colOff>
      <xdr:row>1</xdr:row>
      <xdr:rowOff>52030</xdr:rowOff>
    </xdr:from>
    <xdr:to>
      <xdr:col>35</xdr:col>
      <xdr:colOff>60538</xdr:colOff>
      <xdr:row>5</xdr:row>
      <xdr:rowOff>149024</xdr:rowOff>
    </xdr:to>
    <mc:AlternateContent xmlns:mc="http://schemas.openxmlformats.org/markup-compatibility/2006" xmlns:a14="http://schemas.microsoft.com/office/drawing/2010/main">
      <mc:Choice Requires="a14">
        <xdr:graphicFrame macro="">
          <xdr:nvGraphicFramePr>
            <xdr:cNvPr id="22" name="Company 15">
              <a:extLst>
                <a:ext uri="{FF2B5EF4-FFF2-40B4-BE49-F238E27FC236}">
                  <a16:creationId xmlns:a16="http://schemas.microsoft.com/office/drawing/2014/main" id="{9EB38042-5ADA-40F3-ACF1-90DE988CD736}"/>
                </a:ext>
              </a:extLst>
            </xdr:cNvPr>
            <xdr:cNvGraphicFramePr/>
          </xdr:nvGraphicFramePr>
          <xdr:xfrm>
            <a:off x="0" y="0"/>
            <a:ext cx="0" cy="0"/>
          </xdr:xfrm>
          <a:graphic>
            <a:graphicData uri="http://schemas.microsoft.com/office/drawing/2010/slicer">
              <sle:slicer xmlns:sle="http://schemas.microsoft.com/office/drawing/2010/slicer" name="Company 15"/>
            </a:graphicData>
          </a:graphic>
        </xdr:graphicFrame>
      </mc:Choice>
      <mc:Fallback xmlns="">
        <xdr:sp macro="" textlink="">
          <xdr:nvSpPr>
            <xdr:cNvPr id="0" name=""/>
            <xdr:cNvSpPr>
              <a:spLocks noTextEdit="1"/>
            </xdr:cNvSpPr>
          </xdr:nvSpPr>
          <xdr:spPr>
            <a:xfrm>
              <a:off x="19485079" y="232844"/>
              <a:ext cx="1821052" cy="820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51138</xdr:colOff>
      <xdr:row>7</xdr:row>
      <xdr:rowOff>26333</xdr:rowOff>
    </xdr:from>
    <xdr:to>
      <xdr:col>35</xdr:col>
      <xdr:colOff>51139</xdr:colOff>
      <xdr:row>20</xdr:row>
      <xdr:rowOff>114690</xdr:rowOff>
    </xdr:to>
    <mc:AlternateContent xmlns:mc="http://schemas.openxmlformats.org/markup-compatibility/2006" xmlns:a14="http://schemas.microsoft.com/office/drawing/2010/main">
      <mc:Choice Requires="a14">
        <xdr:graphicFrame macro="">
          <xdr:nvGraphicFramePr>
            <xdr:cNvPr id="24" name="Year 15">
              <a:extLst>
                <a:ext uri="{FF2B5EF4-FFF2-40B4-BE49-F238E27FC236}">
                  <a16:creationId xmlns:a16="http://schemas.microsoft.com/office/drawing/2014/main" id="{586025B0-6A67-41CA-B587-8AF54F6A28C7}"/>
                </a:ext>
              </a:extLst>
            </xdr:cNvPr>
            <xdr:cNvGraphicFramePr/>
          </xdr:nvGraphicFramePr>
          <xdr:xfrm>
            <a:off x="0" y="0"/>
            <a:ext cx="0" cy="0"/>
          </xdr:xfrm>
          <a:graphic>
            <a:graphicData uri="http://schemas.microsoft.com/office/drawing/2010/slicer">
              <sle:slicer xmlns:sle="http://schemas.microsoft.com/office/drawing/2010/slicer" name="Year 15"/>
            </a:graphicData>
          </a:graphic>
        </xdr:graphicFrame>
      </mc:Choice>
      <mc:Fallback xmlns="">
        <xdr:sp macro="" textlink="">
          <xdr:nvSpPr>
            <xdr:cNvPr id="0" name=""/>
            <xdr:cNvSpPr>
              <a:spLocks noTextEdit="1"/>
            </xdr:cNvSpPr>
          </xdr:nvSpPr>
          <xdr:spPr>
            <a:xfrm>
              <a:off x="19475680" y="1292028"/>
              <a:ext cx="1821052" cy="2438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242454</xdr:colOff>
      <xdr:row>0</xdr:row>
      <xdr:rowOff>161636</xdr:rowOff>
    </xdr:from>
    <xdr:to>
      <xdr:col>8</xdr:col>
      <xdr:colOff>288635</xdr:colOff>
      <xdr:row>14</xdr:row>
      <xdr:rowOff>178360</xdr:rowOff>
    </xdr:to>
    <xdr:graphicFrame macro="">
      <xdr:nvGraphicFramePr>
        <xdr:cNvPr id="26" name="Chart 25">
          <a:extLst>
            <a:ext uri="{FF2B5EF4-FFF2-40B4-BE49-F238E27FC236}">
              <a16:creationId xmlns:a16="http://schemas.microsoft.com/office/drawing/2014/main" id="{4028AB29-0CB0-4A83-ABAD-EA82B4870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77044</xdr:colOff>
      <xdr:row>1</xdr:row>
      <xdr:rowOff>14432</xdr:rowOff>
    </xdr:from>
    <xdr:to>
      <xdr:col>15</xdr:col>
      <xdr:colOff>550407</xdr:colOff>
      <xdr:row>14</xdr:row>
      <xdr:rowOff>109237</xdr:rowOff>
    </xdr:to>
    <xdr:graphicFrame macro="">
      <xdr:nvGraphicFramePr>
        <xdr:cNvPr id="29" name="Chart 28">
          <a:extLst>
            <a:ext uri="{FF2B5EF4-FFF2-40B4-BE49-F238E27FC236}">
              <a16:creationId xmlns:a16="http://schemas.microsoft.com/office/drawing/2014/main" id="{B099C523-4A3D-473F-B658-72017E949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201601</xdr:colOff>
      <xdr:row>1</xdr:row>
      <xdr:rowOff>11546</xdr:rowOff>
    </xdr:from>
    <xdr:to>
      <xdr:col>23</xdr:col>
      <xdr:colOff>381000</xdr:colOff>
      <xdr:row>14</xdr:row>
      <xdr:rowOff>115454</xdr:rowOff>
    </xdr:to>
    <xdr:graphicFrame macro="">
      <xdr:nvGraphicFramePr>
        <xdr:cNvPr id="31" name="Chart 30">
          <a:extLst>
            <a:ext uri="{FF2B5EF4-FFF2-40B4-BE49-F238E27FC236}">
              <a16:creationId xmlns:a16="http://schemas.microsoft.com/office/drawing/2014/main" id="{CBBA18E4-0658-4347-8C57-A3CF3F96E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253999</xdr:colOff>
      <xdr:row>16</xdr:row>
      <xdr:rowOff>1553</xdr:rowOff>
    </xdr:from>
    <xdr:to>
      <xdr:col>8</xdr:col>
      <xdr:colOff>241992</xdr:colOff>
      <xdr:row>29</xdr:row>
      <xdr:rowOff>26491</xdr:rowOff>
    </xdr:to>
    <xdr:graphicFrame macro="">
      <xdr:nvGraphicFramePr>
        <xdr:cNvPr id="32" name="Chart 31">
          <a:extLst>
            <a:ext uri="{FF2B5EF4-FFF2-40B4-BE49-F238E27FC236}">
              <a16:creationId xmlns:a16="http://schemas.microsoft.com/office/drawing/2014/main" id="{77CD7218-203C-497F-B6F1-5F3F74931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34636</xdr:colOff>
      <xdr:row>15</xdr:row>
      <xdr:rowOff>138545</xdr:rowOff>
    </xdr:from>
    <xdr:to>
      <xdr:col>15</xdr:col>
      <xdr:colOff>600364</xdr:colOff>
      <xdr:row>28</xdr:row>
      <xdr:rowOff>31056</xdr:rowOff>
    </xdr:to>
    <xdr:graphicFrame macro="">
      <xdr:nvGraphicFramePr>
        <xdr:cNvPr id="36" name="Chart 35">
          <a:extLst>
            <a:ext uri="{FF2B5EF4-FFF2-40B4-BE49-F238E27FC236}">
              <a16:creationId xmlns:a16="http://schemas.microsoft.com/office/drawing/2014/main" id="{F891897E-0D2E-4ABF-BD7E-9A5E6F71C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117769</xdr:colOff>
      <xdr:row>0</xdr:row>
      <xdr:rowOff>154984</xdr:rowOff>
    </xdr:from>
    <xdr:to>
      <xdr:col>31</xdr:col>
      <xdr:colOff>322882</xdr:colOff>
      <xdr:row>14</xdr:row>
      <xdr:rowOff>107650</xdr:rowOff>
    </xdr:to>
    <xdr:graphicFrame macro="">
      <xdr:nvGraphicFramePr>
        <xdr:cNvPr id="38" name="Chart 37">
          <a:extLst>
            <a:ext uri="{FF2B5EF4-FFF2-40B4-BE49-F238E27FC236}">
              <a16:creationId xmlns:a16="http://schemas.microsoft.com/office/drawing/2014/main" id="{C6D76CF5-64DC-4BDC-9797-786DD7245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246894</xdr:colOff>
      <xdr:row>15</xdr:row>
      <xdr:rowOff>143873</xdr:rowOff>
    </xdr:from>
    <xdr:to>
      <xdr:col>23</xdr:col>
      <xdr:colOff>392546</xdr:colOff>
      <xdr:row>29</xdr:row>
      <xdr:rowOff>23090</xdr:rowOff>
    </xdr:to>
    <xdr:graphicFrame macro="">
      <xdr:nvGraphicFramePr>
        <xdr:cNvPr id="40" name="Chart 39">
          <a:extLst>
            <a:ext uri="{FF2B5EF4-FFF2-40B4-BE49-F238E27FC236}">
              <a16:creationId xmlns:a16="http://schemas.microsoft.com/office/drawing/2014/main" id="{FED2C1A8-E0D5-4348-B9DD-CE2BE3CC3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207819</xdr:colOff>
      <xdr:row>30</xdr:row>
      <xdr:rowOff>9769</xdr:rowOff>
    </xdr:from>
    <xdr:to>
      <xdr:col>8</xdr:col>
      <xdr:colOff>288637</xdr:colOff>
      <xdr:row>42</xdr:row>
      <xdr:rowOff>101786</xdr:rowOff>
    </xdr:to>
    <xdr:graphicFrame macro="">
      <xdr:nvGraphicFramePr>
        <xdr:cNvPr id="2" name="Chart 1">
          <a:extLst>
            <a:ext uri="{FF2B5EF4-FFF2-40B4-BE49-F238E27FC236}">
              <a16:creationId xmlns:a16="http://schemas.microsoft.com/office/drawing/2014/main" id="{2ABC69EA-BE77-4A0F-A1D7-AA27602EC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21315</xdr:colOff>
      <xdr:row>29</xdr:row>
      <xdr:rowOff>109238</xdr:rowOff>
    </xdr:from>
    <xdr:to>
      <xdr:col>15</xdr:col>
      <xdr:colOff>542637</xdr:colOff>
      <xdr:row>43</xdr:row>
      <xdr:rowOff>67132</xdr:rowOff>
    </xdr:to>
    <xdr:graphicFrame macro="">
      <xdr:nvGraphicFramePr>
        <xdr:cNvPr id="3" name="Chart 2">
          <a:extLst>
            <a:ext uri="{FF2B5EF4-FFF2-40B4-BE49-F238E27FC236}">
              <a16:creationId xmlns:a16="http://schemas.microsoft.com/office/drawing/2014/main" id="{98F2C740-4ACB-4C23-A240-E90475B5A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160734</xdr:colOff>
      <xdr:row>15</xdr:row>
      <xdr:rowOff>167899</xdr:rowOff>
    </xdr:from>
    <xdr:to>
      <xdr:col>31</xdr:col>
      <xdr:colOff>387458</xdr:colOff>
      <xdr:row>29</xdr:row>
      <xdr:rowOff>23092</xdr:rowOff>
    </xdr:to>
    <xdr:graphicFrame macro="">
      <xdr:nvGraphicFramePr>
        <xdr:cNvPr id="4" name="Chart 3">
          <a:extLst>
            <a:ext uri="{FF2B5EF4-FFF2-40B4-BE49-F238E27FC236}">
              <a16:creationId xmlns:a16="http://schemas.microsoft.com/office/drawing/2014/main" id="{74DD58D9-5CFF-439E-9FA6-83DCA0F9B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237124</xdr:colOff>
      <xdr:row>30</xdr:row>
      <xdr:rowOff>2664</xdr:rowOff>
    </xdr:from>
    <xdr:to>
      <xdr:col>23</xdr:col>
      <xdr:colOff>415635</xdr:colOff>
      <xdr:row>43</xdr:row>
      <xdr:rowOff>76705</xdr:rowOff>
    </xdr:to>
    <xdr:graphicFrame macro="">
      <xdr:nvGraphicFramePr>
        <xdr:cNvPr id="5" name="Chart 4">
          <a:extLst>
            <a:ext uri="{FF2B5EF4-FFF2-40B4-BE49-F238E27FC236}">
              <a16:creationId xmlns:a16="http://schemas.microsoft.com/office/drawing/2014/main" id="{3E128C85-F6A8-4ECB-A67F-D24DCA7DD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196408</xdr:colOff>
      <xdr:row>30</xdr:row>
      <xdr:rowOff>51661</xdr:rowOff>
    </xdr:from>
    <xdr:to>
      <xdr:col>31</xdr:col>
      <xdr:colOff>477865</xdr:colOff>
      <xdr:row>43</xdr:row>
      <xdr:rowOff>144061</xdr:rowOff>
    </xdr:to>
    <xdr:graphicFrame macro="">
      <xdr:nvGraphicFramePr>
        <xdr:cNvPr id="6" name="Chart 5">
          <a:extLst>
            <a:ext uri="{FF2B5EF4-FFF2-40B4-BE49-F238E27FC236}">
              <a16:creationId xmlns:a16="http://schemas.microsoft.com/office/drawing/2014/main" id="{9ACCBD1C-6723-4996-B36A-6DB108736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nshu bhandari" refreshedDate="45224.574912268516" createdVersion="8" refreshedVersion="8" minRefreshableVersion="3" recordCount="20" xr:uid="{7E93DC69-18C9-4C32-B59B-FA68A0E4615F}">
  <cacheSource type="worksheet">
    <worksheetSource ref="A2:O22" sheet=" dashboard data"/>
  </cacheSource>
  <cacheFields count="15">
    <cacheField name="Year" numFmtId="0">
      <sharedItems containsSemiMixedTypes="0" containsString="0" containsNumber="1" containsInteger="1" minValue="2014" maxValue="2023" count="10">
        <n v="2014"/>
        <n v="2015"/>
        <n v="2016"/>
        <n v="2017"/>
        <n v="2018"/>
        <n v="2019"/>
        <n v="2020"/>
        <n v="2021"/>
        <n v="2022"/>
        <n v="2023"/>
      </sharedItems>
    </cacheField>
    <cacheField name="Company" numFmtId="0">
      <sharedItems count="2">
        <s v="Dabur"/>
        <s v="HUL"/>
      </sharedItems>
    </cacheField>
    <cacheField name="Sales" numFmtId="0">
      <sharedItems containsSemiMixedTypes="0" containsString="0" containsNumber="1" minValue="7058.12" maxValue="60580"/>
    </cacheField>
    <cacheField name="Operating Profit" numFmtId="0">
      <sharedItems containsSemiMixedTypes="0" containsString="0" containsNumber="1" minValue="1161.5299999999997" maxValue="14148"/>
    </cacheField>
    <cacheField name="Net profit" numFmtId="0">
      <sharedItems containsSemiMixedTypes="0" containsString="0" containsNumber="1" minValue="913.92" maxValue="10120" count="20">
        <n v="913.92"/>
        <n v="1065.83"/>
        <n v="1251.1500000000001"/>
        <n v="1276.94"/>
        <n v="1354.39"/>
        <n v="1442.33"/>
        <n v="1444.96"/>
        <n v="1693.3"/>
        <n v="1739.22"/>
        <n v="1707.15"/>
        <n v="3945.57"/>
        <n v="4363.08"/>
        <n v="4151"/>
        <n v="4476"/>
        <n v="5214"/>
        <n v="6054"/>
        <n v="6748"/>
        <n v="7995"/>
        <n v="8879"/>
        <n v="10120"/>
      </sharedItems>
    </cacheField>
    <cacheField name="Dividend Payout" numFmtId="0">
      <sharedItems containsSemiMixedTypes="0" containsString="0" containsNumber="1" minValue="0.31038263348317069" maxValue="1.1904315196998123" count="20">
        <n v="0.33390231092436978"/>
        <n v="0.32960228178977891"/>
        <n v="0.31634895895775883"/>
        <n v="0.31038263348317069"/>
        <n v="0.81286778549753025"/>
        <n v="0.33676759132792083"/>
        <n v="0.36688212822500277"/>
        <n v="0.49578928719069271"/>
        <n v="0.52857602833454076"/>
        <n v="0.53969481299241429"/>
        <n v="0.71257384864544293"/>
        <n v="0.74379795923980307"/>
        <n v="0.8325704649482053"/>
        <n v="0.82037533512064342"/>
        <n v="0.8285385500575374"/>
        <n v="0.78493557978196238"/>
        <n v="0.80023710729104924"/>
        <n v="1.1904315196998123"/>
        <n v="0.89987611217479446"/>
        <n v="0.90563241106719372"/>
      </sharedItems>
    </cacheField>
    <cacheField name="OPM" numFmtId="0">
      <sharedItems containsSemiMixedTypes="0" containsString="0" containsNumber="1" minValue="0.16279169206540134" maxValue="0.24766860216675465"/>
    </cacheField>
    <cacheField name="Reserves" numFmtId="0">
      <sharedItems containsSemiMixedTypes="0" containsString="0" containsNumber="1" minValue="2481.58" maxValue="50069"/>
    </cacheField>
    <cacheField name="Debtor Days" numFmtId="0">
      <sharedItems containsSemiMixedTypes="0" containsString="0" containsNumber="1" minValue="10.541814342809744" maxValue="37.965412370206408"/>
    </cacheField>
    <cacheField name="Inventory Turnover" numFmtId="0">
      <sharedItems containsSemiMixedTypes="0" containsString="0" containsNumber="1" minValue="5.5133254145812671" maxValue="15.271950271950272"/>
    </cacheField>
    <cacheField name="Return on Equity" numFmtId="10">
      <sharedItems containsSemiMixedTypes="0" containsString="0" containsNumber="1" minValue="0.16770147250073414" maxValue="1.1154216928778811" count="20">
        <n v="0.3441015677946957"/>
        <n v="0.31776550770093076"/>
        <n v="0.299992087488401"/>
        <n v="0.26342836041663664"/>
        <n v="0.23734079614195697"/>
        <n v="0.25611007727711799"/>
        <n v="0.21874276198766227"/>
        <n v="0.22095561705897934"/>
        <n v="0.2075119611516113"/>
        <n v="0.19024858301219402"/>
        <n v="1.1154216928778811"/>
        <n v="1.0833275398015632"/>
        <n v="0.6315228966986155"/>
        <n v="0.66370106761565839"/>
        <n v="0.71611042439225381"/>
        <n v="0.76954366340409308"/>
        <n v="0.82002673471867782"/>
        <n v="0.16770147250073414"/>
        <n v="0.18097878151688715"/>
        <n v="0.201176844783715"/>
      </sharedItems>
    </cacheField>
    <cacheField name="Return on Capital Emp" numFmtId="0">
      <sharedItems containsString="0" containsBlank="1" containsNumber="1" minValue="0.23487750818699837" maxValue="1.6560530692934765"/>
    </cacheField>
    <cacheField name="Cash from Operating Activity" numFmtId="0">
      <sharedItems containsSemiMixedTypes="0" containsString="0" containsNumber="1" minValue="1047.21" maxValue="9991"/>
    </cacheField>
    <cacheField name="Cash from Investing Activity" numFmtId="0">
      <sharedItems containsSemiMixedTypes="0" containsString="0" containsNumber="1" minValue="-1728" maxValue="1791"/>
    </cacheField>
    <cacheField name="Cash from Financing Activity" numFmtId="0">
      <sharedItems containsSemiMixedTypes="0" containsString="0" containsNumber="1" minValue="-9309" maxValue="-338.97"/>
    </cacheField>
  </cacheFields>
  <extLst>
    <ext xmlns:x14="http://schemas.microsoft.com/office/spreadsheetml/2009/9/main" uri="{725AE2AE-9491-48be-B2B4-4EB974FC3084}">
      <x14:pivotCacheDefinition pivotCacheId="550351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7058.12"/>
    <n v="1161.5299999999997"/>
    <x v="0"/>
    <x v="0"/>
    <n v="0.16456648512635089"/>
    <n v="2481.58"/>
    <n v="34.922118071101082"/>
    <n v="7.2576323122641409"/>
    <x v="0"/>
    <m/>
    <n v="1098.3"/>
    <n v="-104.5"/>
    <n v="-803.69"/>
  </r>
  <r>
    <x v="1"/>
    <x v="0"/>
    <n v="7795.49"/>
    <n v="1320.2200000000003"/>
    <x v="1"/>
    <x v="1"/>
    <n v="0.16935689738553963"/>
    <n v="3178.49"/>
    <n v="33.282911016498005"/>
    <n v="8.0095862402005604"/>
    <x v="1"/>
    <n v="0.36487291661075172"/>
    <n v="1047.21"/>
    <n v="-875.9"/>
    <n v="-416.77"/>
  </r>
  <r>
    <x v="2"/>
    <x v="0"/>
    <n v="7779.66"/>
    <n v="1518.2799999999988"/>
    <x v="2"/>
    <x v="2"/>
    <n v="0.19516019980307608"/>
    <n v="3994.7"/>
    <n v="37.965412370206408"/>
    <n v="7.0949931600547194"/>
    <x v="2"/>
    <n v="0.35356643603540788"/>
    <n v="1186.99"/>
    <n v="-730.33"/>
    <n v="-374.31"/>
  </r>
  <r>
    <x v="3"/>
    <x v="0"/>
    <n v="7613.59"/>
    <n v="1511.6100000000006"/>
    <x v="3"/>
    <x v="3"/>
    <n v="0.19854102992149572"/>
    <n v="4671.24"/>
    <n v="31.181518836711721"/>
    <n v="6.8794806227466996"/>
    <x v="3"/>
    <n v="0.30832489058381846"/>
    <n v="1226.94"/>
    <n v="-807.07"/>
    <n v="-338.97"/>
  </r>
  <r>
    <x v="4"/>
    <x v="0"/>
    <n v="7721.85"/>
    <n v="1617.4400000000005"/>
    <x v="4"/>
    <x v="4"/>
    <n v="0.20946275827683786"/>
    <n v="5530.37"/>
    <n v="33.375318090872007"/>
    <n v="6.1470887930073719"/>
    <x v="4"/>
    <n v="0.28013315686038581"/>
    <n v="1091.5"/>
    <n v="-540.92999999999995"/>
    <n v="-577.11"/>
  </r>
  <r>
    <x v="5"/>
    <x v="0"/>
    <n v="8514.99"/>
    <n v="1739.5599999999986"/>
    <x v="5"/>
    <x v="5"/>
    <n v="0.20429383945254176"/>
    <n v="5455.05"/>
    <n v="35.731034328871786"/>
    <n v="6.5473230144633341"/>
    <x v="5"/>
    <n v="0.27505633841894817"/>
    <n v="1499.13"/>
    <n v="337.58"/>
    <n v="-1888.2"/>
  </r>
  <r>
    <x v="6"/>
    <x v="0"/>
    <n v="8684.64"/>
    <n v="1792.3399999999992"/>
    <x v="6"/>
    <x v="6"/>
    <n v="0.20638046021481596"/>
    <n v="6429.04"/>
    <n v="34.206351673759649"/>
    <n v="6.2951789325659444"/>
    <x v="6"/>
    <n v="0.26409209148816504"/>
    <n v="1613.62"/>
    <n v="-516.63"/>
    <n v="-1042.97"/>
  </r>
  <r>
    <x v="7"/>
    <x v="0"/>
    <n v="9561.65"/>
    <n v="2001.6699999999983"/>
    <x v="7"/>
    <x v="7"/>
    <n v="0.20934357563809575"/>
    <n v="7486.79"/>
    <n v="21.437377440086181"/>
    <n v="5.5133254145812671"/>
    <x v="7"/>
    <n v="0.27278235175319748"/>
    <n v="2114.67"/>
    <n v="-1404.22"/>
    <n v="-613.41"/>
  </r>
  <r>
    <x v="8"/>
    <x v="0"/>
    <n v="10888.68"/>
    <n v="2252.0100000000002"/>
    <x v="8"/>
    <x v="8"/>
    <n v="0.20682121248856611"/>
    <n v="8204.51"/>
    <n v="21.659627245910432"/>
    <n v="5.6967933994987892"/>
    <x v="8"/>
    <n v="0.26242963059009927"/>
    <n v="1802.33"/>
    <n v="-1273.45"/>
    <n v="-490.49"/>
  </r>
  <r>
    <x v="9"/>
    <x v="0"/>
    <n v="11529.89"/>
    <n v="2162.4899999999998"/>
    <x v="9"/>
    <x v="9"/>
    <n v="0.18755512845309016"/>
    <n v="8796.08"/>
    <n v="26.868751566580428"/>
    <n v="5.6960231202450347"/>
    <x v="9"/>
    <n v="0.23487750818699837"/>
    <n v="1488.43"/>
    <n v="-582.79"/>
    <n v="-1035.24"/>
  </r>
  <r>
    <x v="0"/>
    <x v="1"/>
    <n v="29233.74"/>
    <n v="4759.0100000000057"/>
    <x v="10"/>
    <x v="10"/>
    <n v="0.16279169206540134"/>
    <n v="3321.02"/>
    <n v="12.695455661848259"/>
    <n v="9.9440239741753782"/>
    <x v="10"/>
    <m/>
    <n v="3818.18"/>
    <n v="-475.04"/>
    <n v="-2960.29"/>
  </r>
  <r>
    <x v="1"/>
    <x v="1"/>
    <n v="31972.19"/>
    <n v="5412.4199999999983"/>
    <x v="11"/>
    <x v="11"/>
    <n v="0.16928524445776152"/>
    <n v="3811.13"/>
    <n v="11.533529608075018"/>
    <n v="11.223077166095079"/>
    <x v="11"/>
    <n v="1.6560530692934765"/>
    <n v="3291.91"/>
    <n v="137.97"/>
    <n v="-3462.42"/>
  </r>
  <r>
    <x v="2"/>
    <x v="1"/>
    <n v="32186"/>
    <n v="5910"/>
    <x v="12"/>
    <x v="12"/>
    <n v="0.18362020754365252"/>
    <n v="6357"/>
    <n v="14.334182563847635"/>
    <n v="11.807043286867204"/>
    <x v="12"/>
    <n v="1.1169518655295678"/>
    <n v="4171"/>
    <n v="-282"/>
    <n v="-3864"/>
  </r>
  <r>
    <x v="3"/>
    <x v="1"/>
    <n v="33162"/>
    <n v="6328"/>
    <x v="13"/>
    <x v="13"/>
    <n v="0.1908208190097099"/>
    <n v="6528"/>
    <n v="11.942132561365419"/>
    <n v="13.050767414403778"/>
    <x v="13"/>
    <n v="0.9443032459516375"/>
    <n v="5185"/>
    <n v="-1173"/>
    <n v="-4214"/>
  </r>
  <r>
    <x v="4"/>
    <x v="1"/>
    <n v="35545"/>
    <n v="7499"/>
    <x v="14"/>
    <x v="14"/>
    <n v="0.21097200731467156"/>
    <n v="7065"/>
    <n v="13.4519623013082"/>
    <n v="14.144448865897333"/>
    <x v="14"/>
    <n v="1.0253111452943644"/>
    <n v="6059"/>
    <n v="-1063"/>
    <n v="-4975"/>
  </r>
  <r>
    <x v="5"/>
    <x v="1"/>
    <n v="39310"/>
    <n v="8880"/>
    <x v="15"/>
    <x v="15"/>
    <n v="0.2258967183922666"/>
    <n v="7651"/>
    <n v="16.861867209361485"/>
    <n v="15.271950271950272"/>
    <x v="15"/>
    <n v="1.1329441857414573"/>
    <n v="5800"/>
    <n v="-438"/>
    <n v="-5390"/>
  </r>
  <r>
    <x v="6"/>
    <x v="1"/>
    <n v="39783"/>
    <n v="9853"/>
    <x v="16"/>
    <x v="16"/>
    <n v="0.24766860216675465"/>
    <n v="8013"/>
    <n v="10.541814342809744"/>
    <n v="14.377665341525118"/>
    <x v="16"/>
    <n v="1.1464032108675517"/>
    <n v="7623"/>
    <n v="1791"/>
    <n v="-6819"/>
  </r>
  <r>
    <x v="7"/>
    <x v="1"/>
    <n v="47028"/>
    <n v="11626"/>
    <x v="17"/>
    <x v="17"/>
    <n v="0.24721442544866887"/>
    <n v="47439"/>
    <n v="13.644424598111764"/>
    <n v="13.139983235540655"/>
    <x v="17"/>
    <n v="0.37679224065223504"/>
    <n v="9163"/>
    <n v="-1228"/>
    <n v="-9309"/>
  </r>
  <r>
    <x v="8"/>
    <x v="1"/>
    <n v="52446"/>
    <n v="12857"/>
    <x v="18"/>
    <x v="18"/>
    <n v="0.24514738969606834"/>
    <n v="48826"/>
    <n v="15.56152995461999"/>
    <n v="12.80419921875"/>
    <x v="18"/>
    <n v="0.24264326277749096"/>
    <n v="9048"/>
    <n v="-1728"/>
    <n v="-8015"/>
  </r>
  <r>
    <x v="9"/>
    <x v="1"/>
    <n v="60580"/>
    <n v="14148"/>
    <x v="19"/>
    <x v="19"/>
    <n v="0.23354242324199406"/>
    <n v="50069"/>
    <n v="18.551254539451964"/>
    <n v="14.250764525993883"/>
    <x v="19"/>
    <n v="0.26485087624351794"/>
    <n v="9991"/>
    <n v="-1484"/>
    <n v="-89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A7831A-5AC7-4183-8B90-D8CF3EF638D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7" firstHeaderRow="0"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numFmtId="10" showAll="0"/>
    <pivotField showAll="0"/>
    <pivotField dataField="1" showAll="0"/>
    <pivotField dataField="1" showAll="0"/>
    <pivotField showAll="0"/>
  </pivotFields>
  <rowFields count="2">
    <field x="0"/>
    <field x="1"/>
  </rowFields>
  <rowItems count="4">
    <i>
      <x v="3"/>
    </i>
    <i r="1">
      <x/>
    </i>
    <i r="1">
      <x v="1"/>
    </i>
    <i t="grand">
      <x/>
    </i>
  </rowItems>
  <colFields count="1">
    <field x="-2"/>
  </colFields>
  <colItems count="2">
    <i>
      <x/>
    </i>
    <i i="1">
      <x v="1"/>
    </i>
  </colItems>
  <dataFields count="2">
    <dataField name="Sum of Cash from Operating Activity" fld="12" baseField="0" baseItem="0"/>
    <dataField name="Sum of Cash from Investing Activity" fld="13" baseField="0" baseItem="0"/>
  </dataField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321673-C41E-477A-AF9F-5A2F51CB6F7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dataField="1" showAll="0"/>
    <pivotField showAll="0"/>
    <pivotField showAll="0"/>
    <pivotField showAll="0"/>
    <pivotField showAll="0"/>
    <pivotField showAll="0"/>
    <pivotField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Sales" fld="2" baseField="0" baseItem="0"/>
  </dataFields>
  <chartFormats count="4">
    <chartFormat chart="13"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C1DF33-EF99-4139-80D6-39EC85EF89C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dataField="1" showAll="0"/>
    <pivotField showAll="0"/>
    <pivotField showAll="0"/>
    <pivotField showAll="0"/>
    <pivotField showAll="0"/>
    <pivotField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Operating Profit" fld="3" baseField="0" baseItem="0"/>
  </dataFields>
  <chartFormats count="5">
    <chartFormat chart="2"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EA2C43-0F1A-46EF-8DC2-002FA90C332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dataField="1" showAll="0"/>
    <pivotField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Reserves" fld="7" baseField="0" baseItem="0"/>
  </dataFields>
  <chartFormats count="4">
    <chartFormat chart="15"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502728-0D89-46D1-8DBA-3092124D07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showAll="0"/>
    <pivotField dataField="1"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Debtor Days" fld="8" baseField="0" baseItem="0"/>
  </dataFields>
  <chartFormats count="5">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946353-131C-40C7-96DF-1B52DBC27F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numFmtId="10" showAll="0"/>
    <pivotField showAll="0"/>
    <pivotField showAll="0"/>
    <pivotField showAll="0"/>
    <pivotField dataField="1" showAll="0"/>
  </pivotFields>
  <rowFields count="2">
    <field x="0"/>
    <field x="1"/>
  </rowFields>
  <rowItems count="4">
    <i>
      <x v="3"/>
    </i>
    <i r="1">
      <x/>
    </i>
    <i r="1">
      <x v="1"/>
    </i>
    <i t="grand">
      <x/>
    </i>
  </rowItems>
  <colItems count="1">
    <i/>
  </colItems>
  <dataFields count="1">
    <dataField name="Sum of Cash from Financing Activity" fld="14" baseField="0" baseItem="0"/>
  </dataFields>
  <chartFormats count="65">
    <chartFormat chart="7" format="0" series="1">
      <pivotArea type="data" outline="0" fieldPosition="0">
        <references count="1">
          <reference field="4294967294" count="1" selected="0">
            <x v="0"/>
          </reference>
        </references>
      </pivotArea>
    </chartFormat>
    <chartFormat chart="7" format="1">
      <pivotArea type="data" outline="0" fieldPosition="0">
        <references count="3">
          <reference field="4294967294" count="1" selected="0">
            <x v="0"/>
          </reference>
          <reference field="0" count="1" selected="0">
            <x v="0"/>
          </reference>
          <reference field="1" count="1" selected="0">
            <x v="0"/>
          </reference>
        </references>
      </pivotArea>
    </chartFormat>
    <chartFormat chart="7" format="2">
      <pivotArea type="data" outline="0" fieldPosition="0">
        <references count="3">
          <reference field="4294967294" count="1" selected="0">
            <x v="0"/>
          </reference>
          <reference field="0" count="1" selected="0">
            <x v="0"/>
          </reference>
          <reference field="1" count="1" selected="0">
            <x v="1"/>
          </reference>
        </references>
      </pivotArea>
    </chartFormat>
    <chartFormat chart="7" format="3">
      <pivotArea type="data" outline="0" fieldPosition="0">
        <references count="3">
          <reference field="4294967294" count="1" selected="0">
            <x v="0"/>
          </reference>
          <reference field="0" count="1" selected="0">
            <x v="1"/>
          </reference>
          <reference field="1" count="1" selected="0">
            <x v="0"/>
          </reference>
        </references>
      </pivotArea>
    </chartFormat>
    <chartFormat chart="7" format="4">
      <pivotArea type="data" outline="0" fieldPosition="0">
        <references count="3">
          <reference field="4294967294" count="1" selected="0">
            <x v="0"/>
          </reference>
          <reference field="0" count="1" selected="0">
            <x v="1"/>
          </reference>
          <reference field="1" count="1" selected="0">
            <x v="1"/>
          </reference>
        </references>
      </pivotArea>
    </chartFormat>
    <chartFormat chart="7" format="5">
      <pivotArea type="data" outline="0" fieldPosition="0">
        <references count="3">
          <reference field="4294967294" count="1" selected="0">
            <x v="0"/>
          </reference>
          <reference field="0" count="1" selected="0">
            <x v="2"/>
          </reference>
          <reference field="1" count="1" selected="0">
            <x v="0"/>
          </reference>
        </references>
      </pivotArea>
    </chartFormat>
    <chartFormat chart="7" format="6">
      <pivotArea type="data" outline="0" fieldPosition="0">
        <references count="3">
          <reference field="4294967294" count="1" selected="0">
            <x v="0"/>
          </reference>
          <reference field="0" count="1" selected="0">
            <x v="2"/>
          </reference>
          <reference field="1" count="1" selected="0">
            <x v="1"/>
          </reference>
        </references>
      </pivotArea>
    </chartFormat>
    <chartFormat chart="7" format="7">
      <pivotArea type="data" outline="0" fieldPosition="0">
        <references count="3">
          <reference field="4294967294" count="1" selected="0">
            <x v="0"/>
          </reference>
          <reference field="0" count="1" selected="0">
            <x v="3"/>
          </reference>
          <reference field="1" count="1" selected="0">
            <x v="0"/>
          </reference>
        </references>
      </pivotArea>
    </chartFormat>
    <chartFormat chart="7" format="8">
      <pivotArea type="data" outline="0" fieldPosition="0">
        <references count="3">
          <reference field="4294967294" count="1" selected="0">
            <x v="0"/>
          </reference>
          <reference field="0" count="1" selected="0">
            <x v="3"/>
          </reference>
          <reference field="1" count="1" selected="0">
            <x v="1"/>
          </reference>
        </references>
      </pivotArea>
    </chartFormat>
    <chartFormat chart="7" format="9">
      <pivotArea type="data" outline="0" fieldPosition="0">
        <references count="3">
          <reference field="4294967294" count="1" selected="0">
            <x v="0"/>
          </reference>
          <reference field="0" count="1" selected="0">
            <x v="4"/>
          </reference>
          <reference field="1" count="1" selected="0">
            <x v="0"/>
          </reference>
        </references>
      </pivotArea>
    </chartFormat>
    <chartFormat chart="7" format="10">
      <pivotArea type="data" outline="0" fieldPosition="0">
        <references count="3">
          <reference field="4294967294" count="1" selected="0">
            <x v="0"/>
          </reference>
          <reference field="0" count="1" selected="0">
            <x v="4"/>
          </reference>
          <reference field="1" count="1" selected="0">
            <x v="1"/>
          </reference>
        </references>
      </pivotArea>
    </chartFormat>
    <chartFormat chart="7" format="11">
      <pivotArea type="data" outline="0" fieldPosition="0">
        <references count="3">
          <reference field="4294967294" count="1" selected="0">
            <x v="0"/>
          </reference>
          <reference field="0" count="1" selected="0">
            <x v="5"/>
          </reference>
          <reference field="1" count="1" selected="0">
            <x v="0"/>
          </reference>
        </references>
      </pivotArea>
    </chartFormat>
    <chartFormat chart="7" format="12">
      <pivotArea type="data" outline="0" fieldPosition="0">
        <references count="3">
          <reference field="4294967294" count="1" selected="0">
            <x v="0"/>
          </reference>
          <reference field="0" count="1" selected="0">
            <x v="5"/>
          </reference>
          <reference field="1" count="1" selected="0">
            <x v="1"/>
          </reference>
        </references>
      </pivotArea>
    </chartFormat>
    <chartFormat chart="7" format="13">
      <pivotArea type="data" outline="0" fieldPosition="0">
        <references count="3">
          <reference field="4294967294" count="1" selected="0">
            <x v="0"/>
          </reference>
          <reference field="0" count="1" selected="0">
            <x v="6"/>
          </reference>
          <reference field="1" count="1" selected="0">
            <x v="0"/>
          </reference>
        </references>
      </pivotArea>
    </chartFormat>
    <chartFormat chart="7" format="14">
      <pivotArea type="data" outline="0" fieldPosition="0">
        <references count="3">
          <reference field="4294967294" count="1" selected="0">
            <x v="0"/>
          </reference>
          <reference field="0" count="1" selected="0">
            <x v="6"/>
          </reference>
          <reference field="1" count="1" selected="0">
            <x v="1"/>
          </reference>
        </references>
      </pivotArea>
    </chartFormat>
    <chartFormat chart="7" format="15">
      <pivotArea type="data" outline="0" fieldPosition="0">
        <references count="3">
          <reference field="4294967294" count="1" selected="0">
            <x v="0"/>
          </reference>
          <reference field="0" count="1" selected="0">
            <x v="7"/>
          </reference>
          <reference field="1" count="1" selected="0">
            <x v="0"/>
          </reference>
        </references>
      </pivotArea>
    </chartFormat>
    <chartFormat chart="7" format="16">
      <pivotArea type="data" outline="0" fieldPosition="0">
        <references count="3">
          <reference field="4294967294" count="1" selected="0">
            <x v="0"/>
          </reference>
          <reference field="0" count="1" selected="0">
            <x v="7"/>
          </reference>
          <reference field="1" count="1" selected="0">
            <x v="1"/>
          </reference>
        </references>
      </pivotArea>
    </chartFormat>
    <chartFormat chart="7" format="17">
      <pivotArea type="data" outline="0" fieldPosition="0">
        <references count="3">
          <reference field="4294967294" count="1" selected="0">
            <x v="0"/>
          </reference>
          <reference field="0" count="1" selected="0">
            <x v="8"/>
          </reference>
          <reference field="1" count="1" selected="0">
            <x v="0"/>
          </reference>
        </references>
      </pivotArea>
    </chartFormat>
    <chartFormat chart="7" format="18">
      <pivotArea type="data" outline="0" fieldPosition="0">
        <references count="3">
          <reference field="4294967294" count="1" selected="0">
            <x v="0"/>
          </reference>
          <reference field="0" count="1" selected="0">
            <x v="8"/>
          </reference>
          <reference field="1" count="1" selected="0">
            <x v="1"/>
          </reference>
        </references>
      </pivotArea>
    </chartFormat>
    <chartFormat chart="7" format="19">
      <pivotArea type="data" outline="0" fieldPosition="0">
        <references count="3">
          <reference field="4294967294" count="1" selected="0">
            <x v="0"/>
          </reference>
          <reference field="0" count="1" selected="0">
            <x v="9"/>
          </reference>
          <reference field="1" count="1" selected="0">
            <x v="0"/>
          </reference>
        </references>
      </pivotArea>
    </chartFormat>
    <chartFormat chart="7" format="20">
      <pivotArea type="data" outline="0" fieldPosition="0">
        <references count="3">
          <reference field="4294967294" count="1" selected="0">
            <x v="0"/>
          </reference>
          <reference field="0" count="1" selected="0">
            <x v="9"/>
          </reference>
          <reference field="1" count="1" selected="0">
            <x v="1"/>
          </reference>
        </references>
      </pivotArea>
    </chartFormat>
    <chartFormat chart="8" format="21" series="1">
      <pivotArea type="data" outline="0" fieldPosition="0">
        <references count="1">
          <reference field="4294967294" count="1" selected="0">
            <x v="0"/>
          </reference>
        </references>
      </pivotArea>
    </chartFormat>
    <chartFormat chart="8" format="22">
      <pivotArea type="data" outline="0" fieldPosition="0">
        <references count="3">
          <reference field="4294967294" count="1" selected="0">
            <x v="0"/>
          </reference>
          <reference field="0" count="1" selected="0">
            <x v="0"/>
          </reference>
          <reference field="1" count="1" selected="0">
            <x v="0"/>
          </reference>
        </references>
      </pivotArea>
    </chartFormat>
    <chartFormat chart="8" format="23">
      <pivotArea type="data" outline="0" fieldPosition="0">
        <references count="3">
          <reference field="4294967294" count="1" selected="0">
            <x v="0"/>
          </reference>
          <reference field="0" count="1" selected="0">
            <x v="0"/>
          </reference>
          <reference field="1" count="1" selected="0">
            <x v="1"/>
          </reference>
        </references>
      </pivotArea>
    </chartFormat>
    <chartFormat chart="8" format="24">
      <pivotArea type="data" outline="0" fieldPosition="0">
        <references count="3">
          <reference field="4294967294" count="1" selected="0">
            <x v="0"/>
          </reference>
          <reference field="0" count="1" selected="0">
            <x v="1"/>
          </reference>
          <reference field="1" count="1" selected="0">
            <x v="0"/>
          </reference>
        </references>
      </pivotArea>
    </chartFormat>
    <chartFormat chart="8" format="25">
      <pivotArea type="data" outline="0" fieldPosition="0">
        <references count="3">
          <reference field="4294967294" count="1" selected="0">
            <x v="0"/>
          </reference>
          <reference field="0" count="1" selected="0">
            <x v="1"/>
          </reference>
          <reference field="1" count="1" selected="0">
            <x v="1"/>
          </reference>
        </references>
      </pivotArea>
    </chartFormat>
    <chartFormat chart="8" format="26">
      <pivotArea type="data" outline="0" fieldPosition="0">
        <references count="3">
          <reference field="4294967294" count="1" selected="0">
            <x v="0"/>
          </reference>
          <reference field="0" count="1" selected="0">
            <x v="2"/>
          </reference>
          <reference field="1" count="1" selected="0">
            <x v="0"/>
          </reference>
        </references>
      </pivotArea>
    </chartFormat>
    <chartFormat chart="8" format="27">
      <pivotArea type="data" outline="0" fieldPosition="0">
        <references count="3">
          <reference field="4294967294" count="1" selected="0">
            <x v="0"/>
          </reference>
          <reference field="0" count="1" selected="0">
            <x v="2"/>
          </reference>
          <reference field="1" count="1" selected="0">
            <x v="1"/>
          </reference>
        </references>
      </pivotArea>
    </chartFormat>
    <chartFormat chart="8" format="28">
      <pivotArea type="data" outline="0" fieldPosition="0">
        <references count="3">
          <reference field="4294967294" count="1" selected="0">
            <x v="0"/>
          </reference>
          <reference field="0" count="1" selected="0">
            <x v="3"/>
          </reference>
          <reference field="1" count="1" selected="0">
            <x v="0"/>
          </reference>
        </references>
      </pivotArea>
    </chartFormat>
    <chartFormat chart="8" format="29">
      <pivotArea type="data" outline="0" fieldPosition="0">
        <references count="3">
          <reference field="4294967294" count="1" selected="0">
            <x v="0"/>
          </reference>
          <reference field="0" count="1" selected="0">
            <x v="3"/>
          </reference>
          <reference field="1" count="1" selected="0">
            <x v="1"/>
          </reference>
        </references>
      </pivotArea>
    </chartFormat>
    <chartFormat chart="8" format="30">
      <pivotArea type="data" outline="0" fieldPosition="0">
        <references count="3">
          <reference field="4294967294" count="1" selected="0">
            <x v="0"/>
          </reference>
          <reference field="0" count="1" selected="0">
            <x v="4"/>
          </reference>
          <reference field="1" count="1" selected="0">
            <x v="0"/>
          </reference>
        </references>
      </pivotArea>
    </chartFormat>
    <chartFormat chart="8" format="31">
      <pivotArea type="data" outline="0" fieldPosition="0">
        <references count="3">
          <reference field="4294967294" count="1" selected="0">
            <x v="0"/>
          </reference>
          <reference field="0" count="1" selected="0">
            <x v="4"/>
          </reference>
          <reference field="1" count="1" selected="0">
            <x v="1"/>
          </reference>
        </references>
      </pivotArea>
    </chartFormat>
    <chartFormat chart="8" format="32">
      <pivotArea type="data" outline="0" fieldPosition="0">
        <references count="3">
          <reference field="4294967294" count="1" selected="0">
            <x v="0"/>
          </reference>
          <reference field="0" count="1" selected="0">
            <x v="5"/>
          </reference>
          <reference field="1" count="1" selected="0">
            <x v="0"/>
          </reference>
        </references>
      </pivotArea>
    </chartFormat>
    <chartFormat chart="8" format="33">
      <pivotArea type="data" outline="0" fieldPosition="0">
        <references count="3">
          <reference field="4294967294" count="1" selected="0">
            <x v="0"/>
          </reference>
          <reference field="0" count="1" selected="0">
            <x v="5"/>
          </reference>
          <reference field="1" count="1" selected="0">
            <x v="1"/>
          </reference>
        </references>
      </pivotArea>
    </chartFormat>
    <chartFormat chart="8" format="34">
      <pivotArea type="data" outline="0" fieldPosition="0">
        <references count="3">
          <reference field="4294967294" count="1" selected="0">
            <x v="0"/>
          </reference>
          <reference field="0" count="1" selected="0">
            <x v="6"/>
          </reference>
          <reference field="1" count="1" selected="0">
            <x v="0"/>
          </reference>
        </references>
      </pivotArea>
    </chartFormat>
    <chartFormat chart="8" format="35">
      <pivotArea type="data" outline="0" fieldPosition="0">
        <references count="3">
          <reference field="4294967294" count="1" selected="0">
            <x v="0"/>
          </reference>
          <reference field="0" count="1" selected="0">
            <x v="6"/>
          </reference>
          <reference field="1" count="1" selected="0">
            <x v="1"/>
          </reference>
        </references>
      </pivotArea>
    </chartFormat>
    <chartFormat chart="8" format="36">
      <pivotArea type="data" outline="0" fieldPosition="0">
        <references count="3">
          <reference field="4294967294" count="1" selected="0">
            <x v="0"/>
          </reference>
          <reference field="0" count="1" selected="0">
            <x v="7"/>
          </reference>
          <reference field="1" count="1" selected="0">
            <x v="0"/>
          </reference>
        </references>
      </pivotArea>
    </chartFormat>
    <chartFormat chart="8" format="37">
      <pivotArea type="data" outline="0" fieldPosition="0">
        <references count="3">
          <reference field="4294967294" count="1" selected="0">
            <x v="0"/>
          </reference>
          <reference field="0" count="1" selected="0">
            <x v="7"/>
          </reference>
          <reference field="1" count="1" selected="0">
            <x v="1"/>
          </reference>
        </references>
      </pivotArea>
    </chartFormat>
    <chartFormat chart="8" format="38">
      <pivotArea type="data" outline="0" fieldPosition="0">
        <references count="3">
          <reference field="4294967294" count="1" selected="0">
            <x v="0"/>
          </reference>
          <reference field="0" count="1" selected="0">
            <x v="8"/>
          </reference>
          <reference field="1" count="1" selected="0">
            <x v="0"/>
          </reference>
        </references>
      </pivotArea>
    </chartFormat>
    <chartFormat chart="8" format="39">
      <pivotArea type="data" outline="0" fieldPosition="0">
        <references count="3">
          <reference field="4294967294" count="1" selected="0">
            <x v="0"/>
          </reference>
          <reference field="0" count="1" selected="0">
            <x v="8"/>
          </reference>
          <reference field="1" count="1" selected="0">
            <x v="1"/>
          </reference>
        </references>
      </pivotArea>
    </chartFormat>
    <chartFormat chart="8" format="40">
      <pivotArea type="data" outline="0" fieldPosition="0">
        <references count="3">
          <reference field="4294967294" count="1" selected="0">
            <x v="0"/>
          </reference>
          <reference field="0" count="1" selected="0">
            <x v="9"/>
          </reference>
          <reference field="1" count="1" selected="0">
            <x v="0"/>
          </reference>
        </references>
      </pivotArea>
    </chartFormat>
    <chartFormat chart="8" format="41">
      <pivotArea type="data" outline="0" fieldPosition="0">
        <references count="3">
          <reference field="4294967294" count="1" selected="0">
            <x v="0"/>
          </reference>
          <reference field="0" count="1" selected="0">
            <x v="9"/>
          </reference>
          <reference field="1" count="1" selected="0">
            <x v="1"/>
          </reference>
        </references>
      </pivotArea>
    </chartFormat>
    <chartFormat chart="9" format="42" series="1">
      <pivotArea type="data" outline="0" fieldPosition="0">
        <references count="1">
          <reference field="4294967294" count="1" selected="0">
            <x v="0"/>
          </reference>
        </references>
      </pivotArea>
    </chartFormat>
    <chartFormat chart="9" format="43">
      <pivotArea type="data" outline="0" fieldPosition="0">
        <references count="3">
          <reference field="4294967294" count="1" selected="0">
            <x v="0"/>
          </reference>
          <reference field="0" count="1" selected="0">
            <x v="0"/>
          </reference>
          <reference field="1" count="1" selected="0">
            <x v="0"/>
          </reference>
        </references>
      </pivotArea>
    </chartFormat>
    <chartFormat chart="9" format="44">
      <pivotArea type="data" outline="0" fieldPosition="0">
        <references count="3">
          <reference field="4294967294" count="1" selected="0">
            <x v="0"/>
          </reference>
          <reference field="0" count="1" selected="0">
            <x v="0"/>
          </reference>
          <reference field="1" count="1" selected="0">
            <x v="1"/>
          </reference>
        </references>
      </pivotArea>
    </chartFormat>
    <chartFormat chart="9" format="45">
      <pivotArea type="data" outline="0" fieldPosition="0">
        <references count="3">
          <reference field="4294967294" count="1" selected="0">
            <x v="0"/>
          </reference>
          <reference field="0" count="1" selected="0">
            <x v="1"/>
          </reference>
          <reference field="1" count="1" selected="0">
            <x v="0"/>
          </reference>
        </references>
      </pivotArea>
    </chartFormat>
    <chartFormat chart="9" format="46">
      <pivotArea type="data" outline="0" fieldPosition="0">
        <references count="3">
          <reference field="4294967294" count="1" selected="0">
            <x v="0"/>
          </reference>
          <reference field="0" count="1" selected="0">
            <x v="1"/>
          </reference>
          <reference field="1" count="1" selected="0">
            <x v="1"/>
          </reference>
        </references>
      </pivotArea>
    </chartFormat>
    <chartFormat chart="9" format="47">
      <pivotArea type="data" outline="0" fieldPosition="0">
        <references count="3">
          <reference field="4294967294" count="1" selected="0">
            <x v="0"/>
          </reference>
          <reference field="0" count="1" selected="0">
            <x v="2"/>
          </reference>
          <reference field="1" count="1" selected="0">
            <x v="0"/>
          </reference>
        </references>
      </pivotArea>
    </chartFormat>
    <chartFormat chart="9" format="48">
      <pivotArea type="data" outline="0" fieldPosition="0">
        <references count="3">
          <reference field="4294967294" count="1" selected="0">
            <x v="0"/>
          </reference>
          <reference field="0" count="1" selected="0">
            <x v="2"/>
          </reference>
          <reference field="1" count="1" selected="0">
            <x v="1"/>
          </reference>
        </references>
      </pivotArea>
    </chartFormat>
    <chartFormat chart="9" format="49">
      <pivotArea type="data" outline="0" fieldPosition="0">
        <references count="3">
          <reference field="4294967294" count="1" selected="0">
            <x v="0"/>
          </reference>
          <reference field="0" count="1" selected="0">
            <x v="3"/>
          </reference>
          <reference field="1" count="1" selected="0">
            <x v="0"/>
          </reference>
        </references>
      </pivotArea>
    </chartFormat>
    <chartFormat chart="9" format="50">
      <pivotArea type="data" outline="0" fieldPosition="0">
        <references count="3">
          <reference field="4294967294" count="1" selected="0">
            <x v="0"/>
          </reference>
          <reference field="0" count="1" selected="0">
            <x v="3"/>
          </reference>
          <reference field="1" count="1" selected="0">
            <x v="1"/>
          </reference>
        </references>
      </pivotArea>
    </chartFormat>
    <chartFormat chart="9" format="51">
      <pivotArea type="data" outline="0" fieldPosition="0">
        <references count="3">
          <reference field="4294967294" count="1" selected="0">
            <x v="0"/>
          </reference>
          <reference field="0" count="1" selected="0">
            <x v="4"/>
          </reference>
          <reference field="1" count="1" selected="0">
            <x v="0"/>
          </reference>
        </references>
      </pivotArea>
    </chartFormat>
    <chartFormat chart="9" format="52">
      <pivotArea type="data" outline="0" fieldPosition="0">
        <references count="3">
          <reference field="4294967294" count="1" selected="0">
            <x v="0"/>
          </reference>
          <reference field="0" count="1" selected="0">
            <x v="4"/>
          </reference>
          <reference field="1" count="1" selected="0">
            <x v="1"/>
          </reference>
        </references>
      </pivotArea>
    </chartFormat>
    <chartFormat chart="9" format="53">
      <pivotArea type="data" outline="0" fieldPosition="0">
        <references count="3">
          <reference field="4294967294" count="1" selected="0">
            <x v="0"/>
          </reference>
          <reference field="0" count="1" selected="0">
            <x v="5"/>
          </reference>
          <reference field="1" count="1" selected="0">
            <x v="0"/>
          </reference>
        </references>
      </pivotArea>
    </chartFormat>
    <chartFormat chart="9" format="54">
      <pivotArea type="data" outline="0" fieldPosition="0">
        <references count="3">
          <reference field="4294967294" count="1" selected="0">
            <x v="0"/>
          </reference>
          <reference field="0" count="1" selected="0">
            <x v="5"/>
          </reference>
          <reference field="1" count="1" selected="0">
            <x v="1"/>
          </reference>
        </references>
      </pivotArea>
    </chartFormat>
    <chartFormat chart="9" format="55">
      <pivotArea type="data" outline="0" fieldPosition="0">
        <references count="3">
          <reference field="4294967294" count="1" selected="0">
            <x v="0"/>
          </reference>
          <reference field="0" count="1" selected="0">
            <x v="6"/>
          </reference>
          <reference field="1" count="1" selected="0">
            <x v="0"/>
          </reference>
        </references>
      </pivotArea>
    </chartFormat>
    <chartFormat chart="9" format="56">
      <pivotArea type="data" outline="0" fieldPosition="0">
        <references count="3">
          <reference field="4294967294" count="1" selected="0">
            <x v="0"/>
          </reference>
          <reference field="0" count="1" selected="0">
            <x v="6"/>
          </reference>
          <reference field="1" count="1" selected="0">
            <x v="1"/>
          </reference>
        </references>
      </pivotArea>
    </chartFormat>
    <chartFormat chart="9" format="57">
      <pivotArea type="data" outline="0" fieldPosition="0">
        <references count="3">
          <reference field="4294967294" count="1" selected="0">
            <x v="0"/>
          </reference>
          <reference field="0" count="1" selected="0">
            <x v="7"/>
          </reference>
          <reference field="1" count="1" selected="0">
            <x v="0"/>
          </reference>
        </references>
      </pivotArea>
    </chartFormat>
    <chartFormat chart="9" format="58">
      <pivotArea type="data" outline="0" fieldPosition="0">
        <references count="3">
          <reference field="4294967294" count="1" selected="0">
            <x v="0"/>
          </reference>
          <reference field="0" count="1" selected="0">
            <x v="7"/>
          </reference>
          <reference field="1" count="1" selected="0">
            <x v="1"/>
          </reference>
        </references>
      </pivotArea>
    </chartFormat>
    <chartFormat chart="9" format="59">
      <pivotArea type="data" outline="0" fieldPosition="0">
        <references count="3">
          <reference field="4294967294" count="1" selected="0">
            <x v="0"/>
          </reference>
          <reference field="0" count="1" selected="0">
            <x v="8"/>
          </reference>
          <reference field="1" count="1" selected="0">
            <x v="0"/>
          </reference>
        </references>
      </pivotArea>
    </chartFormat>
    <chartFormat chart="9" format="60">
      <pivotArea type="data" outline="0" fieldPosition="0">
        <references count="3">
          <reference field="4294967294" count="1" selected="0">
            <x v="0"/>
          </reference>
          <reference field="0" count="1" selected="0">
            <x v="8"/>
          </reference>
          <reference field="1" count="1" selected="0">
            <x v="1"/>
          </reference>
        </references>
      </pivotArea>
    </chartFormat>
    <chartFormat chart="9" format="61">
      <pivotArea type="data" outline="0" fieldPosition="0">
        <references count="3">
          <reference field="4294967294" count="1" selected="0">
            <x v="0"/>
          </reference>
          <reference field="0" count="1" selected="0">
            <x v="9"/>
          </reference>
          <reference field="1" count="1" selected="0">
            <x v="0"/>
          </reference>
        </references>
      </pivotArea>
    </chartFormat>
    <chartFormat chart="9" format="62">
      <pivotArea type="data" outline="0" fieldPosition="0">
        <references count="3">
          <reference field="4294967294" count="1" selected="0">
            <x v="0"/>
          </reference>
          <reference field="0" count="1" selected="0">
            <x v="9"/>
          </reference>
          <reference field="1" count="1" selected="0">
            <x v="1"/>
          </reference>
        </references>
      </pivotArea>
    </chartFormat>
    <chartFormat chart="13"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1238E0-A1DA-4CE2-84A9-80C67B64B3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dataField="1" showAll="0">
      <items count="21">
        <item x="0"/>
        <item x="1"/>
        <item x="2"/>
        <item x="3"/>
        <item x="4"/>
        <item x="5"/>
        <item x="6"/>
        <item x="7"/>
        <item x="9"/>
        <item x="8"/>
        <item x="10"/>
        <item x="12"/>
        <item x="11"/>
        <item x="13"/>
        <item x="14"/>
        <item x="15"/>
        <item x="16"/>
        <item x="17"/>
        <item x="18"/>
        <item x="19"/>
        <item t="default"/>
      </items>
    </pivotField>
    <pivotField showAll="0"/>
    <pivotField showAll="0"/>
    <pivotField showAll="0"/>
    <pivotField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Net profit" fld="4" baseField="0" baseItem="0"/>
  </dataFields>
  <chartFormats count="5">
    <chartFormat chart="2"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A451BE-1052-4AD0-872D-B7EEEB0C3D2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dataField="1" showAll="0"/>
    <pivotField showAll="0"/>
    <pivotField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OPM" fld="6" baseField="0" baseItem="0"/>
  </dataFields>
  <chartFormats count="4">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6AE53E6-5B30-4476-B6FD-15A995CD919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dataField="1" showAll="0">
      <items count="21">
        <item h="1" x="3"/>
        <item h="1" x="2"/>
        <item h="1" x="1"/>
        <item h="1" x="0"/>
        <item x="5"/>
        <item h="1" x="6"/>
        <item h="1" x="7"/>
        <item h="1" x="8"/>
        <item h="1" x="9"/>
        <item h="1" x="10"/>
        <item h="1" x="11"/>
        <item h="1" x="15"/>
        <item h="1" x="16"/>
        <item h="1" x="4"/>
        <item h="1" x="13"/>
        <item h="1" x="14"/>
        <item h="1" x="12"/>
        <item h="1" x="18"/>
        <item h="1" x="19"/>
        <item h="1" x="17"/>
        <item t="default"/>
      </items>
    </pivotField>
    <pivotField showAll="0"/>
    <pivotField showAll="0"/>
    <pivotField showAll="0"/>
    <pivotField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Dividend Payout" fld="5" baseField="0" baseItem="0"/>
  </dataFields>
  <chartFormats count="4">
    <chartFormat chart="1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DD705A8-5C22-4B8C-8F60-320B9064AA0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showAll="0"/>
    <pivotField showAll="0"/>
    <pivotField dataField="1" showAll="0"/>
    <pivotField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Inventory Turnover" fld="9" baseField="0" baseItem="0"/>
  </dataFields>
  <chartFormats count="4">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258563C-8E30-40E0-BFE3-1F8E0AAB810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numFmtId="10" showAll="0"/>
    <pivotField showAll="0"/>
    <pivotField showAll="0"/>
    <pivotField dataField="1" showAll="0"/>
    <pivotField showAll="0"/>
  </pivotFields>
  <rowFields count="2">
    <field x="0"/>
    <field x="1"/>
  </rowFields>
  <rowItems count="4">
    <i>
      <x v="3"/>
    </i>
    <i r="1">
      <x/>
    </i>
    <i r="1">
      <x v="1"/>
    </i>
    <i t="grand">
      <x/>
    </i>
  </rowItems>
  <colItems count="1">
    <i/>
  </colItems>
  <dataFields count="1">
    <dataField name="Sum of Cash from Investing Activity" fld="13" baseField="0" baseItem="0"/>
  </dataFields>
  <chartFormats count="4">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45DD3E3-E090-469A-B131-9F5B9696544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7" firstHeaderRow="1" firstDataRow="1" firstDataCol="1"/>
  <pivotFields count="15">
    <pivotField axis="axisRow" showAll="0">
      <items count="11">
        <item h="1" x="0"/>
        <item h="1" x="1"/>
        <item h="1" x="2"/>
        <item x="3"/>
        <item h="1" x="4"/>
        <item h="1" x="5"/>
        <item h="1" x="6"/>
        <item h="1" x="7"/>
        <item h="1" x="8"/>
        <item h="1" x="9"/>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dataField="1" numFmtId="10" showAll="0"/>
    <pivotField showAll="0"/>
    <pivotField showAll="0"/>
    <pivotField showAll="0"/>
    <pivotField showAll="0"/>
  </pivotFields>
  <rowFields count="2">
    <field x="0"/>
    <field x="1"/>
  </rowFields>
  <rowItems count="4">
    <i>
      <x v="3"/>
    </i>
    <i r="1">
      <x/>
    </i>
    <i r="1">
      <x v="1"/>
    </i>
    <i t="grand">
      <x/>
    </i>
  </rowItems>
  <colItems count="1">
    <i/>
  </colItems>
  <dataFields count="1">
    <dataField name="Sum of Return on Equity" fld="10" baseField="0" baseItem="0"/>
  </dataFields>
  <chartFormats count="6">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BB69A63-3AD5-4CB2-AB3C-95DC25D651A8}" sourceName="Year">
  <pivotTables>
    <pivotTable tabId="13" name="PivotTable3"/>
    <pivotTable tabId="14" name="PivotTable4"/>
    <pivotTable tabId="15" name="PivotTable1"/>
    <pivotTable tabId="12" name="PivotTable2"/>
    <pivotTable tabId="21" name="PivotTable1"/>
    <pivotTable tabId="22" name="PivotTable1"/>
    <pivotTable tabId="24" name="PivotTable2"/>
    <pivotTable tabId="34" name="PivotTable5"/>
    <pivotTable tabId="31" name="PivotTable2"/>
    <pivotTable tabId="33" name="PivotTable4"/>
    <pivotTable tabId="30" name="PivotTable1"/>
    <pivotTable tabId="35" name="PivotTable6"/>
  </pivotTables>
  <data>
    <tabular pivotCacheId="550351369">
      <items count="10">
        <i x="0"/>
        <i x="1"/>
        <i x="2"/>
        <i x="3" s="1"/>
        <i x="4"/>
        <i x="5"/>
        <i x="6"/>
        <i x="7"/>
        <i x="8"/>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E4211DB9-707B-401E-BB9D-83ADD1BC7A2E}" sourceName="Company">
  <pivotTables>
    <pivotTable tabId="12" name="PivotTable2"/>
    <pivotTable tabId="13" name="PivotTable3"/>
    <pivotTable tabId="14" name="PivotTable4"/>
    <pivotTable tabId="15" name="PivotTable1"/>
    <pivotTable tabId="21" name="PivotTable1"/>
    <pivotTable tabId="22" name="PivotTable1"/>
    <pivotTable tabId="24" name="PivotTable2"/>
    <pivotTable tabId="34" name="PivotTable5"/>
    <pivotTable tabId="31" name="PivotTable2"/>
    <pivotTable tabId="33" name="PivotTable4"/>
    <pivotTable tabId="30" name="PivotTable1"/>
    <pivotTable tabId="35" name="PivotTable6"/>
  </pivotTables>
  <data>
    <tabular pivotCacheId="55035136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7" xr10:uid="{1BE1120A-B4CB-476A-9018-2E056374E3D5}" cache="Slicer_Year" caption="Year" rowHeight="234950"/>
  <slicer name="Year 9" xr10:uid="{AF73C9A6-C14F-450F-B0A8-33AEB4B5DC3A}" cache="Slicer_Year" caption="Year" rowHeight="234950"/>
  <slicer name="Company 7" xr10:uid="{89BAD242-D3E7-499B-88C4-3B9AC2C7E39C}" cache="Slicer_Company" caption="Company" rowHeight="234950"/>
  <slicer name="Company 9" xr10:uid="{3E0B8E4F-9931-415D-BC41-457AA3039B5C}" cache="Slicer_Company" caption="Compan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F8DBFCC-04B5-460E-95A1-C84073956CA5}" cache="Slicer_Year" caption="Year" rowHeight="234950"/>
  <slicer name="Year 8" xr10:uid="{EB1E931F-7B55-4FDB-BA3A-EA6D1B57D38D}" cache="Slicer_Year" caption="Year" rowHeight="234950"/>
  <slicer name="Company" xr10:uid="{38BBE263-313E-4EE8-9F55-C938C4DFF7F1}" cache="Slicer_Company" caption="Company" rowHeight="234950"/>
  <slicer name="Company 8" xr10:uid="{11D140A0-8173-4FFE-9E25-2D105DB61FC3}" cache="Slicer_Company" caption="Compan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FF461A92-7F27-4C6A-9160-74F96E7C2DD5}" cache="Slicer_Year" caption="Year" rowHeight="234950"/>
  <slicer name="Year 10" xr10:uid="{8C998E4C-93BE-4694-AE3C-4800C991EAA9}" cache="Slicer_Year" caption="Year" rowHeight="234950"/>
  <slicer name="Company 6" xr10:uid="{9101D8E2-449C-45B3-B9B0-41A27A2B4A1A}" cache="Slicer_Company" caption="Company" rowHeight="234950"/>
  <slicer name="Company 10" xr10:uid="{F882ED31-4D26-44E8-9BE0-6D65DF2E6E6A}" cache="Slicer_Company" caption="Compan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EF113152-B847-4069-A119-D489CC031332}" cache="Slicer_Year" caption="Year" rowHeight="234950"/>
  <slicer name="Year 11" xr10:uid="{F53E0A2F-F3E8-43B1-BA75-E4DCB0F2F22C}" cache="Slicer_Year" caption="Year" rowHeight="234950"/>
  <slicer name="Company 5" xr10:uid="{BE36F1DA-9164-4C5A-AF6F-0FC3C2FBFC24}" cache="Slicer_Company" caption="Company" rowHeight="234950"/>
  <slicer name="Company 11" xr10:uid="{AC269BA0-22E1-4C07-A01B-D966152E3943}" cache="Slicer_Company" caption="Company"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9FCF737C-6DF3-4E1A-BBEC-864C36B6247B}" cache="Slicer_Year" caption="Year" rowHeight="234950"/>
  <slicer name="Year 12" xr10:uid="{68938E22-1ED7-4D85-83CC-EBF8D446D29E}" cache="Slicer_Year" caption="Year" rowHeight="234950"/>
  <slicer name="Company 2" xr10:uid="{9877A340-A268-4716-BA61-44A5F2A42B00}" cache="Slicer_Company" caption="Company" rowHeight="234950"/>
  <slicer name="Company 12" xr10:uid="{14BAE401-407F-49F8-9520-E7E5794EFB0E}" cache="Slicer_Company" caption="Company"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B27AB009-8696-4A80-BFB2-DE874783152A}" cache="Slicer_Year" caption="Year" rowHeight="234950"/>
  <slicer name="Year 13" xr10:uid="{503C7750-FE66-4B61-B4B5-EE24CC19F3B8}" cache="Slicer_Year" caption="Year" rowHeight="234950"/>
  <slicer name="Company 3" xr10:uid="{2D0D7EDA-0B97-4C13-A547-506F7AA32699}" cache="Slicer_Company" caption="Company" rowHeight="234950"/>
  <slicer name="Company 13" xr10:uid="{89478B42-B958-408C-ADA1-F8E3479B049F}" cache="Slicer_Company" caption="Company"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07C4A037-4112-42FB-B725-E20C3024F2DD}" cache="Slicer_Year" caption="Year" rowHeight="234950"/>
  <slicer name="Year 14" xr10:uid="{06432216-BB5A-4FC1-B8D1-0134D762ED2B}" cache="Slicer_Year" caption="Year" rowHeight="234950"/>
  <slicer name="Company 4" xr10:uid="{708E6247-613C-49A0-A67A-B7FFA8250E89}" cache="Slicer_Company" caption="Company" rowHeight="234950"/>
  <slicer name="Company 14" xr10:uid="{C4051D43-FF7D-478A-B124-813B534E3AD2}" cache="Slicer_Company" caption="Company"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6" xr10:uid="{ABBCF0EC-68BD-4155-9C8E-B890A319F91F}" cache="Slicer_Year" caption="Year" rowHeight="234950"/>
  <slicer name="Year 21" xr10:uid="{AD6CE268-0A54-47D5-9F03-D82AEAD33A85}" cache="Slicer_Year" caption="Year" rowHeight="234950"/>
  <slicer name="Company 16" xr10:uid="{D39F7E40-6809-4D1A-AC79-8AF33061DE10}" cache="Slicer_Company" caption="Company" rowHeight="234950"/>
  <slicer name="Company 21" xr10:uid="{E0B59F4A-9118-455F-972B-89755004671F}" cache="Slicer_Company" caption="Company" rowHeight="23495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7" xr10:uid="{F55AA05F-4D91-4073-A2DF-38B7885C56B7}" cache="Slicer_Year" caption="Year" rowHeight="234950"/>
  <slicer name="Year 22" xr10:uid="{C6720FF8-D761-454C-A69E-5E52031F274E}" cache="Slicer_Year" caption="Year" rowHeight="234950"/>
  <slicer name="Company 17" xr10:uid="{940BB2FC-DE6D-478B-8AAD-25FB2D83A8E1}" cache="Slicer_Company" caption="Company" rowHeight="234950"/>
  <slicer name="Company 22" xr10:uid="{31F7880E-5975-4605-8638-2A72FC708544}" cache="Slicer_Company" caption="Company" rowHeight="23495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8" xr10:uid="{A277FB06-5266-4081-8E40-426EE066B8CB}" cache="Slicer_Year" caption="Year" rowHeight="234950"/>
  <slicer name="Year 23" xr10:uid="{DE4C1164-B773-4C12-BEA1-B88203C61657}" cache="Slicer_Year" caption="Year" rowHeight="234950"/>
  <slicer name="Company 18" xr10:uid="{3E12D614-F675-47A9-9FB1-A80C7AEA6BFF}" cache="Slicer_Company" caption="Company" rowHeight="234950"/>
  <slicer name="Company 23" xr10:uid="{D15111A2-6BEF-491D-AD67-D7E17C9D6682}" cache="Slicer_Company" caption="Company" rowHeight="23495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9" xr10:uid="{9C249A49-99D9-4A6E-86A8-E6287841E300}" cache="Slicer_Year" caption="Year" rowHeight="234950"/>
  <slicer name="Year 24" xr10:uid="{D4999FD0-25AA-4DB8-B2BA-213826DEDECA}" cache="Slicer_Year" caption="Year" rowHeight="234950"/>
  <slicer name="Company 19" xr10:uid="{879EEEF0-9035-47FE-8D5C-B984C68668D9}" cache="Slicer_Company" caption="Company" rowHeight="234950"/>
  <slicer name="Company 24" xr10:uid="{6DCCFC9B-8F9E-471E-85B2-537A7494D93A}" cache="Slicer_Company" caption="Company" rowHeight="23495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0" xr10:uid="{69D5230D-B9DF-4DB7-8A75-94B74A0C9E8D}" cache="Slicer_Year" caption="Year" rowHeight="234950"/>
  <slicer name="Year 25" xr10:uid="{3C2C0A57-5D87-43B5-AC26-71C94E611E6E}" cache="Slicer_Year" caption="Year" rowHeight="234950"/>
  <slicer name="Company 20" xr10:uid="{693B6D36-9309-4BDE-8B97-46CB306623D9}" cache="Slicer_Company" caption="Company" rowHeight="234950"/>
  <slicer name="Company 25" xr10:uid="{60FA0F7B-E174-48CF-AF2B-923B5D541A44}" cache="Slicer_Company" caption="Company" rowHeight="234950"/>
</slicers>
</file>

<file path=xl/slicers/slicer1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50611DB-692E-4842-8653-92EE0A3FC1BE}" cache="Slicer_Year" caption="Year" rowHeight="234950"/>
  <slicer name="Company 1" xr10:uid="{9600182B-6789-4280-AAE2-E1FEE43C5AE3}" cache="Slicer_Company" caption="Company" rowHeight="234950"/>
</slicers>
</file>

<file path=xl/slicers/slicer1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5" xr10:uid="{509EFAA8-94F0-41A9-AAE8-343D568451F5}" cache="Slicer_Year" caption="Year" startItem="2" rowHeight="234950"/>
  <slicer name="Company 15" xr10:uid="{DC8F1674-EAD1-4ADF-8847-874993152CE7}" cache="Slicer_Company" caption="Compan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N19" headerRowCount="0" totalsRowShown="0" headerRowDxfId="30">
  <tableColumns count="14">
    <tableColumn id="1" xr3:uid="{00000000-0010-0000-0000-000001000000}" name="Column1" headerRowDxfId="29" dataDxfId="28"/>
    <tableColumn id="2" xr3:uid="{00000000-0010-0000-0000-000002000000}" name="Column2" headerRowDxfId="27"/>
    <tableColumn id="3" xr3:uid="{00000000-0010-0000-0000-000003000000}" name="Column3" headerRowDxfId="26"/>
    <tableColumn id="4" xr3:uid="{00000000-0010-0000-0000-000004000000}" name="Column4" headerRowDxfId="25"/>
    <tableColumn id="5" xr3:uid="{00000000-0010-0000-0000-000005000000}" name="Column5" headerRowDxfId="24"/>
    <tableColumn id="6" xr3:uid="{00000000-0010-0000-0000-000006000000}" name="Column6" headerRowDxfId="23"/>
    <tableColumn id="7" xr3:uid="{00000000-0010-0000-0000-000007000000}" name="Column7" headerRowDxfId="22"/>
    <tableColumn id="8" xr3:uid="{00000000-0010-0000-0000-000008000000}" name="Column8" headerRowDxfId="21"/>
    <tableColumn id="9" xr3:uid="{00000000-0010-0000-0000-000009000000}" name="Column9" headerRowDxfId="20"/>
    <tableColumn id="10" xr3:uid="{00000000-0010-0000-0000-00000A000000}" name="Column10" headerRowDxfId="19"/>
    <tableColumn id="11" xr3:uid="{00000000-0010-0000-0000-00000B000000}" name="Column11" headerRowDxfId="18"/>
    <tableColumn id="12" xr3:uid="{00000000-0010-0000-0000-00000C000000}" name="Column12" headerRowDxfId="17"/>
    <tableColumn id="13" xr3:uid="{00000000-0010-0000-0000-00000D000000}" name="Column13" headerRowDxfId="16" dataDxfId="15"/>
    <tableColumn id="14" xr3:uid="{00000000-0010-0000-0000-00000E000000}" name="Column14" headerRowDxfId="14" dataDxfId="1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4" headerRowCount="0" totalsRowShown="0" headerRowDxfId="12">
  <tableColumns count="11">
    <tableColumn id="1" xr3:uid="{00000000-0010-0000-0100-000001000000}" name="Column1" headerRowDxfId="11"/>
    <tableColumn id="2" xr3:uid="{00000000-0010-0000-0100-000002000000}" name="Column2" headerRowDxfId="10"/>
    <tableColumn id="3" xr3:uid="{00000000-0010-0000-0100-000003000000}" name="Column3" headerRowDxfId="9"/>
    <tableColumn id="4" xr3:uid="{00000000-0010-0000-0100-000004000000}" name="Column4" headerRowDxfId="8"/>
    <tableColumn id="5" xr3:uid="{00000000-0010-0000-0100-000005000000}" name="Column5" headerRowDxfId="7"/>
    <tableColumn id="6" xr3:uid="{00000000-0010-0000-0100-000006000000}" name="Column6" headerRowDxfId="6"/>
    <tableColumn id="7" xr3:uid="{00000000-0010-0000-0100-000007000000}" name="Column7" headerRowDxfId="5"/>
    <tableColumn id="8" xr3:uid="{00000000-0010-0000-0100-000008000000}" name="Column8" headerRowDxfId="4"/>
    <tableColumn id="9" xr3:uid="{00000000-0010-0000-0100-000009000000}" name="Column9" headerRowDxfId="3"/>
    <tableColumn id="10" xr3:uid="{00000000-0010-0000-0100-00000A000000}" name="Column10" headerRowDxfId="2"/>
    <tableColumn id="11" xr3:uid="{00000000-0010-0000-0100-00000B000000}" name="Column11" headerRow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www.screener.in/"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www.screener.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creener.i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reener.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creener.in/excel/" TargetMode="Externa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8.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9.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20.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21.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22.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24.xml.rels><?xml version="1.0" encoding="UTF-8" standalone="yes"?>
<Relationships xmlns="http://schemas.openxmlformats.org/package/2006/relationships"><Relationship Id="rId3" Type="http://schemas.microsoft.com/office/2007/relationships/slicer" Target="../slicers/slicer13.xml"/><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3" Type="http://schemas.microsoft.com/office/2007/relationships/slicer" Target="../slicers/slicer14.xml"/><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AA1F-C6B8-48D0-A4BB-81DAAB1B936D}">
  <dimension ref="B2:Y73"/>
  <sheetViews>
    <sheetView tabSelected="1" zoomScale="86" zoomScaleNormal="86" workbookViewId="0">
      <selection activeCell="N7" sqref="N7"/>
    </sheetView>
  </sheetViews>
  <sheetFormatPr defaultRowHeight="14.4" x14ac:dyDescent="0.3"/>
  <cols>
    <col min="2" max="2" width="43.88671875" customWidth="1"/>
    <col min="3" max="3" width="13.77734375" customWidth="1"/>
    <col min="4" max="7" width="9.109375" customWidth="1"/>
    <col min="8" max="8" width="11.6640625" customWidth="1"/>
    <col min="10" max="10" width="45.21875" customWidth="1"/>
    <col min="13" max="13" width="10.21875" customWidth="1"/>
    <col min="16" max="16" width="11.6640625" customWidth="1"/>
    <col min="19" max="19" width="63.109375" customWidth="1"/>
    <col min="21" max="21" width="10.33203125" customWidth="1"/>
    <col min="23" max="23" width="10.44140625" customWidth="1"/>
    <col min="25" max="25" width="11.44140625" customWidth="1"/>
  </cols>
  <sheetData>
    <row r="2" spans="2:25" ht="15" thickBot="1" x14ac:dyDescent="0.35"/>
    <row r="3" spans="2:25" x14ac:dyDescent="0.3">
      <c r="B3" s="46" t="s">
        <v>282</v>
      </c>
      <c r="C3" s="100"/>
      <c r="D3" s="100" t="s">
        <v>148</v>
      </c>
      <c r="E3" s="100"/>
      <c r="F3" s="100"/>
      <c r="G3" s="35"/>
      <c r="H3" s="35"/>
      <c r="J3" s="150" t="s">
        <v>274</v>
      </c>
      <c r="K3" s="35"/>
      <c r="L3" s="35" t="s">
        <v>148</v>
      </c>
      <c r="M3" s="100"/>
      <c r="N3" s="100"/>
      <c r="O3" s="100" t="s">
        <v>150</v>
      </c>
      <c r="P3" s="100"/>
      <c r="S3" s="112" t="s">
        <v>147</v>
      </c>
      <c r="T3" s="105"/>
      <c r="U3" s="65" t="s">
        <v>276</v>
      </c>
      <c r="V3" s="65"/>
      <c r="W3" s="65"/>
      <c r="X3" s="65"/>
      <c r="Y3" s="106"/>
    </row>
    <row r="4" spans="2:25" x14ac:dyDescent="0.3">
      <c r="B4" s="47" t="s">
        <v>109</v>
      </c>
      <c r="C4" s="36">
        <v>43525</v>
      </c>
      <c r="D4" s="36">
        <v>43891</v>
      </c>
      <c r="E4" s="36">
        <v>44256</v>
      </c>
      <c r="F4" s="36">
        <v>44621</v>
      </c>
      <c r="G4" s="37" t="s">
        <v>110</v>
      </c>
      <c r="H4" s="38" t="s">
        <v>111</v>
      </c>
      <c r="J4" s="47" t="s">
        <v>149</v>
      </c>
      <c r="K4" s="36">
        <v>43525</v>
      </c>
      <c r="L4" s="36">
        <v>43891</v>
      </c>
      <c r="M4" s="36">
        <v>44256</v>
      </c>
      <c r="N4" s="36">
        <v>44621</v>
      </c>
      <c r="O4" s="37" t="s">
        <v>110</v>
      </c>
      <c r="P4" s="38" t="s">
        <v>111</v>
      </c>
      <c r="S4" s="107" t="s">
        <v>109</v>
      </c>
      <c r="T4" s="36">
        <v>43525</v>
      </c>
      <c r="U4" s="36">
        <v>43891</v>
      </c>
      <c r="V4" s="36">
        <v>44256</v>
      </c>
      <c r="W4" s="36">
        <v>44621</v>
      </c>
      <c r="X4" s="37" t="s">
        <v>110</v>
      </c>
      <c r="Y4" s="108" t="s">
        <v>111</v>
      </c>
    </row>
    <row r="5" spans="2:25" x14ac:dyDescent="0.3">
      <c r="B5" s="48" t="s">
        <v>112</v>
      </c>
      <c r="C5" s="39"/>
      <c r="D5" s="39"/>
      <c r="E5" s="39"/>
      <c r="F5" s="39"/>
      <c r="G5" s="39"/>
      <c r="H5" s="39"/>
      <c r="J5" s="48" t="s">
        <v>112</v>
      </c>
      <c r="K5" s="42"/>
      <c r="L5" s="42"/>
      <c r="M5" s="42"/>
      <c r="N5" s="42"/>
      <c r="O5" s="42"/>
      <c r="P5" s="42"/>
      <c r="S5" s="109" t="s">
        <v>112</v>
      </c>
      <c r="Y5" s="87"/>
    </row>
    <row r="6" spans="2:25" x14ac:dyDescent="0.3">
      <c r="B6" s="49" t="s">
        <v>113</v>
      </c>
      <c r="C6" s="41">
        <v>8437.2999999999993</v>
      </c>
      <c r="D6" s="41">
        <v>8622.8700000000008</v>
      </c>
      <c r="E6" s="41">
        <v>9507.81</v>
      </c>
      <c r="F6" s="41">
        <v>10808.03</v>
      </c>
      <c r="G6" s="41">
        <v>11426.51</v>
      </c>
      <c r="H6" s="40"/>
      <c r="J6" s="49" t="s">
        <v>113</v>
      </c>
      <c r="K6" s="42"/>
      <c r="L6" s="92">
        <f>(D6-C6)/C6</f>
        <v>2.1994002820807788E-2</v>
      </c>
      <c r="M6" s="92">
        <f>(E6-C6)/C6</f>
        <v>0.12687826674410063</v>
      </c>
      <c r="N6" s="92">
        <f>(F6-C6)/C6</f>
        <v>0.28098206772308698</v>
      </c>
      <c r="O6" s="92">
        <f>(G6-C6)/C6</f>
        <v>0.35428513861069316</v>
      </c>
      <c r="P6" s="42"/>
      <c r="S6" s="110" t="s">
        <v>113</v>
      </c>
      <c r="T6" s="5">
        <f>C6/$C$12</f>
        <v>0.95756971840257121</v>
      </c>
      <c r="U6" s="5">
        <f>D6/$D$12</f>
        <v>0.95916987117808483</v>
      </c>
      <c r="V6" s="5">
        <f>E6/$E$12</f>
        <v>0.96311952422484448</v>
      </c>
      <c r="W6" s="5">
        <f>F6/$F$12</f>
        <v>0.95800241804528341</v>
      </c>
      <c r="X6" s="5">
        <f>G6/$G$12</f>
        <v>0.95417476668603984</v>
      </c>
      <c r="Y6" s="87"/>
    </row>
    <row r="7" spans="2:25" x14ac:dyDescent="0.3">
      <c r="B7" s="45" t="s">
        <v>114</v>
      </c>
      <c r="C7" s="42">
        <v>18.059999999999999</v>
      </c>
      <c r="D7" s="42">
        <v>18.95</v>
      </c>
      <c r="E7" s="42">
        <v>15.05</v>
      </c>
      <c r="F7" s="42">
        <v>0</v>
      </c>
      <c r="G7" s="42">
        <v>0</v>
      </c>
      <c r="H7" s="40"/>
      <c r="J7" s="45" t="s">
        <v>114</v>
      </c>
      <c r="K7" s="42"/>
      <c r="L7" s="92">
        <f t="shared" ref="L7:L41" si="0">(D7-C7)/C7</f>
        <v>4.9280177187153967E-2</v>
      </c>
      <c r="M7" s="92">
        <f t="shared" ref="M7:M41" si="1">(E7-C7)/C7</f>
        <v>-0.16666666666666657</v>
      </c>
      <c r="N7" s="92">
        <f t="shared" ref="N7:N41" si="2">(F7-C7)/C7</f>
        <v>-1</v>
      </c>
      <c r="O7" s="92">
        <f t="shared" ref="O7:O41" si="3">(G7-C7)/C7</f>
        <v>-1</v>
      </c>
      <c r="P7" s="42"/>
      <c r="S7" s="111" t="s">
        <v>114</v>
      </c>
      <c r="T7" s="5">
        <f t="shared" ref="T7:T12" si="4">C7/$C$12</f>
        <v>2.0496733687732373E-3</v>
      </c>
      <c r="U7" s="5">
        <f t="shared" ref="U7:U12" si="5">D7/$D$12</f>
        <v>2.1079140771952617E-3</v>
      </c>
      <c r="V7" s="5">
        <f t="shared" ref="V7:V12" si="6">E7/$E$12</f>
        <v>1.5245307636126417E-3</v>
      </c>
      <c r="W7" s="5">
        <f t="shared" ref="W7:W12" si="7">F7/$F$12</f>
        <v>0</v>
      </c>
      <c r="X7" s="5">
        <f t="shared" ref="X7:X12" si="8">G7/$G$12</f>
        <v>0</v>
      </c>
      <c r="Y7" s="87"/>
    </row>
    <row r="8" spans="2:25" x14ac:dyDescent="0.3">
      <c r="B8" s="49" t="s">
        <v>115</v>
      </c>
      <c r="C8" s="41">
        <v>8419.24</v>
      </c>
      <c r="D8" s="41">
        <v>8603.92</v>
      </c>
      <c r="E8" s="41">
        <v>9492.76</v>
      </c>
      <c r="F8" s="41">
        <v>10808.03</v>
      </c>
      <c r="G8" s="41">
        <v>11426.51</v>
      </c>
      <c r="H8" s="40"/>
      <c r="J8" s="49" t="s">
        <v>115</v>
      </c>
      <c r="K8" s="42"/>
      <c r="L8" s="92">
        <f t="shared" si="0"/>
        <v>2.1935471610264143E-2</v>
      </c>
      <c r="M8" s="92">
        <f t="shared" si="1"/>
        <v>0.12750794608539492</v>
      </c>
      <c r="N8" s="92">
        <f t="shared" si="2"/>
        <v>0.2837298853578234</v>
      </c>
      <c r="O8" s="92">
        <f t="shared" si="3"/>
        <v>0.35719019769005284</v>
      </c>
      <c r="P8" s="42"/>
      <c r="S8" s="110" t="s">
        <v>115</v>
      </c>
      <c r="T8" s="5">
        <f t="shared" si="4"/>
        <v>0.95552004503379806</v>
      </c>
      <c r="U8" s="5">
        <f t="shared" si="5"/>
        <v>0.95706195710088948</v>
      </c>
      <c r="V8" s="5">
        <f t="shared" si="6"/>
        <v>0.9615949934612319</v>
      </c>
      <c r="W8" s="5">
        <f t="shared" si="7"/>
        <v>0.95800241804528341</v>
      </c>
      <c r="X8" s="5">
        <f t="shared" si="8"/>
        <v>0.95417476668603984</v>
      </c>
      <c r="Y8" s="87"/>
    </row>
    <row r="9" spans="2:25" x14ac:dyDescent="0.3">
      <c r="B9" s="45" t="s">
        <v>116</v>
      </c>
      <c r="C9" s="42">
        <v>95.75</v>
      </c>
      <c r="D9" s="42">
        <v>80.72</v>
      </c>
      <c r="E9" s="42">
        <v>53.84</v>
      </c>
      <c r="F9" s="42">
        <v>80.650000000000006</v>
      </c>
      <c r="G9" s="42">
        <v>103.38</v>
      </c>
      <c r="H9" s="40"/>
      <c r="J9" s="45" t="s">
        <v>116</v>
      </c>
      <c r="K9" s="42"/>
      <c r="L9" s="92">
        <f t="shared" si="0"/>
        <v>-0.15697127937336816</v>
      </c>
      <c r="M9" s="92">
        <f t="shared" si="1"/>
        <v>-0.43770234986945167</v>
      </c>
      <c r="N9" s="92">
        <f t="shared" si="2"/>
        <v>-0.15770234986945164</v>
      </c>
      <c r="O9" s="92">
        <f t="shared" si="3"/>
        <v>7.9686684073107E-2</v>
      </c>
      <c r="P9" s="42"/>
      <c r="S9" s="111" t="s">
        <v>116</v>
      </c>
      <c r="T9" s="5">
        <f t="shared" si="4"/>
        <v>1.0866900612405177E-2</v>
      </c>
      <c r="U9" s="5">
        <f t="shared" si="5"/>
        <v>8.9789353198523238E-3</v>
      </c>
      <c r="V9" s="5">
        <f t="shared" si="6"/>
        <v>5.4538695224521346E-3</v>
      </c>
      <c r="W9" s="5">
        <f t="shared" si="7"/>
        <v>7.148656602114549E-3</v>
      </c>
      <c r="X9" s="5">
        <f t="shared" si="8"/>
        <v>8.6327835340802052E-3</v>
      </c>
      <c r="Y9" s="87"/>
    </row>
    <row r="10" spans="2:25" x14ac:dyDescent="0.3">
      <c r="B10" s="49" t="s">
        <v>117</v>
      </c>
      <c r="C10" s="41">
        <v>8514.99</v>
      </c>
      <c r="D10" s="41">
        <v>8684.64</v>
      </c>
      <c r="E10" s="41">
        <v>9546.6</v>
      </c>
      <c r="F10" s="41">
        <v>10888.68</v>
      </c>
      <c r="G10" s="41">
        <v>11529.89</v>
      </c>
      <c r="H10" s="40"/>
      <c r="J10" s="49" t="s">
        <v>117</v>
      </c>
      <c r="K10" s="42"/>
      <c r="L10" s="92">
        <f t="shared" si="0"/>
        <v>1.9923687520478548E-2</v>
      </c>
      <c r="M10" s="92">
        <f t="shared" si="1"/>
        <v>0.12115222683761233</v>
      </c>
      <c r="N10" s="92">
        <f t="shared" si="2"/>
        <v>0.27876603495717561</v>
      </c>
      <c r="O10" s="92">
        <f t="shared" si="3"/>
        <v>0.35406970530793341</v>
      </c>
      <c r="P10" s="42"/>
      <c r="S10" s="110" t="s">
        <v>117</v>
      </c>
      <c r="T10" s="5">
        <f t="shared" si="4"/>
        <v>0.9663869456462032</v>
      </c>
      <c r="U10" s="5">
        <f t="shared" si="5"/>
        <v>0.96604089242074176</v>
      </c>
      <c r="V10" s="5">
        <f t="shared" si="6"/>
        <v>0.96704886298368409</v>
      </c>
      <c r="W10" s="5">
        <f t="shared" si="7"/>
        <v>0.96515107464739791</v>
      </c>
      <c r="X10" s="5">
        <f t="shared" si="8"/>
        <v>0.96280755022011999</v>
      </c>
      <c r="Y10" s="87"/>
    </row>
    <row r="11" spans="2:25" x14ac:dyDescent="0.3">
      <c r="B11" s="45" t="s">
        <v>9</v>
      </c>
      <c r="C11" s="42">
        <v>296.17</v>
      </c>
      <c r="D11" s="42">
        <v>305.29000000000002</v>
      </c>
      <c r="E11" s="42">
        <v>325.29000000000002</v>
      </c>
      <c r="F11" s="42">
        <v>393.16</v>
      </c>
      <c r="G11" s="42">
        <v>445.39</v>
      </c>
      <c r="H11" s="40"/>
      <c r="J11" s="45" t="s">
        <v>9</v>
      </c>
      <c r="K11" s="42"/>
      <c r="L11" s="92">
        <f t="shared" si="0"/>
        <v>3.0793125569774128E-2</v>
      </c>
      <c r="M11" s="92">
        <f t="shared" si="1"/>
        <v>9.832190971401561E-2</v>
      </c>
      <c r="N11" s="92">
        <f t="shared" si="2"/>
        <v>0.32748083870749911</v>
      </c>
      <c r="O11" s="92">
        <f t="shared" si="3"/>
        <v>0.50383225850018554</v>
      </c>
      <c r="P11" s="42"/>
      <c r="S11" s="111" t="s">
        <v>9</v>
      </c>
      <c r="T11" s="5">
        <f t="shared" si="4"/>
        <v>3.361305435379678E-2</v>
      </c>
      <c r="U11" s="5">
        <f t="shared" si="5"/>
        <v>3.395910757925813E-2</v>
      </c>
      <c r="V11" s="5">
        <f t="shared" si="6"/>
        <v>3.295113701631603E-2</v>
      </c>
      <c r="W11" s="5">
        <f t="shared" si="7"/>
        <v>3.4848925352602061E-2</v>
      </c>
      <c r="X11" s="5">
        <f t="shared" si="8"/>
        <v>3.7192449779879885E-2</v>
      </c>
      <c r="Y11" s="87"/>
    </row>
    <row r="12" spans="2:25" x14ac:dyDescent="0.3">
      <c r="B12" s="45" t="s">
        <v>118</v>
      </c>
      <c r="C12" s="43">
        <v>8811.16</v>
      </c>
      <c r="D12" s="43">
        <v>8989.93</v>
      </c>
      <c r="E12" s="43">
        <v>9871.89</v>
      </c>
      <c r="F12" s="43">
        <v>11281.84</v>
      </c>
      <c r="G12" s="43">
        <v>11975.28</v>
      </c>
      <c r="H12" s="40"/>
      <c r="J12" s="45" t="s">
        <v>118</v>
      </c>
      <c r="K12" s="42"/>
      <c r="L12" s="92">
        <f t="shared" si="0"/>
        <v>2.0289042532424837E-2</v>
      </c>
      <c r="M12" s="92">
        <f t="shared" si="1"/>
        <v>0.12038483014722234</v>
      </c>
      <c r="N12" s="92">
        <f t="shared" si="2"/>
        <v>0.28040348830346973</v>
      </c>
      <c r="O12" s="92">
        <f t="shared" si="3"/>
        <v>0.3591036821485481</v>
      </c>
      <c r="P12" s="42"/>
      <c r="S12" s="111" t="s">
        <v>118</v>
      </c>
      <c r="T12" s="5">
        <f t="shared" si="4"/>
        <v>1</v>
      </c>
      <c r="U12" s="5">
        <f t="shared" si="5"/>
        <v>1</v>
      </c>
      <c r="V12" s="5">
        <f t="shared" si="6"/>
        <v>1</v>
      </c>
      <c r="W12" s="5">
        <f t="shared" si="7"/>
        <v>1</v>
      </c>
      <c r="X12" s="5">
        <f t="shared" si="8"/>
        <v>1</v>
      </c>
      <c r="Y12" s="87"/>
    </row>
    <row r="13" spans="2:25" x14ac:dyDescent="0.3">
      <c r="B13" s="48" t="s">
        <v>119</v>
      </c>
      <c r="C13" s="39"/>
      <c r="D13" s="39"/>
      <c r="E13" s="39"/>
      <c r="F13" s="39"/>
      <c r="G13" s="39"/>
      <c r="H13" s="40"/>
      <c r="J13" s="48" t="s">
        <v>119</v>
      </c>
      <c r="K13" s="42"/>
      <c r="L13" s="92"/>
      <c r="M13" s="92"/>
      <c r="N13" s="92"/>
      <c r="O13" s="92"/>
      <c r="P13" s="42"/>
      <c r="S13" s="109" t="s">
        <v>119</v>
      </c>
      <c r="T13" s="5"/>
      <c r="U13" s="5"/>
      <c r="V13" s="5"/>
      <c r="W13" s="5"/>
      <c r="X13" s="5"/>
      <c r="Y13" s="87"/>
    </row>
    <row r="14" spans="2:25" x14ac:dyDescent="0.3">
      <c r="B14" s="45" t="s">
        <v>120</v>
      </c>
      <c r="C14" s="43">
        <v>3475.35</v>
      </c>
      <c r="D14" s="43">
        <v>3731.71</v>
      </c>
      <c r="E14" s="43">
        <v>3998.58</v>
      </c>
      <c r="F14" s="43">
        <v>4766.12</v>
      </c>
      <c r="G14" s="43">
        <v>5306.97</v>
      </c>
      <c r="H14" s="40"/>
      <c r="J14" s="45" t="s">
        <v>120</v>
      </c>
      <c r="K14" s="42"/>
      <c r="L14" s="92">
        <f t="shared" si="0"/>
        <v>7.3765232278763332E-2</v>
      </c>
      <c r="M14" s="92">
        <f t="shared" si="1"/>
        <v>0.15055462039794554</v>
      </c>
      <c r="N14" s="92">
        <f t="shared" si="2"/>
        <v>0.37140719639748515</v>
      </c>
      <c r="O14" s="92">
        <f t="shared" si="3"/>
        <v>0.52703180974578112</v>
      </c>
      <c r="P14" s="42"/>
      <c r="S14" s="111" t="s">
        <v>120</v>
      </c>
      <c r="T14" s="5">
        <f>C14/$C$21</f>
        <v>0.49563528339639273</v>
      </c>
      <c r="U14" s="5">
        <f>D14/$D$21</f>
        <v>0.52102263525022763</v>
      </c>
      <c r="V14" s="5">
        <f>E14/$E$21</f>
        <v>0.51166367663656165</v>
      </c>
      <c r="W14" s="5">
        <f>F14/$F$21</f>
        <v>0.53393768568599065</v>
      </c>
      <c r="X14" s="5">
        <f>G14/$G$21</f>
        <v>0.54402730095530794</v>
      </c>
      <c r="Y14" s="87"/>
    </row>
    <row r="15" spans="2:25" x14ac:dyDescent="0.3">
      <c r="B15" s="45" t="s">
        <v>121</v>
      </c>
      <c r="C15" s="42">
        <v>802.98</v>
      </c>
      <c r="D15" s="42">
        <v>674.62</v>
      </c>
      <c r="E15" s="42">
        <v>982.53</v>
      </c>
      <c r="F15" s="42">
        <v>882.12</v>
      </c>
      <c r="G15" s="43">
        <v>1052.49</v>
      </c>
      <c r="H15" s="42"/>
      <c r="J15" s="45" t="s">
        <v>121</v>
      </c>
      <c r="K15" s="42"/>
      <c r="L15" s="92">
        <f t="shared" si="0"/>
        <v>-0.15985454183167702</v>
      </c>
      <c r="M15" s="92">
        <f t="shared" si="1"/>
        <v>0.22360457296570269</v>
      </c>
      <c r="N15" s="92">
        <f t="shared" si="2"/>
        <v>9.8557871927071633E-2</v>
      </c>
      <c r="O15" s="92">
        <f t="shared" si="3"/>
        <v>0.31073003063588134</v>
      </c>
      <c r="P15" s="42"/>
      <c r="S15" s="111" t="s">
        <v>121</v>
      </c>
      <c r="T15" s="5">
        <f t="shared" ref="T15:T20" si="9">C15/$C$21</f>
        <v>0.11451658677878068</v>
      </c>
      <c r="U15" s="5">
        <f t="shared" ref="U15:U20" si="10">D15/$D$21</f>
        <v>9.4190676711885052E-2</v>
      </c>
      <c r="V15" s="5">
        <f t="shared" ref="V15:V20" si="11">E15/$E$21</f>
        <v>0.12572586073199007</v>
      </c>
      <c r="W15" s="5">
        <f t="shared" ref="W15:W20" si="12">F15/$F$21</f>
        <v>9.8821916212207428E-2</v>
      </c>
      <c r="X15" s="5">
        <f t="shared" ref="X15:X20" si="13">G15/$G$21</f>
        <v>0.10789269469818975</v>
      </c>
      <c r="Y15" s="87"/>
    </row>
    <row r="16" spans="2:25" x14ac:dyDescent="0.3">
      <c r="B16" s="45" t="s">
        <v>122</v>
      </c>
      <c r="C16" s="42">
        <v>12.64</v>
      </c>
      <c r="D16" s="42">
        <v>-65.040000000000006</v>
      </c>
      <c r="E16" s="42">
        <v>-207.2</v>
      </c>
      <c r="F16" s="42">
        <v>-8.5500000000000007</v>
      </c>
      <c r="G16" s="42">
        <v>-90.79</v>
      </c>
      <c r="H16" s="42"/>
      <c r="J16" s="45" t="s">
        <v>122</v>
      </c>
      <c r="K16" s="42"/>
      <c r="L16" s="92">
        <f t="shared" si="0"/>
        <v>-6.1455696202531644</v>
      </c>
      <c r="M16" s="92">
        <f t="shared" si="1"/>
        <v>-17.392405063291136</v>
      </c>
      <c r="N16" s="92">
        <f t="shared" si="2"/>
        <v>-1.6764240506329113</v>
      </c>
      <c r="O16" s="92">
        <f t="shared" si="3"/>
        <v>-8.1827531645569618</v>
      </c>
      <c r="P16" s="42"/>
      <c r="S16" s="111" t="s">
        <v>122</v>
      </c>
      <c r="T16" s="5">
        <f t="shared" si="9"/>
        <v>1.8026472102465664E-3</v>
      </c>
      <c r="U16" s="5">
        <f t="shared" si="10"/>
        <v>-9.0809071971495129E-3</v>
      </c>
      <c r="V16" s="5">
        <f t="shared" si="11"/>
        <v>-2.651359077449884E-2</v>
      </c>
      <c r="W16" s="5">
        <f t="shared" si="12"/>
        <v>-9.5783723712689159E-4</v>
      </c>
      <c r="X16" s="5">
        <f t="shared" si="13"/>
        <v>-9.3070506623803059E-3</v>
      </c>
      <c r="Y16" s="87"/>
    </row>
    <row r="17" spans="2:25" x14ac:dyDescent="0.3">
      <c r="B17" s="45" t="s">
        <v>123</v>
      </c>
      <c r="C17" s="42">
        <v>937.91</v>
      </c>
      <c r="D17" s="42">
        <v>947.74</v>
      </c>
      <c r="E17" s="43">
        <v>1033.46</v>
      </c>
      <c r="F17" s="43">
        <v>1079.95</v>
      </c>
      <c r="G17" s="43">
        <v>1137</v>
      </c>
      <c r="H17" s="42"/>
      <c r="J17" s="45" t="s">
        <v>123</v>
      </c>
      <c r="K17" s="42"/>
      <c r="L17" s="92">
        <f t="shared" si="0"/>
        <v>1.0480749752108455E-2</v>
      </c>
      <c r="M17" s="92">
        <f t="shared" si="1"/>
        <v>0.10187544647140992</v>
      </c>
      <c r="N17" s="92">
        <f t="shared" si="2"/>
        <v>0.15144310221663068</v>
      </c>
      <c r="O17" s="92">
        <f t="shared" si="3"/>
        <v>0.2122698339926006</v>
      </c>
      <c r="P17" s="42"/>
      <c r="S17" s="111" t="s">
        <v>123</v>
      </c>
      <c r="T17" s="5">
        <f t="shared" si="9"/>
        <v>0.13375956051917381</v>
      </c>
      <c r="U17" s="5">
        <f t="shared" si="10"/>
        <v>0.13232378516338372</v>
      </c>
      <c r="V17" s="5">
        <f t="shared" si="11"/>
        <v>0.13224293205508481</v>
      </c>
      <c r="W17" s="5">
        <f t="shared" si="12"/>
        <v>0.12098436540762415</v>
      </c>
      <c r="X17" s="5">
        <f t="shared" si="13"/>
        <v>0.11655597095634329</v>
      </c>
      <c r="Y17" s="87"/>
    </row>
    <row r="18" spans="2:25" x14ac:dyDescent="0.3">
      <c r="B18" s="45" t="s">
        <v>124</v>
      </c>
      <c r="C18" s="42">
        <v>59.58</v>
      </c>
      <c r="D18" s="42">
        <v>49.54</v>
      </c>
      <c r="E18" s="42">
        <v>30.81</v>
      </c>
      <c r="F18" s="42">
        <v>38.6</v>
      </c>
      <c r="G18" s="42">
        <v>78.239999999999995</v>
      </c>
      <c r="H18" s="42"/>
      <c r="J18" s="45" t="s">
        <v>124</v>
      </c>
      <c r="K18" s="42"/>
      <c r="L18" s="92">
        <f t="shared" si="0"/>
        <v>-0.16851292379993285</v>
      </c>
      <c r="M18" s="92">
        <f t="shared" si="1"/>
        <v>-0.48288016112789528</v>
      </c>
      <c r="N18" s="92">
        <f t="shared" si="2"/>
        <v>-0.35213158778113457</v>
      </c>
      <c r="O18" s="92">
        <f t="shared" si="3"/>
        <v>0.31319234642497479</v>
      </c>
      <c r="P18" s="42"/>
      <c r="S18" s="111" t="s">
        <v>124</v>
      </c>
      <c r="T18" s="5">
        <f t="shared" si="9"/>
        <v>8.4969715812096853E-3</v>
      </c>
      <c r="U18" s="5">
        <f t="shared" si="10"/>
        <v>6.9167918595754423E-3</v>
      </c>
      <c r="V18" s="5">
        <f t="shared" si="11"/>
        <v>3.942489052906898E-3</v>
      </c>
      <c r="W18" s="5">
        <f t="shared" si="12"/>
        <v>4.3242710354500597E-3</v>
      </c>
      <c r="X18" s="5">
        <f t="shared" si="13"/>
        <v>8.0205269724048355E-3</v>
      </c>
      <c r="Y18" s="87"/>
    </row>
    <row r="19" spans="2:25" x14ac:dyDescent="0.3">
      <c r="B19" s="45" t="s">
        <v>125</v>
      </c>
      <c r="C19" s="42">
        <v>176.9</v>
      </c>
      <c r="D19" s="42">
        <v>220.45</v>
      </c>
      <c r="E19" s="42">
        <v>240.13</v>
      </c>
      <c r="F19" s="42">
        <v>252.89</v>
      </c>
      <c r="G19" s="42">
        <v>310.95999999999998</v>
      </c>
      <c r="H19" s="42"/>
      <c r="J19" s="45" t="s">
        <v>125</v>
      </c>
      <c r="K19" s="42"/>
      <c r="L19" s="92">
        <f t="shared" si="0"/>
        <v>0.24618428490672686</v>
      </c>
      <c r="M19" s="92">
        <f t="shared" si="1"/>
        <v>0.35743357829282074</v>
      </c>
      <c r="N19" s="92">
        <f t="shared" si="2"/>
        <v>0.42956472583380428</v>
      </c>
      <c r="O19" s="92">
        <f t="shared" si="3"/>
        <v>0.75782928208027112</v>
      </c>
      <c r="P19" s="42"/>
      <c r="S19" s="111" t="s">
        <v>125</v>
      </c>
      <c r="T19" s="5">
        <f t="shared" si="9"/>
        <v>2.5228504073783038E-2</v>
      </c>
      <c r="U19" s="5">
        <f t="shared" si="10"/>
        <v>3.077930491407764E-2</v>
      </c>
      <c r="V19" s="5">
        <f t="shared" si="11"/>
        <v>3.0727357879731691E-2</v>
      </c>
      <c r="W19" s="5">
        <f t="shared" si="12"/>
        <v>2.8330696947019833E-2</v>
      </c>
      <c r="X19" s="5">
        <f t="shared" si="13"/>
        <v>3.1877084194005721E-2</v>
      </c>
      <c r="Y19" s="87"/>
    </row>
    <row r="20" spans="2:25" x14ac:dyDescent="0.3">
      <c r="B20" s="45" t="s">
        <v>86</v>
      </c>
      <c r="C20" s="43">
        <v>1546.55</v>
      </c>
      <c r="D20" s="43">
        <v>1603.26</v>
      </c>
      <c r="E20" s="43">
        <v>1736.55</v>
      </c>
      <c r="F20" s="43">
        <v>1915.23</v>
      </c>
      <c r="G20" s="43">
        <v>1960.1</v>
      </c>
      <c r="H20" s="42"/>
      <c r="J20" s="45" t="s">
        <v>86</v>
      </c>
      <c r="K20" s="42"/>
      <c r="L20" s="92">
        <f t="shared" si="0"/>
        <v>3.6668714234909985E-2</v>
      </c>
      <c r="M20" s="92">
        <f t="shared" si="1"/>
        <v>0.12285409459765284</v>
      </c>
      <c r="N20" s="92">
        <f t="shared" si="2"/>
        <v>0.23838867155927715</v>
      </c>
      <c r="O20" s="92">
        <f t="shared" si="3"/>
        <v>0.26740163589925964</v>
      </c>
      <c r="P20" s="42"/>
      <c r="S20" s="111" t="s">
        <v>86</v>
      </c>
      <c r="T20" s="5">
        <f t="shared" si="9"/>
        <v>0.22056044644041353</v>
      </c>
      <c r="U20" s="5">
        <f t="shared" si="10"/>
        <v>0.22384771329800007</v>
      </c>
      <c r="V20" s="5">
        <f t="shared" si="11"/>
        <v>0.22221127441822375</v>
      </c>
      <c r="W20" s="5">
        <f t="shared" si="12"/>
        <v>0.21455890194883467</v>
      </c>
      <c r="X20" s="5">
        <f t="shared" si="13"/>
        <v>0.20093347288612881</v>
      </c>
      <c r="Y20" s="87"/>
    </row>
    <row r="21" spans="2:25" x14ac:dyDescent="0.3">
      <c r="B21" s="48" t="s">
        <v>126</v>
      </c>
      <c r="C21" s="44">
        <v>7011.91</v>
      </c>
      <c r="D21" s="44">
        <v>7162.28</v>
      </c>
      <c r="E21" s="44">
        <v>7814.86</v>
      </c>
      <c r="F21" s="44">
        <v>8926.36</v>
      </c>
      <c r="G21" s="44">
        <v>9754.9699999999993</v>
      </c>
      <c r="H21" s="39"/>
      <c r="J21" s="48" t="s">
        <v>126</v>
      </c>
      <c r="K21" s="42"/>
      <c r="L21" s="92">
        <f t="shared" si="0"/>
        <v>2.1444941535187972E-2</v>
      </c>
      <c r="M21" s="92">
        <f t="shared" si="1"/>
        <v>0.11451230834394621</v>
      </c>
      <c r="N21" s="92">
        <f t="shared" si="2"/>
        <v>0.27302831896016933</v>
      </c>
      <c r="O21" s="92">
        <f t="shared" si="3"/>
        <v>0.39120011523251147</v>
      </c>
      <c r="P21" s="42"/>
      <c r="S21" s="109" t="s">
        <v>126</v>
      </c>
      <c r="T21" s="5">
        <f>C21/C21</f>
        <v>1</v>
      </c>
      <c r="U21" s="5">
        <f>D21/D21</f>
        <v>1</v>
      </c>
      <c r="V21" s="5">
        <f>E21/E21</f>
        <v>1</v>
      </c>
      <c r="W21" s="5">
        <f>F21/F21</f>
        <v>1</v>
      </c>
      <c r="X21" s="5">
        <f>G21/G21</f>
        <v>1</v>
      </c>
      <c r="Y21" s="87"/>
    </row>
    <row r="22" spans="2:25" x14ac:dyDescent="0.3">
      <c r="B22" s="45" t="s">
        <v>127</v>
      </c>
      <c r="C22" s="43">
        <v>1799.25</v>
      </c>
      <c r="D22" s="43">
        <v>1827.65</v>
      </c>
      <c r="E22" s="43">
        <v>2057.0300000000002</v>
      </c>
      <c r="F22" s="43">
        <v>2355.48</v>
      </c>
      <c r="G22" s="43">
        <v>2220.31</v>
      </c>
      <c r="H22" s="42"/>
      <c r="J22" s="45" t="s">
        <v>127</v>
      </c>
      <c r="K22" s="42"/>
      <c r="L22" s="92">
        <f t="shared" si="0"/>
        <v>1.5784354592191241E-2</v>
      </c>
      <c r="M22" s="92">
        <f t="shared" si="1"/>
        <v>0.14327080728081157</v>
      </c>
      <c r="N22" s="92">
        <f t="shared" si="2"/>
        <v>0.30914547728220093</v>
      </c>
      <c r="O22" s="92">
        <f t="shared" si="3"/>
        <v>0.2340197304432402</v>
      </c>
      <c r="P22" s="42"/>
      <c r="S22" s="111" t="s">
        <v>127</v>
      </c>
      <c r="T22" s="5"/>
      <c r="U22" s="5"/>
      <c r="V22" s="5"/>
      <c r="W22" s="5"/>
      <c r="X22" s="5"/>
      <c r="Y22" s="87"/>
    </row>
    <row r="23" spans="2:25" x14ac:dyDescent="0.3">
      <c r="B23" s="45" t="s">
        <v>128</v>
      </c>
      <c r="C23" s="42">
        <v>-75.34</v>
      </c>
      <c r="D23" s="42">
        <v>-100</v>
      </c>
      <c r="E23" s="42">
        <v>0</v>
      </c>
      <c r="F23" s="42">
        <v>-85</v>
      </c>
      <c r="G23" s="42">
        <v>0</v>
      </c>
      <c r="H23" s="42"/>
      <c r="J23" s="45" t="s">
        <v>128</v>
      </c>
      <c r="K23" s="42"/>
      <c r="L23" s="92">
        <f t="shared" si="0"/>
        <v>0.32731616671091046</v>
      </c>
      <c r="M23" s="92">
        <f t="shared" si="1"/>
        <v>-1</v>
      </c>
      <c r="N23" s="92">
        <f t="shared" si="2"/>
        <v>0.12821874170427391</v>
      </c>
      <c r="O23" s="92">
        <f t="shared" si="3"/>
        <v>-1</v>
      </c>
      <c r="P23" s="42"/>
      <c r="S23" s="111" t="s">
        <v>128</v>
      </c>
      <c r="T23" s="5"/>
      <c r="U23" s="5"/>
      <c r="V23" s="5"/>
      <c r="W23" s="5"/>
      <c r="X23" s="5"/>
      <c r="Y23" s="87"/>
    </row>
    <row r="24" spans="2:25" x14ac:dyDescent="0.3">
      <c r="B24" s="45" t="s">
        <v>129</v>
      </c>
      <c r="C24" s="43">
        <v>1723.91</v>
      </c>
      <c r="D24" s="43">
        <v>1727.65</v>
      </c>
      <c r="E24" s="43">
        <v>2057.0300000000002</v>
      </c>
      <c r="F24" s="43">
        <v>2270.48</v>
      </c>
      <c r="G24" s="43">
        <v>2220.31</v>
      </c>
      <c r="H24" s="42"/>
      <c r="J24" s="45" t="s">
        <v>129</v>
      </c>
      <c r="K24" s="42"/>
      <c r="L24" s="92">
        <f t="shared" si="0"/>
        <v>2.1694868061557788E-3</v>
      </c>
      <c r="M24" s="92">
        <f t="shared" si="1"/>
        <v>0.1932351456862598</v>
      </c>
      <c r="N24" s="92">
        <f t="shared" si="2"/>
        <v>0.31705251434239601</v>
      </c>
      <c r="O24" s="92">
        <f t="shared" si="3"/>
        <v>0.28795006699885717</v>
      </c>
      <c r="P24" s="42"/>
      <c r="S24" s="111" t="s">
        <v>129</v>
      </c>
      <c r="T24" s="5"/>
      <c r="U24" s="5"/>
      <c r="V24" s="5"/>
      <c r="W24" s="5"/>
      <c r="X24" s="5"/>
      <c r="Y24" s="87"/>
    </row>
    <row r="25" spans="2:25" x14ac:dyDescent="0.3">
      <c r="B25" s="45" t="s">
        <v>130</v>
      </c>
      <c r="C25" s="42"/>
      <c r="D25" s="42"/>
      <c r="E25" s="42"/>
      <c r="F25" s="42"/>
      <c r="G25" s="42"/>
      <c r="H25" s="42"/>
      <c r="J25" s="45" t="s">
        <v>130</v>
      </c>
      <c r="K25" s="42"/>
      <c r="L25" s="92"/>
      <c r="M25" s="92"/>
      <c r="N25" s="92"/>
      <c r="O25" s="92"/>
      <c r="P25" s="42"/>
      <c r="S25" s="111" t="s">
        <v>130</v>
      </c>
      <c r="T25" s="5"/>
      <c r="U25" s="5"/>
      <c r="V25" s="5"/>
      <c r="W25" s="5"/>
      <c r="X25" s="5"/>
      <c r="Y25" s="87"/>
    </row>
    <row r="26" spans="2:25" x14ac:dyDescent="0.3">
      <c r="B26" s="45" t="s">
        <v>131</v>
      </c>
      <c r="C26" s="42">
        <v>406.99</v>
      </c>
      <c r="D26" s="42">
        <v>465.42</v>
      </c>
      <c r="E26" s="42">
        <v>505.18</v>
      </c>
      <c r="F26" s="42">
        <v>442.17</v>
      </c>
      <c r="G26" s="42">
        <v>481.63</v>
      </c>
      <c r="H26" s="42"/>
      <c r="J26" s="45" t="s">
        <v>131</v>
      </c>
      <c r="K26" s="42"/>
      <c r="L26" s="92">
        <f t="shared" si="0"/>
        <v>0.14356618098724785</v>
      </c>
      <c r="M26" s="92">
        <f t="shared" si="1"/>
        <v>0.24125899899260422</v>
      </c>
      <c r="N26" s="92">
        <f t="shared" si="2"/>
        <v>8.6439470257254486E-2</v>
      </c>
      <c r="O26" s="92">
        <f t="shared" si="3"/>
        <v>0.18339516941448189</v>
      </c>
      <c r="P26" s="42"/>
      <c r="S26" s="111" t="s">
        <v>131</v>
      </c>
      <c r="T26" s="5">
        <f>C26/$C$28</f>
        <v>1.4607350513243844</v>
      </c>
      <c r="U26" s="5">
        <f>D26/$D$28</f>
        <v>1.6638781638781637</v>
      </c>
      <c r="V26" s="5">
        <f>E26/$E$28</f>
        <v>1.3991192843492952</v>
      </c>
      <c r="W26" s="5">
        <f>F26/$F$28</f>
        <v>0.84002051749686546</v>
      </c>
      <c r="X26" s="5">
        <f>G26/$G$28</f>
        <v>0.93095583260848547</v>
      </c>
      <c r="Y26" s="87"/>
    </row>
    <row r="27" spans="2:25" x14ac:dyDescent="0.3">
      <c r="B27" s="45" t="s">
        <v>132</v>
      </c>
      <c r="C27" s="42">
        <v>-128.37</v>
      </c>
      <c r="D27" s="42">
        <v>-185.7</v>
      </c>
      <c r="E27" s="42">
        <v>-144.11000000000001</v>
      </c>
      <c r="F27" s="42">
        <v>84.21</v>
      </c>
      <c r="G27" s="42">
        <v>35.72</v>
      </c>
      <c r="H27" s="42"/>
      <c r="J27" s="45" t="s">
        <v>132</v>
      </c>
      <c r="K27" s="42"/>
      <c r="L27" s="92">
        <f t="shared" si="0"/>
        <v>0.44659967282075236</v>
      </c>
      <c r="M27" s="92">
        <f t="shared" si="1"/>
        <v>0.12261431798706869</v>
      </c>
      <c r="N27" s="92">
        <f t="shared" si="2"/>
        <v>-1.6559943912129</v>
      </c>
      <c r="O27" s="92">
        <f t="shared" si="3"/>
        <v>-1.2782581600062319</v>
      </c>
      <c r="P27" s="42"/>
      <c r="S27" s="111" t="s">
        <v>132</v>
      </c>
      <c r="T27" s="5">
        <f>C27/$C$28</f>
        <v>-0.46073505132438447</v>
      </c>
      <c r="U27" s="5">
        <f>D27/$D$28</f>
        <v>-0.66387816387816379</v>
      </c>
      <c r="V27" s="5">
        <f>E27/$E$28</f>
        <v>-0.39911928434929522</v>
      </c>
      <c r="W27" s="5">
        <f>F27/$F$28</f>
        <v>0.1599794825031346</v>
      </c>
      <c r="X27" s="5">
        <f>G27/$G$28</f>
        <v>6.9044167391514449E-2</v>
      </c>
      <c r="Y27" s="87"/>
    </row>
    <row r="28" spans="2:25" x14ac:dyDescent="0.3">
      <c r="B28" s="49" t="s">
        <v>133</v>
      </c>
      <c r="C28" s="40">
        <v>278.62</v>
      </c>
      <c r="D28" s="40">
        <v>279.72000000000003</v>
      </c>
      <c r="E28" s="40">
        <v>361.07</v>
      </c>
      <c r="F28" s="40">
        <v>526.38</v>
      </c>
      <c r="G28" s="40">
        <v>517.35</v>
      </c>
      <c r="H28" s="40"/>
      <c r="J28" s="49" t="s">
        <v>133</v>
      </c>
      <c r="K28" s="42"/>
      <c r="L28" s="92">
        <f t="shared" si="0"/>
        <v>3.9480295743307111E-3</v>
      </c>
      <c r="M28" s="92">
        <f t="shared" si="1"/>
        <v>0.29592276218505487</v>
      </c>
      <c r="N28" s="92">
        <f t="shared" si="2"/>
        <v>0.88923982485105157</v>
      </c>
      <c r="O28" s="92">
        <f t="shared" si="3"/>
        <v>0.85683009116359199</v>
      </c>
      <c r="P28" s="42"/>
      <c r="S28" s="110" t="s">
        <v>133</v>
      </c>
      <c r="T28" s="5">
        <f>C28/$C$28</f>
        <v>1</v>
      </c>
      <c r="U28" s="5">
        <f>D28/$D$28</f>
        <v>1</v>
      </c>
      <c r="V28" s="5">
        <f>E28/$E$28</f>
        <v>1</v>
      </c>
      <c r="W28" s="5">
        <f>F28/$F$28</f>
        <v>1</v>
      </c>
      <c r="X28" s="5">
        <f>G28/$G$28</f>
        <v>1</v>
      </c>
      <c r="Y28" s="87"/>
    </row>
    <row r="29" spans="2:25" x14ac:dyDescent="0.3">
      <c r="B29" s="49" t="s">
        <v>134</v>
      </c>
      <c r="C29" s="41">
        <v>1445.29</v>
      </c>
      <c r="D29" s="41">
        <v>1447.93</v>
      </c>
      <c r="E29" s="41">
        <v>1695.96</v>
      </c>
      <c r="F29" s="41">
        <v>1744.1</v>
      </c>
      <c r="G29" s="41">
        <v>1702.96</v>
      </c>
      <c r="H29" s="40"/>
      <c r="J29" s="49" t="s">
        <v>134</v>
      </c>
      <c r="K29" s="42"/>
      <c r="L29" s="92">
        <f t="shared" si="0"/>
        <v>1.8266230306721142E-3</v>
      </c>
      <c r="M29" s="92">
        <f t="shared" si="1"/>
        <v>0.17343924056763699</v>
      </c>
      <c r="N29" s="92">
        <f t="shared" si="2"/>
        <v>0.2067474347708764</v>
      </c>
      <c r="O29" s="92">
        <f t="shared" si="3"/>
        <v>0.17828255920957045</v>
      </c>
      <c r="P29" s="42"/>
      <c r="S29" s="110" t="s">
        <v>134</v>
      </c>
      <c r="T29" s="5"/>
      <c r="U29" s="5"/>
      <c r="V29" s="5"/>
      <c r="W29" s="5"/>
      <c r="X29" s="5"/>
      <c r="Y29" s="87"/>
    </row>
    <row r="30" spans="2:25" x14ac:dyDescent="0.3">
      <c r="B30" s="49" t="s">
        <v>135</v>
      </c>
      <c r="C30" s="41">
        <v>1445.29</v>
      </c>
      <c r="D30" s="41">
        <v>1447.93</v>
      </c>
      <c r="E30" s="41">
        <v>1695.96</v>
      </c>
      <c r="F30" s="41">
        <v>1744.1</v>
      </c>
      <c r="G30" s="41">
        <v>1702.96</v>
      </c>
      <c r="H30" s="40"/>
      <c r="J30" s="49" t="s">
        <v>135</v>
      </c>
      <c r="K30" s="42"/>
      <c r="L30" s="92">
        <f t="shared" si="0"/>
        <v>1.8266230306721142E-3</v>
      </c>
      <c r="M30" s="92">
        <f t="shared" si="1"/>
        <v>0.17343924056763699</v>
      </c>
      <c r="N30" s="92">
        <f t="shared" si="2"/>
        <v>0.2067474347708764</v>
      </c>
      <c r="O30" s="92">
        <f t="shared" si="3"/>
        <v>0.17828255920957045</v>
      </c>
      <c r="P30" s="42"/>
      <c r="S30" s="110" t="s">
        <v>135</v>
      </c>
      <c r="T30" s="5"/>
      <c r="U30" s="5"/>
      <c r="V30" s="5"/>
      <c r="W30" s="5"/>
      <c r="X30" s="5"/>
      <c r="Y30" s="87"/>
    </row>
    <row r="31" spans="2:25" x14ac:dyDescent="0.3">
      <c r="B31" s="49" t="s">
        <v>136</v>
      </c>
      <c r="C31" s="41">
        <v>1445.29</v>
      </c>
      <c r="D31" s="41">
        <v>1447.93</v>
      </c>
      <c r="E31" s="41">
        <v>1695.96</v>
      </c>
      <c r="F31" s="41">
        <v>1744.1</v>
      </c>
      <c r="G31" s="41">
        <v>1702.96</v>
      </c>
      <c r="H31" s="40"/>
      <c r="J31" s="49" t="s">
        <v>136</v>
      </c>
      <c r="K31" s="42"/>
      <c r="L31" s="92">
        <f t="shared" si="0"/>
        <v>1.8266230306721142E-3</v>
      </c>
      <c r="M31" s="92">
        <f t="shared" si="1"/>
        <v>0.17343924056763699</v>
      </c>
      <c r="N31" s="92">
        <f t="shared" si="2"/>
        <v>0.2067474347708764</v>
      </c>
      <c r="O31" s="92">
        <f t="shared" si="3"/>
        <v>0.17828255920957045</v>
      </c>
      <c r="P31" s="42"/>
      <c r="S31" s="110" t="s">
        <v>136</v>
      </c>
      <c r="T31" s="5"/>
      <c r="U31" s="5"/>
      <c r="V31" s="5"/>
      <c r="W31" s="5"/>
      <c r="X31" s="5"/>
      <c r="Y31" s="87"/>
    </row>
    <row r="32" spans="2:25" x14ac:dyDescent="0.3">
      <c r="B32" s="45" t="s">
        <v>137</v>
      </c>
      <c r="C32" s="42">
        <v>-3.92</v>
      </c>
      <c r="D32" s="42">
        <v>-2.96</v>
      </c>
      <c r="E32" s="42">
        <v>-1.65</v>
      </c>
      <c r="F32" s="42">
        <v>-3.08</v>
      </c>
      <c r="G32" s="42">
        <v>5.82</v>
      </c>
      <c r="H32" s="42"/>
      <c r="J32" s="45" t="s">
        <v>137</v>
      </c>
      <c r="K32" s="42"/>
      <c r="L32" s="92">
        <f t="shared" si="0"/>
        <v>-0.24489795918367346</v>
      </c>
      <c r="M32" s="92">
        <f t="shared" si="1"/>
        <v>-0.57908163265306123</v>
      </c>
      <c r="N32" s="92">
        <f t="shared" si="2"/>
        <v>-0.21428571428571425</v>
      </c>
      <c r="O32" s="92">
        <f t="shared" si="3"/>
        <v>-2.4846938775510203</v>
      </c>
      <c r="P32" s="42"/>
      <c r="S32" s="111" t="s">
        <v>137</v>
      </c>
      <c r="T32" s="5"/>
      <c r="U32" s="5"/>
      <c r="V32" s="5"/>
      <c r="W32" s="5"/>
      <c r="X32" s="5"/>
      <c r="Y32" s="87"/>
    </row>
    <row r="33" spans="2:25" x14ac:dyDescent="0.3">
      <c r="B33" s="45" t="s">
        <v>138</v>
      </c>
      <c r="C33" s="42">
        <v>0.96</v>
      </c>
      <c r="D33" s="42">
        <v>-0.01</v>
      </c>
      <c r="E33" s="42">
        <v>-1.01</v>
      </c>
      <c r="F33" s="42">
        <v>-1.8</v>
      </c>
      <c r="G33" s="42">
        <v>-1.63</v>
      </c>
      <c r="H33" s="42"/>
      <c r="J33" s="45" t="s">
        <v>138</v>
      </c>
      <c r="K33" s="42"/>
      <c r="L33" s="92">
        <f t="shared" si="0"/>
        <v>-1.0104166666666667</v>
      </c>
      <c r="M33" s="92">
        <f t="shared" si="1"/>
        <v>-2.0520833333333335</v>
      </c>
      <c r="N33" s="92">
        <f t="shared" si="2"/>
        <v>-2.875</v>
      </c>
      <c r="O33" s="92">
        <f t="shared" si="3"/>
        <v>-2.6979166666666665</v>
      </c>
      <c r="P33" s="42"/>
      <c r="S33" s="111" t="s">
        <v>138</v>
      </c>
      <c r="T33" s="5"/>
      <c r="U33" s="5"/>
      <c r="V33" s="5"/>
      <c r="W33" s="5"/>
      <c r="X33" s="5"/>
      <c r="Y33" s="87"/>
    </row>
    <row r="34" spans="2:25" x14ac:dyDescent="0.3">
      <c r="B34" s="45" t="s">
        <v>139</v>
      </c>
      <c r="C34" s="43">
        <v>1442.33</v>
      </c>
      <c r="D34" s="43">
        <v>1444.96</v>
      </c>
      <c r="E34" s="43">
        <v>1693.3</v>
      </c>
      <c r="F34" s="43">
        <v>1739.22</v>
      </c>
      <c r="G34" s="43">
        <v>1707.15</v>
      </c>
      <c r="H34" s="42"/>
      <c r="J34" s="45" t="s">
        <v>139</v>
      </c>
      <c r="K34" s="42"/>
      <c r="L34" s="92">
        <f t="shared" si="0"/>
        <v>1.8234384641518302E-3</v>
      </c>
      <c r="M34" s="92">
        <f t="shared" si="1"/>
        <v>0.17400317541755356</v>
      </c>
      <c r="N34" s="92">
        <f t="shared" si="2"/>
        <v>0.20584054966616525</v>
      </c>
      <c r="O34" s="92">
        <f t="shared" si="3"/>
        <v>0.18360569356527298</v>
      </c>
      <c r="P34" s="42"/>
      <c r="S34" s="111" t="s">
        <v>139</v>
      </c>
      <c r="T34" s="5"/>
      <c r="U34" s="5"/>
      <c r="V34" s="5"/>
      <c r="W34" s="5"/>
      <c r="X34" s="5"/>
      <c r="Y34" s="87"/>
    </row>
    <row r="35" spans="2:25" x14ac:dyDescent="0.3">
      <c r="B35" s="48" t="s">
        <v>140</v>
      </c>
      <c r="C35" s="39"/>
      <c r="D35" s="39"/>
      <c r="E35" s="39"/>
      <c r="F35" s="39"/>
      <c r="G35" s="39"/>
      <c r="H35" s="39"/>
      <c r="J35" s="48" t="s">
        <v>140</v>
      </c>
      <c r="K35" s="42"/>
      <c r="L35" s="92"/>
      <c r="M35" s="92"/>
      <c r="N35" s="92"/>
      <c r="O35" s="92"/>
      <c r="P35" s="42"/>
      <c r="S35" s="109" t="s">
        <v>140</v>
      </c>
      <c r="T35" s="5"/>
      <c r="U35" s="5"/>
      <c r="V35" s="5"/>
      <c r="W35" s="5"/>
      <c r="X35" s="5"/>
      <c r="Y35" s="87"/>
    </row>
    <row r="36" spans="2:25" x14ac:dyDescent="0.3">
      <c r="B36" s="48" t="s">
        <v>141</v>
      </c>
      <c r="C36" s="39"/>
      <c r="D36" s="39"/>
      <c r="E36" s="39"/>
      <c r="F36" s="39"/>
      <c r="G36" s="39"/>
      <c r="H36" s="39"/>
      <c r="J36" s="48" t="s">
        <v>141</v>
      </c>
      <c r="K36" s="42"/>
      <c r="L36" s="92"/>
      <c r="M36" s="92"/>
      <c r="N36" s="92"/>
      <c r="O36" s="92"/>
      <c r="P36" s="42"/>
      <c r="S36" s="109" t="s">
        <v>141</v>
      </c>
      <c r="T36" s="5"/>
      <c r="U36" s="5"/>
      <c r="V36" s="5"/>
      <c r="W36" s="5"/>
      <c r="X36" s="5"/>
      <c r="Y36" s="87"/>
    </row>
    <row r="37" spans="2:25" x14ac:dyDescent="0.3">
      <c r="B37" s="45" t="s">
        <v>142</v>
      </c>
      <c r="C37" s="42">
        <v>8</v>
      </c>
      <c r="D37" s="42">
        <v>8</v>
      </c>
      <c r="E37" s="42">
        <v>10</v>
      </c>
      <c r="F37" s="42">
        <v>10</v>
      </c>
      <c r="G37" s="42">
        <v>10</v>
      </c>
      <c r="H37" s="42"/>
      <c r="J37" s="45" t="s">
        <v>142</v>
      </c>
      <c r="K37" s="42"/>
      <c r="L37" s="92">
        <f t="shared" si="0"/>
        <v>0</v>
      </c>
      <c r="M37" s="92">
        <f t="shared" si="1"/>
        <v>0.25</v>
      </c>
      <c r="N37" s="92">
        <f t="shared" si="2"/>
        <v>0.25</v>
      </c>
      <c r="O37" s="92">
        <f t="shared" si="3"/>
        <v>0.25</v>
      </c>
      <c r="P37" s="42"/>
      <c r="S37" s="111" t="s">
        <v>142</v>
      </c>
      <c r="T37" s="5"/>
      <c r="U37" s="5"/>
      <c r="V37" s="5"/>
      <c r="W37" s="5"/>
      <c r="X37" s="5"/>
      <c r="Y37" s="87"/>
    </row>
    <row r="38" spans="2:25" x14ac:dyDescent="0.3">
      <c r="B38" s="45" t="s">
        <v>143</v>
      </c>
      <c r="C38" s="42">
        <v>8</v>
      </c>
      <c r="D38" s="42">
        <v>8</v>
      </c>
      <c r="E38" s="42">
        <v>10</v>
      </c>
      <c r="F38" s="42">
        <v>10</v>
      </c>
      <c r="G38" s="42">
        <v>10</v>
      </c>
      <c r="H38" s="42"/>
      <c r="J38" s="45" t="s">
        <v>143</v>
      </c>
      <c r="K38" s="42"/>
      <c r="L38" s="92">
        <f t="shared" si="0"/>
        <v>0</v>
      </c>
      <c r="M38" s="92">
        <f t="shared" si="1"/>
        <v>0.25</v>
      </c>
      <c r="N38" s="92">
        <f t="shared" si="2"/>
        <v>0.25</v>
      </c>
      <c r="O38" s="92">
        <f t="shared" si="3"/>
        <v>0.25</v>
      </c>
      <c r="P38" s="42"/>
      <c r="S38" s="111" t="s">
        <v>143</v>
      </c>
      <c r="T38" s="5"/>
      <c r="U38" s="5"/>
      <c r="V38" s="5"/>
      <c r="W38" s="5"/>
      <c r="X38" s="5"/>
      <c r="Y38" s="87"/>
    </row>
    <row r="39" spans="2:25" x14ac:dyDescent="0.3">
      <c r="B39" s="48" t="s">
        <v>144</v>
      </c>
      <c r="C39" s="39"/>
      <c r="D39" s="39"/>
      <c r="E39" s="39"/>
      <c r="F39" s="39"/>
      <c r="G39" s="39"/>
      <c r="H39" s="39"/>
      <c r="J39" s="48" t="s">
        <v>144</v>
      </c>
      <c r="K39" s="42"/>
      <c r="L39" s="92"/>
      <c r="M39" s="92"/>
      <c r="N39" s="92"/>
      <c r="O39" s="92"/>
      <c r="P39" s="42"/>
      <c r="S39" s="109" t="s">
        <v>144</v>
      </c>
      <c r="T39" s="5"/>
      <c r="U39" s="5"/>
      <c r="V39" s="5"/>
      <c r="W39" s="5"/>
      <c r="X39" s="5"/>
      <c r="Y39" s="87"/>
    </row>
    <row r="40" spans="2:25" x14ac:dyDescent="0.3">
      <c r="B40" s="45" t="s">
        <v>145</v>
      </c>
      <c r="C40" s="43">
        <v>1324.71</v>
      </c>
      <c r="D40" s="42">
        <v>617.78</v>
      </c>
      <c r="E40" s="42">
        <v>592.09</v>
      </c>
      <c r="F40" s="42">
        <v>972.32</v>
      </c>
      <c r="G40" s="42">
        <v>921.31</v>
      </c>
      <c r="H40" s="42"/>
      <c r="J40" s="45" t="s">
        <v>145</v>
      </c>
      <c r="K40" s="42"/>
      <c r="L40" s="92">
        <f t="shared" si="0"/>
        <v>-0.53364887409319783</v>
      </c>
      <c r="M40" s="92">
        <f t="shared" si="1"/>
        <v>-0.553041797827449</v>
      </c>
      <c r="N40" s="92">
        <f t="shared" si="2"/>
        <v>-0.2660129386809188</v>
      </c>
      <c r="O40" s="92">
        <f t="shared" si="3"/>
        <v>-0.30451947973518739</v>
      </c>
      <c r="P40" s="42"/>
      <c r="S40" s="111" t="s">
        <v>145</v>
      </c>
      <c r="T40" s="5"/>
      <c r="U40" s="5"/>
      <c r="V40" s="5"/>
      <c r="W40" s="5"/>
      <c r="X40" s="5"/>
      <c r="Y40" s="87"/>
    </row>
    <row r="41" spans="2:25" ht="15" thickBot="1" x14ac:dyDescent="0.35">
      <c r="B41" s="45" t="s">
        <v>146</v>
      </c>
      <c r="C41" s="42">
        <v>272.3</v>
      </c>
      <c r="D41" s="42">
        <v>0</v>
      </c>
      <c r="E41" s="42">
        <v>0</v>
      </c>
      <c r="F41" s="42">
        <v>0</v>
      </c>
      <c r="G41" s="42">
        <v>0</v>
      </c>
      <c r="H41" s="42" cm="1">
        <f t="array" aca="1" ref="H41" ca="1">B3:H41</f>
        <v>0</v>
      </c>
      <c r="J41" s="45" t="s">
        <v>146</v>
      </c>
      <c r="K41" s="42"/>
      <c r="L41" s="92">
        <f t="shared" si="0"/>
        <v>-1</v>
      </c>
      <c r="M41" s="92">
        <f t="shared" si="1"/>
        <v>-1</v>
      </c>
      <c r="N41" s="92">
        <f t="shared" si="2"/>
        <v>-1</v>
      </c>
      <c r="O41" s="92">
        <f t="shared" si="3"/>
        <v>-1</v>
      </c>
      <c r="P41" s="42"/>
      <c r="S41" s="113" t="s">
        <v>146</v>
      </c>
      <c r="T41" s="89"/>
      <c r="U41" s="89"/>
      <c r="V41" s="89"/>
      <c r="W41" s="89"/>
      <c r="X41" s="89"/>
      <c r="Y41" s="102"/>
    </row>
    <row r="44" spans="2:25" ht="15" thickBot="1" x14ac:dyDescent="0.35">
      <c r="Y44" t="s">
        <v>275</v>
      </c>
    </row>
    <row r="45" spans="2:25" x14ac:dyDescent="0.3">
      <c r="B45" s="50" t="s">
        <v>151</v>
      </c>
      <c r="C45" s="51">
        <v>43525</v>
      </c>
      <c r="D45" s="51">
        <v>43891</v>
      </c>
      <c r="E45" s="51">
        <v>44256</v>
      </c>
      <c r="F45" s="51">
        <v>44621</v>
      </c>
      <c r="G45" s="52" t="s">
        <v>110</v>
      </c>
      <c r="H45" s="53" t="s">
        <v>111</v>
      </c>
      <c r="J45" s="114" t="s">
        <v>151</v>
      </c>
      <c r="K45" s="115">
        <v>43525</v>
      </c>
      <c r="L45" s="115">
        <v>43891</v>
      </c>
      <c r="M45" s="115">
        <v>44256</v>
      </c>
      <c r="N45" s="115">
        <v>44621</v>
      </c>
      <c r="O45" s="116" t="s">
        <v>110</v>
      </c>
      <c r="P45" s="117" t="s">
        <v>111</v>
      </c>
      <c r="S45" s="50" t="s">
        <v>151</v>
      </c>
      <c r="T45" s="51">
        <v>43525</v>
      </c>
      <c r="U45" s="51">
        <v>43891</v>
      </c>
      <c r="V45" s="51">
        <v>44256</v>
      </c>
      <c r="W45" s="51">
        <v>44621</v>
      </c>
      <c r="X45" s="52" t="s">
        <v>110</v>
      </c>
      <c r="Y45" s="53" t="s">
        <v>111</v>
      </c>
    </row>
    <row r="46" spans="2:25" x14ac:dyDescent="0.3">
      <c r="B46" s="5" t="s">
        <v>152</v>
      </c>
      <c r="C46" s="43">
        <f>C6</f>
        <v>8437.2999999999993</v>
      </c>
      <c r="D46" s="43">
        <f>D6</f>
        <v>8622.8700000000008</v>
      </c>
      <c r="E46" s="43">
        <f>E6</f>
        <v>9507.81</v>
      </c>
      <c r="F46" s="43">
        <f>F6</f>
        <v>10808.03</v>
      </c>
      <c r="G46" s="43">
        <f>G6</f>
        <v>11426.51</v>
      </c>
      <c r="H46" s="54"/>
      <c r="J46" s="104" t="s">
        <v>152</v>
      </c>
      <c r="L46" s="5">
        <f>(D46-$C$46)/$C$46</f>
        <v>2.1994002820807788E-2</v>
      </c>
      <c r="M46" s="5">
        <f>(E46-$C$46)/$C$46</f>
        <v>0.12687826674410063</v>
      </c>
      <c r="N46" s="5">
        <f>(F46-$C$46)/$C$46</f>
        <v>0.28098206772308698</v>
      </c>
      <c r="O46" s="5">
        <f>(G46-$C$46)/$C$46</f>
        <v>0.35428513861069316</v>
      </c>
      <c r="P46" s="87"/>
      <c r="S46" s="104" t="s">
        <v>152</v>
      </c>
      <c r="T46" s="5">
        <f>C46/$C$46</f>
        <v>1</v>
      </c>
      <c r="U46" s="5">
        <f>D46/$D$46</f>
        <v>1</v>
      </c>
      <c r="V46" s="5">
        <f>E46/$E$46</f>
        <v>1</v>
      </c>
      <c r="W46" s="5">
        <f>F46/$F$46</f>
        <v>1</v>
      </c>
      <c r="X46" s="5">
        <f>G46/$G$46</f>
        <v>1</v>
      </c>
      <c r="Y46" s="87"/>
    </row>
    <row r="47" spans="2:25" x14ac:dyDescent="0.3">
      <c r="B47" s="55" t="s">
        <v>153</v>
      </c>
      <c r="C47" s="42">
        <f t="shared" ref="C47:G49" si="14">C9</f>
        <v>95.75</v>
      </c>
      <c r="D47" s="42">
        <f t="shared" si="14"/>
        <v>80.72</v>
      </c>
      <c r="E47" s="42">
        <f t="shared" si="14"/>
        <v>53.84</v>
      </c>
      <c r="F47" s="42">
        <f t="shared" si="14"/>
        <v>80.650000000000006</v>
      </c>
      <c r="G47" s="42">
        <f t="shared" si="14"/>
        <v>103.38</v>
      </c>
      <c r="H47" s="54"/>
      <c r="J47" s="118" t="s">
        <v>153</v>
      </c>
      <c r="L47" s="5">
        <f>(D47-$C$47)/$C$47</f>
        <v>-0.15697127937336816</v>
      </c>
      <c r="M47" s="5">
        <f>(E47-$C$47)/$C$47</f>
        <v>-0.43770234986945167</v>
      </c>
      <c r="N47" s="5">
        <f>(F47-$C$47)/$C$47</f>
        <v>-0.15770234986945164</v>
      </c>
      <c r="O47" s="5">
        <f>(G47-$C$47)/$C$47</f>
        <v>7.9686684073107E-2</v>
      </c>
      <c r="P47" s="87"/>
      <c r="S47" s="55" t="s">
        <v>153</v>
      </c>
      <c r="T47" s="5">
        <f t="shared" ref="T47:T60" si="15">C47/$C$46</f>
        <v>1.1348417147665723E-2</v>
      </c>
      <c r="U47" s="5">
        <f t="shared" ref="U47:U60" si="16">D47/$D$46</f>
        <v>9.3611523773407222E-3</v>
      </c>
      <c r="V47" s="5">
        <f t="shared" ref="V47:V60" si="17">E47/$E$46</f>
        <v>5.6627130748300612E-3</v>
      </c>
      <c r="W47" s="5">
        <f t="shared" ref="W47:W60" si="18">F47/$F$46</f>
        <v>7.4620444243770605E-3</v>
      </c>
      <c r="X47" s="5">
        <f t="shared" ref="X47:X60" si="19">G47/$G$46</f>
        <v>9.0473819215140926E-3</v>
      </c>
      <c r="Y47" s="87"/>
    </row>
    <row r="48" spans="2:25" x14ac:dyDescent="0.3">
      <c r="B48" s="56" t="s">
        <v>154</v>
      </c>
      <c r="C48" s="43">
        <f t="shared" si="14"/>
        <v>8514.99</v>
      </c>
      <c r="D48" s="43">
        <f t="shared" si="14"/>
        <v>8684.64</v>
      </c>
      <c r="E48" s="43">
        <f t="shared" si="14"/>
        <v>9546.6</v>
      </c>
      <c r="F48" s="43">
        <f t="shared" si="14"/>
        <v>10888.68</v>
      </c>
      <c r="G48" s="43">
        <f t="shared" si="14"/>
        <v>11529.89</v>
      </c>
      <c r="H48" s="54"/>
      <c r="J48" s="119" t="s">
        <v>154</v>
      </c>
      <c r="L48" s="5">
        <f>(D48-$C$48)/C48</f>
        <v>1.9923687520478548E-2</v>
      </c>
      <c r="M48" s="5">
        <f>(E48-$C$48)/D48</f>
        <v>0.11878558005858626</v>
      </c>
      <c r="N48" s="5">
        <f>(F48-$C$48)/E48</f>
        <v>0.24864244862045132</v>
      </c>
      <c r="O48" s="5">
        <f>(G48-$C$48)/F48</f>
        <v>0.27688388307857331</v>
      </c>
      <c r="P48" s="87"/>
      <c r="S48" s="56" t="s">
        <v>154</v>
      </c>
      <c r="T48" s="5">
        <f t="shared" si="15"/>
        <v>1.0092079219655579</v>
      </c>
      <c r="U48" s="5">
        <f t="shared" si="16"/>
        <v>1.0071635082055046</v>
      </c>
      <c r="V48" s="5">
        <f t="shared" si="17"/>
        <v>1.0040798038665055</v>
      </c>
      <c r="W48" s="5">
        <f t="shared" si="18"/>
        <v>1.0074620444243769</v>
      </c>
      <c r="X48" s="5">
        <f t="shared" si="19"/>
        <v>1.009047381921514</v>
      </c>
      <c r="Y48" s="87"/>
    </row>
    <row r="49" spans="2:25" x14ac:dyDescent="0.3">
      <c r="B49" s="55" t="s">
        <v>9</v>
      </c>
      <c r="C49" s="42">
        <f t="shared" si="14"/>
        <v>296.17</v>
      </c>
      <c r="D49" s="42">
        <f t="shared" si="14"/>
        <v>305.29000000000002</v>
      </c>
      <c r="E49" s="42">
        <f t="shared" si="14"/>
        <v>325.29000000000002</v>
      </c>
      <c r="F49" s="42">
        <f t="shared" si="14"/>
        <v>393.16</v>
      </c>
      <c r="G49" s="42">
        <f t="shared" si="14"/>
        <v>445.39</v>
      </c>
      <c r="H49" s="54"/>
      <c r="J49" s="118" t="s">
        <v>9</v>
      </c>
      <c r="L49" s="5">
        <f>(D49-$C$49)/C49</f>
        <v>3.0793125569774128E-2</v>
      </c>
      <c r="M49" s="5">
        <f>(E49-$C$49)/D49</f>
        <v>9.5384716171509065E-2</v>
      </c>
      <c r="N49" s="5">
        <f>(F49-$C$49)/E49</f>
        <v>0.29816471456239046</v>
      </c>
      <c r="O49" s="5">
        <f>(G49-$C$49)/F49</f>
        <v>0.37954013633126454</v>
      </c>
      <c r="P49" s="87"/>
      <c r="S49" s="55" t="s">
        <v>9</v>
      </c>
      <c r="T49" s="5">
        <f t="shared" si="15"/>
        <v>3.5102461687980757E-2</v>
      </c>
      <c r="U49" s="5">
        <f t="shared" si="16"/>
        <v>3.5404685446956755E-2</v>
      </c>
      <c r="V49" s="5">
        <f t="shared" si="17"/>
        <v>3.4212926005042173E-2</v>
      </c>
      <c r="W49" s="5">
        <f t="shared" si="18"/>
        <v>3.6376656985593121E-2</v>
      </c>
      <c r="X49" s="5">
        <f t="shared" si="19"/>
        <v>3.8978655775035419E-2</v>
      </c>
      <c r="Y49" s="87"/>
    </row>
    <row r="50" spans="2:25" x14ac:dyDescent="0.3">
      <c r="B50" s="56" t="s">
        <v>155</v>
      </c>
      <c r="C50" s="43">
        <f>SUM(C48:C49)</f>
        <v>8811.16</v>
      </c>
      <c r="D50" s="43">
        <f>SUM(D48:D49)</f>
        <v>8989.93</v>
      </c>
      <c r="E50" s="43">
        <f>SUM(E48:E49)</f>
        <v>9871.8900000000012</v>
      </c>
      <c r="F50" s="43">
        <f>SUM(F48:F49)</f>
        <v>11281.84</v>
      </c>
      <c r="G50" s="43">
        <f>SUM(G48:G49)</f>
        <v>11975.279999999999</v>
      </c>
      <c r="H50" s="54"/>
      <c r="J50" s="119" t="s">
        <v>155</v>
      </c>
      <c r="L50" s="5">
        <f>(D50-$C$50)/C50</f>
        <v>2.0289042532424837E-2</v>
      </c>
      <c r="M50" s="5">
        <f>(E50-$C$50)/D50</f>
        <v>0.11799090760439751</v>
      </c>
      <c r="N50" s="5">
        <f>(F50-$C$50)/E50</f>
        <v>0.25027426359086252</v>
      </c>
      <c r="O50" s="5">
        <f>(G50-$C$50)/F50</f>
        <v>0.28046134318515409</v>
      </c>
      <c r="P50" s="87"/>
      <c r="S50" s="56" t="s">
        <v>155</v>
      </c>
      <c r="T50" s="5">
        <f t="shared" si="15"/>
        <v>1.0443103836535386</v>
      </c>
      <c r="U50" s="5">
        <f t="shared" si="16"/>
        <v>1.0425681936524613</v>
      </c>
      <c r="V50" s="5">
        <f t="shared" si="17"/>
        <v>1.0382927298715479</v>
      </c>
      <c r="W50" s="5">
        <f t="shared" si="18"/>
        <v>1.0438387014099701</v>
      </c>
      <c r="X50" s="5">
        <f t="shared" si="19"/>
        <v>1.0480260376965493</v>
      </c>
      <c r="Y50" s="87"/>
    </row>
    <row r="51" spans="2:25" x14ac:dyDescent="0.3">
      <c r="B51" s="55" t="s">
        <v>156</v>
      </c>
      <c r="C51" s="43">
        <f>SUM(C14:C16)</f>
        <v>4290.97</v>
      </c>
      <c r="D51" s="43">
        <f>SUM(D14:D16)</f>
        <v>4341.29</v>
      </c>
      <c r="E51" s="43">
        <f>SUM(E14:E16)</f>
        <v>4773.91</v>
      </c>
      <c r="F51" s="43">
        <f>SUM(F14:F16)</f>
        <v>5639.69</v>
      </c>
      <c r="G51" s="43">
        <f>SUM(G14:G16)</f>
        <v>6268.67</v>
      </c>
      <c r="H51" s="54"/>
      <c r="J51" s="118" t="s">
        <v>156</v>
      </c>
      <c r="L51" s="5">
        <f>(D51-$C$51)/C51</f>
        <v>1.1726952180975329E-2</v>
      </c>
      <c r="M51" s="5">
        <f>(E51-$C$51)/D51</f>
        <v>0.1112434322517039</v>
      </c>
      <c r="N51" s="5">
        <f>(F51-$C$51)/E51</f>
        <v>0.28251894149659279</v>
      </c>
      <c r="O51" s="5">
        <f>(G51-$C$51)/F51</f>
        <v>0.35067530307516903</v>
      </c>
      <c r="P51" s="87"/>
      <c r="S51" s="55" t="s">
        <v>156</v>
      </c>
      <c r="T51" s="5">
        <f t="shared" si="15"/>
        <v>0.50857146243466522</v>
      </c>
      <c r="U51" s="5">
        <f t="shared" si="16"/>
        <v>0.50346230431399286</v>
      </c>
      <c r="V51" s="5">
        <f t="shared" si="17"/>
        <v>0.5021040597151184</v>
      </c>
      <c r="W51" s="5">
        <f t="shared" si="18"/>
        <v>0.52180554643168087</v>
      </c>
      <c r="X51" s="5">
        <f t="shared" si="19"/>
        <v>0.54860758009225918</v>
      </c>
      <c r="Y51" s="87"/>
    </row>
    <row r="52" spans="2:25" x14ac:dyDescent="0.3">
      <c r="B52" s="56" t="s">
        <v>157</v>
      </c>
      <c r="C52" s="43">
        <f>C50-C51</f>
        <v>4520.1899999999996</v>
      </c>
      <c r="D52" s="43">
        <f>D50-D51</f>
        <v>4648.6400000000003</v>
      </c>
      <c r="E52" s="43">
        <f>E50-E51</f>
        <v>5097.9800000000014</v>
      </c>
      <c r="F52" s="43">
        <f>F50-F51</f>
        <v>5642.1500000000005</v>
      </c>
      <c r="G52" s="43">
        <f>G50-G51</f>
        <v>5706.6099999999988</v>
      </c>
      <c r="H52" s="54"/>
      <c r="J52" s="119" t="s">
        <v>157</v>
      </c>
      <c r="L52" s="5">
        <f>(D52-$C$52)/C52</f>
        <v>2.8416947075233727E-2</v>
      </c>
      <c r="M52" s="5">
        <f>(E52-$C$52)/D52</f>
        <v>0.12429226612514666</v>
      </c>
      <c r="N52" s="5">
        <f>(F52-$C$52)/E52</f>
        <v>0.22007932553678136</v>
      </c>
      <c r="O52" s="5">
        <f>(G52-$C$52)/F52</f>
        <v>0.21027799686289783</v>
      </c>
      <c r="P52" s="87"/>
      <c r="S52" s="56" t="s">
        <v>157</v>
      </c>
      <c r="T52" s="5">
        <f t="shared" si="15"/>
        <v>0.53573892121887334</v>
      </c>
      <c r="U52" s="5">
        <f t="shared" si="16"/>
        <v>0.53910588933846848</v>
      </c>
      <c r="V52" s="5">
        <f t="shared" si="17"/>
        <v>0.53618867015642946</v>
      </c>
      <c r="W52" s="5">
        <f t="shared" si="18"/>
        <v>0.52203315497828928</v>
      </c>
      <c r="X52" s="5">
        <f t="shared" si="19"/>
        <v>0.49941845760429027</v>
      </c>
      <c r="Y52" s="87"/>
    </row>
    <row r="53" spans="2:25" x14ac:dyDescent="0.3">
      <c r="B53" s="55" t="s">
        <v>158</v>
      </c>
      <c r="C53" s="43">
        <f>C17+C20</f>
        <v>2484.46</v>
      </c>
      <c r="D53" s="43">
        <f>D17+D20</f>
        <v>2551</v>
      </c>
      <c r="E53" s="43">
        <f>E17+E20</f>
        <v>2770.01</v>
      </c>
      <c r="F53" s="43">
        <f>F17+F20</f>
        <v>2995.1800000000003</v>
      </c>
      <c r="G53" s="43">
        <f>G17+G20</f>
        <v>3097.1</v>
      </c>
      <c r="H53" s="54"/>
      <c r="J53" s="118" t="s">
        <v>158</v>
      </c>
      <c r="L53" s="5">
        <f>(D53-$C$53)/C53</f>
        <v>2.6782479895027477E-2</v>
      </c>
      <c r="M53" s="5">
        <f>(E53-$C$53)/D53</f>
        <v>0.11193649549196401</v>
      </c>
      <c r="N53" s="5">
        <f>(F53-$C$53)/E53</f>
        <v>0.1843747856505934</v>
      </c>
      <c r="O53" s="5">
        <f>(G53-$C$53)/F53</f>
        <v>0.20454196408896955</v>
      </c>
      <c r="P53" s="87"/>
      <c r="S53" s="55" t="s">
        <v>158</v>
      </c>
      <c r="T53" s="5">
        <f t="shared" si="15"/>
        <v>0.29446149834662749</v>
      </c>
      <c r="U53" s="5">
        <f t="shared" si="16"/>
        <v>0.29584117584980402</v>
      </c>
      <c r="V53" s="5">
        <f t="shared" si="17"/>
        <v>0.29134048745189484</v>
      </c>
      <c r="W53" s="5">
        <f t="shared" si="18"/>
        <v>0.27712543358965513</v>
      </c>
      <c r="X53" s="5">
        <f t="shared" si="19"/>
        <v>0.2710451397670855</v>
      </c>
      <c r="Y53" s="87"/>
    </row>
    <row r="54" spans="2:25" x14ac:dyDescent="0.3">
      <c r="B54" s="56" t="s">
        <v>159</v>
      </c>
      <c r="C54" s="43">
        <f>C52-C53</f>
        <v>2035.7299999999996</v>
      </c>
      <c r="D54" s="43">
        <f>D52-D53</f>
        <v>2097.6400000000003</v>
      </c>
      <c r="E54" s="43">
        <f>E52-E53</f>
        <v>2327.9700000000012</v>
      </c>
      <c r="F54" s="43">
        <f>F52-F53</f>
        <v>2646.9700000000003</v>
      </c>
      <c r="G54" s="43">
        <f>G52-G53</f>
        <v>2609.5099999999989</v>
      </c>
      <c r="H54" s="54"/>
      <c r="J54" s="119" t="s">
        <v>159</v>
      </c>
      <c r="L54" s="5">
        <f>(D54-$C$54)/C54</f>
        <v>3.0411695067617404E-2</v>
      </c>
      <c r="M54" s="5">
        <f>(E54-$C$54)/D54</f>
        <v>0.13931847218779272</v>
      </c>
      <c r="N54" s="5">
        <f>(F54-$C$54)/E54</f>
        <v>0.2625635210075733</v>
      </c>
      <c r="O54" s="5">
        <f>(G54-$C$54)/F54</f>
        <v>0.2167686071243721</v>
      </c>
      <c r="P54" s="87"/>
      <c r="S54" s="56" t="s">
        <v>159</v>
      </c>
      <c r="T54" s="5">
        <f t="shared" si="15"/>
        <v>0.24127742287224582</v>
      </c>
      <c r="U54" s="5">
        <f t="shared" si="16"/>
        <v>0.24326471348866446</v>
      </c>
      <c r="V54" s="5">
        <f t="shared" si="17"/>
        <v>0.24484818270453462</v>
      </c>
      <c r="W54" s="5">
        <f t="shared" si="18"/>
        <v>0.2449077213886342</v>
      </c>
      <c r="X54" s="5">
        <f t="shared" si="19"/>
        <v>0.22837331783720477</v>
      </c>
      <c r="Y54" s="87"/>
    </row>
    <row r="55" spans="2:25" x14ac:dyDescent="0.3">
      <c r="B55" s="55" t="s">
        <v>160</v>
      </c>
      <c r="C55" s="42">
        <f>C19</f>
        <v>176.9</v>
      </c>
      <c r="D55" s="42">
        <f>D19</f>
        <v>220.45</v>
      </c>
      <c r="E55" s="42">
        <f>E19</f>
        <v>240.13</v>
      </c>
      <c r="F55" s="42">
        <f>F19</f>
        <v>252.89</v>
      </c>
      <c r="G55" s="42">
        <f>G19</f>
        <v>310.95999999999998</v>
      </c>
      <c r="H55" s="54"/>
      <c r="J55" s="118" t="s">
        <v>160</v>
      </c>
      <c r="L55" s="5">
        <f>(D55-$C$55)/C55</f>
        <v>0.24618428490672686</v>
      </c>
      <c r="M55" s="5">
        <f>(E55-$C$55)/D55</f>
        <v>0.28682240870945791</v>
      </c>
      <c r="N55" s="5">
        <f>(F55-$C$55)/E55</f>
        <v>0.31645358764002823</v>
      </c>
      <c r="O55" s="5">
        <f>(G55-$C$55)/F55</f>
        <v>0.53011190636244998</v>
      </c>
      <c r="P55" s="87"/>
      <c r="S55" s="55" t="s">
        <v>160</v>
      </c>
      <c r="T55" s="5">
        <f t="shared" si="15"/>
        <v>2.0966422907802262E-2</v>
      </c>
      <c r="U55" s="5">
        <f t="shared" si="16"/>
        <v>2.556573391457832E-2</v>
      </c>
      <c r="V55" s="5">
        <f t="shared" si="17"/>
        <v>2.525607894983177E-2</v>
      </c>
      <c r="W55" s="5">
        <f t="shared" si="18"/>
        <v>2.3398343638942526E-2</v>
      </c>
      <c r="X55" s="5">
        <f t="shared" si="19"/>
        <v>2.7213908708783343E-2</v>
      </c>
      <c r="Y55" s="87"/>
    </row>
    <row r="56" spans="2:25" x14ac:dyDescent="0.3">
      <c r="B56" s="56" t="s">
        <v>161</v>
      </c>
      <c r="C56" s="43">
        <f>C54-C55</f>
        <v>1858.8299999999995</v>
      </c>
      <c r="D56" s="43">
        <f>D54-D55</f>
        <v>1877.1900000000003</v>
      </c>
      <c r="E56" s="43">
        <f>E54-E55</f>
        <v>2087.8400000000011</v>
      </c>
      <c r="F56" s="43">
        <f>F54-F55</f>
        <v>2394.0800000000004</v>
      </c>
      <c r="G56" s="43">
        <f>G54-G55</f>
        <v>2298.5499999999988</v>
      </c>
      <c r="H56" s="54"/>
      <c r="J56" s="119" t="s">
        <v>161</v>
      </c>
      <c r="L56" s="5">
        <f>(D56-$C$56)/C56</f>
        <v>9.8771808072824381E-3</v>
      </c>
      <c r="M56" s="5">
        <f>(E56-$C$56)/D56</f>
        <v>0.12199617513411085</v>
      </c>
      <c r="N56" s="5">
        <f>(F56-$C$56)/E56</f>
        <v>0.25636543030117281</v>
      </c>
      <c r="O56" s="5">
        <f>(G56-$C$56)/F56</f>
        <v>0.18366971863931</v>
      </c>
      <c r="P56" s="87"/>
      <c r="S56" s="56" t="s">
        <v>161</v>
      </c>
      <c r="T56" s="5">
        <f t="shared" si="15"/>
        <v>0.22031099996444356</v>
      </c>
      <c r="U56" s="5">
        <f t="shared" si="16"/>
        <v>0.21769897957408613</v>
      </c>
      <c r="V56" s="5">
        <f t="shared" si="17"/>
        <v>0.21959210375470284</v>
      </c>
      <c r="W56" s="5">
        <f t="shared" si="18"/>
        <v>0.22150937774969168</v>
      </c>
      <c r="X56" s="5">
        <f t="shared" si="19"/>
        <v>0.20115940912842142</v>
      </c>
      <c r="Y56" s="87"/>
    </row>
    <row r="57" spans="2:25" x14ac:dyDescent="0.3">
      <c r="B57" s="55" t="s">
        <v>162</v>
      </c>
      <c r="C57" s="42">
        <f>C18</f>
        <v>59.58</v>
      </c>
      <c r="D57" s="42">
        <f>D18</f>
        <v>49.54</v>
      </c>
      <c r="E57" s="42">
        <f>E18</f>
        <v>30.81</v>
      </c>
      <c r="F57" s="42">
        <f>F18</f>
        <v>38.6</v>
      </c>
      <c r="G57" s="42">
        <f>G18</f>
        <v>78.239999999999995</v>
      </c>
      <c r="H57" s="54"/>
      <c r="J57" s="118" t="s">
        <v>162</v>
      </c>
      <c r="L57" s="5">
        <f>(D57-$C$57)/C57</f>
        <v>-0.16851292379993285</v>
      </c>
      <c r="M57" s="5">
        <f>(E57-$C$57)/D57</f>
        <v>-0.58074283407347593</v>
      </c>
      <c r="N57" s="5">
        <f>(F57-$C$57)/E57</f>
        <v>-0.68094774423888338</v>
      </c>
      <c r="O57" s="5">
        <f>(G57-$C$57)/F57</f>
        <v>0.48341968911917088</v>
      </c>
      <c r="P57" s="87"/>
      <c r="S57" s="55" t="s">
        <v>162</v>
      </c>
      <c r="T57" s="5">
        <f t="shared" si="15"/>
        <v>7.0615007170540343E-3</v>
      </c>
      <c r="U57" s="5">
        <f t="shared" si="16"/>
        <v>5.7451869273223407E-3</v>
      </c>
      <c r="V57" s="5">
        <f t="shared" si="17"/>
        <v>3.2404938676729974E-3</v>
      </c>
      <c r="W57" s="5">
        <f t="shared" si="18"/>
        <v>3.5714186581643462E-3</v>
      </c>
      <c r="X57" s="5">
        <f t="shared" si="19"/>
        <v>6.8472350700257553E-3</v>
      </c>
      <c r="Y57" s="87"/>
    </row>
    <row r="58" spans="2:25" x14ac:dyDescent="0.3">
      <c r="B58" s="56" t="s">
        <v>163</v>
      </c>
      <c r="C58" s="43">
        <f>C56-C57</f>
        <v>1799.2499999999995</v>
      </c>
      <c r="D58" s="43">
        <f>D56-D57</f>
        <v>1827.6500000000003</v>
      </c>
      <c r="E58" s="43">
        <f>E56-E57</f>
        <v>2057.0300000000011</v>
      </c>
      <c r="F58" s="43">
        <f>F56-F57</f>
        <v>2355.4800000000005</v>
      </c>
      <c r="G58" s="43">
        <f>G56-G57</f>
        <v>2220.309999999999</v>
      </c>
      <c r="H58" s="54"/>
      <c r="J58" s="119" t="s">
        <v>163</v>
      </c>
      <c r="L58" s="5">
        <f>(D58-$C$58)/C58</f>
        <v>1.5784354592191626E-2</v>
      </c>
      <c r="M58" s="5">
        <f>(E58-$C$58)/D58</f>
        <v>0.14104451071047602</v>
      </c>
      <c r="N58" s="5">
        <f>(F58-$C$58)/E58</f>
        <v>0.27040441802015558</v>
      </c>
      <c r="O58" s="5">
        <f>(G58-$C$58)/F58</f>
        <v>0.17875762052745062</v>
      </c>
      <c r="P58" s="87"/>
      <c r="S58" s="56" t="s">
        <v>163</v>
      </c>
      <c r="T58" s="5">
        <f t="shared" si="15"/>
        <v>0.21324949924738953</v>
      </c>
      <c r="U58" s="5">
        <f t="shared" si="16"/>
        <v>0.21195379264676381</v>
      </c>
      <c r="V58" s="5">
        <f t="shared" si="17"/>
        <v>0.21635160988702984</v>
      </c>
      <c r="W58" s="5">
        <f t="shared" si="18"/>
        <v>0.21793795909152736</v>
      </c>
      <c r="X58" s="5">
        <f t="shared" si="19"/>
        <v>0.19431217405839568</v>
      </c>
      <c r="Y58" s="87"/>
    </row>
    <row r="59" spans="2:25" x14ac:dyDescent="0.3">
      <c r="B59" s="55" t="s">
        <v>13</v>
      </c>
      <c r="C59" s="42">
        <f>C28</f>
        <v>278.62</v>
      </c>
      <c r="D59" s="42">
        <f>D28</f>
        <v>279.72000000000003</v>
      </c>
      <c r="E59" s="42">
        <f>E28</f>
        <v>361.07</v>
      </c>
      <c r="F59" s="42">
        <f>F28</f>
        <v>526.38</v>
      </c>
      <c r="G59" s="42">
        <f>G28</f>
        <v>517.35</v>
      </c>
      <c r="H59" s="54"/>
      <c r="J59" s="118" t="s">
        <v>13</v>
      </c>
      <c r="L59" s="5">
        <f>(D59-$C$59)/C59</f>
        <v>3.9480295743307111E-3</v>
      </c>
      <c r="M59" s="5">
        <f>(E59-$C$59)/D59</f>
        <v>0.29475904475904469</v>
      </c>
      <c r="N59" s="5">
        <f>(F59-$C$59)/E59</f>
        <v>0.68618273464979085</v>
      </c>
      <c r="O59" s="5">
        <f>(G59-$C$59)/F59</f>
        <v>0.45353166913636539</v>
      </c>
      <c r="P59" s="87"/>
      <c r="S59" s="55" t="s">
        <v>13</v>
      </c>
      <c r="T59" s="5">
        <f t="shared" si="15"/>
        <v>3.3022412383108345E-2</v>
      </c>
      <c r="U59" s="5">
        <f t="shared" si="16"/>
        <v>3.2439315448336808E-2</v>
      </c>
      <c r="V59" s="5">
        <f t="shared" si="17"/>
        <v>3.7976148029882806E-2</v>
      </c>
      <c r="W59" s="5">
        <f t="shared" si="18"/>
        <v>4.8702677546231823E-2</v>
      </c>
      <c r="X59" s="5">
        <f t="shared" si="19"/>
        <v>4.5276291711117397E-2</v>
      </c>
      <c r="Y59" s="87"/>
    </row>
    <row r="60" spans="2:25" ht="15" thickBot="1" x14ac:dyDescent="0.35">
      <c r="B60" s="57" t="s">
        <v>164</v>
      </c>
      <c r="C60" s="58">
        <f>C58-C59</f>
        <v>1520.6299999999997</v>
      </c>
      <c r="D60" s="58">
        <f>D58-D59</f>
        <v>1547.9300000000003</v>
      </c>
      <c r="E60" s="58">
        <f>E58-E59</f>
        <v>1695.9600000000012</v>
      </c>
      <c r="F60" s="58">
        <f>F58-F59</f>
        <v>1829.1000000000004</v>
      </c>
      <c r="G60" s="58">
        <f>G58-G59</f>
        <v>1702.9599999999991</v>
      </c>
      <c r="H60" s="59"/>
      <c r="J60" s="120" t="s">
        <v>164</v>
      </c>
      <c r="K60" s="101"/>
      <c r="L60" s="89">
        <f>(D60-$C$60)/C60</f>
        <v>1.7953085234409846E-2</v>
      </c>
      <c r="M60" s="89">
        <f>(E60-$C$60)/D60</f>
        <v>0.1132673958124731</v>
      </c>
      <c r="N60" s="89">
        <f>(F60-$C$60)/E60</f>
        <v>0.18188518597136755</v>
      </c>
      <c r="O60" s="89">
        <f>(G60-$C$60)/F60</f>
        <v>9.9682904160515798E-2</v>
      </c>
      <c r="P60" s="102"/>
      <c r="S60" s="57" t="s">
        <v>164</v>
      </c>
      <c r="T60" s="89">
        <f t="shared" si="15"/>
        <v>0.18022708686428121</v>
      </c>
      <c r="U60" s="89">
        <f t="shared" si="16"/>
        <v>0.179514477198427</v>
      </c>
      <c r="V60" s="89">
        <f t="shared" si="17"/>
        <v>0.17837546185714706</v>
      </c>
      <c r="W60" s="89">
        <f t="shared" si="18"/>
        <v>0.16923528154529552</v>
      </c>
      <c r="X60" s="89">
        <f t="shared" si="19"/>
        <v>0.1490358823472783</v>
      </c>
      <c r="Y60" s="102"/>
    </row>
    <row r="64" spans="2:25" ht="15" thickBot="1" x14ac:dyDescent="0.35"/>
    <row r="65" spans="2:8" x14ac:dyDescent="0.3">
      <c r="B65" s="64" t="s">
        <v>173</v>
      </c>
      <c r="C65" s="65"/>
      <c r="D65" s="65"/>
      <c r="E65" s="65"/>
      <c r="F65" s="65"/>
      <c r="G65" s="65"/>
      <c r="H65" s="66"/>
    </row>
    <row r="66" spans="2:8" x14ac:dyDescent="0.3">
      <c r="B66" s="60" t="s">
        <v>165</v>
      </c>
      <c r="C66" s="67">
        <v>43525</v>
      </c>
      <c r="D66" s="67">
        <v>43891</v>
      </c>
      <c r="E66" s="67">
        <v>44256</v>
      </c>
      <c r="F66" s="67">
        <v>44621</v>
      </c>
      <c r="G66" s="68" t="s">
        <v>110</v>
      </c>
      <c r="H66" s="103" t="s">
        <v>111</v>
      </c>
    </row>
    <row r="67" spans="2:8" x14ac:dyDescent="0.3">
      <c r="B67" s="61" t="s">
        <v>166</v>
      </c>
      <c r="C67" s="5"/>
      <c r="D67" s="5">
        <f>D46/C46-1</f>
        <v>2.1994002820807879E-2</v>
      </c>
      <c r="E67" s="5">
        <f>E46/D46-1</f>
        <v>0.1026270835580263</v>
      </c>
      <c r="F67" s="5">
        <f>F46/E46-1</f>
        <v>0.13675283793008086</v>
      </c>
      <c r="G67" s="5">
        <f>G46/F46-1</f>
        <v>5.7224119474131641E-2</v>
      </c>
      <c r="H67" s="87"/>
    </row>
    <row r="68" spans="2:8" x14ac:dyDescent="0.3">
      <c r="B68" s="62" t="s">
        <v>167</v>
      </c>
      <c r="C68" s="5"/>
      <c r="D68" s="5">
        <f>D54/C54-1</f>
        <v>3.0411695067617428E-2</v>
      </c>
      <c r="E68" s="5">
        <f>E54/D54-1</f>
        <v>0.1098043515569882</v>
      </c>
      <c r="F68" s="5">
        <f>F54/E54-1</f>
        <v>0.13702925724987813</v>
      </c>
      <c r="G68" s="5">
        <f>G54/F54-1</f>
        <v>-1.4152030434799512E-2</v>
      </c>
      <c r="H68" s="87"/>
    </row>
    <row r="69" spans="2:8" x14ac:dyDescent="0.3">
      <c r="B69" s="61" t="s">
        <v>168</v>
      </c>
      <c r="C69" s="5"/>
      <c r="D69" s="5">
        <f>D60/C60-1</f>
        <v>1.795308523440986E-2</v>
      </c>
      <c r="E69" s="5">
        <f>E60/D60-1</f>
        <v>9.5630939383564373E-2</v>
      </c>
      <c r="F69" s="5">
        <f>F60/E60-1</f>
        <v>7.8504210004952446E-2</v>
      </c>
      <c r="G69" s="5">
        <f>G60/F60-1</f>
        <v>-6.8962877918102516E-2</v>
      </c>
      <c r="H69" s="87"/>
    </row>
    <row r="70" spans="2:8" x14ac:dyDescent="0.3">
      <c r="B70" s="62" t="s">
        <v>169</v>
      </c>
      <c r="C70" s="5">
        <f>C52/C46</f>
        <v>0.53573892121887334</v>
      </c>
      <c r="D70" s="5">
        <f>D52/D46</f>
        <v>0.53910588933846848</v>
      </c>
      <c r="E70" s="5">
        <f>E52/E46</f>
        <v>0.53618867015642946</v>
      </c>
      <c r="F70" s="5">
        <f>F52/F46</f>
        <v>0.52203315497828928</v>
      </c>
      <c r="G70" s="5">
        <f>G52/G46</f>
        <v>0.49941845760429027</v>
      </c>
      <c r="H70" s="87"/>
    </row>
    <row r="71" spans="2:8" x14ac:dyDescent="0.3">
      <c r="B71" s="61" t="s">
        <v>170</v>
      </c>
      <c r="C71" s="5">
        <f>C54/C46</f>
        <v>0.24127742287224582</v>
      </c>
      <c r="D71" s="5">
        <f>D54/D46</f>
        <v>0.24326471348866446</v>
      </c>
      <c r="E71" s="5">
        <f>E54/E46</f>
        <v>0.24484818270453462</v>
      </c>
      <c r="F71" s="5">
        <f>F54/F46</f>
        <v>0.2449077213886342</v>
      </c>
      <c r="G71" s="5">
        <f>G54/G46</f>
        <v>0.22837331783720477</v>
      </c>
      <c r="H71" s="87"/>
    </row>
    <row r="72" spans="2:8" x14ac:dyDescent="0.3">
      <c r="B72" s="62" t="s">
        <v>171</v>
      </c>
      <c r="C72" s="5">
        <f>C60/C46</f>
        <v>0.18022708686428121</v>
      </c>
      <c r="D72" s="5">
        <f>D60/D46</f>
        <v>0.179514477198427</v>
      </c>
      <c r="E72" s="5">
        <f>E60/E46</f>
        <v>0.17837546185714706</v>
      </c>
      <c r="F72" s="5">
        <f>F60/F46</f>
        <v>0.16923528154529552</v>
      </c>
      <c r="G72" s="5">
        <f>G60/G46</f>
        <v>0.1490358823472783</v>
      </c>
      <c r="H72" s="87"/>
    </row>
    <row r="73" spans="2:8" ht="15" thickBot="1" x14ac:dyDescent="0.35">
      <c r="B73" s="63" t="s">
        <v>172</v>
      </c>
      <c r="C73" s="101">
        <f>C56/C57</f>
        <v>31.198892245720032</v>
      </c>
      <c r="D73" s="101">
        <f>D56/D57</f>
        <v>37.892410173597099</v>
      </c>
      <c r="E73" s="101">
        <f>E56/E57</f>
        <v>67.765011359948105</v>
      </c>
      <c r="F73" s="101">
        <f>F56/F57</f>
        <v>62.022797927461149</v>
      </c>
      <c r="G73" s="101">
        <f>G56/G57</f>
        <v>29.378195296523504</v>
      </c>
      <c r="H73" s="102"/>
    </row>
  </sheetData>
  <pageMargins left="0.7" right="0.7" top="0.75" bottom="0.75" header="0.3" footer="0.3"/>
  <pageSetup orientation="portrait" r:id="rId1"/>
  <ignoredErrors>
    <ignoredError sqref="D51:G51" formulaRange="1"/>
    <ignoredError sqref="D53:G53 D55:G56 C57:G57 D59:G59" formula="1"/>
  </ignoredErrors>
  <extLst>
    <ext xmlns:x14="http://schemas.microsoft.com/office/spreadsheetml/2009/9/main" uri="{05C60535-1F16-4fd2-B633-F4F36F0B64E0}">
      <x14:sparklineGroups xmlns:xm="http://schemas.microsoft.com/office/excel/2006/main">
        <x14:sparklineGroup manualMax="0" manualMin="0" type="column" displayEmptyCellsAs="gap" xr2:uid="{7B038004-DB34-41D4-9AFB-AF612D50F4B4}">
          <x14:colorSeries rgb="FF376092"/>
          <x14:colorNegative rgb="FFD00000"/>
          <x14:colorAxis rgb="FF000000"/>
          <x14:colorMarkers rgb="FFD00000"/>
          <x14:colorFirst rgb="FFD00000"/>
          <x14:colorLast rgb="FFD00000"/>
          <x14:colorHigh rgb="FFD00000"/>
          <x14:colorLow rgb="FFD00000"/>
          <x14:sparklines>
            <x14:sparkline>
              <xm:f>IS!C70:G70</xm:f>
              <xm:sqref>H70</xm:sqref>
            </x14:sparkline>
            <x14:sparkline>
              <xm:f>IS!C71:G71</xm:f>
              <xm:sqref>H71</xm:sqref>
            </x14:sparkline>
            <x14:sparkline>
              <xm:f>IS!C72:G72</xm:f>
              <xm:sqref>H72</xm:sqref>
            </x14:sparkline>
            <x14:sparkline>
              <xm:f>IS!C73:G73</xm:f>
              <xm:sqref>H73</xm:sqref>
            </x14:sparkline>
          </x14:sparklines>
        </x14:sparklineGroup>
        <x14:sparklineGroup manualMax="0" manualMin="0" type="column" displayEmptyCellsAs="gap" xr2:uid="{6910EA6C-6558-48A8-B115-2E2BF1698064}">
          <x14:colorSeries rgb="FF376092"/>
          <x14:colorNegative rgb="FFD00000"/>
          <x14:colorAxis rgb="FF000000"/>
          <x14:colorMarkers rgb="FFD00000"/>
          <x14:colorFirst rgb="FFD00000"/>
          <x14:colorLast rgb="FFD00000"/>
          <x14:colorHigh rgb="FFD00000"/>
          <x14:colorLow rgb="FFD00000"/>
          <x14:sparklines>
            <x14:sparkline>
              <xm:f>IS!D67:G67</xm:f>
              <xm:sqref>H67</xm:sqref>
            </x14:sparkline>
            <x14:sparkline>
              <xm:f>IS!D68:G68</xm:f>
              <xm:sqref>H68</xm:sqref>
            </x14:sparkline>
            <x14:sparkline>
              <xm:f>IS!D69:G69</xm:f>
              <xm:sqref>H69</xm:sqref>
            </x14:sparkline>
          </x14:sparklines>
        </x14:sparklineGroup>
        <x14:sparklineGroup manualMax="0" manualMin="0" type="column" displayEmptyCellsAs="gap" xr2:uid="{FACC9A05-D11A-41CA-9D24-619D0A56E6CC}">
          <x14:colorSeries rgb="FF376092"/>
          <x14:colorNegative rgb="FFD00000"/>
          <x14:colorAxis rgb="FF000000"/>
          <x14:colorMarkers rgb="FFD00000"/>
          <x14:colorFirst rgb="FFD00000"/>
          <x14:colorLast rgb="FFD00000"/>
          <x14:colorHigh rgb="FFD00000"/>
          <x14:colorLow rgb="FFD00000"/>
          <x14:sparklines>
            <x14:sparkline>
              <xm:f>IS!T46:X46</xm:f>
              <xm:sqref>Y46</xm:sqref>
            </x14:sparkline>
            <x14:sparkline>
              <xm:f>IS!T47:X47</xm:f>
              <xm:sqref>Y47</xm:sqref>
            </x14:sparkline>
            <x14:sparkline>
              <xm:f>IS!T48:X48</xm:f>
              <xm:sqref>Y48</xm:sqref>
            </x14:sparkline>
            <x14:sparkline>
              <xm:f>IS!T49:X49</xm:f>
              <xm:sqref>Y49</xm:sqref>
            </x14:sparkline>
            <x14:sparkline>
              <xm:f>IS!T50:X50</xm:f>
              <xm:sqref>Y50</xm:sqref>
            </x14:sparkline>
            <x14:sparkline>
              <xm:f>IS!T51:X51</xm:f>
              <xm:sqref>Y51</xm:sqref>
            </x14:sparkline>
            <x14:sparkline>
              <xm:f>IS!T52:X52</xm:f>
              <xm:sqref>Y52</xm:sqref>
            </x14:sparkline>
            <x14:sparkline>
              <xm:f>IS!T53:X53</xm:f>
              <xm:sqref>Y53</xm:sqref>
            </x14:sparkline>
            <x14:sparkline>
              <xm:f>IS!T54:X54</xm:f>
              <xm:sqref>Y54</xm:sqref>
            </x14:sparkline>
            <x14:sparkline>
              <xm:f>IS!T55:X55</xm:f>
              <xm:sqref>Y55</xm:sqref>
            </x14:sparkline>
            <x14:sparkline>
              <xm:f>IS!T56:X56</xm:f>
              <xm:sqref>Y56</xm:sqref>
            </x14:sparkline>
            <x14:sparkline>
              <xm:f>IS!T57:X57</xm:f>
              <xm:sqref>Y57</xm:sqref>
            </x14:sparkline>
            <x14:sparkline>
              <xm:f>IS!T58:X58</xm:f>
              <xm:sqref>Y58</xm:sqref>
            </x14:sparkline>
            <x14:sparkline>
              <xm:f>IS!T59:X59</xm:f>
              <xm:sqref>Y59</xm:sqref>
            </x14:sparkline>
            <x14:sparkline>
              <xm:f>IS!T60:X60</xm:f>
              <xm:sqref>Y60</xm:sqref>
            </x14:sparkline>
          </x14:sparklines>
        </x14:sparklineGroup>
        <x14:sparklineGroup manualMax="0" manualMin="0" type="column" displayEmptyCellsAs="gap" xr2:uid="{BE13DD9C-59EC-4101-886C-80E6693312A3}">
          <x14:colorSeries rgb="FF376092"/>
          <x14:colorNegative rgb="FFD00000"/>
          <x14:colorAxis rgb="FF000000"/>
          <x14:colorMarkers rgb="FFD00000"/>
          <x14:colorFirst rgb="FFD00000"/>
          <x14:colorLast rgb="FFD00000"/>
          <x14:colorHigh rgb="FFD00000"/>
          <x14:colorLow rgb="FFD00000"/>
          <x14:sparklines>
            <x14:sparkline>
              <xm:f>IS!L46:O46</xm:f>
              <xm:sqref>P46</xm:sqref>
            </x14:sparkline>
            <x14:sparkline>
              <xm:f>IS!L47:O47</xm:f>
              <xm:sqref>P47</xm:sqref>
            </x14:sparkline>
            <x14:sparkline>
              <xm:f>IS!L48:O48</xm:f>
              <xm:sqref>P48</xm:sqref>
            </x14:sparkline>
            <x14:sparkline>
              <xm:f>IS!L49:O49</xm:f>
              <xm:sqref>P49</xm:sqref>
            </x14:sparkline>
            <x14:sparkline>
              <xm:f>IS!L50:O50</xm:f>
              <xm:sqref>P50</xm:sqref>
            </x14:sparkline>
            <x14:sparkline>
              <xm:f>IS!L51:O51</xm:f>
              <xm:sqref>P51</xm:sqref>
            </x14:sparkline>
            <x14:sparkline>
              <xm:f>IS!L52:O52</xm:f>
              <xm:sqref>P52</xm:sqref>
            </x14:sparkline>
            <x14:sparkline>
              <xm:f>IS!L53:O53</xm:f>
              <xm:sqref>P53</xm:sqref>
            </x14:sparkline>
            <x14:sparkline>
              <xm:f>IS!L54:O54</xm:f>
              <xm:sqref>P54</xm:sqref>
            </x14:sparkline>
            <x14:sparkline>
              <xm:f>IS!L55:O55</xm:f>
              <xm:sqref>P55</xm:sqref>
            </x14:sparkline>
            <x14:sparkline>
              <xm:f>IS!L56:O56</xm:f>
              <xm:sqref>P56</xm:sqref>
            </x14:sparkline>
            <x14:sparkline>
              <xm:f>IS!L57:O57</xm:f>
              <xm:sqref>P57</xm:sqref>
            </x14:sparkline>
            <x14:sparkline>
              <xm:f>IS!L58:O58</xm:f>
              <xm:sqref>P58</xm:sqref>
            </x14:sparkline>
            <x14:sparkline>
              <xm:f>IS!L59:O59</xm:f>
              <xm:sqref>P59</xm:sqref>
            </x14:sparkline>
            <x14:sparkline>
              <xm:f>IS!L60:O60</xm:f>
              <xm:sqref>P60</xm:sqref>
            </x14:sparkline>
          </x14:sparklines>
        </x14:sparklineGroup>
        <x14:sparklineGroup manualMax="0" manualMin="0" type="column" displayEmptyCellsAs="gap" xr2:uid="{867DFEC6-F313-4292-A9D2-33FDE2203598}">
          <x14:colorSeries rgb="FF376092"/>
          <x14:colorNegative rgb="FFD00000"/>
          <x14:colorAxis rgb="FF000000"/>
          <x14:colorMarkers rgb="FFD00000"/>
          <x14:colorFirst rgb="FFD00000"/>
          <x14:colorLast rgb="FFD00000"/>
          <x14:colorHigh rgb="FFD00000"/>
          <x14:colorLow rgb="FFD00000"/>
          <x14:sparklines>
            <x14:sparkline>
              <xm:f>IS!C46:G46</xm:f>
              <xm:sqref>H46</xm:sqref>
            </x14:sparkline>
            <x14:sparkline>
              <xm:f>IS!C47:G47</xm:f>
              <xm:sqref>H47</xm:sqref>
            </x14:sparkline>
            <x14:sparkline>
              <xm:f>IS!C48:G48</xm:f>
              <xm:sqref>H48</xm:sqref>
            </x14:sparkline>
            <x14:sparkline>
              <xm:f>IS!C49:G49</xm:f>
              <xm:sqref>H49</xm:sqref>
            </x14:sparkline>
            <x14:sparkline>
              <xm:f>IS!C50:G50</xm:f>
              <xm:sqref>H50</xm:sqref>
            </x14:sparkline>
            <x14:sparkline>
              <xm:f>IS!C51:G51</xm:f>
              <xm:sqref>H51</xm:sqref>
            </x14:sparkline>
            <x14:sparkline>
              <xm:f>IS!C52:G52</xm:f>
              <xm:sqref>H52</xm:sqref>
            </x14:sparkline>
            <x14:sparkline>
              <xm:f>IS!C53:G53</xm:f>
              <xm:sqref>H53</xm:sqref>
            </x14:sparkline>
            <x14:sparkline>
              <xm:f>IS!C54:G54</xm:f>
              <xm:sqref>H54</xm:sqref>
            </x14:sparkline>
            <x14:sparkline>
              <xm:f>IS!C55:G55</xm:f>
              <xm:sqref>H55</xm:sqref>
            </x14:sparkline>
            <x14:sparkline>
              <xm:f>IS!C56:G56</xm:f>
              <xm:sqref>H56</xm:sqref>
            </x14:sparkline>
            <x14:sparkline>
              <xm:f>IS!C57:G57</xm:f>
              <xm:sqref>H57</xm:sqref>
            </x14:sparkline>
            <x14:sparkline>
              <xm:f>IS!C58:G58</xm:f>
              <xm:sqref>H58</xm:sqref>
            </x14:sparkline>
            <x14:sparkline>
              <xm:f>IS!C59:G59</xm:f>
              <xm:sqref>H59</xm:sqref>
            </x14:sparkline>
            <x14:sparkline>
              <xm:f>IS!C60:G60</xm:f>
              <xm:sqref>H60</xm:sqref>
            </x14:sparkline>
          </x14:sparklines>
        </x14:sparklineGroup>
        <x14:sparklineGroup manualMax="0" manualMin="0" type="column" displayEmptyCellsAs="gap" xr2:uid="{D80F8E64-ED0E-4415-98EB-725F2E1B3ED0}">
          <x14:colorSeries rgb="FF376092"/>
          <x14:colorNegative rgb="FFD00000"/>
          <x14:colorAxis rgb="FF000000"/>
          <x14:colorMarkers rgb="FFD00000"/>
          <x14:colorFirst rgb="FFD00000"/>
          <x14:colorLast rgb="FFD00000"/>
          <x14:colorHigh rgb="FFD00000"/>
          <x14:colorLow rgb="FFD00000"/>
          <x14:sparklines>
            <x14:sparkline>
              <xm:f>IS!T6:X6</xm:f>
              <xm:sqref>Y6</xm:sqref>
            </x14:sparkline>
            <x14:sparkline>
              <xm:f>IS!T7:X7</xm:f>
              <xm:sqref>Y7</xm:sqref>
            </x14:sparkline>
            <x14:sparkline>
              <xm:f>IS!T8:X8</xm:f>
              <xm:sqref>Y8</xm:sqref>
            </x14:sparkline>
            <x14:sparkline>
              <xm:f>IS!T9:X9</xm:f>
              <xm:sqref>Y9</xm:sqref>
            </x14:sparkline>
            <x14:sparkline>
              <xm:f>IS!T10:X10</xm:f>
              <xm:sqref>Y10</xm:sqref>
            </x14:sparkline>
            <x14:sparkline>
              <xm:f>IS!T11:X11</xm:f>
              <xm:sqref>Y11</xm:sqref>
            </x14:sparkline>
            <x14:sparkline>
              <xm:f>IS!T12:X12</xm:f>
              <xm:sqref>Y12</xm:sqref>
            </x14:sparkline>
            <x14:sparkline>
              <xm:f>IS!T13:X13</xm:f>
              <xm:sqref>Y13</xm:sqref>
            </x14:sparkline>
            <x14:sparkline>
              <xm:f>IS!T14:X14</xm:f>
              <xm:sqref>Y14</xm:sqref>
            </x14:sparkline>
            <x14:sparkline>
              <xm:f>IS!T15:X15</xm:f>
              <xm:sqref>Y15</xm:sqref>
            </x14:sparkline>
            <x14:sparkline>
              <xm:f>IS!T16:X16</xm:f>
              <xm:sqref>Y16</xm:sqref>
            </x14:sparkline>
            <x14:sparkline>
              <xm:f>IS!T17:X17</xm:f>
              <xm:sqref>Y17</xm:sqref>
            </x14:sparkline>
            <x14:sparkline>
              <xm:f>IS!T18:X18</xm:f>
              <xm:sqref>Y18</xm:sqref>
            </x14:sparkline>
            <x14:sparkline>
              <xm:f>IS!T19:X19</xm:f>
              <xm:sqref>Y19</xm:sqref>
            </x14:sparkline>
            <x14:sparkline>
              <xm:f>IS!T20:X20</xm:f>
              <xm:sqref>Y20</xm:sqref>
            </x14:sparkline>
            <x14:sparkline>
              <xm:f>IS!T21:X21</xm:f>
              <xm:sqref>Y21</xm:sqref>
            </x14:sparkline>
            <x14:sparkline>
              <xm:f>IS!T22:X22</xm:f>
              <xm:sqref>Y22</xm:sqref>
            </x14:sparkline>
            <x14:sparkline>
              <xm:f>IS!T23:X23</xm:f>
              <xm:sqref>Y23</xm:sqref>
            </x14:sparkline>
            <x14:sparkline>
              <xm:f>IS!T24:X24</xm:f>
              <xm:sqref>Y24</xm:sqref>
            </x14:sparkline>
            <x14:sparkline>
              <xm:f>IS!T25:X25</xm:f>
              <xm:sqref>Y25</xm:sqref>
            </x14:sparkline>
            <x14:sparkline>
              <xm:f>IS!T26:X26</xm:f>
              <xm:sqref>Y26</xm:sqref>
            </x14:sparkline>
            <x14:sparkline>
              <xm:f>IS!T27:X27</xm:f>
              <xm:sqref>Y27</xm:sqref>
            </x14:sparkline>
            <x14:sparkline>
              <xm:f>IS!T28:X28</xm:f>
              <xm:sqref>Y28</xm:sqref>
            </x14:sparkline>
          </x14:sparklines>
        </x14:sparklineGroup>
        <x14:sparklineGroup manualMax="0" manualMin="0" type="column" displayEmptyCellsAs="gap" xr2:uid="{1C10CCFA-52A4-4CCE-BC9B-ED4A77B6E2B5}">
          <x14:colorSeries rgb="FF376092"/>
          <x14:colorNegative rgb="FFD00000"/>
          <x14:colorAxis rgb="FF000000"/>
          <x14:colorMarkers rgb="FFD00000"/>
          <x14:colorFirst rgb="FFD00000"/>
          <x14:colorLast rgb="FFD00000"/>
          <x14:colorHigh rgb="FFD00000"/>
          <x14:colorLow rgb="FFD00000"/>
          <x14:sparklines>
            <x14:sparkline>
              <xm:f>IS!L6:O6</xm:f>
              <xm:sqref>P6</xm:sqref>
            </x14:sparkline>
            <x14:sparkline>
              <xm:f>IS!L7:O7</xm:f>
              <xm:sqref>P7</xm:sqref>
            </x14:sparkline>
            <x14:sparkline>
              <xm:f>IS!L8:O8</xm:f>
              <xm:sqref>P8</xm:sqref>
            </x14:sparkline>
            <x14:sparkline>
              <xm:f>IS!L9:O9</xm:f>
              <xm:sqref>P9</xm:sqref>
            </x14:sparkline>
            <x14:sparkline>
              <xm:f>IS!L10:O10</xm:f>
              <xm:sqref>P10</xm:sqref>
            </x14:sparkline>
            <x14:sparkline>
              <xm:f>IS!L11:O11</xm:f>
              <xm:sqref>P11</xm:sqref>
            </x14:sparkline>
            <x14:sparkline>
              <xm:f>IS!L12:O12</xm:f>
              <xm:sqref>P12</xm:sqref>
            </x14:sparkline>
            <x14:sparkline>
              <xm:f>IS!L13:O13</xm:f>
              <xm:sqref>P13</xm:sqref>
            </x14:sparkline>
            <x14:sparkline>
              <xm:f>IS!L14:O14</xm:f>
              <xm:sqref>P14</xm:sqref>
            </x14:sparkline>
            <x14:sparkline>
              <xm:f>IS!L15:O15</xm:f>
              <xm:sqref>P15</xm:sqref>
            </x14:sparkline>
            <x14:sparkline>
              <xm:f>IS!L16:O16</xm:f>
              <xm:sqref>P16</xm:sqref>
            </x14:sparkline>
            <x14:sparkline>
              <xm:f>IS!L17:O17</xm:f>
              <xm:sqref>P17</xm:sqref>
            </x14:sparkline>
            <x14:sparkline>
              <xm:f>IS!L18:O18</xm:f>
              <xm:sqref>P18</xm:sqref>
            </x14:sparkline>
            <x14:sparkline>
              <xm:f>IS!L19:O19</xm:f>
              <xm:sqref>P19</xm:sqref>
            </x14:sparkline>
            <x14:sparkline>
              <xm:f>IS!L20:O20</xm:f>
              <xm:sqref>P20</xm:sqref>
            </x14:sparkline>
            <x14:sparkline>
              <xm:f>IS!L21:O21</xm:f>
              <xm:sqref>P21</xm:sqref>
            </x14:sparkline>
            <x14:sparkline>
              <xm:f>IS!L22:O22</xm:f>
              <xm:sqref>P22</xm:sqref>
            </x14:sparkline>
            <x14:sparkline>
              <xm:f>IS!L23:O23</xm:f>
              <xm:sqref>P23</xm:sqref>
            </x14:sparkline>
            <x14:sparkline>
              <xm:f>IS!L24:O24</xm:f>
              <xm:sqref>P24</xm:sqref>
            </x14:sparkline>
            <x14:sparkline>
              <xm:f>IS!L25:O25</xm:f>
              <xm:sqref>P25</xm:sqref>
            </x14:sparkline>
            <x14:sparkline>
              <xm:f>IS!L26:O26</xm:f>
              <xm:sqref>P26</xm:sqref>
            </x14:sparkline>
            <x14:sparkline>
              <xm:f>IS!L27:O27</xm:f>
              <xm:sqref>P27</xm:sqref>
            </x14:sparkline>
            <x14:sparkline>
              <xm:f>IS!L28:O28</xm:f>
              <xm:sqref>P28</xm:sqref>
            </x14:sparkline>
            <x14:sparkline>
              <xm:f>IS!L29:O29</xm:f>
              <xm:sqref>P29</xm:sqref>
            </x14:sparkline>
            <x14:sparkline>
              <xm:f>IS!L30:O30</xm:f>
              <xm:sqref>P30</xm:sqref>
            </x14:sparkline>
            <x14:sparkline>
              <xm:f>IS!L31:O31</xm:f>
              <xm:sqref>P31</xm:sqref>
            </x14:sparkline>
            <x14:sparkline>
              <xm:f>IS!L32:O32</xm:f>
              <xm:sqref>P32</xm:sqref>
            </x14:sparkline>
            <x14:sparkline>
              <xm:f>IS!L33:O33</xm:f>
              <xm:sqref>P33</xm:sqref>
            </x14:sparkline>
            <x14:sparkline>
              <xm:f>IS!L34:O34</xm:f>
              <xm:sqref>P34</xm:sqref>
            </x14:sparkline>
            <x14:sparkline>
              <xm:f>IS!L35:O35</xm:f>
              <xm:sqref>P35</xm:sqref>
            </x14:sparkline>
            <x14:sparkline>
              <xm:f>IS!L36:O36</xm:f>
              <xm:sqref>P36</xm:sqref>
            </x14:sparkline>
            <x14:sparkline>
              <xm:f>IS!L37:O37</xm:f>
              <xm:sqref>P37</xm:sqref>
            </x14:sparkline>
            <x14:sparkline>
              <xm:f>IS!L38:O38</xm:f>
              <xm:sqref>P38</xm:sqref>
            </x14:sparkline>
            <x14:sparkline>
              <xm:f>IS!L39:O39</xm:f>
              <xm:sqref>P39</xm:sqref>
            </x14:sparkline>
            <x14:sparkline>
              <xm:f>IS!L40:O40</xm:f>
              <xm:sqref>P40</xm:sqref>
            </x14:sparkline>
            <x14:sparkline>
              <xm:f>IS!L41:O41</xm:f>
              <xm:sqref>P41</xm:sqref>
            </x14:sparkline>
          </x14:sparklines>
        </x14:sparklineGroup>
        <x14:sparklineGroup manualMax="0" manualMin="0" type="column" displayEmptyCellsAs="gap" xr2:uid="{BE0185EA-4FC9-42A8-8B74-6B87C65BAD42}">
          <x14:colorSeries rgb="FF376092"/>
          <x14:colorNegative rgb="FFD00000"/>
          <x14:colorAxis rgb="FF000000"/>
          <x14:colorMarkers rgb="FFD00000"/>
          <x14:colorFirst rgb="FFD00000"/>
          <x14:colorLast rgb="FFD00000"/>
          <x14:colorHigh rgb="FFD00000"/>
          <x14:colorLow rgb="FFD00000"/>
          <x14:sparklines>
            <x14:sparkline>
              <xm:f>IS!C6:G6</xm:f>
              <xm:sqref>H6</xm:sqref>
            </x14:sparkline>
            <x14:sparkline>
              <xm:f>IS!C7:G7</xm:f>
              <xm:sqref>H7</xm:sqref>
            </x14:sparkline>
            <x14:sparkline>
              <xm:f>IS!C8:G8</xm:f>
              <xm:sqref>H8</xm:sqref>
            </x14:sparkline>
            <x14:sparkline>
              <xm:f>IS!C9:G9</xm:f>
              <xm:sqref>H9</xm:sqref>
            </x14:sparkline>
            <x14:sparkline>
              <xm:f>IS!C10:G10</xm:f>
              <xm:sqref>H10</xm:sqref>
            </x14:sparkline>
            <x14:sparkline>
              <xm:f>IS!C11:G11</xm:f>
              <xm:sqref>H11</xm:sqref>
            </x14:sparkline>
            <x14:sparkline>
              <xm:f>IS!C12:G12</xm:f>
              <xm:sqref>H12</xm:sqref>
            </x14:sparkline>
            <x14:sparkline>
              <xm:f>IS!C13:G13</xm:f>
              <xm:sqref>H13</xm:sqref>
            </x14:sparkline>
            <x14:sparkline>
              <xm:f>IS!C14:G14</xm:f>
              <xm:sqref>H14</xm:sqref>
            </x14:sparkline>
            <x14:sparkline>
              <xm:f>IS!C15:G15</xm:f>
              <xm:sqref>H15</xm:sqref>
            </x14:sparkline>
            <x14:sparkline>
              <xm:f>IS!C16:G16</xm:f>
              <xm:sqref>H16</xm:sqref>
            </x14:sparkline>
            <x14:sparkline>
              <xm:f>IS!C17:G17</xm:f>
              <xm:sqref>H17</xm:sqref>
            </x14:sparkline>
            <x14:sparkline>
              <xm:f>IS!C18:G18</xm:f>
              <xm:sqref>H18</xm:sqref>
            </x14:sparkline>
            <x14:sparkline>
              <xm:f>IS!C19:G19</xm:f>
              <xm:sqref>H19</xm:sqref>
            </x14:sparkline>
            <x14:sparkline>
              <xm:f>IS!C20:G20</xm:f>
              <xm:sqref>H20</xm:sqref>
            </x14:sparkline>
            <x14:sparkline>
              <xm:f>IS!C21:G21</xm:f>
              <xm:sqref>H21</xm:sqref>
            </x14:sparkline>
            <x14:sparkline>
              <xm:f>IS!C22:G22</xm:f>
              <xm:sqref>H22</xm:sqref>
            </x14:sparkline>
            <x14:sparkline>
              <xm:f>IS!C23:G23</xm:f>
              <xm:sqref>H23</xm:sqref>
            </x14:sparkline>
            <x14:sparkline>
              <xm:f>IS!C24:G24</xm:f>
              <xm:sqref>H24</xm:sqref>
            </x14:sparkline>
            <x14:sparkline>
              <xm:f>IS!C25:G25</xm:f>
              <xm:sqref>H25</xm:sqref>
            </x14:sparkline>
            <x14:sparkline>
              <xm:f>IS!C26:G26</xm:f>
              <xm:sqref>H26</xm:sqref>
            </x14:sparkline>
            <x14:sparkline>
              <xm:f>IS!C27:G27</xm:f>
              <xm:sqref>H27</xm:sqref>
            </x14:sparkline>
            <x14:sparkline>
              <xm:f>IS!C28:G28</xm:f>
              <xm:sqref>H28</xm:sqref>
            </x14:sparkline>
            <x14:sparkline>
              <xm:f>IS!C29:G29</xm:f>
              <xm:sqref>H29</xm:sqref>
            </x14:sparkline>
            <x14:sparkline>
              <xm:f>IS!C30:G30</xm:f>
              <xm:sqref>H30</xm:sqref>
            </x14:sparkline>
            <x14:sparkline>
              <xm:f>IS!C31:G31</xm:f>
              <xm:sqref>H31</xm:sqref>
            </x14:sparkline>
            <x14:sparkline>
              <xm:f>IS!C32:G32</xm:f>
              <xm:sqref>H32</xm:sqref>
            </x14:sparkline>
            <x14:sparkline>
              <xm:f>IS!C33:G33</xm:f>
              <xm:sqref>H33</xm:sqref>
            </x14:sparkline>
            <x14:sparkline>
              <xm:f>IS!C34:G34</xm:f>
              <xm:sqref>H34</xm:sqref>
            </x14:sparkline>
            <x14:sparkline>
              <xm:f>IS!C35:G35</xm:f>
              <xm:sqref>H35</xm:sqref>
            </x14:sparkline>
            <x14:sparkline>
              <xm:f>IS!C36:G36</xm:f>
              <xm:sqref>H36</xm:sqref>
            </x14:sparkline>
            <x14:sparkline>
              <xm:f>IS!C37:G37</xm:f>
              <xm:sqref>H37</xm:sqref>
            </x14:sparkline>
            <x14:sparkline>
              <xm:f>IS!C38:G38</xm:f>
              <xm:sqref>H38</xm:sqref>
            </x14:sparkline>
            <x14:sparkline>
              <xm:f>IS!C39:G39</xm:f>
              <xm:sqref>H39</xm:sqref>
            </x14:sparkline>
            <x14:sparkline>
              <xm:f>IS!C40:G40</xm:f>
              <xm:sqref>H40</xm:sqref>
            </x14:sparkline>
            <x14:sparkline>
              <xm:f>IS!C41:G41</xm:f>
              <xm:sqref>H41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6128-B441-4703-9B3E-9926E7C0FE5C}">
  <dimension ref="C2:AA99"/>
  <sheetViews>
    <sheetView zoomScale="99" zoomScaleNormal="99" workbookViewId="0">
      <selection activeCell="D69" sqref="D69"/>
    </sheetView>
  </sheetViews>
  <sheetFormatPr defaultRowHeight="14.4" x14ac:dyDescent="0.3"/>
  <cols>
    <col min="3" max="3" width="35.21875" customWidth="1"/>
    <col min="6" max="6" width="10.21875" customWidth="1"/>
    <col min="7" max="7" width="11.109375" customWidth="1"/>
    <col min="8" max="8" width="11.5546875" customWidth="1"/>
    <col min="9" max="9" width="10" customWidth="1"/>
    <col min="11" max="11" width="33.5546875" customWidth="1"/>
    <col min="17" max="17" width="9.88671875" customWidth="1"/>
    <col min="21" max="21" width="36.33203125" style="91" customWidth="1"/>
    <col min="27" max="27" width="10.5546875" customWidth="1"/>
  </cols>
  <sheetData>
    <row r="2" spans="3:27" ht="15" thickBot="1" x14ac:dyDescent="0.35"/>
    <row r="3" spans="3:27" x14ac:dyDescent="0.3">
      <c r="C3" s="72" t="s">
        <v>274</v>
      </c>
      <c r="D3" s="72"/>
      <c r="E3" s="72"/>
      <c r="F3" s="72"/>
      <c r="G3" s="72"/>
      <c r="H3" s="145"/>
      <c r="I3" s="143"/>
      <c r="K3" s="82" t="s">
        <v>274</v>
      </c>
      <c r="L3" s="137" t="s">
        <v>247</v>
      </c>
      <c r="M3" s="137"/>
      <c r="N3" s="137"/>
      <c r="O3" s="83"/>
      <c r="P3" s="84"/>
      <c r="Q3" s="143"/>
      <c r="U3" s="128" t="s">
        <v>274</v>
      </c>
      <c r="V3" s="83" t="s">
        <v>248</v>
      </c>
      <c r="W3" s="83"/>
      <c r="X3" s="83"/>
      <c r="Y3" s="83"/>
      <c r="Z3" s="84"/>
      <c r="AA3" s="143"/>
    </row>
    <row r="4" spans="3:27" x14ac:dyDescent="0.3">
      <c r="C4" s="78" t="s">
        <v>184</v>
      </c>
      <c r="D4" s="79">
        <v>43525</v>
      </c>
      <c r="E4" s="79">
        <v>43891</v>
      </c>
      <c r="F4" s="79">
        <v>44256</v>
      </c>
      <c r="G4" s="79">
        <v>44621</v>
      </c>
      <c r="H4" s="146" t="s">
        <v>110</v>
      </c>
      <c r="I4" s="144" t="s">
        <v>111</v>
      </c>
      <c r="K4" s="85" t="s">
        <v>184</v>
      </c>
      <c r="L4" s="79">
        <v>43525</v>
      </c>
      <c r="M4" s="79">
        <v>43891</v>
      </c>
      <c r="N4" s="79">
        <v>44256</v>
      </c>
      <c r="O4" s="79">
        <v>44621</v>
      </c>
      <c r="P4" s="86" t="s">
        <v>110</v>
      </c>
      <c r="Q4" s="144" t="s">
        <v>111</v>
      </c>
      <c r="U4" s="129" t="s">
        <v>184</v>
      </c>
      <c r="V4" s="79">
        <v>43525</v>
      </c>
      <c r="W4" s="79">
        <v>43891</v>
      </c>
      <c r="X4" s="79">
        <v>44256</v>
      </c>
      <c r="Y4" s="79">
        <v>44621</v>
      </c>
      <c r="Z4" s="86" t="s">
        <v>110</v>
      </c>
      <c r="AA4" s="144" t="s">
        <v>111</v>
      </c>
    </row>
    <row r="5" spans="3:27" x14ac:dyDescent="0.3">
      <c r="C5" s="80" t="s">
        <v>185</v>
      </c>
      <c r="D5" s="80"/>
      <c r="E5" s="80"/>
      <c r="F5" s="80"/>
      <c r="G5" s="80"/>
      <c r="H5" s="147"/>
      <c r="I5" s="139"/>
      <c r="K5" s="81" t="s">
        <v>185</v>
      </c>
      <c r="P5" s="87"/>
      <c r="Q5" s="139"/>
      <c r="U5" s="130" t="s">
        <v>185</v>
      </c>
      <c r="Z5" s="87"/>
      <c r="AA5" s="139"/>
    </row>
    <row r="6" spans="3:27" x14ac:dyDescent="0.3">
      <c r="C6" s="80" t="s">
        <v>186</v>
      </c>
      <c r="D6" s="80"/>
      <c r="E6" s="80"/>
      <c r="F6" s="80"/>
      <c r="G6" s="80"/>
      <c r="H6" s="147"/>
      <c r="I6" s="139"/>
      <c r="K6" s="81" t="s">
        <v>186</v>
      </c>
      <c r="P6" s="87"/>
      <c r="Q6" s="139"/>
      <c r="U6" s="130" t="s">
        <v>186</v>
      </c>
      <c r="Z6" s="87"/>
      <c r="AA6" s="139"/>
    </row>
    <row r="7" spans="3:27" x14ac:dyDescent="0.3">
      <c r="C7" s="42" t="s">
        <v>24</v>
      </c>
      <c r="D7" s="42">
        <v>176.63</v>
      </c>
      <c r="E7" s="42">
        <v>176.71</v>
      </c>
      <c r="F7" s="42">
        <v>176.74</v>
      </c>
      <c r="G7" s="42">
        <v>176.79</v>
      </c>
      <c r="H7" s="148">
        <v>177.18</v>
      </c>
      <c r="I7" s="139"/>
      <c r="K7" s="61" t="s">
        <v>24</v>
      </c>
      <c r="L7" s="5"/>
      <c r="M7" s="5">
        <f>(E7-$D$7)/D7</f>
        <v>4.5292419181346605E-4</v>
      </c>
      <c r="N7" s="5">
        <f>(F7-$D$7)/E7</f>
        <v>6.2248882349620074E-4</v>
      </c>
      <c r="O7" s="5">
        <f>(G7-$D$7)/F7</f>
        <v>9.0528459884574276E-4</v>
      </c>
      <c r="P7" s="88">
        <f>(H7-$D$7)/G7</f>
        <v>3.1110356920640951E-3</v>
      </c>
      <c r="Q7" s="140"/>
      <c r="U7" s="131" t="s">
        <v>24</v>
      </c>
      <c r="V7" s="5">
        <f>D7/$D$26</f>
        <v>2.0936059853211706E-2</v>
      </c>
      <c r="W7" s="5">
        <f>E7/$E$26</f>
        <v>1.8891363169378696E-2</v>
      </c>
      <c r="X7" s="5">
        <f>F7/$F$26</f>
        <v>1.6293710870986151E-2</v>
      </c>
      <c r="Y7" s="5">
        <f>G7/$G$26</f>
        <v>1.4391270972515838E-2</v>
      </c>
      <c r="Z7" s="88">
        <f>H7/$H$26</f>
        <v>1.2976065537992599E-2</v>
      </c>
      <c r="AA7" s="139"/>
    </row>
    <row r="8" spans="3:27" x14ac:dyDescent="0.3">
      <c r="C8" s="42" t="s">
        <v>187</v>
      </c>
      <c r="D8" s="42">
        <v>176.63</v>
      </c>
      <c r="E8" s="42">
        <v>176.71</v>
      </c>
      <c r="F8" s="42">
        <v>176.74</v>
      </c>
      <c r="G8" s="42">
        <v>176.79</v>
      </c>
      <c r="H8" s="148">
        <v>177.18</v>
      </c>
      <c r="I8" s="139"/>
      <c r="K8" s="61" t="s">
        <v>187</v>
      </c>
      <c r="L8" s="5"/>
      <c r="M8" s="5">
        <f>(E8-$D$8)/$D$8</f>
        <v>4.5292419181346605E-4</v>
      </c>
      <c r="N8" s="5">
        <f>(F8-$D$8)/$D$8</f>
        <v>6.2277076374349567E-4</v>
      </c>
      <c r="O8" s="5">
        <f>(G8-$D$8)/$D$8</f>
        <v>9.058483836267712E-4</v>
      </c>
      <c r="P8" s="88">
        <f>(H8-$D$8)/$D$8</f>
        <v>3.1138538187171568E-3</v>
      </c>
      <c r="Q8" s="140"/>
      <c r="U8" s="131" t="s">
        <v>187</v>
      </c>
      <c r="V8" s="5">
        <f t="shared" ref="V8:V26" si="0">D8/$D$26</f>
        <v>2.0936059853211706E-2</v>
      </c>
      <c r="W8" s="5">
        <f t="shared" ref="W8:W26" si="1">E8/$E$26</f>
        <v>1.8891363169378696E-2</v>
      </c>
      <c r="X8" s="5">
        <f t="shared" ref="X8:X26" si="2">F8/$F$26</f>
        <v>1.6293710870986151E-2</v>
      </c>
      <c r="Y8" s="5">
        <f t="shared" ref="Y8:Y26" si="3">G8/$G$26</f>
        <v>1.4391270972515838E-2</v>
      </c>
      <c r="Z8" s="88">
        <f t="shared" ref="Z8:Z26" si="4">H8/$H$26</f>
        <v>1.2976065537992599E-2</v>
      </c>
      <c r="AA8" s="139"/>
    </row>
    <row r="9" spans="3:27" x14ac:dyDescent="0.3">
      <c r="C9" s="42" t="s">
        <v>188</v>
      </c>
      <c r="D9" s="43">
        <v>5455.05</v>
      </c>
      <c r="E9" s="43">
        <v>6429.04</v>
      </c>
      <c r="F9" s="43">
        <v>7486.79</v>
      </c>
      <c r="G9" s="43">
        <v>8056.3</v>
      </c>
      <c r="H9" s="149">
        <v>8737</v>
      </c>
      <c r="I9" s="139"/>
      <c r="K9" s="61" t="s">
        <v>188</v>
      </c>
      <c r="L9" s="5"/>
      <c r="M9" s="5">
        <f>(E9-$D$9)/$D$9</f>
        <v>0.17854831761395398</v>
      </c>
      <c r="N9" s="5">
        <f>(F9-$D$9)/$D$9</f>
        <v>0.37245121492928568</v>
      </c>
      <c r="O9" s="5">
        <f>(G9-$D$9)/$D$9</f>
        <v>0.47685172454881253</v>
      </c>
      <c r="P9" s="88">
        <f>(H9-$D$9)/$D$9</f>
        <v>0.60163518207899103</v>
      </c>
      <c r="Q9" s="140"/>
      <c r="U9" s="131" t="s">
        <v>188</v>
      </c>
      <c r="V9" s="5">
        <f t="shared" si="0"/>
        <v>0.64659034876443711</v>
      </c>
      <c r="W9" s="5">
        <f t="shared" si="1"/>
        <v>0.68730309247050192</v>
      </c>
      <c r="X9" s="5">
        <f t="shared" si="2"/>
        <v>0.69020929960275212</v>
      </c>
      <c r="Y9" s="5">
        <f t="shared" si="3"/>
        <v>0.65580856573267354</v>
      </c>
      <c r="Z9" s="88">
        <f t="shared" si="4"/>
        <v>0.63986840842894976</v>
      </c>
      <c r="AA9" s="139"/>
    </row>
    <row r="10" spans="3:27" x14ac:dyDescent="0.3">
      <c r="C10" s="42" t="s">
        <v>189</v>
      </c>
      <c r="D10" s="43">
        <v>5455.05</v>
      </c>
      <c r="E10" s="43">
        <v>6429.04</v>
      </c>
      <c r="F10" s="43">
        <v>7486.79</v>
      </c>
      <c r="G10" s="43">
        <v>8056.3</v>
      </c>
      <c r="H10" s="149">
        <v>8737</v>
      </c>
      <c r="I10" s="139"/>
      <c r="K10" s="61" t="s">
        <v>189</v>
      </c>
      <c r="L10" s="5"/>
      <c r="M10" s="5">
        <f>(E10-$D$10)/$D$10</f>
        <v>0.17854831761395398</v>
      </c>
      <c r="N10" s="5">
        <f>(F10-$D$10)/$D$10</f>
        <v>0.37245121492928568</v>
      </c>
      <c r="O10" s="5">
        <f>(G10-$D$10)/$D$10</f>
        <v>0.47685172454881253</v>
      </c>
      <c r="P10" s="88">
        <f>(H10-$D$10)/$D$10</f>
        <v>0.60163518207899103</v>
      </c>
      <c r="Q10" s="140"/>
      <c r="U10" s="131" t="s">
        <v>189</v>
      </c>
      <c r="V10" s="5">
        <f t="shared" si="0"/>
        <v>0.64659034876443711</v>
      </c>
      <c r="W10" s="5">
        <f t="shared" si="1"/>
        <v>0.68730309247050192</v>
      </c>
      <c r="X10" s="5">
        <f t="shared" si="2"/>
        <v>0.69020929960275212</v>
      </c>
      <c r="Y10" s="5">
        <f t="shared" si="3"/>
        <v>0.65580856573267354</v>
      </c>
      <c r="Z10" s="88">
        <f t="shared" si="4"/>
        <v>0.63986840842894976</v>
      </c>
      <c r="AA10" s="139"/>
    </row>
    <row r="11" spans="3:27" x14ac:dyDescent="0.3">
      <c r="C11" s="42" t="s">
        <v>190</v>
      </c>
      <c r="D11" s="42">
        <v>0</v>
      </c>
      <c r="E11" s="42">
        <v>0</v>
      </c>
      <c r="F11" s="42">
        <v>0</v>
      </c>
      <c r="G11" s="42">
        <v>148.21</v>
      </c>
      <c r="H11" s="148">
        <v>59.08</v>
      </c>
      <c r="I11" s="139"/>
      <c r="K11" s="61" t="s">
        <v>190</v>
      </c>
      <c r="L11" s="5"/>
      <c r="M11" s="5"/>
      <c r="N11" s="5"/>
      <c r="O11" s="5"/>
      <c r="P11" s="88"/>
      <c r="Q11" s="140"/>
      <c r="U11" s="131" t="s">
        <v>190</v>
      </c>
      <c r="V11" s="5">
        <f t="shared" si="0"/>
        <v>0</v>
      </c>
      <c r="W11" s="5">
        <f t="shared" si="1"/>
        <v>0</v>
      </c>
      <c r="X11" s="5">
        <f t="shared" si="2"/>
        <v>0</v>
      </c>
      <c r="Y11" s="5">
        <f t="shared" si="3"/>
        <v>1.2064767638647958E-2</v>
      </c>
      <c r="Z11" s="88">
        <f t="shared" si="4"/>
        <v>4.3268199118670428E-3</v>
      </c>
      <c r="AA11" s="139"/>
    </row>
    <row r="12" spans="3:27" x14ac:dyDescent="0.3">
      <c r="C12" s="42" t="s">
        <v>191</v>
      </c>
      <c r="D12" s="43">
        <v>5631.68</v>
      </c>
      <c r="E12" s="43">
        <v>6605.75</v>
      </c>
      <c r="F12" s="43">
        <v>7663.53</v>
      </c>
      <c r="G12" s="43">
        <v>8381.2999999999993</v>
      </c>
      <c r="H12" s="149">
        <v>8973.26</v>
      </c>
      <c r="I12" s="139"/>
      <c r="K12" s="61" t="s">
        <v>191</v>
      </c>
      <c r="L12" s="5"/>
      <c r="M12" s="5">
        <f>(E12-$D$12)/$D$12</f>
        <v>0.17296259730666508</v>
      </c>
      <c r="N12" s="5">
        <f>(F12-$D$12)/$D$12</f>
        <v>0.36078932041593259</v>
      </c>
      <c r="O12" s="5">
        <f>(G12-$D$12)/$D$12</f>
        <v>0.48824151940451144</v>
      </c>
      <c r="P12" s="88">
        <f>(H12-$D$12)/$D$12</f>
        <v>0.5933540257969202</v>
      </c>
      <c r="Q12" s="140"/>
      <c r="U12" s="131" t="s">
        <v>191</v>
      </c>
      <c r="V12" s="5">
        <f t="shared" si="0"/>
        <v>0.66752640861764878</v>
      </c>
      <c r="W12" s="5">
        <f t="shared" si="1"/>
        <v>0.70619445563988059</v>
      </c>
      <c r="X12" s="5">
        <f t="shared" si="2"/>
        <v>0.7065030104737382</v>
      </c>
      <c r="Y12" s="5">
        <f t="shared" si="3"/>
        <v>0.68226460434383729</v>
      </c>
      <c r="Z12" s="88">
        <f t="shared" si="4"/>
        <v>0.65717129387880946</v>
      </c>
      <c r="AA12" s="139"/>
    </row>
    <row r="13" spans="3:27" x14ac:dyDescent="0.3">
      <c r="C13" s="42" t="s">
        <v>137</v>
      </c>
      <c r="D13" s="42">
        <v>31.38</v>
      </c>
      <c r="E13" s="42">
        <v>36.46</v>
      </c>
      <c r="F13" s="42">
        <v>36.69</v>
      </c>
      <c r="G13" s="42">
        <v>40.549999999999997</v>
      </c>
      <c r="H13" s="148">
        <v>468.17</v>
      </c>
      <c r="I13" s="139"/>
      <c r="K13" s="61" t="s">
        <v>137</v>
      </c>
      <c r="L13" s="5"/>
      <c r="M13" s="5">
        <f>(E13-$D$13)/$D$13</f>
        <v>0.16188655194391338</v>
      </c>
      <c r="N13" s="5">
        <f>(F13-$D$13)/$D$13</f>
        <v>0.16921606118546842</v>
      </c>
      <c r="O13" s="5">
        <f>(G13-$D$13)/$D$13</f>
        <v>0.29222434671765452</v>
      </c>
      <c r="P13" s="88">
        <f>(H13-$D$13)/$D$13</f>
        <v>13.919375398342895</v>
      </c>
      <c r="Q13" s="140"/>
      <c r="U13" s="131" t="s">
        <v>137</v>
      </c>
      <c r="V13" s="5">
        <f t="shared" si="0"/>
        <v>3.7194902235961236E-3</v>
      </c>
      <c r="W13" s="5">
        <f t="shared" si="1"/>
        <v>3.8977935666094005E-3</v>
      </c>
      <c r="X13" s="5">
        <f t="shared" si="2"/>
        <v>3.3824615359085769E-3</v>
      </c>
      <c r="Y13" s="5">
        <f t="shared" si="3"/>
        <v>3.3008995867159748E-3</v>
      </c>
      <c r="Z13" s="88">
        <f t="shared" si="4"/>
        <v>3.428719157310077E-2</v>
      </c>
      <c r="AA13" s="139"/>
    </row>
    <row r="14" spans="3:27" x14ac:dyDescent="0.3">
      <c r="C14" s="80" t="s">
        <v>192</v>
      </c>
      <c r="D14" s="80"/>
      <c r="E14" s="80"/>
      <c r="F14" s="80"/>
      <c r="G14" s="80"/>
      <c r="H14" s="147"/>
      <c r="I14" s="139"/>
      <c r="K14" s="81" t="s">
        <v>192</v>
      </c>
      <c r="L14" s="5"/>
      <c r="M14" s="5"/>
      <c r="N14" s="5"/>
      <c r="O14" s="5"/>
      <c r="P14" s="88"/>
      <c r="Q14" s="140"/>
      <c r="U14" s="130" t="s">
        <v>192</v>
      </c>
      <c r="V14" s="5">
        <f t="shared" si="0"/>
        <v>0</v>
      </c>
      <c r="W14" s="5">
        <f t="shared" si="1"/>
        <v>0</v>
      </c>
      <c r="X14" s="5">
        <f t="shared" si="2"/>
        <v>0</v>
      </c>
      <c r="Y14" s="5">
        <f t="shared" si="3"/>
        <v>0</v>
      </c>
      <c r="Z14" s="88">
        <f t="shared" si="4"/>
        <v>0</v>
      </c>
      <c r="AA14" s="139"/>
    </row>
    <row r="15" spans="3:27" x14ac:dyDescent="0.3">
      <c r="C15" s="42" t="s">
        <v>193</v>
      </c>
      <c r="D15" s="42">
        <v>26.05</v>
      </c>
      <c r="E15" s="42">
        <v>162.88999999999999</v>
      </c>
      <c r="F15" s="42">
        <v>134.13</v>
      </c>
      <c r="G15" s="42">
        <v>250.36</v>
      </c>
      <c r="H15" s="148">
        <v>298.83999999999997</v>
      </c>
      <c r="I15" s="139"/>
      <c r="K15" s="61" t="s">
        <v>193</v>
      </c>
      <c r="L15" s="5"/>
      <c r="M15" s="5">
        <f>(E15-$D$15)/$D$15</f>
        <v>5.252975047984644</v>
      </c>
      <c r="N15" s="5">
        <f>(F15-$D$15)/$D$15</f>
        <v>4.1489443378119004</v>
      </c>
      <c r="O15" s="5">
        <f>(G15-$D$15)/$D$15</f>
        <v>8.6107485604606531</v>
      </c>
      <c r="P15" s="88">
        <f>(H15-$D$15)/$D$15</f>
        <v>10.471785028790785</v>
      </c>
      <c r="Q15" s="140"/>
      <c r="U15" s="131" t="s">
        <v>193</v>
      </c>
      <c r="V15" s="5">
        <f t="shared" si="0"/>
        <v>3.0877221263441372E-3</v>
      </c>
      <c r="W15" s="5">
        <f t="shared" si="1"/>
        <v>1.7413921943637004E-2</v>
      </c>
      <c r="X15" s="5">
        <f t="shared" si="2"/>
        <v>1.2365482851224241E-2</v>
      </c>
      <c r="Y15" s="5">
        <f t="shared" si="3"/>
        <v>2.0380104082126056E-2</v>
      </c>
      <c r="Z15" s="88">
        <f t="shared" si="4"/>
        <v>2.1886033555557668E-2</v>
      </c>
      <c r="AA15" s="139"/>
    </row>
    <row r="16" spans="3:27" x14ac:dyDescent="0.3">
      <c r="C16" s="42" t="s">
        <v>194</v>
      </c>
      <c r="D16" s="42">
        <v>23.14</v>
      </c>
      <c r="E16" s="42">
        <v>17.43</v>
      </c>
      <c r="F16" s="42">
        <v>13.91</v>
      </c>
      <c r="G16" s="42">
        <v>82.27</v>
      </c>
      <c r="H16" s="148">
        <v>90.99</v>
      </c>
      <c r="I16" s="139"/>
      <c r="K16" s="61" t="s">
        <v>194</v>
      </c>
      <c r="L16" s="5"/>
      <c r="M16" s="5">
        <f>(E16-$D$16)/$D$16</f>
        <v>-0.24675885911840972</v>
      </c>
      <c r="N16" s="5">
        <f>(F16-$D$16)/$D$16</f>
        <v>-0.39887640449438205</v>
      </c>
      <c r="O16" s="5">
        <f>(G16-$D$16)/$D$16</f>
        <v>2.5553154710458079</v>
      </c>
      <c r="P16" s="88">
        <f>(H16-$D$16)/$D$16</f>
        <v>2.9321521175453755</v>
      </c>
      <c r="Q16" s="140"/>
      <c r="U16" s="131" t="s">
        <v>194</v>
      </c>
      <c r="V16" s="5">
        <f t="shared" si="0"/>
        <v>2.7427980807525273E-3</v>
      </c>
      <c r="W16" s="5">
        <f t="shared" si="1"/>
        <v>1.8633719656061946E-3</v>
      </c>
      <c r="X16" s="5">
        <f t="shared" si="2"/>
        <v>1.2823668564864623E-3</v>
      </c>
      <c r="Y16" s="5">
        <f t="shared" si="3"/>
        <v>6.6970409124321399E-3</v>
      </c>
      <c r="Z16" s="88">
        <f t="shared" si="4"/>
        <v>6.6638006733375464E-3</v>
      </c>
      <c r="AA16" s="139"/>
    </row>
    <row r="17" spans="3:27" x14ac:dyDescent="0.3">
      <c r="C17" s="42" t="s">
        <v>195</v>
      </c>
      <c r="D17" s="42">
        <v>4.5599999999999996</v>
      </c>
      <c r="E17" s="42">
        <v>4.66</v>
      </c>
      <c r="F17" s="42">
        <v>1.37</v>
      </c>
      <c r="G17" s="42">
        <v>143.83000000000001</v>
      </c>
      <c r="H17" s="148">
        <v>149.31</v>
      </c>
      <c r="I17" s="139"/>
      <c r="K17" s="61" t="s">
        <v>195</v>
      </c>
      <c r="L17" s="5"/>
      <c r="M17" s="5">
        <f>(E17-$D$17)/$D$17</f>
        <v>2.1929824561403629E-2</v>
      </c>
      <c r="N17" s="5">
        <f>(F17-$D$17)/$D$17</f>
        <v>-0.69956140350877183</v>
      </c>
      <c r="O17" s="5">
        <f>(G17-$D$17)/$D$17</f>
        <v>30.541666666666671</v>
      </c>
      <c r="P17" s="88">
        <f>(H17-$D$17)/$D$17</f>
        <v>31.743421052631582</v>
      </c>
      <c r="Q17" s="140"/>
      <c r="U17" s="131" t="s">
        <v>195</v>
      </c>
      <c r="V17" s="5">
        <f t="shared" si="0"/>
        <v>5.4049953536004856E-4</v>
      </c>
      <c r="W17" s="5">
        <f t="shared" si="1"/>
        <v>4.9818206309379615E-4</v>
      </c>
      <c r="X17" s="5">
        <f t="shared" si="2"/>
        <v>1.2630068967551787E-4</v>
      </c>
      <c r="Y17" s="5">
        <f t="shared" si="3"/>
        <v>1.1708221641365197E-2</v>
      </c>
      <c r="Z17" s="88">
        <f t="shared" si="4"/>
        <v>1.0934960748829861E-2</v>
      </c>
      <c r="AA17" s="139"/>
    </row>
    <row r="18" spans="3:27" x14ac:dyDescent="0.3">
      <c r="C18" s="42" t="s">
        <v>196</v>
      </c>
      <c r="D18" s="42">
        <v>59.52</v>
      </c>
      <c r="E18" s="42">
        <v>62.94</v>
      </c>
      <c r="F18" s="42">
        <v>63.31</v>
      </c>
      <c r="G18" s="42">
        <v>63.68</v>
      </c>
      <c r="H18" s="148">
        <v>64.37</v>
      </c>
      <c r="I18" s="139"/>
      <c r="K18" s="61" t="s">
        <v>196</v>
      </c>
      <c r="L18" s="5"/>
      <c r="M18" s="5">
        <f>(E18-$D$18)/$D$18</f>
        <v>5.7459677419354746E-2</v>
      </c>
      <c r="N18" s="5">
        <f>(F18-$D$18)/$D$18</f>
        <v>6.3676075268817189E-2</v>
      </c>
      <c r="O18" s="5">
        <f>(G18-$D$18)/$D$18</f>
        <v>6.9892473118279508E-2</v>
      </c>
      <c r="P18" s="88">
        <f>(H18-$D$18)/$D$18</f>
        <v>8.1485215053763466E-2</v>
      </c>
      <c r="Q18" s="140"/>
      <c r="U18" s="131" t="s">
        <v>196</v>
      </c>
      <c r="V18" s="5">
        <f t="shared" si="0"/>
        <v>7.0549413036469499E-3</v>
      </c>
      <c r="W18" s="5">
        <f t="shared" si="1"/>
        <v>6.7286650324299415E-3</v>
      </c>
      <c r="X18" s="5">
        <f t="shared" si="2"/>
        <v>5.8365669075598802E-3</v>
      </c>
      <c r="Y18" s="5">
        <f t="shared" si="3"/>
        <v>5.1837555038735704E-3</v>
      </c>
      <c r="Z18" s="88">
        <f t="shared" si="4"/>
        <v>4.7142416676858763E-3</v>
      </c>
      <c r="AA18" s="139"/>
    </row>
    <row r="19" spans="3:27" x14ac:dyDescent="0.3">
      <c r="C19" s="42" t="s">
        <v>197</v>
      </c>
      <c r="D19" s="42">
        <v>113.27</v>
      </c>
      <c r="E19" s="42">
        <v>247.92</v>
      </c>
      <c r="F19" s="42">
        <v>212.72</v>
      </c>
      <c r="G19" s="42">
        <v>540.14</v>
      </c>
      <c r="H19" s="148">
        <v>603.51</v>
      </c>
      <c r="I19" s="139"/>
      <c r="K19" s="61" t="s">
        <v>197</v>
      </c>
      <c r="L19" s="5"/>
      <c r="M19" s="5">
        <f>(E19-$D$19)/$D$19</f>
        <v>1.1887525381831021</v>
      </c>
      <c r="N19" s="5">
        <f>(F19-$D$19)/$D$19</f>
        <v>0.87799064182925757</v>
      </c>
      <c r="O19" s="5">
        <f>(G19-$D$19)/$D$19</f>
        <v>3.76860598569789</v>
      </c>
      <c r="P19" s="88">
        <f>(H19-$D$19)/$D$19</f>
        <v>4.3280656837644571</v>
      </c>
      <c r="Q19" s="140"/>
      <c r="U19" s="131" t="s">
        <v>197</v>
      </c>
      <c r="V19" s="5">
        <f t="shared" si="0"/>
        <v>1.3425961046103663E-2</v>
      </c>
      <c r="W19" s="5">
        <f t="shared" si="1"/>
        <v>2.6504141004766939E-2</v>
      </c>
      <c r="X19" s="5">
        <f t="shared" si="2"/>
        <v>1.9610717304946103E-2</v>
      </c>
      <c r="Y19" s="5">
        <f t="shared" si="3"/>
        <v>4.3969122139796958E-2</v>
      </c>
      <c r="Z19" s="88">
        <f t="shared" si="4"/>
        <v>4.4199036645410951E-2</v>
      </c>
      <c r="AA19" s="139"/>
    </row>
    <row r="20" spans="3:27" x14ac:dyDescent="0.3">
      <c r="C20" s="80" t="s">
        <v>198</v>
      </c>
      <c r="D20" s="80"/>
      <c r="E20" s="80"/>
      <c r="F20" s="80"/>
      <c r="G20" s="80"/>
      <c r="H20" s="147"/>
      <c r="I20" s="139"/>
      <c r="K20" s="81" t="s">
        <v>198</v>
      </c>
      <c r="L20" s="5"/>
      <c r="M20" s="5"/>
      <c r="N20" s="5"/>
      <c r="O20" s="5"/>
      <c r="P20" s="88"/>
      <c r="Q20" s="140"/>
      <c r="U20" s="130" t="s">
        <v>198</v>
      </c>
      <c r="V20" s="5">
        <f t="shared" si="0"/>
        <v>0</v>
      </c>
      <c r="W20" s="5">
        <f t="shared" si="1"/>
        <v>0</v>
      </c>
      <c r="X20" s="5">
        <f t="shared" si="2"/>
        <v>0</v>
      </c>
      <c r="Y20" s="5">
        <f t="shared" si="3"/>
        <v>0</v>
      </c>
      <c r="Z20" s="88">
        <f t="shared" si="4"/>
        <v>0</v>
      </c>
      <c r="AA20" s="139"/>
    </row>
    <row r="21" spans="3:27" x14ac:dyDescent="0.3">
      <c r="C21" s="42" t="s">
        <v>199</v>
      </c>
      <c r="D21" s="42">
        <v>498.23</v>
      </c>
      <c r="E21" s="42">
        <v>304.24</v>
      </c>
      <c r="F21" s="42">
        <v>349.14</v>
      </c>
      <c r="G21" s="42">
        <v>617.29</v>
      </c>
      <c r="H21" s="148">
        <v>700.18</v>
      </c>
      <c r="I21" s="139"/>
      <c r="K21" s="61" t="s">
        <v>199</v>
      </c>
      <c r="L21" s="5"/>
      <c r="M21" s="5">
        <f>(E21-$D$21)/$D$21</f>
        <v>-0.3893583284828292</v>
      </c>
      <c r="N21" s="5">
        <f>(F21-$D$21)/$D$21</f>
        <v>-0.29923930714730151</v>
      </c>
      <c r="O21" s="5">
        <f>(G21-$D$21)/$D$21</f>
        <v>0.23896593942556638</v>
      </c>
      <c r="P21" s="88">
        <f>(H21-$D$21)/$D$21</f>
        <v>0.40533488549465091</v>
      </c>
      <c r="Q21" s="140"/>
      <c r="U21" s="131" t="s">
        <v>199</v>
      </c>
      <c r="V21" s="5">
        <f t="shared" si="0"/>
        <v>5.9055500768078292E-2</v>
      </c>
      <c r="W21" s="5">
        <f t="shared" si="1"/>
        <v>3.2525088170741748E-2</v>
      </c>
      <c r="X21" s="5">
        <f t="shared" si="2"/>
        <v>3.2187315907525771E-2</v>
      </c>
      <c r="Y21" s="5">
        <f t="shared" si="3"/>
        <v>5.0249378690108613E-2</v>
      </c>
      <c r="Z21" s="88">
        <f t="shared" si="4"/>
        <v>5.1278821359022779E-2</v>
      </c>
      <c r="AA21" s="139"/>
    </row>
    <row r="22" spans="3:27" x14ac:dyDescent="0.3">
      <c r="C22" s="42" t="s">
        <v>200</v>
      </c>
      <c r="D22" s="43">
        <v>1455.43</v>
      </c>
      <c r="E22" s="43">
        <v>1482.15</v>
      </c>
      <c r="F22" s="43">
        <v>1915.26</v>
      </c>
      <c r="G22" s="43">
        <v>2017.95</v>
      </c>
      <c r="H22" s="149">
        <v>2186.61</v>
      </c>
      <c r="I22" s="139"/>
      <c r="K22" s="61" t="s">
        <v>200</v>
      </c>
      <c r="L22" s="5"/>
      <c r="M22" s="5">
        <f>(E22-$D$22)/$D$22</f>
        <v>1.8358835533141427E-2</v>
      </c>
      <c r="N22" s="5">
        <f>(F22-$D$22)/$D$22</f>
        <v>0.31594099338339865</v>
      </c>
      <c r="O22" s="5">
        <f>(G22-$D$22)/$D$22</f>
        <v>0.38649746123138862</v>
      </c>
      <c r="P22" s="88">
        <f>(H22-$D$22)/$D$22</f>
        <v>0.50238073971266228</v>
      </c>
      <c r="Q22" s="140"/>
      <c r="U22" s="131" t="s">
        <v>200</v>
      </c>
      <c r="V22" s="5">
        <f t="shared" si="0"/>
        <v>0.17251299095374464</v>
      </c>
      <c r="W22" s="5">
        <f t="shared" si="1"/>
        <v>0.15845076068980044</v>
      </c>
      <c r="X22" s="5">
        <f t="shared" si="2"/>
        <v>0.17656836416637398</v>
      </c>
      <c r="Y22" s="5">
        <f t="shared" si="3"/>
        <v>0.16426757881660917</v>
      </c>
      <c r="Z22" s="88">
        <f t="shared" si="4"/>
        <v>0.16013994054650635</v>
      </c>
      <c r="AA22" s="139"/>
    </row>
    <row r="23" spans="3:27" x14ac:dyDescent="0.3">
      <c r="C23" s="42" t="s">
        <v>201</v>
      </c>
      <c r="D23" s="42">
        <v>576.41</v>
      </c>
      <c r="E23" s="42">
        <v>511.95</v>
      </c>
      <c r="F23" s="42">
        <v>481.95</v>
      </c>
      <c r="G23" s="42">
        <v>501.3</v>
      </c>
      <c r="H23" s="148">
        <v>508.63</v>
      </c>
      <c r="I23" s="139"/>
      <c r="K23" s="61" t="s">
        <v>201</v>
      </c>
      <c r="L23" s="5"/>
      <c r="M23" s="5">
        <f>(E23-$D$23)/$D$23</f>
        <v>-0.11183012092087227</v>
      </c>
      <c r="N23" s="5">
        <f>(F23-$D$23)/$D$23</f>
        <v>-0.16387640741833068</v>
      </c>
      <c r="O23" s="5">
        <f>(G23-$D$23)/$D$23</f>
        <v>-0.13030655262746996</v>
      </c>
      <c r="P23" s="88">
        <f>(H23-$D$23)/$D$23</f>
        <v>-0.11758990995992431</v>
      </c>
      <c r="Q23" s="140"/>
      <c r="U23" s="131" t="s">
        <v>201</v>
      </c>
      <c r="V23" s="5">
        <f t="shared" si="0"/>
        <v>6.8322223065106491E-2</v>
      </c>
      <c r="W23" s="5">
        <f t="shared" si="1"/>
        <v>5.4730538025937539E-2</v>
      </c>
      <c r="X23" s="5">
        <f t="shared" si="2"/>
        <v>4.4431107583296228E-2</v>
      </c>
      <c r="Y23" s="5">
        <f t="shared" si="3"/>
        <v>4.080742201777357E-2</v>
      </c>
      <c r="Z23" s="88">
        <f t="shared" si="4"/>
        <v>3.7250345493786967E-2</v>
      </c>
      <c r="AA23" s="139"/>
    </row>
    <row r="24" spans="3:27" x14ac:dyDescent="0.3">
      <c r="C24" s="42" t="s">
        <v>202</v>
      </c>
      <c r="D24" s="42">
        <v>130.24</v>
      </c>
      <c r="E24" s="42">
        <v>165.54</v>
      </c>
      <c r="F24" s="42">
        <v>187.84</v>
      </c>
      <c r="G24" s="42">
        <v>186</v>
      </c>
      <c r="H24" s="148">
        <v>214.01</v>
      </c>
      <c r="I24" s="139"/>
      <c r="K24" s="61" t="s">
        <v>202</v>
      </c>
      <c r="L24" s="5"/>
      <c r="M24" s="5">
        <f>(E24-$D$24)/$D$24</f>
        <v>0.2710380835380834</v>
      </c>
      <c r="N24" s="5">
        <f>(F24-$D$24)/$D$24</f>
        <v>0.4422604422604422</v>
      </c>
      <c r="O24" s="5">
        <f>(G24-$D$24)/$D$24</f>
        <v>0.42813267813267802</v>
      </c>
      <c r="P24" s="88">
        <f>(H24-$D$24)/$D$24</f>
        <v>0.64319717444717428</v>
      </c>
      <c r="Q24" s="140"/>
      <c r="U24" s="131" t="s">
        <v>202</v>
      </c>
      <c r="V24" s="5">
        <f t="shared" si="0"/>
        <v>1.5437425325722091E-2</v>
      </c>
      <c r="W24" s="5">
        <f t="shared" si="1"/>
        <v>1.7697222902263308E-2</v>
      </c>
      <c r="X24" s="5">
        <f t="shared" si="2"/>
        <v>1.731702302821115E-2</v>
      </c>
      <c r="Y24" s="5">
        <f t="shared" si="3"/>
        <v>1.5140994405158356E-2</v>
      </c>
      <c r="Z24" s="88">
        <f t="shared" si="4"/>
        <v>1.567337050336266E-2</v>
      </c>
      <c r="AA24" s="139"/>
    </row>
    <row r="25" spans="3:27" x14ac:dyDescent="0.3">
      <c r="C25" s="42" t="s">
        <v>203</v>
      </c>
      <c r="D25" s="43">
        <v>2660.31</v>
      </c>
      <c r="E25" s="43">
        <v>2463.88</v>
      </c>
      <c r="F25" s="43">
        <v>2934.19</v>
      </c>
      <c r="G25" s="43">
        <v>3322.54</v>
      </c>
      <c r="H25" s="149">
        <v>3609.43</v>
      </c>
      <c r="I25" s="139"/>
      <c r="K25" s="61" t="s">
        <v>203</v>
      </c>
      <c r="L25" s="5"/>
      <c r="M25" s="5">
        <f>(E25-$D$25)/$D$25</f>
        <v>-7.3837259567493957E-2</v>
      </c>
      <c r="N25" s="5">
        <f>(F25-$D$25)/$D$25</f>
        <v>0.10295040803515385</v>
      </c>
      <c r="O25" s="5">
        <f>(G25-$D$25)/$D$25</f>
        <v>0.24892963601986237</v>
      </c>
      <c r="P25" s="88">
        <f>(H25-$D$25)/$D$25</f>
        <v>0.35677045156391546</v>
      </c>
      <c r="Q25" s="140"/>
      <c r="U25" s="131" t="s">
        <v>203</v>
      </c>
      <c r="V25" s="5">
        <f t="shared" si="0"/>
        <v>0.31532814011265148</v>
      </c>
      <c r="W25" s="5">
        <f t="shared" si="1"/>
        <v>0.263403609788743</v>
      </c>
      <c r="X25" s="5">
        <f t="shared" si="2"/>
        <v>0.27050381068540713</v>
      </c>
      <c r="Y25" s="5">
        <f t="shared" si="3"/>
        <v>0.2704653739296497</v>
      </c>
      <c r="Z25" s="88">
        <f t="shared" si="4"/>
        <v>0.26434247790267873</v>
      </c>
      <c r="AA25" s="139"/>
    </row>
    <row r="26" spans="3:27" x14ac:dyDescent="0.3">
      <c r="C26" s="42" t="s">
        <v>204</v>
      </c>
      <c r="D26" s="43">
        <v>8436.64</v>
      </c>
      <c r="E26" s="43">
        <v>9354.01</v>
      </c>
      <c r="F26" s="43">
        <v>10847.13</v>
      </c>
      <c r="G26" s="43">
        <v>12284.53</v>
      </c>
      <c r="H26" s="149">
        <v>13654.37</v>
      </c>
      <c r="I26" s="139"/>
      <c r="K26" s="61" t="s">
        <v>204</v>
      </c>
      <c r="L26" s="5"/>
      <c r="M26" s="5">
        <f>(E26-$D$26)/$D$26</f>
        <v>0.10873641639325618</v>
      </c>
      <c r="N26" s="5">
        <f>(F26-$D$26)/$D$26</f>
        <v>0.28571682565571127</v>
      </c>
      <c r="O26" s="5">
        <f>(G26-$D$26)/$D$26</f>
        <v>0.45609270989398643</v>
      </c>
      <c r="P26" s="88">
        <f>(H26-$D$26)/$D$26</f>
        <v>0.61846066680574274</v>
      </c>
      <c r="Q26" s="140"/>
      <c r="U26" s="131" t="s">
        <v>204</v>
      </c>
      <c r="V26" s="5">
        <f t="shared" si="0"/>
        <v>1</v>
      </c>
      <c r="W26" s="5">
        <f t="shared" si="1"/>
        <v>1</v>
      </c>
      <c r="X26" s="5">
        <f t="shared" si="2"/>
        <v>1</v>
      </c>
      <c r="Y26" s="5">
        <f t="shared" si="3"/>
        <v>1</v>
      </c>
      <c r="Z26" s="88">
        <f t="shared" si="4"/>
        <v>1</v>
      </c>
      <c r="AA26" s="139"/>
    </row>
    <row r="27" spans="3:27" x14ac:dyDescent="0.3">
      <c r="C27" s="80" t="s">
        <v>205</v>
      </c>
      <c r="D27" s="80"/>
      <c r="E27" s="80"/>
      <c r="F27" s="80"/>
      <c r="G27" s="80"/>
      <c r="H27" s="147"/>
      <c r="I27" s="139"/>
      <c r="K27" s="81" t="s">
        <v>205</v>
      </c>
      <c r="L27" s="5"/>
      <c r="M27" s="5"/>
      <c r="N27" s="5"/>
      <c r="O27" s="5"/>
      <c r="P27" s="88"/>
      <c r="Q27" s="140"/>
      <c r="U27" s="130" t="s">
        <v>205</v>
      </c>
      <c r="V27" s="5"/>
      <c r="W27" s="5"/>
      <c r="X27" s="5"/>
      <c r="Y27" s="5"/>
      <c r="Z27" s="88"/>
      <c r="AA27" s="139"/>
    </row>
    <row r="28" spans="3:27" x14ac:dyDescent="0.3">
      <c r="C28" s="80" t="s">
        <v>206</v>
      </c>
      <c r="D28" s="80"/>
      <c r="E28" s="80"/>
      <c r="F28" s="80"/>
      <c r="G28" s="80"/>
      <c r="H28" s="147"/>
      <c r="I28" s="139"/>
      <c r="K28" s="81" t="s">
        <v>206</v>
      </c>
      <c r="L28" s="5"/>
      <c r="M28" s="5"/>
      <c r="N28" s="5"/>
      <c r="O28" s="5"/>
      <c r="P28" s="88"/>
      <c r="Q28" s="140"/>
      <c r="U28" s="130" t="s">
        <v>206</v>
      </c>
      <c r="V28" s="5"/>
      <c r="W28" s="5"/>
      <c r="X28" s="5"/>
      <c r="Y28" s="5"/>
      <c r="Z28" s="88"/>
      <c r="AA28" s="139"/>
    </row>
    <row r="29" spans="3:27" x14ac:dyDescent="0.3">
      <c r="C29" s="42" t="s">
        <v>207</v>
      </c>
      <c r="D29" s="43">
        <v>1600.07</v>
      </c>
      <c r="E29" s="43">
        <v>1872.53</v>
      </c>
      <c r="F29" s="43">
        <v>1862.2</v>
      </c>
      <c r="G29" s="43">
        <v>2017.02</v>
      </c>
      <c r="H29" s="149">
        <v>2284.67</v>
      </c>
      <c r="I29" s="139"/>
      <c r="K29" s="61" t="s">
        <v>207</v>
      </c>
      <c r="L29" s="5"/>
      <c r="M29" s="5">
        <f>(E29-$D$29)/$D$29</f>
        <v>0.17028005024780168</v>
      </c>
      <c r="N29" s="5">
        <f>(F29-$D$29)/$D$29</f>
        <v>0.1638240826963821</v>
      </c>
      <c r="O29" s="5">
        <f>(G29-$D$29)/$D$29</f>
        <v>0.26058234952220843</v>
      </c>
      <c r="P29" s="88">
        <f>(H29-$D$29)/$D$29</f>
        <v>0.42785628128769376</v>
      </c>
      <c r="Q29" s="140"/>
      <c r="U29" s="131" t="s">
        <v>207</v>
      </c>
      <c r="V29" s="5">
        <f>D29/$D$46</f>
        <v>0.18965725691744581</v>
      </c>
      <c r="W29" s="5">
        <f>E29/$E$46</f>
        <v>0.20018473360622877</v>
      </c>
      <c r="X29" s="5">
        <f>F29/$F$46</f>
        <v>0.1716767476742696</v>
      </c>
      <c r="Y29" s="5">
        <f>G29/$G$46</f>
        <v>0.16419187384458339</v>
      </c>
      <c r="Z29" s="88">
        <f>H29/$H$46</f>
        <v>0.16732152417138249</v>
      </c>
      <c r="AA29" s="139"/>
    </row>
    <row r="30" spans="3:27" x14ac:dyDescent="0.3">
      <c r="C30" s="42" t="s">
        <v>208</v>
      </c>
      <c r="D30" s="42">
        <v>32.92</v>
      </c>
      <c r="E30" s="42">
        <v>44.18</v>
      </c>
      <c r="F30" s="42">
        <v>44.71</v>
      </c>
      <c r="G30" s="42">
        <v>39.729999999999997</v>
      </c>
      <c r="H30" s="148">
        <v>888.73</v>
      </c>
      <c r="I30" s="139"/>
      <c r="K30" s="61" t="s">
        <v>208</v>
      </c>
      <c r="L30" s="5"/>
      <c r="M30" s="5">
        <f>(E30-$D$30)/$D$30</f>
        <v>0.34204131227217488</v>
      </c>
      <c r="N30" s="5">
        <f>(F30-$D$30)/$D$30</f>
        <v>0.35814094775212635</v>
      </c>
      <c r="O30" s="5">
        <f>(G30-$D$30)/$D$30</f>
        <v>0.20686512758201686</v>
      </c>
      <c r="P30" s="88">
        <f>(H30-$D$30)/$D$30</f>
        <v>25.996658566221143</v>
      </c>
      <c r="Q30" s="140"/>
      <c r="U30" s="131" t="s">
        <v>208</v>
      </c>
      <c r="V30" s="5">
        <f t="shared" ref="V30:V46" si="5">D30/$D$46</f>
        <v>3.90202734738E-3</v>
      </c>
      <c r="W30" s="5">
        <f t="shared" ref="W30:W46" si="6">E30/$E$46</f>
        <v>4.7231080573999816E-3</v>
      </c>
      <c r="X30" s="5">
        <f t="shared" ref="X30:X46" si="7">F30/$F$46</f>
        <v>4.121827617074747E-3</v>
      </c>
      <c r="Y30" s="5">
        <f t="shared" ref="Y30:Y45" si="8">G30/$G$46</f>
        <v>3.2341489662201153E-3</v>
      </c>
      <c r="Z30" s="88">
        <f t="shared" ref="Z30:Z46" si="9">H30/$H$46</f>
        <v>6.5087587343832048E-2</v>
      </c>
      <c r="AA30" s="139"/>
    </row>
    <row r="31" spans="3:27" x14ac:dyDescent="0.3">
      <c r="C31" s="42" t="s">
        <v>209</v>
      </c>
      <c r="D31" s="42">
        <v>63.76</v>
      </c>
      <c r="E31" s="42">
        <v>146.57</v>
      </c>
      <c r="F31" s="42">
        <v>147.30000000000001</v>
      </c>
      <c r="G31" s="42">
        <v>167.5</v>
      </c>
      <c r="H31" s="148">
        <v>175.13</v>
      </c>
      <c r="I31" s="139"/>
      <c r="K31" s="61" t="s">
        <v>209</v>
      </c>
      <c r="L31" s="5"/>
      <c r="M31" s="5">
        <f>(E31-$D$31)/D31</f>
        <v>1.2987766624843162</v>
      </c>
      <c r="N31" s="5">
        <f>(F31-$D$31)/E31</f>
        <v>0.56996656887494046</v>
      </c>
      <c r="O31" s="5">
        <f>(G31-$D$31)/F31</f>
        <v>0.70427698574338082</v>
      </c>
      <c r="P31" s="88">
        <f>(H31-$D$31)/G31</f>
        <v>0.66489552238805971</v>
      </c>
      <c r="Q31" s="140"/>
      <c r="U31" s="131" t="s">
        <v>209</v>
      </c>
      <c r="V31" s="5">
        <f t="shared" si="5"/>
        <v>7.5575110470519069E-3</v>
      </c>
      <c r="W31" s="5">
        <f t="shared" si="6"/>
        <v>1.5669215662587489E-2</v>
      </c>
      <c r="X31" s="5">
        <f t="shared" si="7"/>
        <v>1.3579628897229039E-2</v>
      </c>
      <c r="Y31" s="5">
        <f t="shared" si="8"/>
        <v>1.3635035284215186E-2</v>
      </c>
      <c r="Z31" s="88">
        <f t="shared" si="9"/>
        <v>1.282593045303445E-2</v>
      </c>
      <c r="AA31" s="139"/>
    </row>
    <row r="32" spans="3:27" x14ac:dyDescent="0.3">
      <c r="C32" s="42" t="s">
        <v>210</v>
      </c>
      <c r="D32" s="43">
        <v>1696.75</v>
      </c>
      <c r="E32" s="43">
        <v>2063.2800000000002</v>
      </c>
      <c r="F32" s="43">
        <v>2054.21</v>
      </c>
      <c r="G32" s="43">
        <v>2224.25</v>
      </c>
      <c r="H32" s="149">
        <v>3348.53</v>
      </c>
      <c r="I32" s="139"/>
      <c r="K32" s="61" t="s">
        <v>210</v>
      </c>
      <c r="L32" s="5"/>
      <c r="M32" s="5">
        <f>(E32-$D$32)/$D$32</f>
        <v>0.2160188595844999</v>
      </c>
      <c r="N32" s="5">
        <f>(F32-$D$32)/$D$32</f>
        <v>0.21067334610284369</v>
      </c>
      <c r="O32" s="5">
        <f>(G32-$D$32)/$D$32</f>
        <v>0.3108884632385443</v>
      </c>
      <c r="P32" s="88">
        <f>(H32-$D$32)/$D$32</f>
        <v>0.97349639015765443</v>
      </c>
      <c r="Q32" s="140"/>
      <c r="U32" s="131" t="s">
        <v>210</v>
      </c>
      <c r="V32" s="5">
        <f t="shared" si="5"/>
        <v>0.20111679531187773</v>
      </c>
      <c r="W32" s="5">
        <f t="shared" si="6"/>
        <v>0.22057705732621627</v>
      </c>
      <c r="X32" s="5">
        <f t="shared" si="7"/>
        <v>0.1893782041885734</v>
      </c>
      <c r="Y32" s="5">
        <f t="shared" si="8"/>
        <v>0.18106105809501868</v>
      </c>
      <c r="Z32" s="88">
        <f t="shared" si="9"/>
        <v>0.245235041968249</v>
      </c>
      <c r="AA32" s="139"/>
    </row>
    <row r="33" spans="3:27" x14ac:dyDescent="0.3">
      <c r="C33" s="42" t="s">
        <v>211</v>
      </c>
      <c r="D33" s="43">
        <v>2633.35</v>
      </c>
      <c r="E33" s="43">
        <v>1409.23</v>
      </c>
      <c r="F33" s="43">
        <v>3413.62</v>
      </c>
      <c r="G33" s="43">
        <v>5365.06</v>
      </c>
      <c r="H33" s="149">
        <v>5528.79</v>
      </c>
      <c r="I33" s="139"/>
      <c r="K33" s="61" t="s">
        <v>211</v>
      </c>
      <c r="L33" s="5"/>
      <c r="M33" s="5">
        <f>(E33-$D$33)/$D$33</f>
        <v>-0.46485275409649301</v>
      </c>
      <c r="N33" s="5">
        <f>(F33-$D$33)/$D$33</f>
        <v>0.29630318795450661</v>
      </c>
      <c r="O33" s="5">
        <f>(G33-$D$33)/$D$33</f>
        <v>1.0373516623312513</v>
      </c>
      <c r="P33" s="88">
        <f>(H33-$D$33)/$D$33</f>
        <v>1.0995272181821634</v>
      </c>
      <c r="Q33" s="140"/>
      <c r="U33" s="131" t="s">
        <v>211</v>
      </c>
      <c r="V33" s="5">
        <f t="shared" si="5"/>
        <v>0.31213255514043509</v>
      </c>
      <c r="W33" s="5">
        <f t="shared" si="6"/>
        <v>0.15065517355658162</v>
      </c>
      <c r="X33" s="5">
        <f t="shared" si="7"/>
        <v>0.31470259875192796</v>
      </c>
      <c r="Y33" s="5">
        <f t="shared" si="8"/>
        <v>0.43673302926526292</v>
      </c>
      <c r="Z33" s="88">
        <f t="shared" si="9"/>
        <v>0.40490992993451913</v>
      </c>
      <c r="AA33" s="139"/>
    </row>
    <row r="34" spans="3:27" x14ac:dyDescent="0.3">
      <c r="C34" s="42" t="s">
        <v>212</v>
      </c>
      <c r="D34" s="42">
        <v>0</v>
      </c>
      <c r="E34" s="42">
        <v>22</v>
      </c>
      <c r="F34" s="42">
        <v>17.95</v>
      </c>
      <c r="G34" s="42">
        <v>0.67</v>
      </c>
      <c r="H34" s="148">
        <v>2.09</v>
      </c>
      <c r="I34" s="139"/>
      <c r="K34" s="61" t="s">
        <v>212</v>
      </c>
      <c r="L34" s="5"/>
      <c r="M34" s="5"/>
      <c r="N34" s="5"/>
      <c r="O34" s="5"/>
      <c r="P34" s="88"/>
      <c r="Q34" s="140"/>
      <c r="U34" s="131" t="s">
        <v>212</v>
      </c>
      <c r="V34" s="5">
        <f t="shared" si="5"/>
        <v>0</v>
      </c>
      <c r="W34" s="5">
        <f t="shared" si="6"/>
        <v>2.3519324867089086E-3</v>
      </c>
      <c r="X34" s="5">
        <f t="shared" si="7"/>
        <v>1.6548156056025881E-3</v>
      </c>
      <c r="Y34" s="5">
        <f t="shared" si="8"/>
        <v>5.4540141136860753E-5</v>
      </c>
      <c r="Z34" s="88">
        <f t="shared" si="9"/>
        <v>1.5306455003050303E-4</v>
      </c>
      <c r="AA34" s="139"/>
    </row>
    <row r="35" spans="3:27" x14ac:dyDescent="0.3">
      <c r="C35" s="42" t="s">
        <v>213</v>
      </c>
      <c r="D35" s="42">
        <v>17.559999999999999</v>
      </c>
      <c r="E35" s="42">
        <v>24.64</v>
      </c>
      <c r="F35" s="42">
        <v>22.48</v>
      </c>
      <c r="G35" s="42">
        <v>0</v>
      </c>
      <c r="H35" s="148">
        <v>0</v>
      </c>
      <c r="I35" s="139"/>
      <c r="K35" s="61" t="s">
        <v>213</v>
      </c>
      <c r="L35" s="5"/>
      <c r="M35" s="5">
        <f>(E35-$D$35)/$D$35</f>
        <v>0.40318906605922566</v>
      </c>
      <c r="N35" s="5">
        <f>(F35-$D$35)/$D$35</f>
        <v>0.28018223234624157</v>
      </c>
      <c r="O35" s="5">
        <f>(G35-$D$35)/$D$35</f>
        <v>-1</v>
      </c>
      <c r="P35" s="88">
        <f>(H35-$D$35)/$D$35</f>
        <v>-1</v>
      </c>
      <c r="Q35" s="140"/>
      <c r="U35" s="131" t="s">
        <v>213</v>
      </c>
      <c r="V35" s="5">
        <f t="shared" si="5"/>
        <v>2.0813973335356254E-3</v>
      </c>
      <c r="W35" s="5">
        <f t="shared" si="6"/>
        <v>2.6341643851139781E-3</v>
      </c>
      <c r="X35" s="5">
        <f t="shared" si="7"/>
        <v>2.0724375940917093E-3</v>
      </c>
      <c r="Y35" s="5">
        <f t="shared" si="8"/>
        <v>0</v>
      </c>
      <c r="Z35" s="88">
        <f t="shared" si="9"/>
        <v>0</v>
      </c>
      <c r="AA35" s="139"/>
    </row>
    <row r="36" spans="3:27" x14ac:dyDescent="0.3">
      <c r="C36" s="42" t="s">
        <v>214</v>
      </c>
      <c r="D36" s="42">
        <v>166.68</v>
      </c>
      <c r="E36" s="42">
        <v>618.63</v>
      </c>
      <c r="F36" s="42">
        <v>226.92</v>
      </c>
      <c r="G36" s="42">
        <v>126.56</v>
      </c>
      <c r="H36" s="148">
        <v>120.75</v>
      </c>
      <c r="I36" s="139"/>
      <c r="K36" s="61" t="s">
        <v>214</v>
      </c>
      <c r="L36" s="5"/>
      <c r="M36" s="5">
        <f>(E36-$D$36)/$D$36</f>
        <v>2.7114830813534914</v>
      </c>
      <c r="N36" s="5">
        <f>(F36-$D$36)/$D$36</f>
        <v>0.36141108711303083</v>
      </c>
      <c r="O36" s="5">
        <f>(G36-$D$36)/$D$36</f>
        <v>-0.24070074394048477</v>
      </c>
      <c r="P36" s="88">
        <f>(H36-$D$36)/$D$36</f>
        <v>-0.27555795536357092</v>
      </c>
      <c r="Q36" s="140"/>
      <c r="U36" s="131" t="s">
        <v>214</v>
      </c>
      <c r="V36" s="5">
        <f t="shared" si="5"/>
        <v>1.9756680384608094E-2</v>
      </c>
      <c r="W36" s="5">
        <f t="shared" si="6"/>
        <v>6.6135272466033276E-2</v>
      </c>
      <c r="X36" s="5">
        <f t="shared" si="7"/>
        <v>2.0919819343918622E-2</v>
      </c>
      <c r="Y36" s="5">
        <f t="shared" si="8"/>
        <v>1.0302388451165816E-2</v>
      </c>
      <c r="Z36" s="88">
        <f t="shared" si="9"/>
        <v>8.8433226871690151E-3</v>
      </c>
      <c r="AA36" s="139"/>
    </row>
    <row r="37" spans="3:27" x14ac:dyDescent="0.3">
      <c r="C37" s="42" t="s">
        <v>215</v>
      </c>
      <c r="D37" s="43">
        <v>4850.41</v>
      </c>
      <c r="E37" s="43">
        <v>4473.75</v>
      </c>
      <c r="F37" s="43">
        <v>6071.19</v>
      </c>
      <c r="G37" s="43">
        <v>7967.69</v>
      </c>
      <c r="H37" s="149">
        <v>9405.41</v>
      </c>
      <c r="I37" s="139"/>
      <c r="K37" s="61" t="s">
        <v>215</v>
      </c>
      <c r="L37" s="5"/>
      <c r="M37" s="5">
        <f>(E37-$D$37)/$D$37</f>
        <v>-7.7655290996018866E-2</v>
      </c>
      <c r="N37" s="5">
        <f>(F37-$D$37)/$D$37</f>
        <v>0.25168593995146799</v>
      </c>
      <c r="O37" s="5">
        <f>(G37-$D$37)/$D$37</f>
        <v>0.64268381435796151</v>
      </c>
      <c r="P37" s="88">
        <f>(H37-$D$37)/$D$37</f>
        <v>0.93909587024602048</v>
      </c>
      <c r="Q37" s="140"/>
      <c r="U37" s="131" t="s">
        <v>215</v>
      </c>
      <c r="V37" s="5">
        <f t="shared" si="5"/>
        <v>0.57492200686529238</v>
      </c>
      <c r="W37" s="5">
        <f t="shared" si="6"/>
        <v>0.47827081647336273</v>
      </c>
      <c r="X37" s="5">
        <f t="shared" si="7"/>
        <v>0.55970473295701262</v>
      </c>
      <c r="Y37" s="5">
        <f t="shared" si="8"/>
        <v>0.64859542855933427</v>
      </c>
      <c r="Z37" s="88">
        <f t="shared" si="9"/>
        <v>0.68882050215425528</v>
      </c>
      <c r="AA37" s="139"/>
    </row>
    <row r="38" spans="3:27" x14ac:dyDescent="0.3">
      <c r="C38" s="80" t="s">
        <v>216</v>
      </c>
      <c r="D38" s="80"/>
      <c r="E38" s="80"/>
      <c r="F38" s="80"/>
      <c r="G38" s="80"/>
      <c r="H38" s="147"/>
      <c r="I38" s="139"/>
      <c r="K38" s="81" t="s">
        <v>216</v>
      </c>
      <c r="L38" s="5"/>
      <c r="M38" s="5"/>
      <c r="N38" s="5"/>
      <c r="O38" s="5"/>
      <c r="P38" s="88"/>
      <c r="Q38" s="140"/>
      <c r="U38" s="130" t="s">
        <v>216</v>
      </c>
      <c r="V38" s="5">
        <f t="shared" si="5"/>
        <v>0</v>
      </c>
      <c r="W38" s="5">
        <f t="shared" si="6"/>
        <v>0</v>
      </c>
      <c r="X38" s="5">
        <f t="shared" si="7"/>
        <v>0</v>
      </c>
      <c r="Y38" s="5">
        <f t="shared" si="8"/>
        <v>0</v>
      </c>
      <c r="Z38" s="88">
        <f t="shared" si="9"/>
        <v>0</v>
      </c>
      <c r="AA38" s="139"/>
    </row>
    <row r="39" spans="3:27" x14ac:dyDescent="0.3">
      <c r="C39" s="42" t="s">
        <v>217</v>
      </c>
      <c r="D39" s="42">
        <v>725.41</v>
      </c>
      <c r="E39" s="43">
        <v>1391.03</v>
      </c>
      <c r="F39" s="42">
        <v>746.01</v>
      </c>
      <c r="G39" s="42">
        <v>854.56</v>
      </c>
      <c r="H39" s="148">
        <v>736.47</v>
      </c>
      <c r="I39" s="139"/>
      <c r="K39" s="61" t="s">
        <v>217</v>
      </c>
      <c r="L39" s="5"/>
      <c r="M39" s="5">
        <f>(E39-$D$39)/$D$39</f>
        <v>0.91757764574516487</v>
      </c>
      <c r="N39" s="5">
        <f>(F39-$D$39)/$D$39</f>
        <v>2.8397733695427446E-2</v>
      </c>
      <c r="O39" s="5">
        <f>(G39-$D$39)/$D$39</f>
        <v>0.17803724790118688</v>
      </c>
      <c r="P39" s="88">
        <f>(H39-$D$39)/$D$39</f>
        <v>1.5246550226768393E-2</v>
      </c>
      <c r="Q39" s="140"/>
      <c r="U39" s="131" t="s">
        <v>217</v>
      </c>
      <c r="V39" s="5">
        <f t="shared" si="5"/>
        <v>8.5983282444195799E-2</v>
      </c>
      <c r="W39" s="5">
        <f t="shared" si="6"/>
        <v>0.1487094839539406</v>
      </c>
      <c r="X39" s="5">
        <f t="shared" si="7"/>
        <v>6.8774874091119043E-2</v>
      </c>
      <c r="Y39" s="5">
        <f t="shared" si="8"/>
        <v>6.9563914940172708E-2</v>
      </c>
      <c r="Z39" s="88">
        <f t="shared" si="9"/>
        <v>5.3936578545916068E-2</v>
      </c>
      <c r="AA39" s="139"/>
    </row>
    <row r="40" spans="3:27" x14ac:dyDescent="0.3">
      <c r="C40" s="42" t="s">
        <v>218</v>
      </c>
      <c r="D40" s="43">
        <v>1300.53</v>
      </c>
      <c r="E40" s="43">
        <v>1379.57</v>
      </c>
      <c r="F40" s="43">
        <v>1734.28</v>
      </c>
      <c r="G40" s="43">
        <v>1911.37</v>
      </c>
      <c r="H40" s="149">
        <v>2024.2</v>
      </c>
      <c r="I40" s="139"/>
      <c r="K40" s="61" t="s">
        <v>218</v>
      </c>
      <c r="L40" s="5"/>
      <c r="M40" s="5">
        <f>(E40-$D$40)/$D$40</f>
        <v>6.0775222409325404E-2</v>
      </c>
      <c r="N40" s="5">
        <f>(F40-$D$40)/$D$40</f>
        <v>0.33351787348234951</v>
      </c>
      <c r="O40" s="5">
        <f>(G40-$D$40)/$D$40</f>
        <v>0.46968543593765616</v>
      </c>
      <c r="P40" s="88">
        <f>(H40-$D$40)/$D$40</f>
        <v>0.55644237349388337</v>
      </c>
      <c r="Q40" s="140"/>
      <c r="U40" s="131" t="s">
        <v>218</v>
      </c>
      <c r="V40" s="5">
        <f t="shared" si="5"/>
        <v>0.15415260103548334</v>
      </c>
      <c r="W40" s="5">
        <f t="shared" si="6"/>
        <v>0.14748434094040949</v>
      </c>
      <c r="X40" s="5">
        <f t="shared" si="7"/>
        <v>0.15988376648938477</v>
      </c>
      <c r="Y40" s="5">
        <f t="shared" si="8"/>
        <v>0.15559162621606198</v>
      </c>
      <c r="Z40" s="88">
        <f t="shared" si="9"/>
        <v>0.14824557998648052</v>
      </c>
      <c r="AA40" s="139"/>
    </row>
    <row r="41" spans="3:27" x14ac:dyDescent="0.3">
      <c r="C41" s="42" t="s">
        <v>219</v>
      </c>
      <c r="D41" s="42">
        <v>833.56</v>
      </c>
      <c r="E41" s="42">
        <v>813.89</v>
      </c>
      <c r="F41" s="42">
        <v>561.58000000000004</v>
      </c>
      <c r="G41" s="42">
        <v>646.15</v>
      </c>
      <c r="H41" s="148">
        <v>848.75</v>
      </c>
      <c r="I41" s="139"/>
      <c r="K41" s="61" t="s">
        <v>219</v>
      </c>
      <c r="L41" s="5"/>
      <c r="M41" s="5">
        <f>(E41-$D$41)/$D$41</f>
        <v>-2.3597581457843419E-2</v>
      </c>
      <c r="N41" s="5">
        <f>(F41-$D$41)/$D$41</f>
        <v>-0.32628724986803581</v>
      </c>
      <c r="O41" s="5">
        <f>(G41-$D$41)/$D$41</f>
        <v>-0.22483084600988529</v>
      </c>
      <c r="P41" s="88">
        <f>(H41-$D$41)/$D$41</f>
        <v>1.8223043332213706E-2</v>
      </c>
      <c r="Q41" s="140"/>
      <c r="U41" s="131" t="s">
        <v>219</v>
      </c>
      <c r="V41" s="5">
        <f t="shared" si="5"/>
        <v>9.8802366819017995E-2</v>
      </c>
      <c r="W41" s="5">
        <f t="shared" si="6"/>
        <v>8.7009742345796073E-2</v>
      </c>
      <c r="X41" s="5">
        <f t="shared" si="7"/>
        <v>5.1772219932830169E-2</v>
      </c>
      <c r="Y41" s="5">
        <f t="shared" si="8"/>
        <v>5.259867491877996E-2</v>
      </c>
      <c r="Z41" s="88">
        <f t="shared" si="9"/>
        <v>6.2159587004014097E-2</v>
      </c>
      <c r="AA41" s="139"/>
    </row>
    <row r="42" spans="3:27" x14ac:dyDescent="0.3">
      <c r="C42" s="42" t="s">
        <v>220</v>
      </c>
      <c r="D42" s="42">
        <v>328.16</v>
      </c>
      <c r="E42" s="42">
        <v>811.37</v>
      </c>
      <c r="F42" s="43">
        <v>1329.03</v>
      </c>
      <c r="G42" s="42">
        <v>570.14</v>
      </c>
      <c r="H42" s="148">
        <v>325.92</v>
      </c>
      <c r="I42" s="139"/>
      <c r="K42" s="61" t="s">
        <v>220</v>
      </c>
      <c r="L42" s="5"/>
      <c r="M42" s="5">
        <f>(E42-$D$42)/$D$42</f>
        <v>1.4724829351535835</v>
      </c>
      <c r="N42" s="5">
        <f>(F42-$D$42)/$D$42</f>
        <v>3.049945148707947</v>
      </c>
      <c r="O42" s="5">
        <f>(G42-$D$42)/$D$42</f>
        <v>0.73738420282788864</v>
      </c>
      <c r="P42" s="88">
        <f>(H42-$D$42)/$D$42</f>
        <v>-6.825938566552928E-3</v>
      </c>
      <c r="Q42" s="140"/>
      <c r="U42" s="131" t="s">
        <v>220</v>
      </c>
      <c r="V42" s="5">
        <f t="shared" si="5"/>
        <v>3.8897001649945959E-2</v>
      </c>
      <c r="W42" s="5">
        <f t="shared" si="6"/>
        <v>8.6740339170045783E-2</v>
      </c>
      <c r="X42" s="5">
        <f t="shared" si="7"/>
        <v>0.12252365372222884</v>
      </c>
      <c r="Y42" s="5">
        <f t="shared" si="8"/>
        <v>4.6411218011596693E-2</v>
      </c>
      <c r="Z42" s="88">
        <f t="shared" si="9"/>
        <v>2.3869281409541414E-2</v>
      </c>
      <c r="AA42" s="139"/>
    </row>
    <row r="43" spans="3:27" x14ac:dyDescent="0.3">
      <c r="C43" s="42" t="s">
        <v>221</v>
      </c>
      <c r="D43" s="42">
        <v>11.04</v>
      </c>
      <c r="E43" s="42">
        <v>13.07</v>
      </c>
      <c r="F43" s="42">
        <v>14.46</v>
      </c>
      <c r="G43" s="42">
        <v>0</v>
      </c>
      <c r="H43" s="148">
        <v>0</v>
      </c>
      <c r="I43" s="139"/>
      <c r="K43" s="61" t="s">
        <v>221</v>
      </c>
      <c r="L43" s="5"/>
      <c r="M43" s="5">
        <f>(E43-$D$43)/$D$43</f>
        <v>0.18387681159420302</v>
      </c>
      <c r="N43" s="5">
        <f>(F43-$D$43)/$D$43</f>
        <v>0.30978260869565233</v>
      </c>
      <c r="O43" s="5">
        <f>(G43-$D$43)/$D$43</f>
        <v>-1</v>
      </c>
      <c r="P43" s="88">
        <f>(H43-$D$43)/$D$43</f>
        <v>-1</v>
      </c>
      <c r="Q43" s="140"/>
      <c r="U43" s="131" t="s">
        <v>221</v>
      </c>
      <c r="V43" s="5">
        <f t="shared" si="5"/>
        <v>1.3085778224506438E-3</v>
      </c>
      <c r="W43" s="5">
        <f t="shared" si="6"/>
        <v>1.3972617091493381E-3</v>
      </c>
      <c r="X43" s="5">
        <f t="shared" si="7"/>
        <v>1.333071512925539E-3</v>
      </c>
      <c r="Y43" s="5">
        <f t="shared" si="8"/>
        <v>0</v>
      </c>
      <c r="Z43" s="88">
        <f t="shared" si="9"/>
        <v>0</v>
      </c>
      <c r="AA43" s="139"/>
    </row>
    <row r="44" spans="3:27" x14ac:dyDescent="0.3">
      <c r="C44" s="42" t="s">
        <v>222</v>
      </c>
      <c r="D44" s="42">
        <v>387.53</v>
      </c>
      <c r="E44" s="42">
        <v>471.33</v>
      </c>
      <c r="F44" s="42">
        <v>390.58</v>
      </c>
      <c r="G44" s="42">
        <v>334.62</v>
      </c>
      <c r="H44" s="148">
        <v>313.62</v>
      </c>
      <c r="I44" s="139"/>
      <c r="K44" s="61" t="s">
        <v>222</v>
      </c>
      <c r="L44" s="5"/>
      <c r="M44" s="5">
        <f>(E44-$D$44)/$D$44</f>
        <v>0.2162413232523934</v>
      </c>
      <c r="N44" s="5">
        <f>(F44-$D$44)/$D$44</f>
        <v>7.8703584238639882E-3</v>
      </c>
      <c r="O44" s="5">
        <f>(G44-$D$44)/$D$44</f>
        <v>-0.13653136531365306</v>
      </c>
      <c r="P44" s="88">
        <f>(H44-$D$44)/$D$44</f>
        <v>-0.19072071839599508</v>
      </c>
      <c r="Q44" s="140"/>
      <c r="U44" s="131" t="s">
        <v>222</v>
      </c>
      <c r="V44" s="5">
        <f t="shared" si="5"/>
        <v>4.5934163363613952E-2</v>
      </c>
      <c r="W44" s="5">
        <f t="shared" si="6"/>
        <v>5.0388015407295907E-2</v>
      </c>
      <c r="X44" s="5">
        <f t="shared" si="7"/>
        <v>3.6007681294499098E-2</v>
      </c>
      <c r="Y44" s="5">
        <f t="shared" si="8"/>
        <v>2.7239137354054244E-2</v>
      </c>
      <c r="Z44" s="88">
        <f t="shared" si="9"/>
        <v>2.296847089979252E-2</v>
      </c>
      <c r="AA44" s="139"/>
    </row>
    <row r="45" spans="3:27" x14ac:dyDescent="0.3">
      <c r="C45" s="42" t="s">
        <v>223</v>
      </c>
      <c r="D45" s="43">
        <v>3586.23</v>
      </c>
      <c r="E45" s="43">
        <v>4880.26</v>
      </c>
      <c r="F45" s="43">
        <v>4775.9399999999996</v>
      </c>
      <c r="G45" s="43">
        <v>4316.84</v>
      </c>
      <c r="H45" s="149">
        <v>4248.96</v>
      </c>
      <c r="I45" s="139"/>
      <c r="K45" s="61" t="s">
        <v>223</v>
      </c>
      <c r="L45" s="5"/>
      <c r="M45" s="5">
        <f>(E45-$D$45)/$D$45</f>
        <v>0.36083296386455976</v>
      </c>
      <c r="N45" s="5">
        <f>(F45-$D$45)/$D$45</f>
        <v>0.33174392049589668</v>
      </c>
      <c r="O45" s="5">
        <f>(G45-$D$45)/$D$45</f>
        <v>0.20372647599289509</v>
      </c>
      <c r="P45" s="88">
        <f>(H45-$D$45)/$D$45</f>
        <v>0.18479852100952812</v>
      </c>
      <c r="Q45" s="140"/>
      <c r="U45" s="131" t="s">
        <v>223</v>
      </c>
      <c r="V45" s="5">
        <f t="shared" si="5"/>
        <v>0.42507799313470768</v>
      </c>
      <c r="W45" s="5">
        <f t="shared" si="6"/>
        <v>0.52172918352663722</v>
      </c>
      <c r="X45" s="5">
        <f t="shared" si="7"/>
        <v>0.44029526704298738</v>
      </c>
      <c r="Y45" s="5">
        <f t="shared" si="8"/>
        <v>0.35140457144066561</v>
      </c>
      <c r="Z45" s="88">
        <f t="shared" si="9"/>
        <v>0.31117949784574461</v>
      </c>
      <c r="AA45" s="139"/>
    </row>
    <row r="46" spans="3:27" ht="15" thickBot="1" x14ac:dyDescent="0.35">
      <c r="C46" s="42" t="s">
        <v>224</v>
      </c>
      <c r="D46" s="43">
        <v>8436.64</v>
      </c>
      <c r="E46" s="43">
        <v>9354.01</v>
      </c>
      <c r="F46" s="43">
        <v>10847.13</v>
      </c>
      <c r="G46" s="43">
        <v>12284.53</v>
      </c>
      <c r="H46" s="149">
        <v>13654.37</v>
      </c>
      <c r="I46" s="139"/>
      <c r="K46" s="61" t="s">
        <v>224</v>
      </c>
      <c r="L46" s="5"/>
      <c r="M46" s="5">
        <f>(E46-$D$46)/$D$46</f>
        <v>0.10873641639325618</v>
      </c>
      <c r="N46" s="5">
        <f>(F46-$D$46)/$D$46</f>
        <v>0.28571682565571127</v>
      </c>
      <c r="O46" s="5">
        <f>(G46-$D$46)/$D$46</f>
        <v>0.45609270989398643</v>
      </c>
      <c r="P46" s="88">
        <f>(H46-$D$46)/$D$46</f>
        <v>0.61846066680574274</v>
      </c>
      <c r="Q46" s="140"/>
      <c r="U46" s="132" t="s">
        <v>224</v>
      </c>
      <c r="V46" s="89">
        <f t="shared" si="5"/>
        <v>1</v>
      </c>
      <c r="W46" s="89">
        <f t="shared" si="6"/>
        <v>1</v>
      </c>
      <c r="X46" s="89">
        <f t="shared" si="7"/>
        <v>1</v>
      </c>
      <c r="Y46" s="89">
        <f>G46/$G$46</f>
        <v>1</v>
      </c>
      <c r="Z46" s="90">
        <f t="shared" si="9"/>
        <v>1</v>
      </c>
      <c r="AA46" s="142"/>
    </row>
    <row r="47" spans="3:27" x14ac:dyDescent="0.3">
      <c r="C47" s="80" t="s">
        <v>140</v>
      </c>
      <c r="D47" s="80"/>
      <c r="E47" s="80"/>
      <c r="F47" s="80"/>
      <c r="G47" s="80"/>
      <c r="H47" s="147"/>
      <c r="I47" s="139"/>
      <c r="K47" s="81" t="s">
        <v>140</v>
      </c>
      <c r="L47" s="5"/>
      <c r="M47" s="5"/>
      <c r="N47" s="5"/>
      <c r="O47" s="5"/>
      <c r="P47" s="88"/>
      <c r="Q47" s="140"/>
      <c r="U47" s="138"/>
      <c r="V47" s="5"/>
      <c r="W47" s="5"/>
      <c r="X47" s="5"/>
      <c r="Y47" s="5"/>
      <c r="Z47" s="5"/>
    </row>
    <row r="48" spans="3:27" x14ac:dyDescent="0.3">
      <c r="C48" s="80" t="s">
        <v>225</v>
      </c>
      <c r="D48" s="80"/>
      <c r="E48" s="80"/>
      <c r="F48" s="80"/>
      <c r="G48" s="80"/>
      <c r="H48" s="147"/>
      <c r="I48" s="139"/>
      <c r="K48" s="81" t="s">
        <v>225</v>
      </c>
      <c r="L48" s="5"/>
      <c r="M48" s="5"/>
      <c r="N48" s="5"/>
      <c r="O48" s="5"/>
      <c r="P48" s="88"/>
      <c r="Q48" s="140"/>
      <c r="U48" s="138"/>
      <c r="V48" s="5"/>
      <c r="W48" s="5"/>
      <c r="X48" s="5"/>
      <c r="Y48" s="5"/>
      <c r="Z48" s="5"/>
    </row>
    <row r="49" spans="3:26" x14ac:dyDescent="0.3">
      <c r="C49" s="42" t="s">
        <v>226</v>
      </c>
      <c r="D49" s="42">
        <v>343.88</v>
      </c>
      <c r="E49" s="42">
        <v>360.21</v>
      </c>
      <c r="F49" s="42">
        <v>347.77</v>
      </c>
      <c r="G49" s="42">
        <v>555.05999999999995</v>
      </c>
      <c r="H49" s="148">
        <v>521.73</v>
      </c>
      <c r="I49" s="139"/>
      <c r="K49" s="61" t="s">
        <v>226</v>
      </c>
      <c r="L49" s="5"/>
      <c r="M49" s="5">
        <f>(E49-$D$49)/$D$49</f>
        <v>4.7487495638013216E-2</v>
      </c>
      <c r="N49" s="5">
        <f>(F49-$D$49)/$D$49</f>
        <v>1.1312085611259702E-2</v>
      </c>
      <c r="O49" s="5">
        <f>(G49-$D$49)/$D$49</f>
        <v>0.61410957310689762</v>
      </c>
      <c r="P49" s="88">
        <f>(H49-$D$49)/$D$49</f>
        <v>0.51718622775386769</v>
      </c>
      <c r="Q49" s="140"/>
      <c r="V49" s="5"/>
      <c r="W49" s="5"/>
      <c r="X49" s="5"/>
      <c r="Y49" s="5"/>
      <c r="Z49" s="5"/>
    </row>
    <row r="50" spans="3:26" x14ac:dyDescent="0.3">
      <c r="C50" s="80" t="s">
        <v>227</v>
      </c>
      <c r="D50" s="80"/>
      <c r="E50" s="80"/>
      <c r="F50" s="80"/>
      <c r="G50" s="80"/>
      <c r="H50" s="147"/>
      <c r="I50" s="139"/>
      <c r="K50" s="81" t="s">
        <v>227</v>
      </c>
      <c r="L50" s="5"/>
      <c r="M50" s="5"/>
      <c r="N50" s="5"/>
      <c r="O50" s="5"/>
      <c r="P50" s="88"/>
      <c r="Q50" s="140"/>
      <c r="V50" s="5"/>
      <c r="W50" s="5"/>
      <c r="X50" s="5"/>
      <c r="Y50" s="5"/>
      <c r="Z50" s="5"/>
    </row>
    <row r="51" spans="3:26" x14ac:dyDescent="0.3">
      <c r="C51" s="42" t="s">
        <v>228</v>
      </c>
      <c r="D51" s="42">
        <v>163.22999999999999</v>
      </c>
      <c r="E51" s="42">
        <v>163.22999999999999</v>
      </c>
      <c r="F51" s="42">
        <v>163.22999999999999</v>
      </c>
      <c r="G51" s="42">
        <v>163.22999999999999</v>
      </c>
      <c r="H51" s="148">
        <v>163.22999999999999</v>
      </c>
      <c r="I51" s="139"/>
      <c r="K51" s="61" t="s">
        <v>228</v>
      </c>
      <c r="L51" s="5"/>
      <c r="M51" s="5">
        <f>(E51-$D$51)/$D$51</f>
        <v>0</v>
      </c>
      <c r="N51" s="5">
        <f>(F51-$D$51)/$D$51</f>
        <v>0</v>
      </c>
      <c r="O51" s="5">
        <f>(G51-$D$51)/$D$51</f>
        <v>0</v>
      </c>
      <c r="P51" s="88">
        <f>(H51-$D$51)/$D$51</f>
        <v>0</v>
      </c>
      <c r="Q51" s="140"/>
      <c r="V51" s="5"/>
      <c r="W51" s="5"/>
      <c r="X51" s="5"/>
      <c r="Y51" s="5"/>
      <c r="Z51" s="5"/>
    </row>
    <row r="52" spans="3:26" x14ac:dyDescent="0.3">
      <c r="C52" s="80" t="s">
        <v>229</v>
      </c>
      <c r="D52" s="80"/>
      <c r="E52" s="80"/>
      <c r="F52" s="80"/>
      <c r="G52" s="80"/>
      <c r="H52" s="147"/>
      <c r="I52" s="139"/>
      <c r="K52" s="81" t="s">
        <v>229</v>
      </c>
      <c r="L52" s="5"/>
      <c r="M52" s="5"/>
      <c r="N52" s="5"/>
      <c r="O52" s="5"/>
      <c r="P52" s="88"/>
      <c r="Q52" s="140"/>
      <c r="V52" s="5"/>
      <c r="W52" s="5"/>
      <c r="X52" s="5"/>
      <c r="Y52" s="5"/>
      <c r="Z52" s="5"/>
    </row>
    <row r="53" spans="3:26" x14ac:dyDescent="0.3">
      <c r="C53" s="42" t="s">
        <v>230</v>
      </c>
      <c r="D53" s="43">
        <v>2138</v>
      </c>
      <c r="E53" s="42">
        <v>985.47</v>
      </c>
      <c r="F53" s="43">
        <v>3024.07</v>
      </c>
      <c r="G53" s="43">
        <v>4229.01</v>
      </c>
      <c r="H53" s="149">
        <v>4652.16</v>
      </c>
      <c r="I53" s="139"/>
      <c r="K53" s="61" t="s">
        <v>230</v>
      </c>
      <c r="L53" s="5"/>
      <c r="M53" s="5">
        <f>(E53-$D$53)/$D$53</f>
        <v>-0.53906922357343312</v>
      </c>
      <c r="N53" s="5">
        <f>(F53-$D$53)/$D$53</f>
        <v>0.4144387277829748</v>
      </c>
      <c r="O53" s="5">
        <f>(G53-$D$53)/$D$53</f>
        <v>0.97802151543498606</v>
      </c>
      <c r="P53" s="88">
        <f>(H53-$D$53)/$D$53</f>
        <v>1.1759401309635171</v>
      </c>
      <c r="Q53" s="140"/>
      <c r="V53" s="5"/>
      <c r="W53" s="5"/>
      <c r="X53" s="5"/>
      <c r="Y53" s="5"/>
      <c r="Z53" s="5"/>
    </row>
    <row r="54" spans="3:26" x14ac:dyDescent="0.3">
      <c r="C54" s="42" t="s">
        <v>231</v>
      </c>
      <c r="D54" s="42">
        <v>483.06</v>
      </c>
      <c r="E54" s="42">
        <v>409.29</v>
      </c>
      <c r="F54" s="42">
        <v>387.9</v>
      </c>
      <c r="G54" s="43">
        <v>1142.1600000000001</v>
      </c>
      <c r="H54" s="148">
        <v>888.85</v>
      </c>
      <c r="I54" s="139"/>
      <c r="K54" s="61" t="s">
        <v>231</v>
      </c>
      <c r="L54" s="5"/>
      <c r="M54" s="5">
        <f>(E54-$D$54)/$D$54</f>
        <v>-0.15271394857781639</v>
      </c>
      <c r="N54" s="5">
        <f>(F54-$D$54)/$D$54</f>
        <v>-0.19699416221587385</v>
      </c>
      <c r="O54" s="5">
        <f>(G54-$D$54)/$D$54</f>
        <v>1.364426779282077</v>
      </c>
      <c r="P54" s="88">
        <f>(H54-$D$54)/$D$54</f>
        <v>0.8400405746698133</v>
      </c>
      <c r="Q54" s="140"/>
      <c r="V54" s="5"/>
      <c r="W54" s="5"/>
      <c r="X54" s="5"/>
      <c r="Y54" s="5"/>
      <c r="Z54" s="5"/>
    </row>
    <row r="55" spans="3:26" x14ac:dyDescent="0.3">
      <c r="C55" s="80" t="s">
        <v>232</v>
      </c>
      <c r="D55" s="80"/>
      <c r="E55" s="80"/>
      <c r="F55" s="80"/>
      <c r="G55" s="80"/>
      <c r="H55" s="147"/>
      <c r="I55" s="139"/>
      <c r="K55" s="81" t="s">
        <v>232</v>
      </c>
      <c r="L55" s="5"/>
      <c r="M55" s="5"/>
      <c r="N55" s="5"/>
      <c r="O55" s="5"/>
      <c r="P55" s="88"/>
      <c r="Q55" s="140"/>
      <c r="V55" s="5"/>
      <c r="W55" s="5"/>
      <c r="X55" s="5"/>
      <c r="Y55" s="5"/>
      <c r="Z55" s="5"/>
    </row>
    <row r="56" spans="3:26" x14ac:dyDescent="0.3">
      <c r="C56" s="42" t="s">
        <v>233</v>
      </c>
      <c r="D56" s="42">
        <v>700.41</v>
      </c>
      <c r="E56" s="43">
        <v>1382.67</v>
      </c>
      <c r="F56" s="42">
        <v>451.14</v>
      </c>
      <c r="G56" s="42">
        <v>678.49</v>
      </c>
      <c r="H56" s="148">
        <v>275.14999999999998</v>
      </c>
      <c r="I56" s="139"/>
      <c r="K56" s="61" t="s">
        <v>233</v>
      </c>
      <c r="L56" s="5"/>
      <c r="M56" s="5">
        <f>(E56-$D$56)/$D$56</f>
        <v>0.97408660641624212</v>
      </c>
      <c r="N56" s="5">
        <f>(F56-$D$56)/$D$56</f>
        <v>-0.3558915492354478</v>
      </c>
      <c r="O56" s="5">
        <f>(G56-$D$56)/$D$56</f>
        <v>-3.1295955226224581E-2</v>
      </c>
      <c r="P56" s="88">
        <f>(H56-$D$56)/$D$56</f>
        <v>-0.60715866421096221</v>
      </c>
      <c r="Q56" s="140"/>
      <c r="V56" s="5"/>
      <c r="W56" s="5"/>
      <c r="X56" s="5"/>
      <c r="Y56" s="5"/>
      <c r="Z56" s="5"/>
    </row>
    <row r="57" spans="3:26" ht="15" thickBot="1" x14ac:dyDescent="0.35">
      <c r="C57" s="42" t="s">
        <v>234</v>
      </c>
      <c r="D57" s="42">
        <v>25</v>
      </c>
      <c r="E57" s="42">
        <v>33.11</v>
      </c>
      <c r="F57" s="42">
        <v>320.19</v>
      </c>
      <c r="G57" s="42">
        <v>166.67</v>
      </c>
      <c r="H57" s="148">
        <v>462.83</v>
      </c>
      <c r="I57" s="142"/>
      <c r="K57" s="63" t="s">
        <v>234</v>
      </c>
      <c r="L57" s="89"/>
      <c r="M57" s="89">
        <f>(E57-$D$57)/$D$57</f>
        <v>0.32439999999999997</v>
      </c>
      <c r="N57" s="89">
        <f>(F57-$D$57)/$D$57</f>
        <v>11.807600000000001</v>
      </c>
      <c r="O57" s="89">
        <f>(G57-$D$57)/$D$57</f>
        <v>5.6667999999999994</v>
      </c>
      <c r="P57" s="90">
        <f>(H57-$D$57)/$D$57</f>
        <v>17.513199999999998</v>
      </c>
      <c r="Q57" s="141"/>
      <c r="V57" s="5"/>
      <c r="W57" s="5"/>
      <c r="X57" s="5"/>
      <c r="Y57" s="5"/>
      <c r="Z57" s="5"/>
    </row>
    <row r="60" spans="3:26" ht="15" thickBot="1" x14ac:dyDescent="0.35"/>
    <row r="61" spans="3:26" ht="15" thickBot="1" x14ac:dyDescent="0.35">
      <c r="C61" s="121" t="s">
        <v>246</v>
      </c>
      <c r="D61" s="122"/>
      <c r="E61" s="122"/>
      <c r="F61" s="122"/>
      <c r="G61" s="122"/>
      <c r="H61" s="122"/>
      <c r="I61" s="123"/>
    </row>
    <row r="62" spans="3:26" x14ac:dyDescent="0.3">
      <c r="C62" s="124" t="s">
        <v>165</v>
      </c>
      <c r="D62" s="125">
        <v>43525</v>
      </c>
      <c r="E62" s="125">
        <v>43891</v>
      </c>
      <c r="F62" s="125">
        <v>44256</v>
      </c>
      <c r="G62" s="125">
        <v>44621</v>
      </c>
      <c r="H62" s="126" t="s">
        <v>110</v>
      </c>
      <c r="I62" s="127" t="s">
        <v>111</v>
      </c>
    </row>
    <row r="63" spans="3:26" x14ac:dyDescent="0.3">
      <c r="C63" s="76" t="s">
        <v>235</v>
      </c>
      <c r="I63" s="87"/>
    </row>
    <row r="64" spans="3:26" x14ac:dyDescent="0.3">
      <c r="C64" s="81" t="s">
        <v>236</v>
      </c>
      <c r="D64" s="5"/>
      <c r="E64" s="5">
        <f>E9/D9-1</f>
        <v>0.17854831761395396</v>
      </c>
      <c r="F64" s="5">
        <f>F9/E9-1</f>
        <v>0.16452689670619569</v>
      </c>
      <c r="G64" s="5">
        <f>G9/F9-1</f>
        <v>7.6068648913619974E-2</v>
      </c>
      <c r="H64" s="5">
        <f>H9/G9-1</f>
        <v>8.4492881347516757E-2</v>
      </c>
      <c r="I64" s="87"/>
      <c r="K64" s="2"/>
      <c r="L64" s="5"/>
      <c r="M64" s="5"/>
      <c r="N64" s="5"/>
      <c r="O64" s="5"/>
      <c r="P64" s="5"/>
    </row>
    <row r="65" spans="3:17" ht="15" thickBot="1" x14ac:dyDescent="0.35">
      <c r="C65" s="61" t="s">
        <v>237</v>
      </c>
      <c r="D65" s="5">
        <f>D19/D12</f>
        <v>2.0113003579748847E-2</v>
      </c>
      <c r="E65" s="5">
        <f>E19/E12</f>
        <v>3.7530938954698556E-2</v>
      </c>
      <c r="F65" s="5">
        <f>F19/F12</f>
        <v>2.7757443371396733E-2</v>
      </c>
      <c r="G65" s="5">
        <f>G19/G12</f>
        <v>6.4445849689189039E-2</v>
      </c>
      <c r="H65" s="5">
        <f>H19/H12</f>
        <v>6.7256493180850654E-2</v>
      </c>
      <c r="I65" s="87"/>
      <c r="L65" s="5"/>
      <c r="M65" s="5"/>
      <c r="N65" s="5"/>
      <c r="O65" s="5"/>
      <c r="P65" s="5"/>
    </row>
    <row r="66" spans="3:17" ht="15" thickBot="1" x14ac:dyDescent="0.35">
      <c r="C66" s="81" t="s">
        <v>238</v>
      </c>
      <c r="D66" s="5">
        <f>D10/D26</f>
        <v>0.64659034876443711</v>
      </c>
      <c r="E66" s="5">
        <f>E10/E26</f>
        <v>0.68730309247050192</v>
      </c>
      <c r="F66" s="5">
        <f>F10/F26</f>
        <v>0.69020929960275212</v>
      </c>
      <c r="G66" s="5">
        <f>G10/G26</f>
        <v>0.65580856573267354</v>
      </c>
      <c r="H66" s="5">
        <f>H10/H26</f>
        <v>0.63986840842894976</v>
      </c>
      <c r="I66" s="87"/>
      <c r="K66" s="134" t="s">
        <v>273</v>
      </c>
      <c r="L66" s="135"/>
      <c r="M66" s="135"/>
      <c r="N66" s="135"/>
      <c r="O66" s="135"/>
      <c r="P66" s="135"/>
      <c r="Q66" s="136"/>
    </row>
    <row r="67" spans="3:17" ht="17.399999999999999" x14ac:dyDescent="0.45">
      <c r="C67" s="76" t="s">
        <v>239</v>
      </c>
      <c r="D67" s="5"/>
      <c r="E67" s="5"/>
      <c r="F67" s="5"/>
      <c r="G67" s="5"/>
      <c r="H67" s="5"/>
      <c r="I67" s="87"/>
      <c r="K67" s="93" t="s">
        <v>272</v>
      </c>
      <c r="L67" s="94">
        <v>43525</v>
      </c>
      <c r="M67" s="94">
        <v>43891</v>
      </c>
      <c r="N67" s="94">
        <v>44256</v>
      </c>
      <c r="O67" s="94">
        <v>44621</v>
      </c>
      <c r="P67" s="95" t="s">
        <v>110</v>
      </c>
      <c r="Q67" s="96" t="s">
        <v>111</v>
      </c>
    </row>
    <row r="68" spans="3:17" x14ac:dyDescent="0.3">
      <c r="C68" s="81" t="s">
        <v>240</v>
      </c>
      <c r="D68">
        <f>D45/D25</f>
        <v>1.3480496633850942</v>
      </c>
      <c r="E68">
        <f>E45/E25</f>
        <v>1.980721463707648</v>
      </c>
      <c r="F68">
        <f>F45/F25</f>
        <v>1.6276860053370776</v>
      </c>
      <c r="G68">
        <f>G45/G25</f>
        <v>1.2992590006440856</v>
      </c>
      <c r="H68">
        <f>H45/H25</f>
        <v>1.1771831009328344</v>
      </c>
      <c r="I68" s="87"/>
      <c r="K68" s="76" t="s">
        <v>281</v>
      </c>
      <c r="L68" s="92"/>
      <c r="M68" s="92"/>
      <c r="N68" s="92"/>
      <c r="O68" s="92"/>
      <c r="P68" s="92"/>
      <c r="Q68" s="54"/>
    </row>
    <row r="69" spans="3:17" x14ac:dyDescent="0.3">
      <c r="C69" s="61" t="s">
        <v>241</v>
      </c>
      <c r="D69">
        <f>(D45-D40)/D25</f>
        <v>0.85918558363498987</v>
      </c>
      <c r="E69">
        <f>(E45-E40)/E25</f>
        <v>1.4208037729110186</v>
      </c>
      <c r="F69">
        <f>(F45-F40)/F25</f>
        <v>1.036626803308579</v>
      </c>
      <c r="G69">
        <f>(G45-G40)/G25</f>
        <v>0.72398526428575738</v>
      </c>
      <c r="H69">
        <f>(H45-H40)/H25</f>
        <v>0.61637433057297142</v>
      </c>
      <c r="I69" s="87"/>
      <c r="K69" s="61" t="s">
        <v>250</v>
      </c>
      <c r="L69" s="92">
        <f>IS!C40/IS!C46</f>
        <v>0.15700638829957453</v>
      </c>
      <c r="M69" s="92">
        <f>IS!D40/IS!D46</f>
        <v>7.1644359708542507E-2</v>
      </c>
      <c r="N69" s="92">
        <f>IS!E40/IS!E46</f>
        <v>6.2274067319393223E-2</v>
      </c>
      <c r="O69" s="92">
        <f>IS!F40/IS!F46</f>
        <v>8.9962740665967808E-2</v>
      </c>
      <c r="P69" s="92">
        <f>IS!G40/IS!G46</f>
        <v>8.0629168486265709E-2</v>
      </c>
      <c r="Q69" s="97"/>
    </row>
    <row r="70" spans="3:17" x14ac:dyDescent="0.3">
      <c r="C70" s="81" t="s">
        <v>242</v>
      </c>
      <c r="D70">
        <f>(D41/IS!C46)*360</f>
        <v>35.566069714245081</v>
      </c>
      <c r="E70">
        <f>(E41/IS!D46)*360</f>
        <v>33.979452316920003</v>
      </c>
      <c r="F70">
        <f>(F41/IS!E46)*360</f>
        <v>21.263445525310246</v>
      </c>
      <c r="G70">
        <f>(G41/IS!F46)*360</f>
        <v>21.522331081612467</v>
      </c>
      <c r="H70">
        <f>(H41/IS!G46)*360</f>
        <v>26.740448308363622</v>
      </c>
      <c r="I70" s="87"/>
      <c r="K70" s="61"/>
      <c r="L70" s="92"/>
      <c r="M70" s="92"/>
      <c r="N70" s="92"/>
      <c r="O70" s="92"/>
      <c r="P70" s="92"/>
      <c r="Q70" s="97"/>
    </row>
    <row r="71" spans="3:17" x14ac:dyDescent="0.3">
      <c r="C71" s="61" t="s">
        <v>243</v>
      </c>
      <c r="D71">
        <f>(D40/IS!C46)*360</f>
        <v>55.490595332630107</v>
      </c>
      <c r="E71">
        <f>(E40/IS!D46)*360</f>
        <v>57.596275949886746</v>
      </c>
      <c r="F71">
        <f>(F40/IS!E46)*360</f>
        <v>65.666099764299034</v>
      </c>
      <c r="G71">
        <f>(G40/IS!F46)*360</f>
        <v>63.664997228912199</v>
      </c>
      <c r="H71">
        <f>(H40/IS!G46)*360</f>
        <v>63.773803199752152</v>
      </c>
      <c r="I71" s="87"/>
      <c r="K71" s="76" t="s">
        <v>251</v>
      </c>
      <c r="L71" s="92"/>
      <c r="M71" s="92"/>
      <c r="N71" s="92"/>
      <c r="O71" s="92"/>
      <c r="P71" s="92"/>
      <c r="Q71" s="97"/>
    </row>
    <row r="72" spans="3:17" x14ac:dyDescent="0.3">
      <c r="C72" s="81" t="s">
        <v>244</v>
      </c>
      <c r="D72">
        <f>(D22/IS!C46)*360</f>
        <v>62.099818662368307</v>
      </c>
      <c r="E72">
        <f>(E22/IS!D46)*360</f>
        <v>61.878933580118911</v>
      </c>
      <c r="F72">
        <f>(F22/IS!E46)*360</f>
        <v>72.518655715669539</v>
      </c>
      <c r="G72">
        <f>(G22/IS!F46)*360</f>
        <v>67.215024384647336</v>
      </c>
      <c r="H72">
        <f>(H22/IS!G46)*360</f>
        <v>68.890641149397325</v>
      </c>
      <c r="I72" s="87"/>
      <c r="K72" s="61" t="s">
        <v>270</v>
      </c>
      <c r="L72" s="92">
        <f>IS!C60/IS!C46</f>
        <v>0.18022708686428121</v>
      </c>
      <c r="M72" s="92">
        <f>IS!D60/IS!D46</f>
        <v>0.179514477198427</v>
      </c>
      <c r="N72" s="92">
        <f>IS!E60/IS!E46</f>
        <v>0.17837546185714706</v>
      </c>
      <c r="O72" s="92">
        <f>IS!F60/IS!F46</f>
        <v>0.16923528154529552</v>
      </c>
      <c r="P72" s="92">
        <f>IS!G60/IS!G46</f>
        <v>0.1490358823472783</v>
      </c>
      <c r="Q72" s="97"/>
    </row>
    <row r="73" spans="3:17" ht="15" thickBot="1" x14ac:dyDescent="0.35">
      <c r="C73" s="63" t="s">
        <v>245</v>
      </c>
      <c r="D73" s="101">
        <f>D72-(D70+D71)</f>
        <v>-28.956846384506889</v>
      </c>
      <c r="E73" s="101">
        <f>E72-(E70+E71)</f>
        <v>-29.696794686687838</v>
      </c>
      <c r="F73" s="101">
        <f>F72-(F70+F71)</f>
        <v>-14.410889573939741</v>
      </c>
      <c r="G73" s="101">
        <f>G72-(G70+G71)</f>
        <v>-17.972303925877327</v>
      </c>
      <c r="H73" s="101">
        <f>H72-(H70+H71)</f>
        <v>-21.623610358718452</v>
      </c>
      <c r="I73" s="102"/>
      <c r="K73" s="61" t="s">
        <v>271</v>
      </c>
      <c r="L73" s="92"/>
      <c r="M73" s="92">
        <f>IS!D60/((BS!E46+BS!D46)/2)</f>
        <v>0.17401612644844344</v>
      </c>
      <c r="N73" s="92">
        <f>IS!E60/((BS!F46+BS!E46)/2)</f>
        <v>0.167907355723489</v>
      </c>
      <c r="O73" s="92">
        <f>IS!F60/((BS!G46+BS!F46)/2)</f>
        <v>0.15814688612922725</v>
      </c>
      <c r="P73" s="92">
        <f>IS!G60/((BS!H46+BS!G46)/2)</f>
        <v>0.13130549098072772</v>
      </c>
      <c r="Q73" s="97"/>
    </row>
    <row r="74" spans="3:17" x14ac:dyDescent="0.3">
      <c r="K74" s="61" t="s">
        <v>252</v>
      </c>
      <c r="L74" s="92"/>
      <c r="M74" s="92">
        <f>IS!D46/((BS!D12+BS!E12)/2)</f>
        <v>1.4092615851530919</v>
      </c>
      <c r="N74" s="92">
        <f>IS!E46/((BS!E12+BS!F12)/2)</f>
        <v>1.3326264534720742</v>
      </c>
      <c r="O74" s="92">
        <f>IS!F46/((BS!F12+BS!G12)/2)</f>
        <v>1.3472289827938349</v>
      </c>
      <c r="P74" s="92">
        <f>IS!G46/((BS!G12+BS!H12)/2)</f>
        <v>1.3168308502203458</v>
      </c>
      <c r="Q74" s="97"/>
    </row>
    <row r="75" spans="3:17" x14ac:dyDescent="0.3">
      <c r="K75" s="61" t="s">
        <v>253</v>
      </c>
      <c r="L75" s="92">
        <f>IS!C56/IS!C46</f>
        <v>0.22031099996444356</v>
      </c>
      <c r="M75" s="92">
        <f>IS!D56/IS!D46</f>
        <v>0.21769897957408613</v>
      </c>
      <c r="N75" s="92">
        <f>IS!E56/IS!E46</f>
        <v>0.21959210375470284</v>
      </c>
      <c r="O75" s="92">
        <f>IS!F56/IS!F46</f>
        <v>0.22150937774969168</v>
      </c>
      <c r="P75" s="92">
        <f>IS!G56/IS!G46</f>
        <v>0.20115940912842142</v>
      </c>
      <c r="Q75" s="97"/>
    </row>
    <row r="76" spans="3:17" x14ac:dyDescent="0.3">
      <c r="K76" s="61"/>
      <c r="L76" s="92"/>
      <c r="M76" s="92"/>
      <c r="N76" s="92"/>
      <c r="O76" s="92"/>
      <c r="P76" s="92"/>
      <c r="Q76" s="97"/>
    </row>
    <row r="77" spans="3:17" x14ac:dyDescent="0.3">
      <c r="K77" s="76" t="s">
        <v>254</v>
      </c>
      <c r="L77" s="92"/>
      <c r="M77" s="92"/>
      <c r="N77" s="92"/>
      <c r="O77" s="92"/>
      <c r="P77" s="92"/>
      <c r="Q77" s="97"/>
    </row>
    <row r="78" spans="3:17" x14ac:dyDescent="0.3">
      <c r="K78" s="61" t="s">
        <v>256</v>
      </c>
      <c r="L78" s="92"/>
      <c r="M78" s="92"/>
      <c r="N78" s="92"/>
      <c r="O78" s="92"/>
      <c r="P78" s="92"/>
      <c r="Q78" s="97"/>
    </row>
    <row r="79" spans="3:17" x14ac:dyDescent="0.3">
      <c r="K79" s="61" t="s">
        <v>255</v>
      </c>
      <c r="L79" s="92"/>
      <c r="M79" s="92">
        <f>(IS!D40/IS!C40)-1</f>
        <v>-0.53364887409319772</v>
      </c>
      <c r="N79" s="92">
        <f>(IS!E40/IS!D40)-1</f>
        <v>-4.1584382789989882E-2</v>
      </c>
      <c r="O79" s="92">
        <f>(IS!F40/IS!E40)-1</f>
        <v>0.6421827762671215</v>
      </c>
      <c r="P79" s="92">
        <f>(IS!G40/IS!F40)-1</f>
        <v>-5.246215237781815E-2</v>
      </c>
      <c r="Q79" s="97"/>
    </row>
    <row r="80" spans="3:17" x14ac:dyDescent="0.3">
      <c r="K80" s="61" t="s">
        <v>257</v>
      </c>
      <c r="L80" s="92"/>
      <c r="M80" s="92">
        <f>(IS!D46/IS!C46)-1</f>
        <v>2.1994002820807879E-2</v>
      </c>
      <c r="N80" s="92">
        <f>(IS!E46/IS!D46)-1</f>
        <v>0.1026270835580263</v>
      </c>
      <c r="O80" s="92">
        <f>(IS!F46/IS!E46)-1</f>
        <v>0.13675283793008086</v>
      </c>
      <c r="P80" s="92">
        <f>(IS!G46/IS!F46)-1</f>
        <v>5.7224119474131641E-2</v>
      </c>
      <c r="Q80" s="97"/>
    </row>
    <row r="81" spans="11:17" x14ac:dyDescent="0.3">
      <c r="K81" s="61" t="s">
        <v>258</v>
      </c>
      <c r="L81" s="92"/>
      <c r="M81" s="92">
        <f>(IS!D56/IS!C56)-1</f>
        <v>9.877180807282393E-3</v>
      </c>
      <c r="N81" s="92">
        <f>(IS!E56/IS!D56)-1</f>
        <v>0.11221559884721355</v>
      </c>
      <c r="O81" s="92">
        <f>(IS!F56/IS!E56)-1</f>
        <v>0.14667790635297684</v>
      </c>
      <c r="P81" s="92">
        <f>(IS!G56/IS!F56)-1</f>
        <v>-3.9902593062889125E-2</v>
      </c>
      <c r="Q81" s="97"/>
    </row>
    <row r="82" spans="11:17" x14ac:dyDescent="0.3">
      <c r="K82" s="61" t="s">
        <v>259</v>
      </c>
      <c r="L82" s="92"/>
      <c r="M82" s="92">
        <f>(IS!D60/IS!C60)-1</f>
        <v>1.795308523440986E-2</v>
      </c>
      <c r="N82" s="92">
        <f>(IS!E60/IS!D60)-1</f>
        <v>9.5630939383564373E-2</v>
      </c>
      <c r="O82" s="92">
        <f>(IS!F60/IS!E60)-1</f>
        <v>7.8504210004952446E-2</v>
      </c>
      <c r="P82" s="92">
        <f>(IS!G60/IS!F60)-1</f>
        <v>-6.8962877918102516E-2</v>
      </c>
      <c r="Q82" s="97"/>
    </row>
    <row r="83" spans="11:17" x14ac:dyDescent="0.3">
      <c r="K83" s="61"/>
      <c r="L83" s="92"/>
      <c r="M83" s="92"/>
      <c r="N83" s="92"/>
      <c r="O83" s="92"/>
      <c r="P83" s="92"/>
      <c r="Q83" s="97"/>
    </row>
    <row r="84" spans="11:17" x14ac:dyDescent="0.3">
      <c r="K84" s="76" t="s">
        <v>260</v>
      </c>
      <c r="L84" s="92"/>
      <c r="M84" s="92"/>
      <c r="N84" s="92"/>
      <c r="O84" s="92"/>
      <c r="P84" s="92"/>
      <c r="Q84" s="97"/>
    </row>
    <row r="85" spans="11:17" x14ac:dyDescent="0.3">
      <c r="K85" s="61" t="s">
        <v>240</v>
      </c>
      <c r="L85" s="42">
        <f>D45/D25</f>
        <v>1.3480496633850942</v>
      </c>
      <c r="M85" s="42">
        <f t="shared" ref="M85:P85" si="10">E45/E25</f>
        <v>1.980721463707648</v>
      </c>
      <c r="N85" s="42">
        <f t="shared" si="10"/>
        <v>1.6276860053370776</v>
      </c>
      <c r="O85" s="42">
        <f t="shared" si="10"/>
        <v>1.2992590006440856</v>
      </c>
      <c r="P85" s="42">
        <f t="shared" si="10"/>
        <v>1.1771831009328344</v>
      </c>
      <c r="Q85" s="97"/>
    </row>
    <row r="86" spans="11:17" x14ac:dyDescent="0.3">
      <c r="K86" s="61" t="s">
        <v>241</v>
      </c>
      <c r="L86" s="42">
        <f>(D45-D40)/D25</f>
        <v>0.85918558363498987</v>
      </c>
      <c r="M86" s="42">
        <f t="shared" ref="M86:P86" si="11">(E45-E40)/E25</f>
        <v>1.4208037729110186</v>
      </c>
      <c r="N86" s="42">
        <f t="shared" si="11"/>
        <v>1.036626803308579</v>
      </c>
      <c r="O86" s="42">
        <f t="shared" si="11"/>
        <v>0.72398526428575738</v>
      </c>
      <c r="P86" s="42">
        <f t="shared" si="11"/>
        <v>0.61637433057297142</v>
      </c>
      <c r="Q86" s="97"/>
    </row>
    <row r="87" spans="11:17" x14ac:dyDescent="0.3">
      <c r="K87" s="61"/>
      <c r="L87" s="92"/>
      <c r="M87" s="92"/>
      <c r="N87" s="92"/>
      <c r="O87" s="92"/>
      <c r="P87" s="92"/>
      <c r="Q87" s="97"/>
    </row>
    <row r="88" spans="11:17" x14ac:dyDescent="0.3">
      <c r="K88" s="76" t="s">
        <v>261</v>
      </c>
      <c r="L88" s="92"/>
      <c r="M88" s="92"/>
      <c r="N88" s="92"/>
      <c r="O88" s="92"/>
      <c r="P88" s="92"/>
      <c r="Q88" s="97"/>
    </row>
    <row r="89" spans="11:17" x14ac:dyDescent="0.3">
      <c r="K89" s="61" t="s">
        <v>249</v>
      </c>
      <c r="L89" s="42">
        <f>(D40/IS!C46)*360</f>
        <v>55.490595332630107</v>
      </c>
      <c r="M89" s="42">
        <f>(E40/IS!D46)*360</f>
        <v>57.596275949886746</v>
      </c>
      <c r="N89" s="42">
        <f>(F40/IS!E46)*360</f>
        <v>65.666099764299034</v>
      </c>
      <c r="O89" s="42">
        <f>(G40/IS!F46)*360</f>
        <v>63.664997228912199</v>
      </c>
      <c r="P89" s="42">
        <f>(H40/IS!G46)*360</f>
        <v>63.773803199752152</v>
      </c>
      <c r="Q89" s="97"/>
    </row>
    <row r="90" spans="11:17" x14ac:dyDescent="0.3">
      <c r="K90" s="61" t="s">
        <v>262</v>
      </c>
      <c r="L90" s="42">
        <f>(D41/IS!C46)*360</f>
        <v>35.566069714245081</v>
      </c>
      <c r="M90" s="42">
        <f>(E41/IS!D46)*360</f>
        <v>33.979452316920003</v>
      </c>
      <c r="N90" s="42">
        <f>(F41/IS!E46)*360</f>
        <v>21.263445525310246</v>
      </c>
      <c r="O90" s="42">
        <f>(G41/IS!F46)*360</f>
        <v>21.522331081612467</v>
      </c>
      <c r="P90" s="42">
        <f>(H41/IS!G46)*360</f>
        <v>26.740448308363622</v>
      </c>
      <c r="Q90" s="97"/>
    </row>
    <row r="91" spans="11:17" x14ac:dyDescent="0.3">
      <c r="K91" s="61"/>
      <c r="L91" s="92"/>
      <c r="M91" s="92"/>
      <c r="N91" s="92"/>
      <c r="O91" s="92"/>
      <c r="P91" s="92"/>
      <c r="Q91" s="97"/>
    </row>
    <row r="92" spans="11:17" x14ac:dyDescent="0.3">
      <c r="K92" s="76" t="s">
        <v>263</v>
      </c>
      <c r="L92" s="92"/>
      <c r="M92" s="92"/>
      <c r="N92" s="92"/>
      <c r="O92" s="92"/>
      <c r="P92" s="92"/>
      <c r="Q92" s="97"/>
    </row>
    <row r="93" spans="11:17" x14ac:dyDescent="0.3">
      <c r="K93" s="61" t="s">
        <v>264</v>
      </c>
      <c r="L93" s="92">
        <f>(D21+D15)/(D21+D21+D12)</f>
        <v>7.9099113778526089E-2</v>
      </c>
      <c r="M93" s="92">
        <f t="shared" ref="M93:P93" si="12">(E21+E15)/(E21+E21+E12)</f>
        <v>6.4751193128026144E-2</v>
      </c>
      <c r="N93" s="92">
        <f t="shared" si="12"/>
        <v>5.7794903256591576E-2</v>
      </c>
      <c r="O93" s="92">
        <f t="shared" si="12"/>
        <v>9.0230951301388959E-2</v>
      </c>
      <c r="P93" s="92">
        <f t="shared" si="12"/>
        <v>9.630389391552803E-2</v>
      </c>
      <c r="Q93" s="97"/>
    </row>
    <row r="94" spans="11:17" x14ac:dyDescent="0.3">
      <c r="K94" s="61" t="s">
        <v>265</v>
      </c>
      <c r="L94" s="92">
        <f>D15/(D12+D15+D21)</f>
        <v>4.2316714208669318E-3</v>
      </c>
      <c r="M94" s="92">
        <f t="shared" ref="M94:P94" si="13">E15/(E12+E15+E21)</f>
        <v>2.3030222483627599E-2</v>
      </c>
      <c r="N94" s="92">
        <f t="shared" si="13"/>
        <v>1.6464133156576813E-2</v>
      </c>
      <c r="O94" s="92">
        <f t="shared" si="13"/>
        <v>2.7069018645359742E-2</v>
      </c>
      <c r="P94" s="92">
        <f t="shared" si="13"/>
        <v>2.9967068714476526E-2</v>
      </c>
      <c r="Q94" s="97"/>
    </row>
    <row r="95" spans="11:17" x14ac:dyDescent="0.3">
      <c r="K95" s="61" t="s">
        <v>266</v>
      </c>
      <c r="L95" s="92">
        <f>(D21+D15)/D12</f>
        <v>9.3094778112392737E-2</v>
      </c>
      <c r="M95" s="92">
        <f t="shared" ref="M95:P95" si="14">(E21+E15)/E12</f>
        <v>7.0715664383302429E-2</v>
      </c>
      <c r="N95" s="92">
        <f t="shared" si="14"/>
        <v>6.3061017572841757E-2</v>
      </c>
      <c r="O95" s="92">
        <f t="shared" si="14"/>
        <v>0.10352212663906554</v>
      </c>
      <c r="P95" s="92">
        <f t="shared" si="14"/>
        <v>0.11133300495026334</v>
      </c>
      <c r="Q95" s="97"/>
    </row>
    <row r="96" spans="11:17" x14ac:dyDescent="0.3">
      <c r="K96" s="61"/>
      <c r="L96" s="92"/>
      <c r="M96" s="92"/>
      <c r="N96" s="92"/>
      <c r="O96" s="92"/>
      <c r="P96" s="92"/>
      <c r="Q96" s="97"/>
    </row>
    <row r="97" spans="11:17" x14ac:dyDescent="0.3">
      <c r="K97" s="76" t="s">
        <v>267</v>
      </c>
      <c r="L97" s="92"/>
      <c r="M97" s="92"/>
      <c r="N97" s="92"/>
      <c r="O97" s="92"/>
      <c r="P97" s="92"/>
      <c r="Q97" s="97"/>
    </row>
    <row r="98" spans="11:17" x14ac:dyDescent="0.3">
      <c r="K98" s="61" t="s">
        <v>268</v>
      </c>
      <c r="L98" s="42">
        <f>IS!C56/IS!C57</f>
        <v>31.198892245720032</v>
      </c>
      <c r="M98" s="42">
        <f>IS!D56/IS!D57</f>
        <v>37.892410173597099</v>
      </c>
      <c r="N98" s="42">
        <f>IS!E56/IS!E57</f>
        <v>67.765011359948105</v>
      </c>
      <c r="O98" s="42">
        <f>IS!F56/IS!F57</f>
        <v>62.022797927461149</v>
      </c>
      <c r="P98" s="42">
        <f>IS!G56/IS!G57</f>
        <v>29.378195296523504</v>
      </c>
      <c r="Q98" s="97"/>
    </row>
    <row r="99" spans="11:17" ht="15" thickBot="1" x14ac:dyDescent="0.35">
      <c r="K99" s="63" t="s">
        <v>269</v>
      </c>
      <c r="L99" s="98">
        <f>(IS!C55+IS!C56)/IS!C57</f>
        <v>34.168009399127214</v>
      </c>
      <c r="M99" s="98">
        <f>(IS!D55+IS!D56)/IS!D57</f>
        <v>42.342349616471544</v>
      </c>
      <c r="N99" s="98">
        <f>(IS!E55+IS!E56)/IS!E57</f>
        <v>75.558909444985431</v>
      </c>
      <c r="O99" s="98">
        <f>(IS!F55+IS!F56)/IS!F57</f>
        <v>68.574352331606221</v>
      </c>
      <c r="P99" s="98">
        <f>(IS!G55+IS!G56)/IS!G57</f>
        <v>33.352632924335367</v>
      </c>
      <c r="Q99" s="99"/>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3FE320D8-F640-4FC6-AE30-3561E72FF214}">
          <x14:colorSeries rgb="FF376092"/>
          <x14:colorNegative rgb="FFD00000"/>
          <x14:colorAxis rgb="FF000000"/>
          <x14:colorMarkers rgb="FFD00000"/>
          <x14:colorFirst rgb="FFD00000"/>
          <x14:colorLast rgb="FFD00000"/>
          <x14:colorHigh rgb="FFD00000"/>
          <x14:colorLow rgb="FFD00000"/>
          <x14:sparklines>
            <x14:sparkline>
              <xm:f>BS!D7:H7</xm:f>
              <xm:sqref>I7</xm:sqref>
            </x14:sparkline>
            <x14:sparkline>
              <xm:f>BS!D8:H8</xm:f>
              <xm:sqref>I8</xm:sqref>
            </x14:sparkline>
            <x14:sparkline>
              <xm:f>BS!D9:H9</xm:f>
              <xm:sqref>I9</xm:sqref>
            </x14:sparkline>
            <x14:sparkline>
              <xm:f>BS!D10:H10</xm:f>
              <xm:sqref>I10</xm:sqref>
            </x14:sparkline>
            <x14:sparkline>
              <xm:f>BS!D11:H11</xm:f>
              <xm:sqref>I11</xm:sqref>
            </x14:sparkline>
            <x14:sparkline>
              <xm:f>BS!D12:H12</xm:f>
              <xm:sqref>I12</xm:sqref>
            </x14:sparkline>
            <x14:sparkline>
              <xm:f>BS!D13:H13</xm:f>
              <xm:sqref>I13</xm:sqref>
            </x14:sparkline>
            <x14:sparkline>
              <xm:f>BS!D14:H14</xm:f>
              <xm:sqref>I14</xm:sqref>
            </x14:sparkline>
            <x14:sparkline>
              <xm:f>BS!D15:H15</xm:f>
              <xm:sqref>I15</xm:sqref>
            </x14:sparkline>
            <x14:sparkline>
              <xm:f>BS!D16:H16</xm:f>
              <xm:sqref>I16</xm:sqref>
            </x14:sparkline>
            <x14:sparkline>
              <xm:f>BS!D17:H17</xm:f>
              <xm:sqref>I17</xm:sqref>
            </x14:sparkline>
            <x14:sparkline>
              <xm:f>BS!D18:H18</xm:f>
              <xm:sqref>I18</xm:sqref>
            </x14:sparkline>
            <x14:sparkline>
              <xm:f>BS!D19:H19</xm:f>
              <xm:sqref>I19</xm:sqref>
            </x14:sparkline>
            <x14:sparkline>
              <xm:f>BS!D20:H20</xm:f>
              <xm:sqref>I20</xm:sqref>
            </x14:sparkline>
            <x14:sparkline>
              <xm:f>BS!D21:H21</xm:f>
              <xm:sqref>I21</xm:sqref>
            </x14:sparkline>
            <x14:sparkline>
              <xm:f>BS!D22:H22</xm:f>
              <xm:sqref>I22</xm:sqref>
            </x14:sparkline>
            <x14:sparkline>
              <xm:f>BS!D23:H23</xm:f>
              <xm:sqref>I23</xm:sqref>
            </x14:sparkline>
            <x14:sparkline>
              <xm:f>BS!D24:H24</xm:f>
              <xm:sqref>I24</xm:sqref>
            </x14:sparkline>
            <x14:sparkline>
              <xm:f>BS!D25:H25</xm:f>
              <xm:sqref>I25</xm:sqref>
            </x14:sparkline>
            <x14:sparkline>
              <xm:f>BS!D26:H26</xm:f>
              <xm:sqref>I26</xm:sqref>
            </x14:sparkline>
            <x14:sparkline>
              <xm:f>BS!D27:H27</xm:f>
              <xm:sqref>I27</xm:sqref>
            </x14:sparkline>
            <x14:sparkline>
              <xm:f>BS!D28:H28</xm:f>
              <xm:sqref>I28</xm:sqref>
            </x14:sparkline>
            <x14:sparkline>
              <xm:f>BS!D29:H29</xm:f>
              <xm:sqref>I29</xm:sqref>
            </x14:sparkline>
            <x14:sparkline>
              <xm:f>BS!D30:H30</xm:f>
              <xm:sqref>I30</xm:sqref>
            </x14:sparkline>
            <x14:sparkline>
              <xm:f>BS!D31:H31</xm:f>
              <xm:sqref>I31</xm:sqref>
            </x14:sparkline>
            <x14:sparkline>
              <xm:f>BS!D32:H32</xm:f>
              <xm:sqref>I32</xm:sqref>
            </x14:sparkline>
            <x14:sparkline>
              <xm:f>BS!D33:H33</xm:f>
              <xm:sqref>I33</xm:sqref>
            </x14:sparkline>
            <x14:sparkline>
              <xm:f>BS!D34:H34</xm:f>
              <xm:sqref>I34</xm:sqref>
            </x14:sparkline>
            <x14:sparkline>
              <xm:f>BS!D35:H35</xm:f>
              <xm:sqref>I35</xm:sqref>
            </x14:sparkline>
            <x14:sparkline>
              <xm:f>BS!D36:H36</xm:f>
              <xm:sqref>I36</xm:sqref>
            </x14:sparkline>
            <x14:sparkline>
              <xm:f>BS!D37:H37</xm:f>
              <xm:sqref>I37</xm:sqref>
            </x14:sparkline>
            <x14:sparkline>
              <xm:f>BS!D38:H38</xm:f>
              <xm:sqref>I38</xm:sqref>
            </x14:sparkline>
            <x14:sparkline>
              <xm:f>BS!D39:H39</xm:f>
              <xm:sqref>I39</xm:sqref>
            </x14:sparkline>
            <x14:sparkline>
              <xm:f>BS!D40:H40</xm:f>
              <xm:sqref>I40</xm:sqref>
            </x14:sparkline>
            <x14:sparkline>
              <xm:f>BS!D41:H41</xm:f>
              <xm:sqref>I41</xm:sqref>
            </x14:sparkline>
            <x14:sparkline>
              <xm:f>BS!D42:H42</xm:f>
              <xm:sqref>I42</xm:sqref>
            </x14:sparkline>
            <x14:sparkline>
              <xm:f>BS!D43:H43</xm:f>
              <xm:sqref>I43</xm:sqref>
            </x14:sparkline>
            <x14:sparkline>
              <xm:f>BS!D44:H44</xm:f>
              <xm:sqref>I44</xm:sqref>
            </x14:sparkline>
            <x14:sparkline>
              <xm:f>BS!D45:H45</xm:f>
              <xm:sqref>I45</xm:sqref>
            </x14:sparkline>
            <x14:sparkline>
              <xm:f>BS!D46:H46</xm:f>
              <xm:sqref>I46</xm:sqref>
            </x14:sparkline>
            <x14:sparkline>
              <xm:f>BS!D47:H47</xm:f>
              <xm:sqref>I47</xm:sqref>
            </x14:sparkline>
            <x14:sparkline>
              <xm:f>BS!D48:H48</xm:f>
              <xm:sqref>I48</xm:sqref>
            </x14:sparkline>
            <x14:sparkline>
              <xm:f>BS!D49:H49</xm:f>
              <xm:sqref>I49</xm:sqref>
            </x14:sparkline>
            <x14:sparkline>
              <xm:f>BS!D50:H50</xm:f>
              <xm:sqref>I50</xm:sqref>
            </x14:sparkline>
            <x14:sparkline>
              <xm:f>BS!D51:H51</xm:f>
              <xm:sqref>I51</xm:sqref>
            </x14:sparkline>
            <x14:sparkline>
              <xm:f>BS!D52:H52</xm:f>
              <xm:sqref>I52</xm:sqref>
            </x14:sparkline>
            <x14:sparkline>
              <xm:f>BS!D53:H53</xm:f>
              <xm:sqref>I53</xm:sqref>
            </x14:sparkline>
            <x14:sparkline>
              <xm:f>BS!D54:H54</xm:f>
              <xm:sqref>I54</xm:sqref>
            </x14:sparkline>
            <x14:sparkline>
              <xm:f>BS!D55:H55</xm:f>
              <xm:sqref>I55</xm:sqref>
            </x14:sparkline>
            <x14:sparkline>
              <xm:f>BS!D56:H56</xm:f>
              <xm:sqref>I56</xm:sqref>
            </x14:sparkline>
            <x14:sparkline>
              <xm:f>BS!D57:H57</xm:f>
              <xm:sqref>I57</xm:sqref>
            </x14:sparkline>
          </x14:sparklines>
        </x14:sparklineGroup>
        <x14:sparklineGroup type="column" displayEmptyCellsAs="gap" xr2:uid="{8939644F-3E36-49DF-9064-E25862CBFBFA}">
          <x14:colorSeries rgb="FF376092"/>
          <x14:colorNegative rgb="FFD00000"/>
          <x14:colorAxis rgb="FF000000"/>
          <x14:colorMarkers rgb="FFD00000"/>
          <x14:colorFirst rgb="FFD00000"/>
          <x14:colorLast rgb="FFD00000"/>
          <x14:colorHigh rgb="FFD00000"/>
          <x14:colorLow rgb="FFD00000"/>
          <x14:sparklines>
            <x14:sparkline>
              <xm:f>BS!L7:P7</xm:f>
              <xm:sqref>Q7</xm:sqref>
            </x14:sparkline>
            <x14:sparkline>
              <xm:f>BS!L8:P8</xm:f>
              <xm:sqref>Q8</xm:sqref>
            </x14:sparkline>
            <x14:sparkline>
              <xm:f>BS!L9:P9</xm:f>
              <xm:sqref>Q9</xm:sqref>
            </x14:sparkline>
            <x14:sparkline>
              <xm:f>BS!L10:P10</xm:f>
              <xm:sqref>Q10</xm:sqref>
            </x14:sparkline>
            <x14:sparkline>
              <xm:f>BS!L11:P11</xm:f>
              <xm:sqref>Q11</xm:sqref>
            </x14:sparkline>
            <x14:sparkline>
              <xm:f>BS!L12:P12</xm:f>
              <xm:sqref>Q12</xm:sqref>
            </x14:sparkline>
            <x14:sparkline>
              <xm:f>BS!L13:P13</xm:f>
              <xm:sqref>Q13</xm:sqref>
            </x14:sparkline>
            <x14:sparkline>
              <xm:f>BS!L14:P14</xm:f>
              <xm:sqref>Q14</xm:sqref>
            </x14:sparkline>
            <x14:sparkline>
              <xm:f>BS!L15:P15</xm:f>
              <xm:sqref>Q15</xm:sqref>
            </x14:sparkline>
            <x14:sparkline>
              <xm:f>BS!L16:P16</xm:f>
              <xm:sqref>Q16</xm:sqref>
            </x14:sparkline>
            <x14:sparkline>
              <xm:f>BS!L17:P17</xm:f>
              <xm:sqref>Q17</xm:sqref>
            </x14:sparkline>
            <x14:sparkline>
              <xm:f>BS!L18:P18</xm:f>
              <xm:sqref>Q18</xm:sqref>
            </x14:sparkline>
            <x14:sparkline>
              <xm:f>BS!L19:P19</xm:f>
              <xm:sqref>Q19</xm:sqref>
            </x14:sparkline>
            <x14:sparkline>
              <xm:f>BS!L20:P20</xm:f>
              <xm:sqref>Q20</xm:sqref>
            </x14:sparkline>
            <x14:sparkline>
              <xm:f>BS!L21:P21</xm:f>
              <xm:sqref>Q21</xm:sqref>
            </x14:sparkline>
            <x14:sparkline>
              <xm:f>BS!L22:P22</xm:f>
              <xm:sqref>Q22</xm:sqref>
            </x14:sparkline>
            <x14:sparkline>
              <xm:f>BS!L23:P23</xm:f>
              <xm:sqref>Q23</xm:sqref>
            </x14:sparkline>
            <x14:sparkline>
              <xm:f>BS!L24:P24</xm:f>
              <xm:sqref>Q24</xm:sqref>
            </x14:sparkline>
            <x14:sparkline>
              <xm:f>BS!L25:P25</xm:f>
              <xm:sqref>Q25</xm:sqref>
            </x14:sparkline>
            <x14:sparkline>
              <xm:f>BS!L26:P26</xm:f>
              <xm:sqref>Q26</xm:sqref>
            </x14:sparkline>
            <x14:sparkline>
              <xm:f>BS!L27:P27</xm:f>
              <xm:sqref>Q27</xm:sqref>
            </x14:sparkline>
            <x14:sparkline>
              <xm:f>BS!L28:P28</xm:f>
              <xm:sqref>Q28</xm:sqref>
            </x14:sparkline>
            <x14:sparkline>
              <xm:f>BS!L29:P29</xm:f>
              <xm:sqref>Q29</xm:sqref>
            </x14:sparkline>
            <x14:sparkline>
              <xm:f>BS!L30:P30</xm:f>
              <xm:sqref>Q30</xm:sqref>
            </x14:sparkline>
            <x14:sparkline>
              <xm:f>BS!L31:P31</xm:f>
              <xm:sqref>Q31</xm:sqref>
            </x14:sparkline>
            <x14:sparkline>
              <xm:f>BS!L32:P32</xm:f>
              <xm:sqref>Q32</xm:sqref>
            </x14:sparkline>
            <x14:sparkline>
              <xm:f>BS!L33:P33</xm:f>
              <xm:sqref>Q33</xm:sqref>
            </x14:sparkline>
            <x14:sparkline>
              <xm:f>BS!L34:P34</xm:f>
              <xm:sqref>Q34</xm:sqref>
            </x14:sparkline>
            <x14:sparkline>
              <xm:f>BS!L35:P35</xm:f>
              <xm:sqref>Q35</xm:sqref>
            </x14:sparkline>
            <x14:sparkline>
              <xm:f>BS!L36:P36</xm:f>
              <xm:sqref>Q36</xm:sqref>
            </x14:sparkline>
            <x14:sparkline>
              <xm:f>BS!L37:P37</xm:f>
              <xm:sqref>Q37</xm:sqref>
            </x14:sparkline>
            <x14:sparkline>
              <xm:f>BS!L38:P38</xm:f>
              <xm:sqref>Q38</xm:sqref>
            </x14:sparkline>
            <x14:sparkline>
              <xm:f>BS!L39:P39</xm:f>
              <xm:sqref>Q39</xm:sqref>
            </x14:sparkline>
            <x14:sparkline>
              <xm:f>BS!L40:P40</xm:f>
              <xm:sqref>Q40</xm:sqref>
            </x14:sparkline>
            <x14:sparkline>
              <xm:f>BS!L41:P41</xm:f>
              <xm:sqref>Q41</xm:sqref>
            </x14:sparkline>
            <x14:sparkline>
              <xm:f>BS!L42:P42</xm:f>
              <xm:sqref>Q42</xm:sqref>
            </x14:sparkline>
            <x14:sparkline>
              <xm:f>BS!L43:P43</xm:f>
              <xm:sqref>Q43</xm:sqref>
            </x14:sparkline>
            <x14:sparkline>
              <xm:f>BS!L44:P44</xm:f>
              <xm:sqref>Q44</xm:sqref>
            </x14:sparkline>
            <x14:sparkline>
              <xm:f>BS!L45:P45</xm:f>
              <xm:sqref>Q45</xm:sqref>
            </x14:sparkline>
            <x14:sparkline>
              <xm:f>BS!L46:P46</xm:f>
              <xm:sqref>Q46</xm:sqref>
            </x14:sparkline>
            <x14:sparkline>
              <xm:f>BS!L47:P47</xm:f>
              <xm:sqref>Q47</xm:sqref>
            </x14:sparkline>
            <x14:sparkline>
              <xm:f>BS!L48:P48</xm:f>
              <xm:sqref>Q48</xm:sqref>
            </x14:sparkline>
            <x14:sparkline>
              <xm:f>BS!L49:P49</xm:f>
              <xm:sqref>Q49</xm:sqref>
            </x14:sparkline>
            <x14:sparkline>
              <xm:f>BS!L50:P50</xm:f>
              <xm:sqref>Q50</xm:sqref>
            </x14:sparkline>
            <x14:sparkline>
              <xm:f>BS!L51:P51</xm:f>
              <xm:sqref>Q51</xm:sqref>
            </x14:sparkline>
            <x14:sparkline>
              <xm:f>BS!L52:P52</xm:f>
              <xm:sqref>Q52</xm:sqref>
            </x14:sparkline>
            <x14:sparkline>
              <xm:f>BS!L53:P53</xm:f>
              <xm:sqref>Q53</xm:sqref>
            </x14:sparkline>
            <x14:sparkline>
              <xm:f>BS!L54:P54</xm:f>
              <xm:sqref>Q54</xm:sqref>
            </x14:sparkline>
            <x14:sparkline>
              <xm:f>BS!L55:P55</xm:f>
              <xm:sqref>Q55</xm:sqref>
            </x14:sparkline>
            <x14:sparkline>
              <xm:f>BS!L56:P56</xm:f>
              <xm:sqref>Q56</xm:sqref>
            </x14:sparkline>
            <x14:sparkline>
              <xm:f>BS!L57:P57</xm:f>
              <xm:sqref>Q57</xm:sqref>
            </x14:sparkline>
          </x14:sparklines>
        </x14:sparklineGroup>
        <x14:sparklineGroup type="column" displayEmptyCellsAs="gap" xr2:uid="{7BEEFCE0-0B2D-49C1-8D38-1E503D1BBB15}">
          <x14:colorSeries rgb="FF376092"/>
          <x14:colorNegative rgb="FFD00000"/>
          <x14:colorAxis rgb="FF000000"/>
          <x14:colorMarkers rgb="FFD00000"/>
          <x14:colorFirst rgb="FFD00000"/>
          <x14:colorLast rgb="FFD00000"/>
          <x14:colorHigh rgb="FFD00000"/>
          <x14:colorLow rgb="FFD00000"/>
          <x14:sparklines>
            <x14:sparkline>
              <xm:f>BS!V7:Z7</xm:f>
              <xm:sqref>AA7</xm:sqref>
            </x14:sparkline>
            <x14:sparkline>
              <xm:f>BS!V8:Z8</xm:f>
              <xm:sqref>AA8</xm:sqref>
            </x14:sparkline>
            <x14:sparkline>
              <xm:f>BS!V9:Z9</xm:f>
              <xm:sqref>AA9</xm:sqref>
            </x14:sparkline>
            <x14:sparkline>
              <xm:f>BS!V10:Z10</xm:f>
              <xm:sqref>AA10</xm:sqref>
            </x14:sparkline>
            <x14:sparkline>
              <xm:f>BS!V11:Z11</xm:f>
              <xm:sqref>AA11</xm:sqref>
            </x14:sparkline>
            <x14:sparkline>
              <xm:f>BS!V12:Z12</xm:f>
              <xm:sqref>AA12</xm:sqref>
            </x14:sparkline>
            <x14:sparkline>
              <xm:f>BS!V13:Z13</xm:f>
              <xm:sqref>AA13</xm:sqref>
            </x14:sparkline>
            <x14:sparkline>
              <xm:f>BS!V14:Z14</xm:f>
              <xm:sqref>AA14</xm:sqref>
            </x14:sparkline>
            <x14:sparkline>
              <xm:f>BS!V15:Z15</xm:f>
              <xm:sqref>AA15</xm:sqref>
            </x14:sparkline>
            <x14:sparkline>
              <xm:f>BS!V16:Z16</xm:f>
              <xm:sqref>AA16</xm:sqref>
            </x14:sparkline>
            <x14:sparkline>
              <xm:f>BS!V17:Z17</xm:f>
              <xm:sqref>AA17</xm:sqref>
            </x14:sparkline>
            <x14:sparkline>
              <xm:f>BS!V18:Z18</xm:f>
              <xm:sqref>AA18</xm:sqref>
            </x14:sparkline>
            <x14:sparkline>
              <xm:f>BS!V19:Z19</xm:f>
              <xm:sqref>AA19</xm:sqref>
            </x14:sparkline>
            <x14:sparkline>
              <xm:f>BS!V20:Z20</xm:f>
              <xm:sqref>AA20</xm:sqref>
            </x14:sparkline>
            <x14:sparkline>
              <xm:f>BS!V21:Z21</xm:f>
              <xm:sqref>AA21</xm:sqref>
            </x14:sparkline>
            <x14:sparkline>
              <xm:f>BS!V22:Z22</xm:f>
              <xm:sqref>AA22</xm:sqref>
            </x14:sparkline>
            <x14:sparkline>
              <xm:f>BS!V23:Z23</xm:f>
              <xm:sqref>AA23</xm:sqref>
            </x14:sparkline>
            <x14:sparkline>
              <xm:f>BS!V24:Z24</xm:f>
              <xm:sqref>AA24</xm:sqref>
            </x14:sparkline>
            <x14:sparkline>
              <xm:f>BS!V25:Z25</xm:f>
              <xm:sqref>AA25</xm:sqref>
            </x14:sparkline>
            <x14:sparkline>
              <xm:f>BS!V26:Z26</xm:f>
              <xm:sqref>AA26</xm:sqref>
            </x14:sparkline>
            <x14:sparkline>
              <xm:f>BS!V27:Z27</xm:f>
              <xm:sqref>AA27</xm:sqref>
            </x14:sparkline>
            <x14:sparkline>
              <xm:f>BS!V28:Z28</xm:f>
              <xm:sqref>AA28</xm:sqref>
            </x14:sparkline>
            <x14:sparkline>
              <xm:f>BS!V29:Z29</xm:f>
              <xm:sqref>AA29</xm:sqref>
            </x14:sparkline>
            <x14:sparkline>
              <xm:f>BS!V30:Z30</xm:f>
              <xm:sqref>AA30</xm:sqref>
            </x14:sparkline>
            <x14:sparkline>
              <xm:f>BS!V31:Z31</xm:f>
              <xm:sqref>AA31</xm:sqref>
            </x14:sparkline>
            <x14:sparkline>
              <xm:f>BS!V32:Z32</xm:f>
              <xm:sqref>AA32</xm:sqref>
            </x14:sparkline>
            <x14:sparkline>
              <xm:f>BS!V33:Z33</xm:f>
              <xm:sqref>AA33</xm:sqref>
            </x14:sparkline>
            <x14:sparkline>
              <xm:f>BS!V34:Z34</xm:f>
              <xm:sqref>AA34</xm:sqref>
            </x14:sparkline>
            <x14:sparkline>
              <xm:f>BS!V35:Z35</xm:f>
              <xm:sqref>AA35</xm:sqref>
            </x14:sparkline>
            <x14:sparkline>
              <xm:f>BS!V36:Z36</xm:f>
              <xm:sqref>AA36</xm:sqref>
            </x14:sparkline>
            <x14:sparkline>
              <xm:f>BS!V37:Z37</xm:f>
              <xm:sqref>AA37</xm:sqref>
            </x14:sparkline>
            <x14:sparkline>
              <xm:f>BS!V38:Z38</xm:f>
              <xm:sqref>AA38</xm:sqref>
            </x14:sparkline>
            <x14:sparkline>
              <xm:f>BS!V39:Z39</xm:f>
              <xm:sqref>AA39</xm:sqref>
            </x14:sparkline>
            <x14:sparkline>
              <xm:f>BS!V40:Z40</xm:f>
              <xm:sqref>AA40</xm:sqref>
            </x14:sparkline>
            <x14:sparkline>
              <xm:f>BS!V41:Z41</xm:f>
              <xm:sqref>AA41</xm:sqref>
            </x14:sparkline>
            <x14:sparkline>
              <xm:f>BS!V42:Z42</xm:f>
              <xm:sqref>AA42</xm:sqref>
            </x14:sparkline>
            <x14:sparkline>
              <xm:f>BS!V43:Z43</xm:f>
              <xm:sqref>AA43</xm:sqref>
            </x14:sparkline>
            <x14:sparkline>
              <xm:f>BS!V44:Z44</xm:f>
              <xm:sqref>AA44</xm:sqref>
            </x14:sparkline>
            <x14:sparkline>
              <xm:f>BS!V45:Z45</xm:f>
              <xm:sqref>AA45</xm:sqref>
            </x14:sparkline>
            <x14:sparkline>
              <xm:f>BS!V46:Z46</xm:f>
              <xm:sqref>AA46</xm:sqref>
            </x14:sparkline>
          </x14:sparklines>
        </x14:sparklineGroup>
        <x14:sparklineGroup type="column" displayEmptyCellsAs="gap" xr2:uid="{B9224202-FD27-4404-AE13-9D0EDE9DEC95}">
          <x14:colorSeries rgb="FF376092"/>
          <x14:colorNegative rgb="FFD00000"/>
          <x14:colorAxis rgb="FF000000"/>
          <x14:colorMarkers rgb="FFD00000"/>
          <x14:colorFirst rgb="FFD00000"/>
          <x14:colorLast rgb="FFD00000"/>
          <x14:colorHigh rgb="FFD00000"/>
          <x14:colorLow rgb="FFD00000"/>
          <x14:sparklines>
            <x14:sparkline>
              <xm:f>BS!L69:P69</xm:f>
              <xm:sqref>Q69</xm:sqref>
            </x14:sparkline>
            <x14:sparkline>
              <xm:f>BS!L70:P70</xm:f>
              <xm:sqref>Q70</xm:sqref>
            </x14:sparkline>
            <x14:sparkline>
              <xm:f>BS!L71:P71</xm:f>
              <xm:sqref>Q71</xm:sqref>
            </x14:sparkline>
            <x14:sparkline>
              <xm:f>BS!L72:P72</xm:f>
              <xm:sqref>Q72</xm:sqref>
            </x14:sparkline>
            <x14:sparkline>
              <xm:f>BS!L73:P73</xm:f>
              <xm:sqref>Q73</xm:sqref>
            </x14:sparkline>
            <x14:sparkline>
              <xm:f>BS!L74:P74</xm:f>
              <xm:sqref>Q74</xm:sqref>
            </x14:sparkline>
            <x14:sparkline>
              <xm:f>BS!L75:P75</xm:f>
              <xm:sqref>Q75</xm:sqref>
            </x14:sparkline>
            <x14:sparkline>
              <xm:f>BS!L76:P76</xm:f>
              <xm:sqref>Q76</xm:sqref>
            </x14:sparkline>
            <x14:sparkline>
              <xm:f>BS!L77:P77</xm:f>
              <xm:sqref>Q77</xm:sqref>
            </x14:sparkline>
            <x14:sparkline>
              <xm:f>BS!L78:P78</xm:f>
              <xm:sqref>Q78</xm:sqref>
            </x14:sparkline>
            <x14:sparkline>
              <xm:f>BS!L79:P79</xm:f>
              <xm:sqref>Q79</xm:sqref>
            </x14:sparkline>
            <x14:sparkline>
              <xm:f>BS!L80:P80</xm:f>
              <xm:sqref>Q80</xm:sqref>
            </x14:sparkline>
            <x14:sparkline>
              <xm:f>BS!L81:P81</xm:f>
              <xm:sqref>Q81</xm:sqref>
            </x14:sparkline>
            <x14:sparkline>
              <xm:f>BS!L82:P82</xm:f>
              <xm:sqref>Q82</xm:sqref>
            </x14:sparkline>
            <x14:sparkline>
              <xm:f>BS!L83:P83</xm:f>
              <xm:sqref>Q83</xm:sqref>
            </x14:sparkline>
            <x14:sparkline>
              <xm:f>BS!L84:P84</xm:f>
              <xm:sqref>Q84</xm:sqref>
            </x14:sparkline>
            <x14:sparkline>
              <xm:f>BS!L85:P85</xm:f>
              <xm:sqref>Q85</xm:sqref>
            </x14:sparkline>
            <x14:sparkline>
              <xm:f>BS!L86:P86</xm:f>
              <xm:sqref>Q86</xm:sqref>
            </x14:sparkline>
            <x14:sparkline>
              <xm:f>BS!L87:P87</xm:f>
              <xm:sqref>Q87</xm:sqref>
            </x14:sparkline>
            <x14:sparkline>
              <xm:f>BS!L88:P88</xm:f>
              <xm:sqref>Q88</xm:sqref>
            </x14:sparkline>
            <x14:sparkline>
              <xm:f>BS!L89:P89</xm:f>
              <xm:sqref>Q89</xm:sqref>
            </x14:sparkline>
            <x14:sparkline>
              <xm:f>BS!L90:P90</xm:f>
              <xm:sqref>Q90</xm:sqref>
            </x14:sparkline>
            <x14:sparkline>
              <xm:f>BS!L91:P91</xm:f>
              <xm:sqref>Q91</xm:sqref>
            </x14:sparkline>
            <x14:sparkline>
              <xm:f>BS!L92:P92</xm:f>
              <xm:sqref>Q92</xm:sqref>
            </x14:sparkline>
            <x14:sparkline>
              <xm:f>BS!L93:P93</xm:f>
              <xm:sqref>Q93</xm:sqref>
            </x14:sparkline>
            <x14:sparkline>
              <xm:f>BS!L94:P94</xm:f>
              <xm:sqref>Q94</xm:sqref>
            </x14:sparkline>
            <x14:sparkline>
              <xm:f>BS!L95:P95</xm:f>
              <xm:sqref>Q95</xm:sqref>
            </x14:sparkline>
            <x14:sparkline>
              <xm:f>BS!L96:P96</xm:f>
              <xm:sqref>Q96</xm:sqref>
            </x14:sparkline>
            <x14:sparkline>
              <xm:f>BS!L97:P97</xm:f>
              <xm:sqref>Q97</xm:sqref>
            </x14:sparkline>
            <x14:sparkline>
              <xm:f>BS!L98:P98</xm:f>
              <xm:sqref>Q98</xm:sqref>
            </x14:sparkline>
            <x14:sparkline>
              <xm:f>BS!L99:P99</xm:f>
              <xm:sqref>Q99</xm:sqref>
            </x14:sparkline>
          </x14:sparklines>
        </x14:sparklineGroup>
        <x14:sparklineGroup manualMax="0" manualMin="0" type="column" displayEmptyCellsAs="gap" xr2:uid="{48161461-3233-4AC3-B3E0-B0CAA838AE59}">
          <x14:colorSeries rgb="FF376092"/>
          <x14:colorNegative rgb="FFD00000"/>
          <x14:colorAxis rgb="FF000000"/>
          <x14:colorMarkers rgb="FFD00000"/>
          <x14:colorFirst rgb="FFD00000"/>
          <x14:colorLast rgb="FFD00000"/>
          <x14:colorHigh rgb="FFD00000"/>
          <x14:colorLow rgb="FFD00000"/>
          <x14:sparklines>
            <x14:sparkline>
              <xm:f>BS!D68:H68</xm:f>
              <xm:sqref>I68</xm:sqref>
            </x14:sparkline>
            <x14:sparkline>
              <xm:f>BS!D69:H69</xm:f>
              <xm:sqref>I69</xm:sqref>
            </x14:sparkline>
            <x14:sparkline>
              <xm:f>BS!D70:H70</xm:f>
              <xm:sqref>I70</xm:sqref>
            </x14:sparkline>
            <x14:sparkline>
              <xm:f>BS!D71:H71</xm:f>
              <xm:sqref>I71</xm:sqref>
            </x14:sparkline>
            <x14:sparkline>
              <xm:f>BS!D72:H72</xm:f>
              <xm:sqref>I72</xm:sqref>
            </x14:sparkline>
            <x14:sparkline>
              <xm:f>BS!D73:H73</xm:f>
              <xm:sqref>I73</xm:sqref>
            </x14:sparkline>
          </x14:sparklines>
        </x14:sparklineGroup>
        <x14:sparklineGroup manualMax="0" manualMin="0" type="column" displayEmptyCellsAs="gap" xr2:uid="{EC09AEA5-34CC-41A3-ACE6-C1564D7F7103}">
          <x14:colorSeries rgb="FF376092"/>
          <x14:colorNegative rgb="FFD00000"/>
          <x14:colorAxis rgb="FF000000"/>
          <x14:colorMarkers rgb="FFD00000"/>
          <x14:colorFirst rgb="FFD00000"/>
          <x14:colorLast rgb="FFD00000"/>
          <x14:colorHigh rgb="FFD00000"/>
          <x14:colorLow rgb="FFD00000"/>
          <x14:sparklines>
            <x14:sparkline>
              <xm:f>BS!E64:H64</xm:f>
              <xm:sqref>I64</xm:sqref>
            </x14:sparkline>
            <x14:sparkline>
              <xm:f>BS!E65:H65</xm:f>
              <xm:sqref>I65</xm:sqref>
            </x14:sparkline>
            <x14:sparkline>
              <xm:f>BS!E66:H66</xm:f>
              <xm:sqref>I66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FB0C3-C8D0-4E3D-98BE-E1159F7C272C}">
  <dimension ref="B3:H15"/>
  <sheetViews>
    <sheetView workbookViewId="0">
      <selection activeCell="J12" sqref="J12"/>
    </sheetView>
  </sheetViews>
  <sheetFormatPr defaultRowHeight="14.4" x14ac:dyDescent="0.3"/>
  <cols>
    <col min="2" max="2" width="36.21875" customWidth="1"/>
    <col min="8" max="8" width="11" customWidth="1"/>
  </cols>
  <sheetData>
    <row r="3" spans="2:8" x14ac:dyDescent="0.3">
      <c r="B3" s="71" t="s">
        <v>178</v>
      </c>
      <c r="C3" s="72"/>
      <c r="D3" s="72"/>
      <c r="E3" s="72"/>
      <c r="F3" s="72"/>
      <c r="G3" s="72"/>
    </row>
    <row r="4" spans="2:8" x14ac:dyDescent="0.3">
      <c r="B4" s="69" t="s">
        <v>174</v>
      </c>
      <c r="C4" s="73">
        <v>43525</v>
      </c>
      <c r="D4" s="73">
        <v>43891</v>
      </c>
      <c r="E4" s="73">
        <v>44256</v>
      </c>
      <c r="F4" s="73">
        <v>44621</v>
      </c>
      <c r="G4" s="73">
        <v>44986</v>
      </c>
    </row>
    <row r="5" spans="2:8" x14ac:dyDescent="0.3">
      <c r="B5" s="70" t="s">
        <v>175</v>
      </c>
      <c r="C5" s="40">
        <v>1499.13</v>
      </c>
      <c r="D5" s="40">
        <v>1613.62</v>
      </c>
      <c r="E5" s="40">
        <v>2114.67</v>
      </c>
      <c r="F5" s="40">
        <v>1802.33</v>
      </c>
      <c r="G5" s="40">
        <v>1488.43</v>
      </c>
    </row>
    <row r="6" spans="2:8" x14ac:dyDescent="0.3">
      <c r="B6" s="70" t="s">
        <v>176</v>
      </c>
      <c r="C6" s="40">
        <v>336.91</v>
      </c>
      <c r="D6" s="40">
        <v>-516.84</v>
      </c>
      <c r="E6" s="40">
        <v>-1405.78</v>
      </c>
      <c r="F6" s="40">
        <v>-1275.45</v>
      </c>
      <c r="G6" s="40">
        <v>-586.54</v>
      </c>
    </row>
    <row r="7" spans="2:8" x14ac:dyDescent="0.3">
      <c r="B7" s="70" t="s">
        <v>177</v>
      </c>
      <c r="C7" s="40">
        <v>-1888.2</v>
      </c>
      <c r="D7" s="40">
        <v>-1042.97</v>
      </c>
      <c r="E7" s="40">
        <v>-613.41</v>
      </c>
      <c r="F7" s="40">
        <v>-490.49</v>
      </c>
      <c r="G7" s="40">
        <v>-1035.24</v>
      </c>
    </row>
    <row r="10" spans="2:8" ht="15" thickBot="1" x14ac:dyDescent="0.35"/>
    <row r="11" spans="2:8" x14ac:dyDescent="0.3">
      <c r="B11" s="74" t="s">
        <v>179</v>
      </c>
      <c r="C11" s="51">
        <v>43525</v>
      </c>
      <c r="D11" s="51">
        <v>43891</v>
      </c>
      <c r="E11" s="51">
        <v>44256</v>
      </c>
      <c r="F11" s="51">
        <v>44621</v>
      </c>
      <c r="G11" s="51">
        <v>44986</v>
      </c>
      <c r="H11" s="53" t="s">
        <v>111</v>
      </c>
    </row>
    <row r="12" spans="2:8" x14ac:dyDescent="0.3">
      <c r="B12" s="75" t="s">
        <v>180</v>
      </c>
      <c r="C12" s="5"/>
      <c r="D12" s="5">
        <f t="shared" ref="D12:G13" si="0">D5/C5-1</f>
        <v>7.6370961824524741E-2</v>
      </c>
      <c r="E12" s="5">
        <f t="shared" si="0"/>
        <v>0.31051300801923643</v>
      </c>
      <c r="F12" s="5">
        <f t="shared" si="0"/>
        <v>-0.14770153262684016</v>
      </c>
      <c r="G12" s="5">
        <f t="shared" si="0"/>
        <v>-0.17416344398639527</v>
      </c>
      <c r="H12" s="87"/>
    </row>
    <row r="13" spans="2:8" x14ac:dyDescent="0.3">
      <c r="B13" s="76" t="s">
        <v>181</v>
      </c>
      <c r="C13" s="5"/>
      <c r="D13" s="5">
        <f t="shared" si="0"/>
        <v>-2.5340595411237423</v>
      </c>
      <c r="E13" s="5">
        <f t="shared" si="0"/>
        <v>1.719952016097825</v>
      </c>
      <c r="F13" s="5">
        <f t="shared" si="0"/>
        <v>-9.2710096885714632E-2</v>
      </c>
      <c r="G13" s="5">
        <f t="shared" si="0"/>
        <v>-0.54013093418009328</v>
      </c>
      <c r="H13" s="87"/>
    </row>
    <row r="14" spans="2:8" x14ac:dyDescent="0.3">
      <c r="B14" s="75" t="s">
        <v>182</v>
      </c>
      <c r="C14" s="5">
        <f>C5/IS!C46</f>
        <v>0.17767887831415266</v>
      </c>
      <c r="D14" s="5">
        <f>D5/IS!D46</f>
        <v>0.18713259042522962</v>
      </c>
      <c r="E14" s="5">
        <f>E5/IS!E46</f>
        <v>0.2224139943898753</v>
      </c>
      <c r="F14" s="5">
        <f>F5/IS!F46</f>
        <v>0.166758419434439</v>
      </c>
      <c r="G14" s="5">
        <f>G5/IS!G46</f>
        <v>0.13026112084967326</v>
      </c>
      <c r="H14" s="87"/>
    </row>
    <row r="15" spans="2:8" ht="15" thickBot="1" x14ac:dyDescent="0.35">
      <c r="B15" s="77" t="s">
        <v>183</v>
      </c>
      <c r="C15" s="101">
        <f>C5/IS!C57</f>
        <v>25.161631419939578</v>
      </c>
      <c r="D15" s="101">
        <f>D5/IS!D57</f>
        <v>32.572062979410575</v>
      </c>
      <c r="E15" s="101">
        <f>E5/IS!E57</f>
        <v>68.635832521908483</v>
      </c>
      <c r="F15" s="101">
        <f>F5/IS!F57</f>
        <v>46.692487046632124</v>
      </c>
      <c r="G15" s="101">
        <f>G5/IS!G57</f>
        <v>19.023900817995912</v>
      </c>
      <c r="H15" s="102"/>
    </row>
  </sheetData>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xr2:uid="{90B39D86-F24E-4971-A604-6589DEA3DDDA}">
          <x14:colorSeries rgb="FF376092"/>
          <x14:colorNegative rgb="FFD00000"/>
          <x14:colorAxis rgb="FF000000"/>
          <x14:colorMarkers rgb="FFD00000"/>
          <x14:colorFirst rgb="FFD00000"/>
          <x14:colorLast rgb="FFD00000"/>
          <x14:colorHigh rgb="FFD00000"/>
          <x14:colorLow rgb="FFD00000"/>
          <x14:sparklines>
            <x14:sparkline>
              <xm:f>CFS!C14:G14</xm:f>
              <xm:sqref>H14</xm:sqref>
            </x14:sparkline>
            <x14:sparkline>
              <xm:f>CFS!C15:G15</xm:f>
              <xm:sqref>H15</xm:sqref>
            </x14:sparkline>
          </x14:sparklines>
        </x14:sparklineGroup>
        <x14:sparklineGroup manualMax="0" manualMin="0" type="column" displayEmptyCellsAs="gap" xr2:uid="{986AEF16-E3C5-4098-885D-46A320586270}">
          <x14:colorSeries rgb="FF376092"/>
          <x14:colorNegative rgb="FFD00000"/>
          <x14:colorAxis rgb="FF000000"/>
          <x14:colorMarkers rgb="FFD00000"/>
          <x14:colorFirst rgb="FFD00000"/>
          <x14:colorLast rgb="FFD00000"/>
          <x14:colorHigh rgb="FFD00000"/>
          <x14:colorLow rgb="FFD00000"/>
          <x14:sparklines>
            <x14:sparkline>
              <xm:f>CFS!D12:G12</xm:f>
              <xm:sqref>H12</xm:sqref>
            </x14:sparkline>
            <x14:sparkline>
              <xm:f>CFS!D13:G13</xm:f>
              <xm:sqref>H13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25"/>
  <sheetViews>
    <sheetView zoomScale="125" zoomScaleNormal="120" zoomScaleSheetLayoutView="100" zoomScalePageLayoutView="120" workbookViewId="0">
      <pane xSplit="1" ySplit="4" topLeftCell="D5" activePane="bottomRight" state="frozen"/>
      <selection activeCell="I2" sqref="I2"/>
      <selection pane="topRight" activeCell="I2" sqref="I2"/>
      <selection pane="bottomLeft" activeCell="I2" sqref="I2"/>
      <selection pane="bottomRight" activeCell="D22" sqref="D22"/>
    </sheetView>
  </sheetViews>
  <sheetFormatPr defaultColWidth="8.77734375" defaultRowHeight="14.4" x14ac:dyDescent="0.3"/>
  <cols>
    <col min="1" max="1" width="20.6640625" customWidth="1"/>
    <col min="2" max="6" width="13.44140625" customWidth="1"/>
    <col min="7" max="7" width="14.77734375" bestFit="1" customWidth="1"/>
    <col min="8" max="11" width="13.44140625" customWidth="1"/>
    <col min="12" max="12" width="13.33203125" customWidth="1"/>
    <col min="13" max="14" width="12.109375" customWidth="1"/>
  </cols>
  <sheetData>
    <row r="1" spans="1:14" s="2" customFormat="1" x14ac:dyDescent="0.3">
      <c r="A1" s="2" t="str">
        <f>'Data Sheet'!B1</f>
        <v>DABUR INDIA LTD</v>
      </c>
      <c r="H1" t="str">
        <f>UPDATE</f>
        <v/>
      </c>
      <c r="J1" s="3"/>
      <c r="K1" s="3"/>
      <c r="M1" s="2" t="s">
        <v>1</v>
      </c>
    </row>
    <row r="3" spans="1:14" s="2" customFormat="1" x14ac:dyDescent="0.3">
      <c r="A3" s="11" t="s">
        <v>2</v>
      </c>
      <c r="B3" s="12">
        <f>'Data Sheet'!B16</f>
        <v>41729</v>
      </c>
      <c r="C3" s="12">
        <f>'Data Sheet'!C16</f>
        <v>42094</v>
      </c>
      <c r="D3" s="12">
        <f>'Data Sheet'!D16</f>
        <v>42460</v>
      </c>
      <c r="E3" s="12">
        <f>'Data Sheet'!E16</f>
        <v>42825</v>
      </c>
      <c r="F3" s="12">
        <f>'Data Sheet'!F16</f>
        <v>43190</v>
      </c>
      <c r="G3" s="12">
        <f>'Data Sheet'!G16</f>
        <v>43555</v>
      </c>
      <c r="H3" s="12">
        <f>'Data Sheet'!H16</f>
        <v>43921</v>
      </c>
      <c r="I3" s="12">
        <f>'Data Sheet'!I16</f>
        <v>44286</v>
      </c>
      <c r="J3" s="12">
        <f>'Data Sheet'!J16</f>
        <v>44651</v>
      </c>
      <c r="K3" s="12">
        <f>'Data Sheet'!K16</f>
        <v>45016</v>
      </c>
      <c r="L3" s="13" t="s">
        <v>3</v>
      </c>
      <c r="M3" s="13" t="s">
        <v>4</v>
      </c>
      <c r="N3" s="13" t="s">
        <v>5</v>
      </c>
    </row>
    <row r="4" spans="1:14" s="2" customFormat="1" x14ac:dyDescent="0.3">
      <c r="A4" s="2" t="s">
        <v>6</v>
      </c>
      <c r="B4" s="1">
        <f>'Data Sheet'!B17</f>
        <v>7058.12</v>
      </c>
      <c r="C4" s="1">
        <f>'Data Sheet'!C17</f>
        <v>7795.49</v>
      </c>
      <c r="D4" s="1">
        <f>'Data Sheet'!D17</f>
        <v>7779.66</v>
      </c>
      <c r="E4" s="1">
        <f>'Data Sheet'!E17</f>
        <v>7613.59</v>
      </c>
      <c r="F4" s="1">
        <f>'Data Sheet'!F17</f>
        <v>7721.85</v>
      </c>
      <c r="G4" s="1">
        <f>'Data Sheet'!G17</f>
        <v>8514.99</v>
      </c>
      <c r="H4" s="1">
        <f>'Data Sheet'!H17</f>
        <v>8684.64</v>
      </c>
      <c r="I4" s="1">
        <f>'Data Sheet'!I17</f>
        <v>9561.65</v>
      </c>
      <c r="J4" s="1">
        <f>'Data Sheet'!J17</f>
        <v>10888.68</v>
      </c>
      <c r="K4" s="1">
        <f>'Data Sheet'!K17</f>
        <v>11529.89</v>
      </c>
      <c r="L4" s="1">
        <f>SUM(Quarters!H4:K4)</f>
        <v>11837.929999999998</v>
      </c>
      <c r="M4" s="1">
        <f>$K4+M23*K4</f>
        <v>12672.129771873268</v>
      </c>
      <c r="N4" s="1">
        <f>$K4+N23*L4</f>
        <v>12193.328569149717</v>
      </c>
    </row>
    <row r="5" spans="1:14" x14ac:dyDescent="0.3">
      <c r="A5" t="s">
        <v>7</v>
      </c>
      <c r="B5" s="6">
        <f>SUM('Data Sheet'!B18,'Data Sheet'!B20:B24, -1*'Data Sheet'!B19)</f>
        <v>5896.59</v>
      </c>
      <c r="C5" s="6">
        <f>SUM('Data Sheet'!C18,'Data Sheet'!C20:C24, -1*'Data Sheet'!C19)</f>
        <v>6475.2699999999995</v>
      </c>
      <c r="D5" s="6">
        <f>SUM('Data Sheet'!D18,'Data Sheet'!D20:D24, -1*'Data Sheet'!D19)</f>
        <v>6261.380000000001</v>
      </c>
      <c r="E5" s="6">
        <f>SUM('Data Sheet'!E18,'Data Sheet'!E20:E24, -1*'Data Sheet'!E19)</f>
        <v>6101.98</v>
      </c>
      <c r="F5" s="6">
        <f>SUM('Data Sheet'!F18,'Data Sheet'!F20:F24, -1*'Data Sheet'!F19)</f>
        <v>6104.41</v>
      </c>
      <c r="G5" s="6">
        <f>SUM('Data Sheet'!G18,'Data Sheet'!G20:G24, -1*'Data Sheet'!G19)</f>
        <v>6775.4300000000012</v>
      </c>
      <c r="H5" s="6">
        <f>SUM('Data Sheet'!H18,'Data Sheet'!H20:H24, -1*'Data Sheet'!H19)</f>
        <v>6892.3</v>
      </c>
      <c r="I5" s="6">
        <f>SUM('Data Sheet'!I18,'Data Sheet'!I20:I24, -1*'Data Sheet'!I19)</f>
        <v>7559.9800000000014</v>
      </c>
      <c r="J5" s="6">
        <f>SUM('Data Sheet'!J18,'Data Sheet'!J20:J24, -1*'Data Sheet'!J19)</f>
        <v>8636.67</v>
      </c>
      <c r="K5" s="6">
        <f>SUM('Data Sheet'!K18,'Data Sheet'!K20:K24, -1*'Data Sheet'!K19)</f>
        <v>9367.4</v>
      </c>
      <c r="L5" s="6">
        <f>SUM(Quarters!H5:K5)</f>
        <v>9614.2300000000014</v>
      </c>
      <c r="M5" s="6">
        <f>M4-M6</f>
        <v>10129.728910390761</v>
      </c>
      <c r="N5" s="6">
        <f>N4-N6</f>
        <v>9902.8686036643467</v>
      </c>
    </row>
    <row r="6" spans="1:14" s="2" customFormat="1" x14ac:dyDescent="0.3">
      <c r="A6" s="2" t="s">
        <v>8</v>
      </c>
      <c r="B6" s="1">
        <f>B4-B5</f>
        <v>1161.5299999999997</v>
      </c>
      <c r="C6" s="1">
        <f t="shared" ref="C6:K6" si="0">C4-C5</f>
        <v>1320.2200000000003</v>
      </c>
      <c r="D6" s="1">
        <f t="shared" si="0"/>
        <v>1518.2799999999988</v>
      </c>
      <c r="E6" s="1">
        <f t="shared" si="0"/>
        <v>1511.6100000000006</v>
      </c>
      <c r="F6" s="1">
        <f t="shared" si="0"/>
        <v>1617.4400000000005</v>
      </c>
      <c r="G6" s="1">
        <f t="shared" si="0"/>
        <v>1739.5599999999986</v>
      </c>
      <c r="H6" s="1">
        <f t="shared" si="0"/>
        <v>1792.3399999999992</v>
      </c>
      <c r="I6" s="1">
        <f t="shared" si="0"/>
        <v>2001.6699999999983</v>
      </c>
      <c r="J6" s="1">
        <f t="shared" si="0"/>
        <v>2252.0100000000002</v>
      </c>
      <c r="K6" s="1">
        <f t="shared" si="0"/>
        <v>2162.4899999999998</v>
      </c>
      <c r="L6" s="1">
        <f>SUM(Quarters!H6:K6)</f>
        <v>2223.6999999999998</v>
      </c>
      <c r="M6" s="1">
        <f>M4*M24</f>
        <v>2542.4008614825061</v>
      </c>
      <c r="N6" s="1">
        <f>N4*N24</f>
        <v>2290.45996548537</v>
      </c>
    </row>
    <row r="7" spans="1:14" x14ac:dyDescent="0.3">
      <c r="A7" t="s">
        <v>9</v>
      </c>
      <c r="B7" s="6">
        <f>'Data Sheet'!B25</f>
        <v>125.64</v>
      </c>
      <c r="C7" s="6">
        <f>'Data Sheet'!C25</f>
        <v>154.24</v>
      </c>
      <c r="D7" s="6">
        <f>'Data Sheet'!D25</f>
        <v>217.19</v>
      </c>
      <c r="E7" s="6">
        <f>'Data Sheet'!E25</f>
        <v>295.93</v>
      </c>
      <c r="F7" s="6">
        <f>'Data Sheet'!F25</f>
        <v>290.88</v>
      </c>
      <c r="G7" s="6">
        <f>'Data Sheet'!G25</f>
        <v>221.79</v>
      </c>
      <c r="H7" s="6">
        <f>'Data Sheet'!H25</f>
        <v>205.29</v>
      </c>
      <c r="I7" s="6">
        <f>'Data Sheet'!I25</f>
        <v>325.29000000000002</v>
      </c>
      <c r="J7" s="6">
        <f>'Data Sheet'!J25</f>
        <v>308.16000000000003</v>
      </c>
      <c r="K7" s="6">
        <f>'Data Sheet'!K25</f>
        <v>445.39</v>
      </c>
      <c r="L7" s="6">
        <f>SUM(Quarters!H7:K7)</f>
        <v>454.62</v>
      </c>
      <c r="M7" s="6">
        <v>0</v>
      </c>
      <c r="N7" s="6">
        <v>0</v>
      </c>
    </row>
    <row r="8" spans="1:14" x14ac:dyDescent="0.3">
      <c r="A8" t="s">
        <v>10</v>
      </c>
      <c r="B8" s="6">
        <f>'Data Sheet'!B26</f>
        <v>97.49</v>
      </c>
      <c r="C8" s="6">
        <f>'Data Sheet'!C26</f>
        <v>114.98</v>
      </c>
      <c r="D8" s="6">
        <f>'Data Sheet'!D26</f>
        <v>133.19</v>
      </c>
      <c r="E8" s="6">
        <f>'Data Sheet'!E26</f>
        <v>142.86000000000001</v>
      </c>
      <c r="F8" s="6">
        <f>'Data Sheet'!F26</f>
        <v>162.18</v>
      </c>
      <c r="G8" s="6">
        <f>'Data Sheet'!G26</f>
        <v>176.9</v>
      </c>
      <c r="H8" s="6">
        <f>'Data Sheet'!H26</f>
        <v>220.45</v>
      </c>
      <c r="I8" s="6">
        <f>'Data Sheet'!I26</f>
        <v>240.13</v>
      </c>
      <c r="J8" s="6">
        <f>'Data Sheet'!J26</f>
        <v>252.89</v>
      </c>
      <c r="K8" s="6">
        <f>'Data Sheet'!K26</f>
        <v>310.95999999999998</v>
      </c>
      <c r="L8" s="6">
        <f>SUM(Quarters!H8:K8)</f>
        <v>340</v>
      </c>
      <c r="M8" s="6">
        <f>+$L8</f>
        <v>340</v>
      </c>
      <c r="N8" s="6">
        <f>+$L8</f>
        <v>340</v>
      </c>
    </row>
    <row r="9" spans="1:14" x14ac:dyDescent="0.3">
      <c r="A9" t="s">
        <v>11</v>
      </c>
      <c r="B9" s="6">
        <f>'Data Sheet'!B27</f>
        <v>54.15</v>
      </c>
      <c r="C9" s="6">
        <f>'Data Sheet'!C27</f>
        <v>40.119999999999997</v>
      </c>
      <c r="D9" s="6">
        <f>'Data Sheet'!D27</f>
        <v>48.48</v>
      </c>
      <c r="E9" s="6">
        <f>'Data Sheet'!E27</f>
        <v>54.03</v>
      </c>
      <c r="F9" s="6">
        <f>'Data Sheet'!F27</f>
        <v>53.05</v>
      </c>
      <c r="G9" s="6">
        <f>'Data Sheet'!G27</f>
        <v>59.58</v>
      </c>
      <c r="H9" s="6">
        <f>'Data Sheet'!H27</f>
        <v>49.54</v>
      </c>
      <c r="I9" s="6">
        <f>'Data Sheet'!I27</f>
        <v>30.81</v>
      </c>
      <c r="J9" s="6">
        <f>'Data Sheet'!J27</f>
        <v>38.6</v>
      </c>
      <c r="K9" s="6">
        <f>'Data Sheet'!K27</f>
        <v>78.239999999999995</v>
      </c>
      <c r="L9" s="6">
        <f>SUM(Quarters!H9:K9)</f>
        <v>90.4</v>
      </c>
      <c r="M9" s="6">
        <f>+$L9</f>
        <v>90.4</v>
      </c>
      <c r="N9" s="6">
        <f>+$L9</f>
        <v>90.4</v>
      </c>
    </row>
    <row r="10" spans="1:14" x14ac:dyDescent="0.3">
      <c r="A10" t="s">
        <v>12</v>
      </c>
      <c r="B10" s="6">
        <f>'Data Sheet'!B28</f>
        <v>1135.53</v>
      </c>
      <c r="C10" s="6">
        <f>'Data Sheet'!C28</f>
        <v>1319.36</v>
      </c>
      <c r="D10" s="6">
        <f>'Data Sheet'!D28</f>
        <v>1553.8</v>
      </c>
      <c r="E10" s="6">
        <f>'Data Sheet'!E28</f>
        <v>1610.65</v>
      </c>
      <c r="F10" s="6">
        <f>'Data Sheet'!F28</f>
        <v>1693.09</v>
      </c>
      <c r="G10" s="6">
        <f>'Data Sheet'!G28</f>
        <v>1724.87</v>
      </c>
      <c r="H10" s="6">
        <f>'Data Sheet'!H28</f>
        <v>1727.64</v>
      </c>
      <c r="I10" s="6">
        <f>'Data Sheet'!I28</f>
        <v>2056.02</v>
      </c>
      <c r="J10" s="6">
        <f>'Data Sheet'!J28</f>
        <v>2268.6799999999998</v>
      </c>
      <c r="K10" s="6">
        <f>'Data Sheet'!K28</f>
        <v>2218.6799999999998</v>
      </c>
      <c r="L10" s="6">
        <f>SUM(Quarters!H10:K10)</f>
        <v>2247.92</v>
      </c>
      <c r="M10" s="6">
        <f>M6+M7-SUM(M8:M9)</f>
        <v>2112.000861482506</v>
      </c>
      <c r="N10" s="6">
        <f>N6+N7-SUM(N8:N9)</f>
        <v>1860.05996548537</v>
      </c>
    </row>
    <row r="11" spans="1:14" x14ac:dyDescent="0.3">
      <c r="A11" t="s">
        <v>13</v>
      </c>
      <c r="B11" s="6">
        <f>'Data Sheet'!B29</f>
        <v>219.08</v>
      </c>
      <c r="C11" s="6">
        <f>'Data Sheet'!C29</f>
        <v>250.89</v>
      </c>
      <c r="D11" s="6">
        <f>'Data Sheet'!D29</f>
        <v>299.89999999999998</v>
      </c>
      <c r="E11" s="6">
        <f>'Data Sheet'!E29</f>
        <v>330.34</v>
      </c>
      <c r="F11" s="6">
        <f>'Data Sheet'!F29</f>
        <v>335.35</v>
      </c>
      <c r="G11" s="6">
        <f>'Data Sheet'!G29</f>
        <v>278.62</v>
      </c>
      <c r="H11" s="6">
        <f>'Data Sheet'!H29</f>
        <v>279.72000000000003</v>
      </c>
      <c r="I11" s="6">
        <f>'Data Sheet'!I29</f>
        <v>361.07</v>
      </c>
      <c r="J11" s="6">
        <f>'Data Sheet'!J29</f>
        <v>526.38</v>
      </c>
      <c r="K11" s="6">
        <f>'Data Sheet'!K29</f>
        <v>517.35</v>
      </c>
      <c r="L11" s="6">
        <f>SUM(Quarters!H11:K11)</f>
        <v>531.04</v>
      </c>
      <c r="M11" s="7">
        <f>IF($L10&gt;0,$L11/$L10,0)</f>
        <v>0.23623616498807784</v>
      </c>
      <c r="N11" s="7">
        <f>IF($L10&gt;0,$L11/$L10,0)</f>
        <v>0.23623616498807784</v>
      </c>
    </row>
    <row r="12" spans="1:14" s="2" customFormat="1" x14ac:dyDescent="0.3">
      <c r="A12" s="2" t="s">
        <v>14</v>
      </c>
      <c r="B12" s="1">
        <f>'Data Sheet'!B30</f>
        <v>913.92</v>
      </c>
      <c r="C12" s="1">
        <f>'Data Sheet'!C30</f>
        <v>1065.83</v>
      </c>
      <c r="D12" s="1">
        <f>'Data Sheet'!D30</f>
        <v>1251.1500000000001</v>
      </c>
      <c r="E12" s="1">
        <f>'Data Sheet'!E30</f>
        <v>1276.94</v>
      </c>
      <c r="F12" s="1">
        <f>'Data Sheet'!F30</f>
        <v>1354.39</v>
      </c>
      <c r="G12" s="1">
        <f>'Data Sheet'!G30</f>
        <v>1442.33</v>
      </c>
      <c r="H12" s="1">
        <f>'Data Sheet'!H30</f>
        <v>1444.96</v>
      </c>
      <c r="I12" s="1">
        <f>'Data Sheet'!I30</f>
        <v>1693.3</v>
      </c>
      <c r="J12" s="1">
        <f>'Data Sheet'!J30</f>
        <v>1739.22</v>
      </c>
      <c r="K12" s="1">
        <f>'Data Sheet'!K30</f>
        <v>1707.15</v>
      </c>
      <c r="L12" s="1">
        <f>SUM(Quarters!H12:K12)</f>
        <v>1730.71</v>
      </c>
      <c r="M12" s="1">
        <f>M10-M11*M10</f>
        <v>1613.0698775143621</v>
      </c>
      <c r="N12" s="1">
        <f>N10-N11*N10</f>
        <v>1420.6465325912498</v>
      </c>
    </row>
    <row r="13" spans="1:14" x14ac:dyDescent="0.3">
      <c r="A13" t="s">
        <v>57</v>
      </c>
      <c r="B13" s="6">
        <f>IF('Data Sheet'!B93&gt;0,B12/'Data Sheet'!B93,0)</f>
        <v>5.2409680009175359</v>
      </c>
      <c r="C13" s="6">
        <f>IF('Data Sheet'!C93&gt;0,C12/'Data Sheet'!C93,0)</f>
        <v>6.0679191574153135</v>
      </c>
      <c r="D13" s="6">
        <f>IF('Data Sheet'!D93&gt;0,D12/'Data Sheet'!D93,0)</f>
        <v>7.112443863339208</v>
      </c>
      <c r="E13" s="6">
        <f>IF('Data Sheet'!E93&gt;0,E12/'Data Sheet'!E93,0)</f>
        <v>7.2491626454726088</v>
      </c>
      <c r="F13" s="6">
        <f>IF('Data Sheet'!F93&gt;0,F12/'Data Sheet'!F93,0)</f>
        <v>7.6888447346011928</v>
      </c>
      <c r="G13" s="6">
        <f>IF('Data Sheet'!G93&gt;0,G12/'Data Sheet'!G93,0)</f>
        <v>8.1658268697276792</v>
      </c>
      <c r="H13" s="6">
        <f>IF('Data Sheet'!H93&gt;0,H12/'Data Sheet'!H93,0)</f>
        <v>8.1770131854450785</v>
      </c>
      <c r="I13" s="6">
        <f>IF('Data Sheet'!I93&gt;0,I12/'Data Sheet'!I93,0)</f>
        <v>9.5807400701595551</v>
      </c>
      <c r="J13" s="6">
        <f>IF('Data Sheet'!J93&gt;0,J12/'Data Sheet'!J93,0)</f>
        <v>9.8377736297301883</v>
      </c>
      <c r="K13" s="6">
        <f>IF('Data Sheet'!K93&gt;0,K12/'Data Sheet'!K93,0)</f>
        <v>9.6351168303420245</v>
      </c>
      <c r="L13" s="6">
        <f>IF('Data Sheet'!$B6&gt;0,'Profit &amp; Loss'!L12/'Data Sheet'!$B6,0)</f>
        <v>9.7667951550300725</v>
      </c>
      <c r="M13" s="6">
        <f>IF('Data Sheet'!$B6&gt;0,'Profit &amp; Loss'!M12/'Data Sheet'!$B6,0)</f>
        <v>9.1029248484334317</v>
      </c>
      <c r="N13" s="6">
        <f>IF('Data Sheet'!$B6&gt;0,'Profit &amp; Loss'!N12/'Data Sheet'!$B6,0)</f>
        <v>8.0170355932088508</v>
      </c>
    </row>
    <row r="14" spans="1:14" x14ac:dyDescent="0.3">
      <c r="A14" t="s">
        <v>16</v>
      </c>
      <c r="B14" s="6">
        <f>IF(B15&gt;0,B15/B13,"")</f>
        <v>34.278018863795523</v>
      </c>
      <c r="C14" s="6">
        <f t="shared" ref="C14:K14" si="1">IF(C15&gt;0,C15/C13,"")</f>
        <v>43.762942964637894</v>
      </c>
      <c r="D14" s="6">
        <f t="shared" si="1"/>
        <v>35.13560244574991</v>
      </c>
      <c r="E14" s="6">
        <f t="shared" si="1"/>
        <v>38.259591288549188</v>
      </c>
      <c r="F14" s="6">
        <f t="shared" si="1"/>
        <v>42.711227932870145</v>
      </c>
      <c r="G14" s="6">
        <f t="shared" si="1"/>
        <v>50.062290876567779</v>
      </c>
      <c r="H14" s="6">
        <f t="shared" si="1"/>
        <v>55.038433935887504</v>
      </c>
      <c r="I14" s="6">
        <f t="shared" si="1"/>
        <v>56.415266048544268</v>
      </c>
      <c r="J14" s="6">
        <f t="shared" si="1"/>
        <v>54.504201883603002</v>
      </c>
      <c r="K14" s="6">
        <f t="shared" si="1"/>
        <v>56.553543625340481</v>
      </c>
      <c r="L14" s="6">
        <f>IF(L13&gt;0,L15/L13,0)</f>
        <v>57.229622524859742</v>
      </c>
      <c r="M14" s="6">
        <f>M25</f>
        <v>57.229622524859742</v>
      </c>
      <c r="N14" s="6">
        <f>N25</f>
        <v>47.631885671855031</v>
      </c>
    </row>
    <row r="15" spans="1:14" s="2" customFormat="1" x14ac:dyDescent="0.3">
      <c r="A15" s="2" t="s">
        <v>58</v>
      </c>
      <c r="B15" s="1">
        <f>'Data Sheet'!B90</f>
        <v>179.65</v>
      </c>
      <c r="C15" s="1">
        <f>'Data Sheet'!C90</f>
        <v>265.55</v>
      </c>
      <c r="D15" s="1">
        <f>'Data Sheet'!D90</f>
        <v>249.9</v>
      </c>
      <c r="E15" s="1">
        <f>'Data Sheet'!E90</f>
        <v>277.35000000000002</v>
      </c>
      <c r="F15" s="1">
        <f>'Data Sheet'!F90</f>
        <v>328.4</v>
      </c>
      <c r="G15" s="1">
        <f>'Data Sheet'!G90</f>
        <v>408.8</v>
      </c>
      <c r="H15" s="1">
        <f>'Data Sheet'!H90</f>
        <v>450.05</v>
      </c>
      <c r="I15" s="1">
        <f>'Data Sheet'!I90</f>
        <v>540.5</v>
      </c>
      <c r="J15" s="1">
        <f>'Data Sheet'!J90</f>
        <v>536.20000000000005</v>
      </c>
      <c r="K15" s="1">
        <f>'Data Sheet'!K90</f>
        <v>544.9</v>
      </c>
      <c r="L15" s="1">
        <f>'Data Sheet'!B8</f>
        <v>558.95000000000005</v>
      </c>
      <c r="M15" s="8">
        <f>M13*M14</f>
        <v>520.95695294801135</v>
      </c>
      <c r="N15" s="9">
        <f>N13*N14</f>
        <v>381.86652280291645</v>
      </c>
    </row>
    <row r="17" spans="1:14" s="2" customFormat="1" x14ac:dyDescent="0.3">
      <c r="A17" s="2" t="s">
        <v>15</v>
      </c>
    </row>
    <row r="18" spans="1:14" x14ac:dyDescent="0.3">
      <c r="A18" t="s">
        <v>17</v>
      </c>
      <c r="B18" s="5">
        <f>IF('Data Sheet'!B30&gt;0, 'Data Sheet'!B31/'Data Sheet'!B30, 0)</f>
        <v>0.33390231092436978</v>
      </c>
      <c r="C18" s="5">
        <f>IF('Data Sheet'!C30&gt;0, 'Data Sheet'!C31/'Data Sheet'!C30, 0)</f>
        <v>0.32960228178977891</v>
      </c>
      <c r="D18" s="5">
        <f>IF('Data Sheet'!D30&gt;0, 'Data Sheet'!D31/'Data Sheet'!D30, 0)</f>
        <v>0.31634895895775883</v>
      </c>
      <c r="E18" s="5">
        <f>IF('Data Sheet'!E30&gt;0, 'Data Sheet'!E31/'Data Sheet'!E30, 0)</f>
        <v>0.31038263348317069</v>
      </c>
      <c r="F18" s="5">
        <f>IF('Data Sheet'!F30&gt;0, 'Data Sheet'!F31/'Data Sheet'!F30, 0)</f>
        <v>0.81286778549753025</v>
      </c>
      <c r="G18" s="5">
        <f>IF('Data Sheet'!G30&gt;0, 'Data Sheet'!G31/'Data Sheet'!G30, 0)</f>
        <v>0.33676759132792083</v>
      </c>
      <c r="H18" s="5">
        <f>IF('Data Sheet'!H30&gt;0, 'Data Sheet'!H31/'Data Sheet'!H30, 0)</f>
        <v>0.36688212822500277</v>
      </c>
      <c r="I18" s="5">
        <f>IF('Data Sheet'!I30&gt;0, 'Data Sheet'!I31/'Data Sheet'!I30, 0)</f>
        <v>0.49578928719069271</v>
      </c>
      <c r="J18" s="5">
        <f>IF('Data Sheet'!J30&gt;0, 'Data Sheet'!J31/'Data Sheet'!J30, 0)</f>
        <v>0.52857602833454076</v>
      </c>
      <c r="K18" s="5">
        <f>IF('Data Sheet'!K30&gt;0, 'Data Sheet'!K31/'Data Sheet'!K30, 0)</f>
        <v>0.53969481299241429</v>
      </c>
    </row>
    <row r="19" spans="1:14" x14ac:dyDescent="0.3">
      <c r="A19" t="s">
        <v>18</v>
      </c>
      <c r="B19" s="5">
        <f>IF(B6&gt;0,B6/B4,0)</f>
        <v>0.16456648512635089</v>
      </c>
      <c r="C19" s="5">
        <f t="shared" ref="C19:K19" si="2">IF(C6&gt;0,C6/C4,0)</f>
        <v>0.16935689738553963</v>
      </c>
      <c r="D19" s="5">
        <f t="shared" si="2"/>
        <v>0.19516019980307608</v>
      </c>
      <c r="E19" s="5">
        <f t="shared" si="2"/>
        <v>0.19854102992149572</v>
      </c>
      <c r="F19" s="5">
        <f t="shared" si="2"/>
        <v>0.20946275827683786</v>
      </c>
      <c r="G19" s="5">
        <f t="shared" si="2"/>
        <v>0.20429383945254176</v>
      </c>
      <c r="H19" s="5">
        <f t="shared" si="2"/>
        <v>0.20638046021481596</v>
      </c>
      <c r="I19" s="5">
        <f t="shared" si="2"/>
        <v>0.20934357563809575</v>
      </c>
      <c r="J19" s="5">
        <f t="shared" si="2"/>
        <v>0.20682121248856611</v>
      </c>
      <c r="K19" s="5">
        <f t="shared" si="2"/>
        <v>0.18755512845309016</v>
      </c>
      <c r="L19" s="5">
        <f>IF(L6&gt;0,L6/L4,0)</f>
        <v>0.18784534120407875</v>
      </c>
    </row>
    <row r="20" spans="1:14" x14ac:dyDescent="0.3">
      <c r="B20" s="5"/>
      <c r="C20" s="5"/>
      <c r="D20" s="5"/>
      <c r="E20" s="5"/>
      <c r="F20" s="5"/>
      <c r="G20" s="5"/>
      <c r="H20" s="5"/>
      <c r="I20" s="5"/>
      <c r="J20" s="5"/>
      <c r="K20" s="5"/>
      <c r="L20" s="5"/>
    </row>
    <row r="21" spans="1:14" x14ac:dyDescent="0.3">
      <c r="B21" s="5"/>
      <c r="C21" s="5"/>
      <c r="D21" s="5"/>
      <c r="E21" s="5"/>
      <c r="F21" s="5"/>
      <c r="G21" s="5"/>
      <c r="H21" s="5"/>
      <c r="I21" s="5"/>
      <c r="J21" s="5"/>
      <c r="K21" s="5"/>
      <c r="L21" s="5"/>
    </row>
    <row r="22" spans="1:14" s="2" customFormat="1" x14ac:dyDescent="0.3">
      <c r="A22" s="11"/>
      <c r="B22" s="12"/>
      <c r="C22" s="12"/>
      <c r="D22" s="12"/>
      <c r="E22" s="12"/>
      <c r="F22" s="12"/>
      <c r="G22" s="12" t="s">
        <v>19</v>
      </c>
      <c r="H22" s="12" t="s">
        <v>65</v>
      </c>
      <c r="I22" s="12" t="s">
        <v>66</v>
      </c>
      <c r="J22" s="12" t="s">
        <v>67</v>
      </c>
      <c r="K22" s="12" t="s">
        <v>68</v>
      </c>
      <c r="L22" s="13" t="s">
        <v>69</v>
      </c>
      <c r="M22" s="13" t="s">
        <v>20</v>
      </c>
      <c r="N22" s="13" t="s">
        <v>21</v>
      </c>
    </row>
    <row r="23" spans="1:14" s="2" customFormat="1" x14ac:dyDescent="0.3">
      <c r="A23"/>
      <c r="B23"/>
      <c r="C23"/>
      <c r="D23"/>
      <c r="E23"/>
      <c r="F23"/>
      <c r="G23" t="s">
        <v>22</v>
      </c>
      <c r="H23" s="5">
        <f>IF(B4=0,"",POWER($K4/B4,1/9)-1)</f>
        <v>5.6043461073829404E-2</v>
      </c>
      <c r="I23" s="5">
        <f>IF(D4=0,"",POWER($K4/D4,1/7)-1)</f>
        <v>5.7813781851937307E-2</v>
      </c>
      <c r="J23" s="5">
        <f>IF(F4=0,"",POWER($K4/F4,1/5)-1)</f>
        <v>8.347965450985062E-2</v>
      </c>
      <c r="K23" s="5">
        <f>IF(H4=0,"",POWER($K4/H4, 1/3)-1)</f>
        <v>9.9067707660113635E-2</v>
      </c>
      <c r="L23" s="5">
        <f>IF(ISERROR(MAX(IF(J4=0,"",(K4-J4)/J4),IF(K4=0,"",(L4-K4)/K4))),"",MAX(IF(J4=0,"",(K4-J4)/J4),IF(K4=0,"",(L4-K4)/K4)))</f>
        <v>5.888776233666515E-2</v>
      </c>
      <c r="M23" s="16">
        <f>MAX(K23:L23)</f>
        <v>9.9067707660113635E-2</v>
      </c>
      <c r="N23" s="16">
        <f>MIN(H23:L23)</f>
        <v>5.6043461073829404E-2</v>
      </c>
    </row>
    <row r="24" spans="1:14" x14ac:dyDescent="0.3">
      <c r="G24" t="s">
        <v>18</v>
      </c>
      <c r="H24" s="5">
        <f>IF(SUM(B4:$K$4)=0,"",SUMPRODUCT(B19:$K$19,B4:$K$4)/SUM(B4:$K$4))</f>
        <v>0.19595447130738589</v>
      </c>
      <c r="I24" s="5">
        <f>IF(SUM(E4:$K$4)=0,"",SUMPRODUCT(E19:$K$19,E4:$K$4)/SUM(E4:$K$4))</f>
        <v>0.20269799608743908</v>
      </c>
      <c r="J24" s="5">
        <f>IF(SUM(G4:$K$4)=0,"",SUMPRODUCT(G19:$K$19,G4:$K$4)/SUM(G4:$K$4))</f>
        <v>0.2022793888147279</v>
      </c>
      <c r="K24" s="5">
        <f>IF(SUM(I4:$K$4)=0, "", SUMPRODUCT(I19:$K$19,I4:$K$4)/SUM(I4:$K$4))</f>
        <v>0.20062932650244425</v>
      </c>
      <c r="L24" s="5">
        <f>L19</f>
        <v>0.18784534120407875</v>
      </c>
      <c r="M24" s="16">
        <f>MAX(K24:L24)</f>
        <v>0.20062932650244425</v>
      </c>
      <c r="N24" s="16">
        <f>MIN(H24:L24)</f>
        <v>0.18784534120407875</v>
      </c>
    </row>
    <row r="25" spans="1:14" x14ac:dyDescent="0.3">
      <c r="G25" t="s">
        <v>23</v>
      </c>
      <c r="H25" s="6">
        <f>IF(ISERROR(AVERAGEIF(B14:$L14,"&gt;0")),"",AVERAGEIF(B14:$L14,"&gt;0"))</f>
        <v>47.631885671855031</v>
      </c>
      <c r="I25" s="6">
        <f>IF(ISERROR(AVERAGEIF(E14:$L14,"&gt;0")),"",AVERAGEIF(E14:$L14,"&gt;0"))</f>
        <v>51.346772264527758</v>
      </c>
      <c r="J25" s="6">
        <f>IF(ISERROR(AVERAGEIF(G14:$L14,"&gt;0")),"",AVERAGEIF(G14:$L14,"&gt;0"))</f>
        <v>54.967226482467133</v>
      </c>
      <c r="K25" s="6">
        <f>IF(ISERROR(AVERAGEIF(I14:$L14,"&gt;0")),"",AVERAGEIF(I14:$L14,"&gt;0"))</f>
        <v>56.175658520586872</v>
      </c>
      <c r="L25" s="6">
        <f>L14</f>
        <v>57.229622524859742</v>
      </c>
      <c r="M25" s="1">
        <f>MAX(K25:L25)</f>
        <v>57.229622524859742</v>
      </c>
      <c r="N25" s="1">
        <f>MIN(H25:L25)</f>
        <v>47.631885671855031</v>
      </c>
    </row>
  </sheetData>
  <hyperlinks>
    <hyperlink ref="M1" r:id="rId1" xr:uid="{00000000-0004-0000-0000-000000000000}"/>
  </hyperlinks>
  <printOptions gridLines="1"/>
  <pageMargins left="0.7" right="0.7" top="0.75" bottom="0.75" header="0.3" footer="0.3"/>
  <pageSetup paperSize="9" orientation="landscape" horizontalDpi="300" verticalDpi="30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K22"/>
  <sheetViews>
    <sheetView zoomScale="150" workbookViewId="0">
      <pane xSplit="1" ySplit="3" topLeftCell="B4" activePane="bottomRight" state="frozen"/>
      <selection pane="topRight" activeCell="B1" sqref="B1"/>
      <selection pane="bottomLeft" activeCell="A4" sqref="A4"/>
      <selection pane="bottomRight" activeCell="B3" sqref="B3"/>
    </sheetView>
  </sheetViews>
  <sheetFormatPr defaultColWidth="8.77734375" defaultRowHeight="14.4" x14ac:dyDescent="0.3"/>
  <cols>
    <col min="1" max="1" width="20.6640625" customWidth="1"/>
    <col min="2" max="11" width="13.44140625" bestFit="1" customWidth="1"/>
  </cols>
  <sheetData>
    <row r="1" spans="1:11" s="2" customFormat="1" x14ac:dyDescent="0.3">
      <c r="A1" s="2" t="str">
        <f>'Profit &amp; Loss'!A1</f>
        <v>DABUR INDIA LTD</v>
      </c>
      <c r="E1" t="str">
        <f>UPDATE</f>
        <v/>
      </c>
      <c r="J1" s="2" t="s">
        <v>1</v>
      </c>
    </row>
    <row r="3" spans="1:11" s="2" customFormat="1" x14ac:dyDescent="0.3">
      <c r="A3" s="11" t="s">
        <v>2</v>
      </c>
      <c r="B3" s="12">
        <f>'Data Sheet'!B41</f>
        <v>44286</v>
      </c>
      <c r="C3" s="12">
        <f>'Data Sheet'!C41</f>
        <v>44377</v>
      </c>
      <c r="D3" s="12">
        <f>'Data Sheet'!D41</f>
        <v>44469</v>
      </c>
      <c r="E3" s="12">
        <f>'Data Sheet'!E41</f>
        <v>44561</v>
      </c>
      <c r="F3" s="12">
        <f>'Data Sheet'!F41</f>
        <v>44651</v>
      </c>
      <c r="G3" s="12">
        <f>'Data Sheet'!G41</f>
        <v>44742</v>
      </c>
      <c r="H3" s="12">
        <f>'Data Sheet'!H41</f>
        <v>44834</v>
      </c>
      <c r="I3" s="12">
        <f>'Data Sheet'!I41</f>
        <v>44926</v>
      </c>
      <c r="J3" s="12">
        <f>'Data Sheet'!J41</f>
        <v>45016</v>
      </c>
      <c r="K3" s="12">
        <f>'Data Sheet'!K41</f>
        <v>45107</v>
      </c>
    </row>
    <row r="4" spans="1:11" s="2" customFormat="1" x14ac:dyDescent="0.3">
      <c r="A4" s="2" t="s">
        <v>6</v>
      </c>
      <c r="B4" s="1">
        <f>'Data Sheet'!B42</f>
        <v>2336.79</v>
      </c>
      <c r="C4" s="1">
        <f>'Data Sheet'!C42</f>
        <v>2611.54</v>
      </c>
      <c r="D4" s="1">
        <f>'Data Sheet'!D42</f>
        <v>2817.58</v>
      </c>
      <c r="E4" s="1">
        <f>'Data Sheet'!E42</f>
        <v>2941.75</v>
      </c>
      <c r="F4" s="1">
        <f>'Data Sheet'!F42</f>
        <v>2517.81</v>
      </c>
      <c r="G4" s="1">
        <f>'Data Sheet'!G42</f>
        <v>2822.43</v>
      </c>
      <c r="H4" s="1">
        <f>'Data Sheet'!H42</f>
        <v>2986.49</v>
      </c>
      <c r="I4" s="1">
        <f>'Data Sheet'!I42</f>
        <v>3043.17</v>
      </c>
      <c r="J4" s="1">
        <f>'Data Sheet'!J42</f>
        <v>2677.8</v>
      </c>
      <c r="K4" s="1">
        <f>'Data Sheet'!K42</f>
        <v>3130.47</v>
      </c>
    </row>
    <row r="5" spans="1:11" x14ac:dyDescent="0.3">
      <c r="A5" t="s">
        <v>7</v>
      </c>
      <c r="B5" s="6">
        <f>'Data Sheet'!B43</f>
        <v>1894.91</v>
      </c>
      <c r="C5" s="6">
        <f>'Data Sheet'!C43</f>
        <v>2059.58</v>
      </c>
      <c r="D5" s="6">
        <f>'Data Sheet'!D43</f>
        <v>2197.29</v>
      </c>
      <c r="E5" s="6">
        <f>'Data Sheet'!E43</f>
        <v>2314.36</v>
      </c>
      <c r="F5" s="6">
        <f>'Data Sheet'!F43</f>
        <v>2065.44</v>
      </c>
      <c r="G5" s="6">
        <f>'Data Sheet'!G43</f>
        <v>2279.11</v>
      </c>
      <c r="H5" s="6">
        <f>'Data Sheet'!H43</f>
        <v>2386.09</v>
      </c>
      <c r="I5" s="6">
        <f>'Data Sheet'!I43</f>
        <v>2434.0500000000002</v>
      </c>
      <c r="J5" s="6">
        <f>'Data Sheet'!J43</f>
        <v>2268.15</v>
      </c>
      <c r="K5" s="6">
        <f>'Data Sheet'!K43</f>
        <v>2525.94</v>
      </c>
    </row>
    <row r="6" spans="1:11" s="2" customFormat="1" x14ac:dyDescent="0.3">
      <c r="A6" s="2" t="s">
        <v>8</v>
      </c>
      <c r="B6" s="1">
        <f>'Data Sheet'!B50</f>
        <v>441.88</v>
      </c>
      <c r="C6" s="1">
        <f>'Data Sheet'!C50</f>
        <v>551.96</v>
      </c>
      <c r="D6" s="1">
        <f>'Data Sheet'!D50</f>
        <v>620.29</v>
      </c>
      <c r="E6" s="1">
        <f>'Data Sheet'!E50</f>
        <v>627.39</v>
      </c>
      <c r="F6" s="1">
        <f>'Data Sheet'!F50</f>
        <v>452.37</v>
      </c>
      <c r="G6" s="1">
        <f>'Data Sheet'!G50</f>
        <v>543.32000000000005</v>
      </c>
      <c r="H6" s="1">
        <f>'Data Sheet'!H50</f>
        <v>600.4</v>
      </c>
      <c r="I6" s="1">
        <f>'Data Sheet'!I50</f>
        <v>609.12</v>
      </c>
      <c r="J6" s="1">
        <f>'Data Sheet'!J50</f>
        <v>409.65</v>
      </c>
      <c r="K6" s="1">
        <f>'Data Sheet'!K50</f>
        <v>604.53</v>
      </c>
    </row>
    <row r="7" spans="1:11" x14ac:dyDescent="0.3">
      <c r="A7" t="s">
        <v>9</v>
      </c>
      <c r="B7" s="6">
        <f>'Data Sheet'!B44</f>
        <v>84.98</v>
      </c>
      <c r="C7" s="6">
        <f>'Data Sheet'!C44</f>
        <v>84.84</v>
      </c>
      <c r="D7" s="6">
        <f>'Data Sheet'!D44</f>
        <v>112.44</v>
      </c>
      <c r="E7" s="6">
        <f>'Data Sheet'!E44</f>
        <v>96.74</v>
      </c>
      <c r="F7" s="6">
        <f>'Data Sheet'!F44</f>
        <v>14.14</v>
      </c>
      <c r="G7" s="6">
        <f>'Data Sheet'!G44</f>
        <v>100.55</v>
      </c>
      <c r="H7" s="6">
        <f>'Data Sheet'!H44</f>
        <v>123.28</v>
      </c>
      <c r="I7" s="6">
        <f>'Data Sheet'!I44</f>
        <v>100.84</v>
      </c>
      <c r="J7" s="6">
        <f>'Data Sheet'!J44</f>
        <v>120.72</v>
      </c>
      <c r="K7" s="6">
        <f>'Data Sheet'!K44</f>
        <v>109.78</v>
      </c>
    </row>
    <row r="8" spans="1:11" x14ac:dyDescent="0.3">
      <c r="A8" t="s">
        <v>10</v>
      </c>
      <c r="B8" s="6">
        <f>'Data Sheet'!B45</f>
        <v>66.59</v>
      </c>
      <c r="C8" s="6">
        <f>'Data Sheet'!C45</f>
        <v>61.31</v>
      </c>
      <c r="D8" s="6">
        <f>'Data Sheet'!D45</f>
        <v>63.33</v>
      </c>
      <c r="E8" s="6">
        <f>'Data Sheet'!E45</f>
        <v>63.2</v>
      </c>
      <c r="F8" s="6">
        <f>'Data Sheet'!F45</f>
        <v>65.05</v>
      </c>
      <c r="G8" s="6">
        <f>'Data Sheet'!G45</f>
        <v>67.599999999999994</v>
      </c>
      <c r="H8" s="6">
        <f>'Data Sheet'!H45</f>
        <v>70.47</v>
      </c>
      <c r="I8" s="6">
        <f>'Data Sheet'!I45</f>
        <v>70.89</v>
      </c>
      <c r="J8" s="6">
        <f>'Data Sheet'!J45</f>
        <v>102</v>
      </c>
      <c r="K8" s="6">
        <f>'Data Sheet'!K45</f>
        <v>96.64</v>
      </c>
    </row>
    <row r="9" spans="1:11" x14ac:dyDescent="0.3">
      <c r="A9" t="s">
        <v>11</v>
      </c>
      <c r="B9" s="6">
        <f>'Data Sheet'!B46</f>
        <v>8.6300000000000008</v>
      </c>
      <c r="C9" s="6">
        <f>'Data Sheet'!C46</f>
        <v>7.5</v>
      </c>
      <c r="D9" s="6">
        <f>'Data Sheet'!D46</f>
        <v>8.27</v>
      </c>
      <c r="E9" s="6">
        <f>'Data Sheet'!E46</f>
        <v>11.08</v>
      </c>
      <c r="F9" s="6">
        <f>'Data Sheet'!F46</f>
        <v>11.75</v>
      </c>
      <c r="G9" s="6">
        <f>'Data Sheet'!G46</f>
        <v>12.15</v>
      </c>
      <c r="H9" s="6">
        <f>'Data Sheet'!H46</f>
        <v>15.06</v>
      </c>
      <c r="I9" s="6">
        <f>'Data Sheet'!I46</f>
        <v>18.91</v>
      </c>
      <c r="J9" s="6">
        <f>'Data Sheet'!J46</f>
        <v>32.119999999999997</v>
      </c>
      <c r="K9" s="6">
        <f>'Data Sheet'!K46</f>
        <v>24.31</v>
      </c>
    </row>
    <row r="10" spans="1:11" x14ac:dyDescent="0.3">
      <c r="A10" t="s">
        <v>12</v>
      </c>
      <c r="B10" s="6">
        <f>'Data Sheet'!B47</f>
        <v>451.64</v>
      </c>
      <c r="C10" s="6">
        <f>'Data Sheet'!C47</f>
        <v>567.99</v>
      </c>
      <c r="D10" s="6">
        <f>'Data Sheet'!D47</f>
        <v>661.13</v>
      </c>
      <c r="E10" s="6">
        <f>'Data Sheet'!E47</f>
        <v>649.85</v>
      </c>
      <c r="F10" s="6">
        <f>'Data Sheet'!F47</f>
        <v>389.71</v>
      </c>
      <c r="G10" s="6">
        <f>'Data Sheet'!G47</f>
        <v>564.12</v>
      </c>
      <c r="H10" s="6">
        <f>'Data Sheet'!H47</f>
        <v>638.15</v>
      </c>
      <c r="I10" s="6">
        <f>'Data Sheet'!I47</f>
        <v>620.16</v>
      </c>
      <c r="J10" s="6">
        <f>'Data Sheet'!J47</f>
        <v>396.25</v>
      </c>
      <c r="K10" s="6">
        <f>'Data Sheet'!K47</f>
        <v>593.36</v>
      </c>
    </row>
    <row r="11" spans="1:11" x14ac:dyDescent="0.3">
      <c r="A11" t="s">
        <v>13</v>
      </c>
      <c r="B11" s="6">
        <f>'Data Sheet'!B48</f>
        <v>74.349999999999994</v>
      </c>
      <c r="C11" s="6">
        <f>'Data Sheet'!C48</f>
        <v>129.69</v>
      </c>
      <c r="D11" s="6">
        <f>'Data Sheet'!D48</f>
        <v>155.82</v>
      </c>
      <c r="E11" s="6">
        <f>'Data Sheet'!E48</f>
        <v>145.5</v>
      </c>
      <c r="F11" s="6">
        <f>'Data Sheet'!F48</f>
        <v>95.37</v>
      </c>
      <c r="G11" s="6">
        <f>'Data Sheet'!G48</f>
        <v>123.06</v>
      </c>
      <c r="H11" s="6">
        <f>'Data Sheet'!H48</f>
        <v>147.29</v>
      </c>
      <c r="I11" s="6">
        <f>'Data Sheet'!I48</f>
        <v>143.51</v>
      </c>
      <c r="J11" s="6">
        <f>'Data Sheet'!J48</f>
        <v>103.49</v>
      </c>
      <c r="K11" s="6">
        <f>'Data Sheet'!K48</f>
        <v>136.75</v>
      </c>
    </row>
    <row r="12" spans="1:11" s="2" customFormat="1" x14ac:dyDescent="0.3">
      <c r="A12" s="2" t="s">
        <v>14</v>
      </c>
      <c r="B12" s="1">
        <f>'Data Sheet'!B49</f>
        <v>377.82</v>
      </c>
      <c r="C12" s="1">
        <f>'Data Sheet'!C49</f>
        <v>437.33</v>
      </c>
      <c r="D12" s="1">
        <f>'Data Sheet'!D49</f>
        <v>504.35</v>
      </c>
      <c r="E12" s="1">
        <f>'Data Sheet'!E49</f>
        <v>503.32</v>
      </c>
      <c r="F12" s="1">
        <f>'Data Sheet'!F49</f>
        <v>294.22000000000003</v>
      </c>
      <c r="G12" s="1">
        <f>'Data Sheet'!G49</f>
        <v>440.32</v>
      </c>
      <c r="H12" s="1">
        <f>'Data Sheet'!H49</f>
        <v>490.06</v>
      </c>
      <c r="I12" s="1">
        <f>'Data Sheet'!I49</f>
        <v>475.94</v>
      </c>
      <c r="J12" s="1">
        <f>'Data Sheet'!J49</f>
        <v>300.83</v>
      </c>
      <c r="K12" s="1">
        <f>'Data Sheet'!K49</f>
        <v>463.88</v>
      </c>
    </row>
    <row r="14" spans="1:11" s="2" customFormat="1" x14ac:dyDescent="0.3">
      <c r="A14" s="2" t="s">
        <v>18</v>
      </c>
      <c r="B14" s="10">
        <f>IF(B4&gt;0,B6/B4,"")</f>
        <v>0.18909700914502373</v>
      </c>
      <c r="C14" s="10">
        <f t="shared" ref="C14:K14" si="0">IF(C4&gt;0,C6/C4,"")</f>
        <v>0.21135422011533425</v>
      </c>
      <c r="D14" s="10">
        <f t="shared" si="0"/>
        <v>0.22014991588526323</v>
      </c>
      <c r="E14" s="10">
        <f t="shared" si="0"/>
        <v>0.21327101215263022</v>
      </c>
      <c r="F14" s="10">
        <f t="shared" si="0"/>
        <v>0.1796680448484993</v>
      </c>
      <c r="G14" s="10">
        <f t="shared" si="0"/>
        <v>0.1925007883277885</v>
      </c>
      <c r="H14" s="10">
        <f t="shared" si="0"/>
        <v>0.20103867751105814</v>
      </c>
      <c r="I14" s="10">
        <f t="shared" si="0"/>
        <v>0.2001597018898057</v>
      </c>
      <c r="J14" s="10">
        <f t="shared" si="0"/>
        <v>0.15298005825677793</v>
      </c>
      <c r="K14" s="10">
        <f t="shared" si="0"/>
        <v>0.19311157749475319</v>
      </c>
    </row>
    <row r="22" s="23" customFormat="1" x14ac:dyDescent="0.3"/>
  </sheetData>
  <hyperlinks>
    <hyperlink ref="J1"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K24"/>
  <sheetViews>
    <sheetView zoomScale="125" workbookViewId="0">
      <pane xSplit="1" ySplit="3" topLeftCell="F4" activePane="bottomRight" state="frozen"/>
      <selection activeCell="C4" sqref="C4"/>
      <selection pane="topRight" activeCell="C4" sqref="C4"/>
      <selection pane="bottomLeft" activeCell="C4" sqref="C4"/>
      <selection pane="bottomRight" activeCell="G23" sqref="G23"/>
    </sheetView>
  </sheetViews>
  <sheetFormatPr defaultColWidth="8.77734375" defaultRowHeight="14.4" x14ac:dyDescent="0.3"/>
  <cols>
    <col min="1" max="1" width="22.77734375" bestFit="1" customWidth="1"/>
    <col min="2" max="2" width="13.44140625" customWidth="1"/>
    <col min="3" max="11" width="15.44140625" customWidth="1"/>
  </cols>
  <sheetData>
    <row r="1" spans="1:11" s="2" customFormat="1" x14ac:dyDescent="0.3">
      <c r="A1" s="2" t="str">
        <f>'Profit &amp; Loss'!A1</f>
        <v>DABUR INDIA LTD</v>
      </c>
      <c r="E1" t="str">
        <f>UPDATE</f>
        <v/>
      </c>
      <c r="G1"/>
      <c r="J1" s="2" t="s">
        <v>1</v>
      </c>
    </row>
    <row r="2" spans="1:11" x14ac:dyDescent="0.3">
      <c r="G2" s="2"/>
      <c r="H2" s="2"/>
    </row>
    <row r="3" spans="1:11" x14ac:dyDescent="0.3">
      <c r="A3" s="11" t="s">
        <v>2</v>
      </c>
      <c r="B3" s="12">
        <f>'Data Sheet'!B56</f>
        <v>41729</v>
      </c>
      <c r="C3" s="12">
        <f>'Data Sheet'!C56</f>
        <v>42094</v>
      </c>
      <c r="D3" s="12">
        <f>'Data Sheet'!D56</f>
        <v>42460</v>
      </c>
      <c r="E3" s="12">
        <f>'Data Sheet'!E56</f>
        <v>42825</v>
      </c>
      <c r="F3" s="12">
        <f>'Data Sheet'!F56</f>
        <v>43190</v>
      </c>
      <c r="G3" s="12">
        <f>'Data Sheet'!G56</f>
        <v>43555</v>
      </c>
      <c r="H3" s="12">
        <f>'Data Sheet'!H56</f>
        <v>43921</v>
      </c>
      <c r="I3" s="12">
        <f>'Data Sheet'!I56</f>
        <v>44286</v>
      </c>
      <c r="J3" s="12">
        <f>'Data Sheet'!J56</f>
        <v>44651</v>
      </c>
      <c r="K3" s="12">
        <f>'Data Sheet'!K56</f>
        <v>45016</v>
      </c>
    </row>
    <row r="4" spans="1:11" x14ac:dyDescent="0.3">
      <c r="A4" t="s">
        <v>24</v>
      </c>
      <c r="B4" s="14">
        <f>'Data Sheet'!B57</f>
        <v>174.38</v>
      </c>
      <c r="C4" s="14">
        <f>'Data Sheet'!C57</f>
        <v>175.65</v>
      </c>
      <c r="D4" s="14">
        <f>'Data Sheet'!D57</f>
        <v>175.91</v>
      </c>
      <c r="E4" s="14">
        <f>'Data Sheet'!E57</f>
        <v>176.15</v>
      </c>
      <c r="F4" s="14">
        <f>'Data Sheet'!F57</f>
        <v>176.15</v>
      </c>
      <c r="G4" s="14">
        <f>'Data Sheet'!G57</f>
        <v>176.63</v>
      </c>
      <c r="H4" s="14">
        <f>'Data Sheet'!H57</f>
        <v>176.71</v>
      </c>
      <c r="I4" s="14">
        <f>'Data Sheet'!I57</f>
        <v>176.74</v>
      </c>
      <c r="J4" s="14">
        <f>'Data Sheet'!J57</f>
        <v>176.79</v>
      </c>
      <c r="K4" s="14">
        <f>'Data Sheet'!K57</f>
        <v>177.18</v>
      </c>
    </row>
    <row r="5" spans="1:11" x14ac:dyDescent="0.3">
      <c r="A5" t="s">
        <v>25</v>
      </c>
      <c r="B5" s="14">
        <f>'Data Sheet'!B58</f>
        <v>2481.58</v>
      </c>
      <c r="C5" s="14">
        <f>'Data Sheet'!C58</f>
        <v>3178.49</v>
      </c>
      <c r="D5" s="14">
        <f>'Data Sheet'!D58</f>
        <v>3994.7</v>
      </c>
      <c r="E5" s="14">
        <f>'Data Sheet'!E58</f>
        <v>4671.24</v>
      </c>
      <c r="F5" s="14">
        <f>'Data Sheet'!F58</f>
        <v>5530.37</v>
      </c>
      <c r="G5" s="14">
        <f>'Data Sheet'!G58</f>
        <v>5455.05</v>
      </c>
      <c r="H5" s="14">
        <f>'Data Sheet'!H58</f>
        <v>6429.04</v>
      </c>
      <c r="I5" s="14">
        <f>'Data Sheet'!I58</f>
        <v>7486.79</v>
      </c>
      <c r="J5" s="14">
        <f>'Data Sheet'!J58</f>
        <v>8204.51</v>
      </c>
      <c r="K5" s="14">
        <f>'Data Sheet'!K58</f>
        <v>8796.08</v>
      </c>
    </row>
    <row r="6" spans="1:11" x14ac:dyDescent="0.3">
      <c r="A6" t="s">
        <v>71</v>
      </c>
      <c r="B6" s="14">
        <f>'Data Sheet'!B59</f>
        <v>708.14</v>
      </c>
      <c r="C6" s="14">
        <f>'Data Sheet'!C59</f>
        <v>733.56</v>
      </c>
      <c r="D6" s="14">
        <f>'Data Sheet'!D59</f>
        <v>805.22</v>
      </c>
      <c r="E6" s="14">
        <f>'Data Sheet'!E59</f>
        <v>975</v>
      </c>
      <c r="F6" s="14">
        <f>'Data Sheet'!F59</f>
        <v>937.59</v>
      </c>
      <c r="G6" s="14">
        <f>'Data Sheet'!G59</f>
        <v>699.37</v>
      </c>
      <c r="H6" s="14">
        <f>'Data Sheet'!H59</f>
        <v>521.99</v>
      </c>
      <c r="I6" s="14">
        <f>'Data Sheet'!I59</f>
        <v>509.06</v>
      </c>
      <c r="J6" s="14">
        <f>'Data Sheet'!J59</f>
        <v>1030.0999999999999</v>
      </c>
      <c r="K6" s="14">
        <f>'Data Sheet'!K59</f>
        <v>1173.79</v>
      </c>
    </row>
    <row r="7" spans="1:11" x14ac:dyDescent="0.3">
      <c r="A7" t="s">
        <v>72</v>
      </c>
      <c r="B7" s="14">
        <f>'Data Sheet'!B60</f>
        <v>1947.9</v>
      </c>
      <c r="C7" s="14">
        <f>'Data Sheet'!C60</f>
        <v>2018.58</v>
      </c>
      <c r="D7" s="14">
        <f>'Data Sheet'!D60</f>
        <v>1956.47</v>
      </c>
      <c r="E7" s="14">
        <f>'Data Sheet'!E60</f>
        <v>1909.85</v>
      </c>
      <c r="F7" s="14">
        <f>'Data Sheet'!F60</f>
        <v>2057.52</v>
      </c>
      <c r="G7" s="14">
        <f>'Data Sheet'!G60</f>
        <v>2105.59</v>
      </c>
      <c r="H7" s="14">
        <f>'Data Sheet'!H60</f>
        <v>2208.84</v>
      </c>
      <c r="I7" s="14">
        <f>'Data Sheet'!I60</f>
        <v>2660.63</v>
      </c>
      <c r="J7" s="14">
        <f>'Data Sheet'!J60</f>
        <v>2872.46</v>
      </c>
      <c r="K7" s="14">
        <f>'Data Sheet'!K60</f>
        <v>3505.23</v>
      </c>
    </row>
    <row r="8" spans="1:11" s="2" customFormat="1" x14ac:dyDescent="0.3">
      <c r="A8" s="2" t="s">
        <v>26</v>
      </c>
      <c r="B8" s="15">
        <f>'Data Sheet'!B61</f>
        <v>5312</v>
      </c>
      <c r="C8" s="15">
        <f>'Data Sheet'!C61</f>
        <v>6106.28</v>
      </c>
      <c r="D8" s="15">
        <f>'Data Sheet'!D61</f>
        <v>6932.3</v>
      </c>
      <c r="E8" s="15">
        <f>'Data Sheet'!E61</f>
        <v>7732.24</v>
      </c>
      <c r="F8" s="15">
        <f>'Data Sheet'!F61</f>
        <v>8701.6299999999992</v>
      </c>
      <c r="G8" s="15">
        <f>'Data Sheet'!G61</f>
        <v>8436.64</v>
      </c>
      <c r="H8" s="15">
        <f>'Data Sheet'!H61</f>
        <v>9336.58</v>
      </c>
      <c r="I8" s="15">
        <f>'Data Sheet'!I61</f>
        <v>10833.22</v>
      </c>
      <c r="J8" s="15">
        <f>'Data Sheet'!J61</f>
        <v>12283.86</v>
      </c>
      <c r="K8" s="15">
        <f>'Data Sheet'!K61</f>
        <v>13652.28</v>
      </c>
    </row>
    <row r="9" spans="1:11" s="2" customFormat="1" x14ac:dyDescent="0.3">
      <c r="B9" s="15"/>
      <c r="C9" s="15"/>
      <c r="D9" s="15"/>
      <c r="E9" s="15"/>
      <c r="F9" s="15"/>
      <c r="G9" s="15"/>
      <c r="H9" s="15"/>
      <c r="I9" s="15"/>
      <c r="J9" s="15"/>
      <c r="K9" s="15"/>
    </row>
    <row r="10" spans="1:11" x14ac:dyDescent="0.3">
      <c r="A10" t="s">
        <v>27</v>
      </c>
      <c r="B10" s="14">
        <f>'Data Sheet'!B62</f>
        <v>1766.9</v>
      </c>
      <c r="C10" s="14">
        <f>'Data Sheet'!C62</f>
        <v>1877.13</v>
      </c>
      <c r="D10" s="14">
        <f>'Data Sheet'!D62</f>
        <v>1667.4</v>
      </c>
      <c r="E10" s="14">
        <f>'Data Sheet'!E62</f>
        <v>1958.4</v>
      </c>
      <c r="F10" s="14">
        <f>'Data Sheet'!F62</f>
        <v>2028.11</v>
      </c>
      <c r="G10" s="14">
        <f>'Data Sheet'!G62</f>
        <v>1969.06</v>
      </c>
      <c r="H10" s="14">
        <f>'Data Sheet'!H62</f>
        <v>2252.6799999999998</v>
      </c>
      <c r="I10" s="14">
        <f>'Data Sheet'!I62</f>
        <v>2242.92</v>
      </c>
      <c r="J10" s="14">
        <f>'Data Sheet'!J62</f>
        <v>2307.9</v>
      </c>
      <c r="K10" s="14">
        <f>'Data Sheet'!K62</f>
        <v>3578.65</v>
      </c>
    </row>
    <row r="11" spans="1:11" x14ac:dyDescent="0.3">
      <c r="A11" t="s">
        <v>28</v>
      </c>
      <c r="B11" s="14">
        <f>'Data Sheet'!B63</f>
        <v>21.71</v>
      </c>
      <c r="C11" s="14">
        <f>'Data Sheet'!C63</f>
        <v>50.3</v>
      </c>
      <c r="D11" s="14">
        <f>'Data Sheet'!D63</f>
        <v>44.8</v>
      </c>
      <c r="E11" s="14">
        <f>'Data Sheet'!E63</f>
        <v>42.1</v>
      </c>
      <c r="F11" s="14">
        <f>'Data Sheet'!F63</f>
        <v>41.51</v>
      </c>
      <c r="G11" s="14">
        <f>'Data Sheet'!G63</f>
        <v>63.76</v>
      </c>
      <c r="H11" s="14">
        <f>'Data Sheet'!H63</f>
        <v>146.57</v>
      </c>
      <c r="I11" s="14">
        <f>'Data Sheet'!I63</f>
        <v>147.30000000000001</v>
      </c>
      <c r="J11" s="14">
        <f>'Data Sheet'!J63</f>
        <v>167.5</v>
      </c>
      <c r="K11" s="14">
        <f>'Data Sheet'!K63</f>
        <v>175.13</v>
      </c>
    </row>
    <row r="12" spans="1:11" x14ac:dyDescent="0.3">
      <c r="A12" t="s">
        <v>29</v>
      </c>
      <c r="B12" s="14">
        <f>'Data Sheet'!B64</f>
        <v>1076.47</v>
      </c>
      <c r="C12" s="14">
        <f>'Data Sheet'!C64</f>
        <v>1813.37</v>
      </c>
      <c r="D12" s="14">
        <f>'Data Sheet'!D64</f>
        <v>2690.74</v>
      </c>
      <c r="E12" s="14">
        <f>'Data Sheet'!E64</f>
        <v>3240.16</v>
      </c>
      <c r="F12" s="14">
        <f>'Data Sheet'!F64</f>
        <v>3805.17</v>
      </c>
      <c r="G12" s="14">
        <f>'Data Sheet'!G64</f>
        <v>3358.76</v>
      </c>
      <c r="H12" s="14">
        <f>'Data Sheet'!H64</f>
        <v>2800.26</v>
      </c>
      <c r="I12" s="14">
        <f>'Data Sheet'!I64</f>
        <v>4159.63</v>
      </c>
      <c r="J12" s="14">
        <f>'Data Sheet'!J64</f>
        <v>6219.62</v>
      </c>
      <c r="K12" s="14">
        <f>'Data Sheet'!K64</f>
        <v>6265.26</v>
      </c>
    </row>
    <row r="13" spans="1:11" x14ac:dyDescent="0.3">
      <c r="A13" t="s">
        <v>73</v>
      </c>
      <c r="B13" s="14">
        <f>'Data Sheet'!B65</f>
        <v>2446.92</v>
      </c>
      <c r="C13" s="14">
        <f>'Data Sheet'!C65</f>
        <v>2365.48</v>
      </c>
      <c r="D13" s="14">
        <f>'Data Sheet'!D65</f>
        <v>2529.36</v>
      </c>
      <c r="E13" s="14">
        <f>'Data Sheet'!E65</f>
        <v>2491.58</v>
      </c>
      <c r="F13" s="14">
        <f>'Data Sheet'!F65</f>
        <v>2826.84</v>
      </c>
      <c r="G13" s="14">
        <f>'Data Sheet'!G65</f>
        <v>3045.06</v>
      </c>
      <c r="H13" s="14">
        <f>'Data Sheet'!H65</f>
        <v>4137.07</v>
      </c>
      <c r="I13" s="14">
        <f>'Data Sheet'!I65</f>
        <v>4283.37</v>
      </c>
      <c r="J13" s="14">
        <f>'Data Sheet'!J65</f>
        <v>3588.84</v>
      </c>
      <c r="K13" s="14">
        <f>'Data Sheet'!K65</f>
        <v>3633.24</v>
      </c>
    </row>
    <row r="14" spans="1:11" s="2" customFormat="1" x14ac:dyDescent="0.3">
      <c r="A14" s="2" t="s">
        <v>26</v>
      </c>
      <c r="B14" s="14">
        <f>'Data Sheet'!B66</f>
        <v>5312</v>
      </c>
      <c r="C14" s="14">
        <f>'Data Sheet'!C66</f>
        <v>6106.28</v>
      </c>
      <c r="D14" s="14">
        <f>'Data Sheet'!D66</f>
        <v>6932.3</v>
      </c>
      <c r="E14" s="14">
        <f>'Data Sheet'!E66</f>
        <v>7732.24</v>
      </c>
      <c r="F14" s="14">
        <f>'Data Sheet'!F66</f>
        <v>8701.6299999999992</v>
      </c>
      <c r="G14" s="14">
        <f>'Data Sheet'!G66</f>
        <v>8436.64</v>
      </c>
      <c r="H14" s="14">
        <f>'Data Sheet'!H66</f>
        <v>9336.58</v>
      </c>
      <c r="I14" s="14">
        <f>'Data Sheet'!I66</f>
        <v>10833.22</v>
      </c>
      <c r="J14" s="14">
        <f>'Data Sheet'!J66</f>
        <v>12283.86</v>
      </c>
      <c r="K14" s="14">
        <f>'Data Sheet'!K66</f>
        <v>13652.28</v>
      </c>
    </row>
    <row r="15" spans="1:11" x14ac:dyDescent="0.3">
      <c r="B15" s="4"/>
      <c r="C15" s="4"/>
      <c r="D15" s="4"/>
      <c r="E15" s="4"/>
      <c r="F15" s="4"/>
      <c r="G15" s="4"/>
      <c r="H15" s="4"/>
      <c r="I15" s="4"/>
      <c r="J15" s="4"/>
      <c r="K15" s="4"/>
    </row>
    <row r="16" spans="1:11" x14ac:dyDescent="0.3">
      <c r="A16" t="s">
        <v>30</v>
      </c>
      <c r="B16" s="4">
        <f>B13-B7</f>
        <v>499.02</v>
      </c>
      <c r="C16" s="4">
        <f t="shared" ref="C16:K16" si="0">C13-C7</f>
        <v>346.90000000000009</v>
      </c>
      <c r="D16" s="4">
        <f t="shared" si="0"/>
        <v>572.8900000000001</v>
      </c>
      <c r="E16" s="4">
        <f t="shared" si="0"/>
        <v>581.73</v>
      </c>
      <c r="F16" s="4">
        <f t="shared" si="0"/>
        <v>769.32000000000016</v>
      </c>
      <c r="G16" s="4">
        <f t="shared" si="0"/>
        <v>939.4699999999998</v>
      </c>
      <c r="H16" s="4">
        <f t="shared" si="0"/>
        <v>1928.2299999999996</v>
      </c>
      <c r="I16" s="4">
        <f t="shared" si="0"/>
        <v>1622.7399999999998</v>
      </c>
      <c r="J16" s="4">
        <f t="shared" si="0"/>
        <v>716.38000000000011</v>
      </c>
      <c r="K16" s="4">
        <f t="shared" si="0"/>
        <v>128.00999999999976</v>
      </c>
    </row>
    <row r="17" spans="1:11" x14ac:dyDescent="0.3">
      <c r="A17" t="s">
        <v>44</v>
      </c>
      <c r="B17" s="4">
        <f>'Data Sheet'!B67</f>
        <v>675.3</v>
      </c>
      <c r="C17" s="4">
        <f>'Data Sheet'!C67</f>
        <v>710.84</v>
      </c>
      <c r="D17" s="4">
        <f>'Data Sheet'!D67</f>
        <v>809.2</v>
      </c>
      <c r="E17" s="4">
        <f>'Data Sheet'!E67</f>
        <v>650.41999999999996</v>
      </c>
      <c r="F17" s="4">
        <f>'Data Sheet'!F67</f>
        <v>706.08</v>
      </c>
      <c r="G17" s="4">
        <f>'Data Sheet'!G67</f>
        <v>833.56</v>
      </c>
      <c r="H17" s="4">
        <f>'Data Sheet'!H67</f>
        <v>813.89</v>
      </c>
      <c r="I17" s="4">
        <f>'Data Sheet'!I67</f>
        <v>561.58000000000004</v>
      </c>
      <c r="J17" s="4">
        <f>'Data Sheet'!J67</f>
        <v>646.15</v>
      </c>
      <c r="K17" s="4">
        <f>'Data Sheet'!K67</f>
        <v>848.75</v>
      </c>
    </row>
    <row r="18" spans="1:11" x14ac:dyDescent="0.3">
      <c r="A18" t="s">
        <v>45</v>
      </c>
      <c r="B18" s="4">
        <f>'Data Sheet'!B68</f>
        <v>972.51</v>
      </c>
      <c r="C18" s="4">
        <f>'Data Sheet'!C68</f>
        <v>973.27</v>
      </c>
      <c r="D18" s="4">
        <f>'Data Sheet'!D68</f>
        <v>1096.5</v>
      </c>
      <c r="E18" s="4">
        <f>'Data Sheet'!E68</f>
        <v>1106.71</v>
      </c>
      <c r="F18" s="4">
        <f>'Data Sheet'!F68</f>
        <v>1256.18</v>
      </c>
      <c r="G18" s="4">
        <f>'Data Sheet'!G68</f>
        <v>1300.53</v>
      </c>
      <c r="H18" s="4">
        <f>'Data Sheet'!H68</f>
        <v>1379.57</v>
      </c>
      <c r="I18" s="4">
        <f>'Data Sheet'!I68</f>
        <v>1734.28</v>
      </c>
      <c r="J18" s="4">
        <f>'Data Sheet'!J68</f>
        <v>1911.37</v>
      </c>
      <c r="K18" s="4">
        <f>'Data Sheet'!K68</f>
        <v>2024.2</v>
      </c>
    </row>
    <row r="20" spans="1:11" x14ac:dyDescent="0.3">
      <c r="A20" t="s">
        <v>46</v>
      </c>
      <c r="B20" s="4">
        <f>IF('Profit &amp; Loss'!B4&gt;0,'Balance Sheet'!B17/('Profit &amp; Loss'!B4/365),0)</f>
        <v>34.922118071101082</v>
      </c>
      <c r="C20" s="4">
        <f>IF('Profit &amp; Loss'!C4&gt;0,'Balance Sheet'!C17/('Profit &amp; Loss'!C4/365),0)</f>
        <v>33.282911016498005</v>
      </c>
      <c r="D20" s="4">
        <f>IF('Profit &amp; Loss'!D4&gt;0,'Balance Sheet'!D17/('Profit &amp; Loss'!D4/365),0)</f>
        <v>37.965412370206408</v>
      </c>
      <c r="E20" s="4">
        <f>IF('Profit &amp; Loss'!E4&gt;0,'Balance Sheet'!E17/('Profit &amp; Loss'!E4/365),0)</f>
        <v>31.181518836711721</v>
      </c>
      <c r="F20" s="4">
        <f>IF('Profit &amp; Loss'!F4&gt;0,'Balance Sheet'!F17/('Profit &amp; Loss'!F4/365),0)</f>
        <v>33.375318090872007</v>
      </c>
      <c r="G20" s="4">
        <f>IF('Profit &amp; Loss'!G4&gt;0,'Balance Sheet'!G17/('Profit &amp; Loss'!G4/365),0)</f>
        <v>35.731034328871786</v>
      </c>
      <c r="H20" s="4">
        <f>IF('Profit &amp; Loss'!H4&gt;0,'Balance Sheet'!H17/('Profit &amp; Loss'!H4/365),0)</f>
        <v>34.206351673759649</v>
      </c>
      <c r="I20" s="4">
        <f>IF('Profit &amp; Loss'!I4&gt;0,'Balance Sheet'!I17/('Profit &amp; Loss'!I4/365),0)</f>
        <v>21.437377440086181</v>
      </c>
      <c r="J20" s="4">
        <f>IF('Profit &amp; Loss'!J4&gt;0,'Balance Sheet'!J17/('Profit &amp; Loss'!J4/365),0)</f>
        <v>21.659627245910432</v>
      </c>
      <c r="K20" s="4">
        <f>IF('Profit &amp; Loss'!K4&gt;0,'Balance Sheet'!K17/('Profit &amp; Loss'!K4/365),0)</f>
        <v>26.868751566580428</v>
      </c>
    </row>
    <row r="21" spans="1:11" x14ac:dyDescent="0.3">
      <c r="A21" t="s">
        <v>47</v>
      </c>
      <c r="B21" s="4">
        <f>IF('Balance Sheet'!B18&gt;0,'Profit &amp; Loss'!B4/'Balance Sheet'!B18,0)</f>
        <v>7.2576323122641409</v>
      </c>
      <c r="C21" s="4">
        <f>IF('Balance Sheet'!C18&gt;0,'Profit &amp; Loss'!C4/'Balance Sheet'!C18,0)</f>
        <v>8.0095862402005604</v>
      </c>
      <c r="D21" s="4">
        <f>IF('Balance Sheet'!D18&gt;0,'Profit &amp; Loss'!D4/'Balance Sheet'!D18,0)</f>
        <v>7.0949931600547194</v>
      </c>
      <c r="E21" s="4">
        <f>IF('Balance Sheet'!E18&gt;0,'Profit &amp; Loss'!E4/'Balance Sheet'!E18,0)</f>
        <v>6.8794806227466996</v>
      </c>
      <c r="F21" s="4">
        <f>IF('Balance Sheet'!F18&gt;0,'Profit &amp; Loss'!F4/'Balance Sheet'!F18,0)</f>
        <v>6.1470887930073719</v>
      </c>
      <c r="G21" s="4">
        <f>IF('Balance Sheet'!G18&gt;0,'Profit &amp; Loss'!G4/'Balance Sheet'!G18,0)</f>
        <v>6.5473230144633341</v>
      </c>
      <c r="H21" s="4">
        <f>IF('Balance Sheet'!H18&gt;0,'Profit &amp; Loss'!H4/'Balance Sheet'!H18,0)</f>
        <v>6.2951789325659444</v>
      </c>
      <c r="I21" s="4">
        <f>IF('Balance Sheet'!I18&gt;0,'Profit &amp; Loss'!I4/'Balance Sheet'!I18,0)</f>
        <v>5.5133254145812671</v>
      </c>
      <c r="J21" s="4">
        <f>IF('Balance Sheet'!J18&gt;0,'Profit &amp; Loss'!J4/'Balance Sheet'!J18,0)</f>
        <v>5.6967933994987892</v>
      </c>
      <c r="K21" s="4">
        <f>IF('Balance Sheet'!K18&gt;0,'Profit &amp; Loss'!K4/'Balance Sheet'!K18,0)</f>
        <v>5.6960231202450347</v>
      </c>
    </row>
    <row r="23" spans="1:11" s="2" customFormat="1" x14ac:dyDescent="0.3">
      <c r="A23" s="2" t="s">
        <v>59</v>
      </c>
      <c r="B23" s="10">
        <f>IF(SUM('Balance Sheet'!B4:B5)&gt;0,'Profit &amp; Loss'!B12/SUM('Balance Sheet'!B4:B5),"")</f>
        <v>0.3441015677946957</v>
      </c>
      <c r="C23" s="10">
        <f>IF(SUM('Balance Sheet'!C4:C5)&gt;0,'Profit &amp; Loss'!C12/SUM('Balance Sheet'!C4:C5),"")</f>
        <v>0.31776550770093076</v>
      </c>
      <c r="D23" s="10">
        <f>IF(SUM('Balance Sheet'!D4:D5)&gt;0,'Profit &amp; Loss'!D12/SUM('Balance Sheet'!D4:D5),"")</f>
        <v>0.299992087488401</v>
      </c>
      <c r="E23" s="10">
        <f>IF(SUM('Balance Sheet'!E4:E5)&gt;0,'Profit &amp; Loss'!E12/SUM('Balance Sheet'!E4:E5),"")</f>
        <v>0.26342836041663664</v>
      </c>
      <c r="F23" s="10">
        <f>IF(SUM('Balance Sheet'!F4:F5)&gt;0,'Profit &amp; Loss'!F12/SUM('Balance Sheet'!F4:F5),"")</f>
        <v>0.23734079614195697</v>
      </c>
      <c r="G23" s="10">
        <f>IF(SUM('Balance Sheet'!G4:G5)&gt;0,'Profit &amp; Loss'!G12/SUM('Balance Sheet'!G4:G5),"")</f>
        <v>0.25611007727711799</v>
      </c>
      <c r="H23" s="10">
        <f>IF(SUM('Balance Sheet'!H4:H5)&gt;0,'Profit &amp; Loss'!H12/SUM('Balance Sheet'!H4:H5),"")</f>
        <v>0.21874276198766227</v>
      </c>
      <c r="I23" s="10">
        <f>IF(SUM('Balance Sheet'!I4:I5)&gt;0,'Profit &amp; Loss'!I12/SUM('Balance Sheet'!I4:I5),"")</f>
        <v>0.22095561705897934</v>
      </c>
      <c r="J23" s="10">
        <f>IF(SUM('Balance Sheet'!J4:J5)&gt;0,'Profit &amp; Loss'!J12/SUM('Balance Sheet'!J4:J5),"")</f>
        <v>0.2075119611516113</v>
      </c>
      <c r="K23" s="10">
        <f>IF(SUM('Balance Sheet'!K4:K5)&gt;0,'Profit &amp; Loss'!K12/SUM('Balance Sheet'!K4:K5),"")</f>
        <v>0.19024858301219402</v>
      </c>
    </row>
    <row r="24" spans="1:11" s="2" customFormat="1" x14ac:dyDescent="0.3">
      <c r="A24" s="2" t="s">
        <v>60</v>
      </c>
      <c r="B24" s="10"/>
      <c r="C24" s="10">
        <f>IF((B4+B5+B6+C4+C5+C6)&gt;0,('Profit &amp; Loss'!C10+'Profit &amp; Loss'!C9)*2/(B4+B5+B6+C4+C5+C6),"")</f>
        <v>0.36487291661075172</v>
      </c>
      <c r="D24" s="10">
        <f>IF((C4+C5+C6+D4+D5+D6)&gt;0,('Profit &amp; Loss'!D10+'Profit &amp; Loss'!D9)*2/(C4+C5+C6+D4+D5+D6),"")</f>
        <v>0.35356643603540788</v>
      </c>
      <c r="E24" s="10">
        <f>IF((D4+D5+D6+E4+E5+E6)&gt;0,('Profit &amp; Loss'!E10+'Profit &amp; Loss'!E9)*2/(D4+D5+D6+E4+E5+E6),"")</f>
        <v>0.30832489058381846</v>
      </c>
      <c r="F24" s="10">
        <f>IF((E4+E5+E6+F4+F5+F6)&gt;0,('Profit &amp; Loss'!F10+'Profit &amp; Loss'!F9)*2/(E4+E5+E6+F4+F5+F6),"")</f>
        <v>0.28013315686038581</v>
      </c>
      <c r="G24" s="10">
        <f>IF((F4+F5+F6+G4+G5+G6)&gt;0,('Profit &amp; Loss'!G10+'Profit &amp; Loss'!G9)*2/(F4+F5+F6+G4+G5+G6),"")</f>
        <v>0.27505633841894817</v>
      </c>
      <c r="H24" s="10">
        <f>IF((G4+G5+G6+H4+H5+H6)&gt;0,('Profit &amp; Loss'!H10+'Profit &amp; Loss'!H9)*2/(G4+G5+G6+H4+H5+H6),"")</f>
        <v>0.26409209148816504</v>
      </c>
      <c r="I24" s="10">
        <f>IF((H4+H5+H6+I4+I5+I6)&gt;0,('Profit &amp; Loss'!I10+'Profit &amp; Loss'!I9)*2/(H4+H5+H6+I4+I5+I6),"")</f>
        <v>0.27278235175319748</v>
      </c>
      <c r="J24" s="10">
        <f>IF((I4+I5+I6+J4+J5+J6)&gt;0,('Profit &amp; Loss'!J10+'Profit &amp; Loss'!J9)*2/(I4+I5+I6+J4+J5+J6),"")</f>
        <v>0.26242963059009927</v>
      </c>
      <c r="K24" s="10">
        <f>IF((J4+J5+J6+K4+K5+K6)&gt;0,('Profit &amp; Loss'!K10+'Profit &amp; Loss'!K9)*2/(J4+J5+J6+K4+K5+K6),"")</f>
        <v>0.23487750818699837</v>
      </c>
    </row>
  </sheetData>
  <hyperlinks>
    <hyperlink ref="J1" r:id="rId1" xr:uid="{00000000-0004-0000-0200-000000000000}"/>
  </hyperlinks>
  <printOptions gridLines="1"/>
  <pageMargins left="0.7" right="0.7" top="0.75" bottom="0.75" header="0.3" footer="0.3"/>
  <pageSetup paperSize="9" orientation="landscape" horizontalDpi="0"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K8"/>
  <sheetViews>
    <sheetView zoomScale="150" zoomScaleNormal="150" zoomScalePageLayoutView="150" workbookViewId="0">
      <pane xSplit="1" ySplit="3" topLeftCell="E4" activePane="bottomRight" state="frozen"/>
      <selection pane="topRight" activeCell="B1" sqref="B1"/>
      <selection pane="bottomLeft" activeCell="A4" sqref="A4"/>
      <selection pane="bottomRight" activeCell="A4" sqref="A4:K6"/>
    </sheetView>
  </sheetViews>
  <sheetFormatPr defaultColWidth="8.77734375" defaultRowHeight="14.4" x14ac:dyDescent="0.3"/>
  <cols>
    <col min="1" max="1" width="26.77734375" bestFit="1" customWidth="1"/>
    <col min="2" max="6" width="13.44140625" customWidth="1"/>
    <col min="7" max="11" width="13.44140625" bestFit="1" customWidth="1"/>
  </cols>
  <sheetData>
    <row r="1" spans="1:11" s="2" customFormat="1" x14ac:dyDescent="0.3">
      <c r="A1" s="2" t="str">
        <f>'Balance Sheet'!A1</f>
        <v>DABUR INDIA LTD</v>
      </c>
      <c r="E1" t="str">
        <f>UPDATE</f>
        <v/>
      </c>
      <c r="F1"/>
      <c r="J1" s="2" t="s">
        <v>1</v>
      </c>
    </row>
    <row r="3" spans="1:11" s="2" customFormat="1" x14ac:dyDescent="0.3">
      <c r="A3" s="11" t="s">
        <v>2</v>
      </c>
      <c r="B3" s="12">
        <f>'Data Sheet'!B81</f>
        <v>41729</v>
      </c>
      <c r="C3" s="12">
        <f>'Data Sheet'!C81</f>
        <v>42094</v>
      </c>
      <c r="D3" s="12">
        <f>'Data Sheet'!D81</f>
        <v>42460</v>
      </c>
      <c r="E3" s="12">
        <f>'Data Sheet'!E81</f>
        <v>42825</v>
      </c>
      <c r="F3" s="12">
        <f>'Data Sheet'!F81</f>
        <v>43190</v>
      </c>
      <c r="G3" s="12">
        <f>'Data Sheet'!G81</f>
        <v>43555</v>
      </c>
      <c r="H3" s="12">
        <f>'Data Sheet'!H81</f>
        <v>43921</v>
      </c>
      <c r="I3" s="12">
        <f>'Data Sheet'!I81</f>
        <v>44286</v>
      </c>
      <c r="J3" s="12">
        <f>'Data Sheet'!J81</f>
        <v>44651</v>
      </c>
      <c r="K3" s="12">
        <f>'Data Sheet'!K81</f>
        <v>45016</v>
      </c>
    </row>
    <row r="4" spans="1:11" s="2" customFormat="1" x14ac:dyDescent="0.3">
      <c r="A4" s="2" t="s">
        <v>32</v>
      </c>
      <c r="B4" s="1">
        <f>'Data Sheet'!B82</f>
        <v>1098.3</v>
      </c>
      <c r="C4" s="1">
        <f>'Data Sheet'!C82</f>
        <v>1047.21</v>
      </c>
      <c r="D4" s="1">
        <f>'Data Sheet'!D82</f>
        <v>1186.99</v>
      </c>
      <c r="E4" s="1">
        <f>'Data Sheet'!E82</f>
        <v>1226.94</v>
      </c>
      <c r="F4" s="1">
        <f>'Data Sheet'!F82</f>
        <v>1091.5</v>
      </c>
      <c r="G4" s="1">
        <f>'Data Sheet'!G82</f>
        <v>1499.13</v>
      </c>
      <c r="H4" s="1">
        <f>'Data Sheet'!H82</f>
        <v>1613.62</v>
      </c>
      <c r="I4" s="1">
        <f>'Data Sheet'!I82</f>
        <v>2114.67</v>
      </c>
      <c r="J4" s="1">
        <f>'Data Sheet'!J82</f>
        <v>1802.33</v>
      </c>
      <c r="K4" s="1">
        <f>'Data Sheet'!K82</f>
        <v>1488.43</v>
      </c>
    </row>
    <row r="5" spans="1:11" x14ac:dyDescent="0.3">
      <c r="A5" t="s">
        <v>33</v>
      </c>
      <c r="B5" s="6">
        <f>'Data Sheet'!B83</f>
        <v>-104.5</v>
      </c>
      <c r="C5" s="6">
        <f>'Data Sheet'!C83</f>
        <v>-875.9</v>
      </c>
      <c r="D5" s="6">
        <f>'Data Sheet'!D83</f>
        <v>-730.33</v>
      </c>
      <c r="E5" s="6">
        <f>'Data Sheet'!E83</f>
        <v>-807.07</v>
      </c>
      <c r="F5" s="6">
        <f>'Data Sheet'!F83</f>
        <v>-540.92999999999995</v>
      </c>
      <c r="G5" s="6">
        <f>'Data Sheet'!G83</f>
        <v>337.58</v>
      </c>
      <c r="H5" s="6">
        <f>'Data Sheet'!H83</f>
        <v>-516.63</v>
      </c>
      <c r="I5" s="6">
        <f>'Data Sheet'!I83</f>
        <v>-1404.22</v>
      </c>
      <c r="J5" s="6">
        <f>'Data Sheet'!J83</f>
        <v>-1273.45</v>
      </c>
      <c r="K5" s="6">
        <f>'Data Sheet'!K83</f>
        <v>-582.79</v>
      </c>
    </row>
    <row r="6" spans="1:11" x14ac:dyDescent="0.3">
      <c r="A6" t="s">
        <v>34</v>
      </c>
      <c r="B6" s="6">
        <f>'Data Sheet'!B84</f>
        <v>-803.69</v>
      </c>
      <c r="C6" s="6">
        <f>'Data Sheet'!C84</f>
        <v>-416.77</v>
      </c>
      <c r="D6" s="6">
        <f>'Data Sheet'!D84</f>
        <v>-374.31</v>
      </c>
      <c r="E6" s="6">
        <f>'Data Sheet'!E84</f>
        <v>-338.97</v>
      </c>
      <c r="F6" s="6">
        <f>'Data Sheet'!F84</f>
        <v>-577.11</v>
      </c>
      <c r="G6" s="6">
        <f>'Data Sheet'!G84</f>
        <v>-1888.2</v>
      </c>
      <c r="H6" s="6">
        <f>'Data Sheet'!H84</f>
        <v>-1042.97</v>
      </c>
      <c r="I6" s="6">
        <f>'Data Sheet'!I84</f>
        <v>-613.41</v>
      </c>
      <c r="J6" s="6">
        <f>'Data Sheet'!J84</f>
        <v>-490.49</v>
      </c>
      <c r="K6" s="6">
        <f>'Data Sheet'!K84</f>
        <v>-1035.24</v>
      </c>
    </row>
    <row r="7" spans="1:11" s="2" customFormat="1" x14ac:dyDescent="0.3">
      <c r="A7" s="2" t="s">
        <v>35</v>
      </c>
      <c r="B7" s="1">
        <f>'Data Sheet'!B85</f>
        <v>190.11</v>
      </c>
      <c r="C7" s="1">
        <f>'Data Sheet'!C85</f>
        <v>-245.46</v>
      </c>
      <c r="D7" s="1">
        <f>'Data Sheet'!D85</f>
        <v>82.35</v>
      </c>
      <c r="E7" s="1">
        <f>'Data Sheet'!E85</f>
        <v>80.900000000000006</v>
      </c>
      <c r="F7" s="1">
        <f>'Data Sheet'!F85</f>
        <v>-26.54</v>
      </c>
      <c r="G7" s="1">
        <f>'Data Sheet'!G85</f>
        <v>-51.49</v>
      </c>
      <c r="H7" s="1">
        <f>'Data Sheet'!H85</f>
        <v>54.02</v>
      </c>
      <c r="I7" s="1">
        <f>'Data Sheet'!I85</f>
        <v>97.04</v>
      </c>
      <c r="J7" s="1">
        <f>'Data Sheet'!J85</f>
        <v>38.39</v>
      </c>
      <c r="K7" s="1">
        <f>'Data Sheet'!K85</f>
        <v>-129.6</v>
      </c>
    </row>
    <row r="8" spans="1:11" x14ac:dyDescent="0.3">
      <c r="B8" s="6"/>
      <c r="C8" s="6"/>
      <c r="D8" s="6"/>
      <c r="E8" s="6"/>
      <c r="F8" s="6"/>
      <c r="G8" s="6"/>
      <c r="H8" s="6"/>
      <c r="I8" s="6"/>
      <c r="J8" s="6"/>
      <c r="K8" s="6"/>
    </row>
  </sheetData>
  <hyperlinks>
    <hyperlink ref="J1" r:id="rId1" xr:uid="{00000000-0004-0000-0300-000000000000}"/>
  </hyperlinks>
  <printOptions gridLines="1"/>
  <pageMargins left="0.7" right="0.7" top="0.75" bottom="0.75" header="0.3" footer="0.3"/>
  <pageSetup paperSize="9" orientation="landscape"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topLeftCell="A7" zoomScale="150" zoomScaleNormal="150" zoomScalePageLayoutView="150" workbookViewId="0">
      <selection activeCell="G25" sqref="G25"/>
    </sheetView>
  </sheetViews>
  <sheetFormatPr defaultColWidth="8.77734375" defaultRowHeight="14.4" x14ac:dyDescent="0.3"/>
  <cols>
    <col min="1" max="1" width="8.77734375" style="2"/>
    <col min="2" max="2" width="10.44140625" customWidth="1"/>
    <col min="3" max="3" width="13.33203125" style="20" customWidth="1"/>
    <col min="6" max="6" width="6.77734375" customWidth="1"/>
  </cols>
  <sheetData>
    <row r="1" spans="1:7" ht="21" x14ac:dyDescent="0.4">
      <c r="A1" s="19" t="s">
        <v>56</v>
      </c>
    </row>
    <row r="3" spans="1:7" x14ac:dyDescent="0.3">
      <c r="A3" s="2" t="s">
        <v>48</v>
      </c>
    </row>
    <row r="4" spans="1:7" x14ac:dyDescent="0.3">
      <c r="B4" t="s">
        <v>90</v>
      </c>
    </row>
    <row r="5" spans="1:7" x14ac:dyDescent="0.3">
      <c r="B5" t="s">
        <v>49</v>
      </c>
    </row>
    <row r="7" spans="1:7" x14ac:dyDescent="0.3">
      <c r="A7" s="2" t="s">
        <v>50</v>
      </c>
    </row>
    <row r="8" spans="1:7" x14ac:dyDescent="0.3">
      <c r="B8" t="s">
        <v>51</v>
      </c>
      <c r="C8" s="21" t="s">
        <v>91</v>
      </c>
    </row>
    <row r="10" spans="1:7" x14ac:dyDescent="0.3">
      <c r="A10" s="2" t="s">
        <v>52</v>
      </c>
    </row>
    <row r="11" spans="1:7" x14ac:dyDescent="0.3">
      <c r="B11" t="s">
        <v>53</v>
      </c>
    </row>
    <row r="14" spans="1:7" x14ac:dyDescent="0.3">
      <c r="A14" s="2" t="s">
        <v>54</v>
      </c>
    </row>
    <row r="15" spans="1:7" x14ac:dyDescent="0.3">
      <c r="B15" t="s">
        <v>55</v>
      </c>
    </row>
    <row r="16" spans="1:7" x14ac:dyDescent="0.3">
      <c r="B16" t="s">
        <v>92</v>
      </c>
      <c r="G16" s="22"/>
    </row>
  </sheetData>
  <hyperlinks>
    <hyperlink ref="C8" r:id="rId1" display=" http://www.screener.in/excel" xr:uid="{00000000-0004-0000-04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2CD32-63C8-4DED-B509-D86ABF9A5AB3}">
  <dimension ref="B2:M33"/>
  <sheetViews>
    <sheetView workbookViewId="0">
      <selection activeCell="D3" sqref="D3"/>
    </sheetView>
  </sheetViews>
  <sheetFormatPr defaultRowHeight="14.4" x14ac:dyDescent="0.3"/>
  <cols>
    <col min="2" max="2" width="19.88671875" customWidth="1"/>
  </cols>
  <sheetData>
    <row r="2" spans="2:13" x14ac:dyDescent="0.3">
      <c r="B2" s="2" t="s">
        <v>93</v>
      </c>
      <c r="C2">
        <v>41729</v>
      </c>
      <c r="D2">
        <v>42094</v>
      </c>
      <c r="E2">
        <v>42460</v>
      </c>
      <c r="F2">
        <v>42825</v>
      </c>
      <c r="G2">
        <v>43190</v>
      </c>
      <c r="H2">
        <v>43555</v>
      </c>
      <c r="I2">
        <v>43921</v>
      </c>
      <c r="J2">
        <v>44286</v>
      </c>
      <c r="K2">
        <v>44651</v>
      </c>
      <c r="L2">
        <v>45016</v>
      </c>
    </row>
    <row r="3" spans="2:13" x14ac:dyDescent="0.3">
      <c r="B3" s="2" t="s">
        <v>6</v>
      </c>
      <c r="C3">
        <v>7058.12</v>
      </c>
      <c r="D3">
        <v>7795.49</v>
      </c>
      <c r="E3">
        <v>7779.66</v>
      </c>
      <c r="F3">
        <v>7613.59</v>
      </c>
      <c r="G3">
        <v>7721.85</v>
      </c>
      <c r="H3">
        <v>8514.99</v>
      </c>
      <c r="I3">
        <v>8684.64</v>
      </c>
      <c r="J3">
        <v>9561.65</v>
      </c>
      <c r="K3">
        <v>10888.68</v>
      </c>
      <c r="L3">
        <v>11529.89</v>
      </c>
    </row>
    <row r="4" spans="2:13" x14ac:dyDescent="0.3">
      <c r="B4" s="2" t="s">
        <v>8</v>
      </c>
      <c r="C4" s="1">
        <v>1161.5299999999997</v>
      </c>
      <c r="D4" s="1">
        <v>1320.2200000000003</v>
      </c>
      <c r="E4" s="1">
        <v>1518.2799999999988</v>
      </c>
      <c r="F4" s="1">
        <v>1511.6100000000006</v>
      </c>
      <c r="G4" s="1">
        <v>1617.4400000000005</v>
      </c>
      <c r="H4" s="1">
        <v>1739.5599999999986</v>
      </c>
      <c r="I4" s="1">
        <v>1792.3399999999992</v>
      </c>
      <c r="J4" s="1">
        <v>2001.6699999999983</v>
      </c>
      <c r="K4" s="1">
        <v>2252.0100000000002</v>
      </c>
      <c r="L4" s="1">
        <v>2162.4899999999998</v>
      </c>
    </row>
    <row r="5" spans="2:13" x14ac:dyDescent="0.3">
      <c r="B5" s="2" t="s">
        <v>14</v>
      </c>
      <c r="C5">
        <v>913.92</v>
      </c>
      <c r="D5">
        <v>1065.83</v>
      </c>
      <c r="E5">
        <v>1251.1500000000001</v>
      </c>
      <c r="F5">
        <v>1276.94</v>
      </c>
      <c r="G5">
        <v>1354.39</v>
      </c>
      <c r="H5">
        <v>1442.33</v>
      </c>
      <c r="I5">
        <v>1444.96</v>
      </c>
      <c r="J5">
        <v>1693.3</v>
      </c>
      <c r="K5">
        <v>1739.22</v>
      </c>
      <c r="L5">
        <v>1707.15</v>
      </c>
    </row>
    <row r="6" spans="2:13" x14ac:dyDescent="0.3">
      <c r="B6" s="2" t="s">
        <v>17</v>
      </c>
      <c r="C6">
        <v>0.33390231092436978</v>
      </c>
      <c r="D6">
        <v>0.32960228178977891</v>
      </c>
      <c r="E6">
        <v>0.31634895895775883</v>
      </c>
      <c r="F6">
        <v>0.31038263348317069</v>
      </c>
      <c r="G6">
        <v>0.81286778549753025</v>
      </c>
      <c r="H6">
        <v>0.33676759132792083</v>
      </c>
      <c r="I6">
        <v>0.36688212822500277</v>
      </c>
      <c r="J6">
        <v>0.49578928719069271</v>
      </c>
      <c r="K6">
        <v>0.52857602833454076</v>
      </c>
      <c r="L6">
        <v>0.53969481299241429</v>
      </c>
    </row>
    <row r="7" spans="2:13" x14ac:dyDescent="0.3">
      <c r="B7" s="2" t="s">
        <v>18</v>
      </c>
      <c r="C7">
        <v>0.16456648512635089</v>
      </c>
      <c r="D7">
        <v>0.16935689738553963</v>
      </c>
      <c r="E7">
        <v>0.19516019980307608</v>
      </c>
      <c r="F7">
        <v>0.19854102992149572</v>
      </c>
      <c r="G7">
        <v>0.20946275827683786</v>
      </c>
      <c r="H7">
        <v>0.20429383945254176</v>
      </c>
      <c r="I7">
        <v>0.20638046021481596</v>
      </c>
      <c r="J7">
        <v>0.20934357563809575</v>
      </c>
      <c r="K7">
        <v>0.20682121248856611</v>
      </c>
      <c r="L7">
        <v>0.18755512845309016</v>
      </c>
      <c r="M7">
        <v>0.18784534120407875</v>
      </c>
    </row>
    <row r="8" spans="2:13" x14ac:dyDescent="0.3">
      <c r="B8" s="2" t="s">
        <v>25</v>
      </c>
      <c r="C8" s="14">
        <v>2481.58</v>
      </c>
      <c r="D8" s="14">
        <v>3178.49</v>
      </c>
      <c r="E8" s="14">
        <v>3994.7</v>
      </c>
      <c r="F8" s="14">
        <v>4671.24</v>
      </c>
      <c r="G8" s="14">
        <v>5530.37</v>
      </c>
      <c r="H8" s="14">
        <v>5455.05</v>
      </c>
      <c r="I8" s="14">
        <v>6429.04</v>
      </c>
      <c r="J8" s="14">
        <v>7486.79</v>
      </c>
      <c r="K8" s="14">
        <v>8204.51</v>
      </c>
      <c r="L8" s="14">
        <v>8796.08</v>
      </c>
    </row>
    <row r="9" spans="2:13" x14ac:dyDescent="0.3">
      <c r="B9" s="2" t="s">
        <v>46</v>
      </c>
      <c r="C9" s="4">
        <v>34.922118071101082</v>
      </c>
      <c r="D9" s="4">
        <v>33.282911016498005</v>
      </c>
      <c r="E9" s="4">
        <v>37.965412370206408</v>
      </c>
      <c r="F9" s="4">
        <v>31.181518836711721</v>
      </c>
      <c r="G9" s="4">
        <v>33.375318090872007</v>
      </c>
      <c r="H9" s="4">
        <v>35.731034328871786</v>
      </c>
      <c r="I9" s="4">
        <v>34.206351673759649</v>
      </c>
      <c r="J9" s="4">
        <v>21.437377440086181</v>
      </c>
      <c r="K9" s="4">
        <v>21.659627245910432</v>
      </c>
      <c r="L9" s="4">
        <v>26.868751566580428</v>
      </c>
    </row>
    <row r="10" spans="2:13" x14ac:dyDescent="0.3">
      <c r="B10" s="2" t="s">
        <v>47</v>
      </c>
      <c r="C10">
        <v>7.2576323122641409</v>
      </c>
      <c r="D10">
        <v>8.0095862402005604</v>
      </c>
      <c r="E10">
        <v>7.0949931600547194</v>
      </c>
      <c r="F10">
        <v>6.8794806227466996</v>
      </c>
      <c r="G10">
        <v>6.1470887930073719</v>
      </c>
      <c r="H10">
        <v>6.5473230144633341</v>
      </c>
      <c r="I10">
        <v>6.2951789325659444</v>
      </c>
      <c r="J10">
        <v>5.5133254145812671</v>
      </c>
      <c r="K10">
        <v>5.6967933994987892</v>
      </c>
      <c r="L10">
        <v>5.6960231202450347</v>
      </c>
    </row>
    <row r="11" spans="2:13" x14ac:dyDescent="0.3">
      <c r="B11" s="2" t="s">
        <v>59</v>
      </c>
      <c r="C11">
        <v>0.3441015677946957</v>
      </c>
      <c r="D11">
        <v>0.31776550770093076</v>
      </c>
      <c r="E11">
        <v>0.299992087488401</v>
      </c>
      <c r="F11">
        <v>0.26342836041663664</v>
      </c>
      <c r="G11">
        <v>0.23734079614195697</v>
      </c>
      <c r="H11">
        <v>0.25611007727711799</v>
      </c>
      <c r="I11">
        <v>0.21874276198766227</v>
      </c>
      <c r="J11">
        <v>0.22095561705897934</v>
      </c>
      <c r="K11">
        <v>0.2075119611516113</v>
      </c>
      <c r="L11">
        <v>0.19024858301219402</v>
      </c>
    </row>
    <row r="12" spans="2:13" x14ac:dyDescent="0.3">
      <c r="B12" s="2" t="s">
        <v>60</v>
      </c>
      <c r="D12">
        <v>0.36487291661075172</v>
      </c>
      <c r="E12">
        <v>0.35356643603540788</v>
      </c>
      <c r="F12">
        <v>0.30832489058381846</v>
      </c>
      <c r="G12">
        <v>0.28013315686038581</v>
      </c>
      <c r="H12">
        <v>0.27505633841894817</v>
      </c>
      <c r="I12">
        <v>0.26409209148816504</v>
      </c>
      <c r="J12">
        <v>0.27278235175319748</v>
      </c>
      <c r="K12">
        <v>0.26242963059009927</v>
      </c>
      <c r="L12">
        <v>0.23487750818699837</v>
      </c>
    </row>
    <row r="13" spans="2:13" x14ac:dyDescent="0.3">
      <c r="B13" s="2" t="s">
        <v>32</v>
      </c>
      <c r="C13">
        <v>1098.3</v>
      </c>
      <c r="D13">
        <v>1047.21</v>
      </c>
      <c r="E13">
        <v>1186.99</v>
      </c>
      <c r="F13">
        <v>1226.94</v>
      </c>
      <c r="G13">
        <v>1091.5</v>
      </c>
      <c r="H13">
        <v>1499.13</v>
      </c>
      <c r="I13">
        <v>1613.62</v>
      </c>
      <c r="J13">
        <v>2114.67</v>
      </c>
      <c r="K13">
        <v>1802.33</v>
      </c>
      <c r="L13">
        <v>1488.43</v>
      </c>
    </row>
    <row r="14" spans="2:13" x14ac:dyDescent="0.3">
      <c r="B14" s="2" t="s">
        <v>33</v>
      </c>
      <c r="C14">
        <v>-104.5</v>
      </c>
      <c r="D14">
        <v>-875.9</v>
      </c>
      <c r="E14">
        <v>-730.33</v>
      </c>
      <c r="F14">
        <v>-807.07</v>
      </c>
      <c r="G14">
        <v>-540.92999999999995</v>
      </c>
      <c r="H14">
        <v>337.58</v>
      </c>
      <c r="I14">
        <v>-516.63</v>
      </c>
      <c r="J14">
        <v>-1404.22</v>
      </c>
      <c r="K14">
        <v>-1273.45</v>
      </c>
      <c r="L14">
        <v>-582.79</v>
      </c>
    </row>
    <row r="15" spans="2:13" x14ac:dyDescent="0.3">
      <c r="B15" s="2" t="s">
        <v>34</v>
      </c>
      <c r="C15">
        <v>-803.69</v>
      </c>
      <c r="D15">
        <v>-416.77</v>
      </c>
      <c r="E15">
        <v>-374.31</v>
      </c>
      <c r="F15">
        <v>-338.97</v>
      </c>
      <c r="G15">
        <v>-577.11</v>
      </c>
      <c r="H15">
        <v>-1888.2</v>
      </c>
      <c r="I15">
        <v>-1042.97</v>
      </c>
      <c r="J15">
        <v>-613.41</v>
      </c>
      <c r="K15">
        <v>-490.49</v>
      </c>
      <c r="L15">
        <v>-1035.24</v>
      </c>
    </row>
    <row r="20" spans="2:12" x14ac:dyDescent="0.3">
      <c r="B20" s="2" t="s">
        <v>94</v>
      </c>
      <c r="C20">
        <v>41729</v>
      </c>
      <c r="D20">
        <v>42094</v>
      </c>
      <c r="E20">
        <v>42460</v>
      </c>
      <c r="F20">
        <v>42825</v>
      </c>
      <c r="G20">
        <v>43190</v>
      </c>
      <c r="H20">
        <v>43555</v>
      </c>
      <c r="I20">
        <v>43921</v>
      </c>
      <c r="J20">
        <v>44286</v>
      </c>
      <c r="K20">
        <v>44651</v>
      </c>
      <c r="L20">
        <v>45016</v>
      </c>
    </row>
    <row r="21" spans="2:12" x14ac:dyDescent="0.3">
      <c r="B21" s="2" t="s">
        <v>6</v>
      </c>
      <c r="C21">
        <v>29233.74</v>
      </c>
      <c r="D21">
        <v>31972.19</v>
      </c>
      <c r="E21">
        <v>32186</v>
      </c>
      <c r="F21">
        <v>33162</v>
      </c>
      <c r="G21">
        <v>35545</v>
      </c>
      <c r="H21">
        <v>39310</v>
      </c>
      <c r="I21">
        <v>39783</v>
      </c>
      <c r="J21">
        <v>47028</v>
      </c>
      <c r="K21">
        <v>52446</v>
      </c>
      <c r="L21">
        <v>60580</v>
      </c>
    </row>
    <row r="22" spans="2:12" x14ac:dyDescent="0.3">
      <c r="B22" s="2" t="s">
        <v>8</v>
      </c>
      <c r="C22">
        <v>4759.0100000000057</v>
      </c>
      <c r="D22">
        <v>5412.4199999999983</v>
      </c>
      <c r="E22">
        <v>5910</v>
      </c>
      <c r="F22">
        <v>6328</v>
      </c>
      <c r="G22">
        <v>7499</v>
      </c>
      <c r="H22">
        <v>8880</v>
      </c>
      <c r="I22">
        <v>9853</v>
      </c>
      <c r="J22">
        <v>11626</v>
      </c>
      <c r="K22">
        <v>12857</v>
      </c>
      <c r="L22">
        <v>14148</v>
      </c>
    </row>
    <row r="23" spans="2:12" x14ac:dyDescent="0.3">
      <c r="B23" s="2" t="s">
        <v>14</v>
      </c>
      <c r="C23">
        <v>3945.57</v>
      </c>
      <c r="D23">
        <v>4363.08</v>
      </c>
      <c r="E23">
        <v>4151</v>
      </c>
      <c r="F23">
        <v>4476</v>
      </c>
      <c r="G23">
        <v>5214</v>
      </c>
      <c r="H23">
        <v>6054</v>
      </c>
      <c r="I23">
        <v>6748</v>
      </c>
      <c r="J23">
        <v>7995</v>
      </c>
      <c r="K23">
        <v>8879</v>
      </c>
      <c r="L23">
        <v>10120</v>
      </c>
    </row>
    <row r="24" spans="2:12" x14ac:dyDescent="0.3">
      <c r="B24" s="2" t="s">
        <v>17</v>
      </c>
      <c r="C24">
        <v>0.71257384864544293</v>
      </c>
      <c r="D24">
        <v>0.74379795923980307</v>
      </c>
      <c r="E24">
        <v>0.8325704649482053</v>
      </c>
      <c r="F24">
        <v>0.82037533512064342</v>
      </c>
      <c r="G24">
        <v>0.8285385500575374</v>
      </c>
      <c r="H24">
        <v>0.78493557978196238</v>
      </c>
      <c r="I24">
        <v>0.80023710729104924</v>
      </c>
      <c r="J24">
        <v>1.1904315196998123</v>
      </c>
      <c r="K24">
        <v>0.89987611217479446</v>
      </c>
      <c r="L24">
        <v>0.90563241106719372</v>
      </c>
    </row>
    <row r="25" spans="2:12" x14ac:dyDescent="0.3">
      <c r="B25" s="2" t="s">
        <v>18</v>
      </c>
      <c r="C25">
        <v>0.16279169206540134</v>
      </c>
      <c r="D25">
        <v>0.16928524445776152</v>
      </c>
      <c r="E25">
        <v>0.18362020754365252</v>
      </c>
      <c r="F25">
        <v>0.1908208190097099</v>
      </c>
      <c r="G25">
        <v>0.21097200731467156</v>
      </c>
      <c r="H25">
        <v>0.2258967183922666</v>
      </c>
      <c r="I25">
        <v>0.24766860216675465</v>
      </c>
      <c r="J25">
        <v>0.24721442544866887</v>
      </c>
      <c r="K25">
        <v>0.24514738969606834</v>
      </c>
      <c r="L25">
        <v>0.23354242324199406</v>
      </c>
    </row>
    <row r="26" spans="2:12" x14ac:dyDescent="0.3">
      <c r="B26" s="2" t="s">
        <v>25</v>
      </c>
      <c r="C26">
        <v>3321.02</v>
      </c>
      <c r="D26">
        <v>3811.13</v>
      </c>
      <c r="E26">
        <v>6357</v>
      </c>
      <c r="F26">
        <v>6528</v>
      </c>
      <c r="G26">
        <v>7065</v>
      </c>
      <c r="H26">
        <v>7651</v>
      </c>
      <c r="I26">
        <v>8013</v>
      </c>
      <c r="J26">
        <v>47439</v>
      </c>
      <c r="K26">
        <v>48826</v>
      </c>
      <c r="L26">
        <v>50069</v>
      </c>
    </row>
    <row r="27" spans="2:12" x14ac:dyDescent="0.3">
      <c r="B27" s="2" t="s">
        <v>46</v>
      </c>
      <c r="C27">
        <v>12.695455661848259</v>
      </c>
      <c r="D27">
        <v>11.533529608075018</v>
      </c>
      <c r="E27">
        <v>14.334182563847635</v>
      </c>
      <c r="F27">
        <v>11.942132561365419</v>
      </c>
      <c r="G27">
        <v>13.4519623013082</v>
      </c>
      <c r="H27">
        <v>16.861867209361485</v>
      </c>
      <c r="I27">
        <v>10.541814342809744</v>
      </c>
      <c r="J27">
        <v>13.644424598111764</v>
      </c>
      <c r="K27">
        <v>15.56152995461999</v>
      </c>
      <c r="L27">
        <v>18.551254539451964</v>
      </c>
    </row>
    <row r="28" spans="2:12" x14ac:dyDescent="0.3">
      <c r="B28" s="2" t="s">
        <v>47</v>
      </c>
      <c r="C28">
        <v>9.9440239741753782</v>
      </c>
      <c r="D28">
        <v>11.223077166095079</v>
      </c>
      <c r="E28">
        <v>11.807043286867204</v>
      </c>
      <c r="F28">
        <v>13.050767414403778</v>
      </c>
      <c r="G28">
        <v>14.144448865897333</v>
      </c>
      <c r="H28">
        <v>15.271950271950272</v>
      </c>
      <c r="I28">
        <v>14.377665341525118</v>
      </c>
      <c r="J28">
        <v>13.139983235540655</v>
      </c>
      <c r="K28">
        <v>12.80419921875</v>
      </c>
      <c r="L28">
        <v>14.250764525993883</v>
      </c>
    </row>
    <row r="29" spans="2:12" x14ac:dyDescent="0.3">
      <c r="B29" s="2" t="s">
        <v>59</v>
      </c>
      <c r="C29">
        <v>1.1154216928778811</v>
      </c>
      <c r="D29">
        <v>1.0833275398015632</v>
      </c>
      <c r="E29">
        <v>0.6315228966986155</v>
      </c>
      <c r="F29">
        <v>0.66370106761565839</v>
      </c>
      <c r="G29">
        <v>0.71611042439225381</v>
      </c>
      <c r="H29">
        <v>0.76954366340409308</v>
      </c>
      <c r="I29">
        <v>0.82002673471867782</v>
      </c>
      <c r="J29">
        <v>0.16770147250073414</v>
      </c>
      <c r="K29">
        <v>0.18097878151688715</v>
      </c>
      <c r="L29">
        <v>0.201176844783715</v>
      </c>
    </row>
    <row r="30" spans="2:12" x14ac:dyDescent="0.3">
      <c r="B30" s="2" t="s">
        <v>60</v>
      </c>
      <c r="D30">
        <v>1.6560530692934765</v>
      </c>
      <c r="E30">
        <v>1.1169518655295678</v>
      </c>
      <c r="F30">
        <v>0.9443032459516375</v>
      </c>
      <c r="G30">
        <v>1.0253111452943644</v>
      </c>
      <c r="H30">
        <v>1.1329441857414573</v>
      </c>
      <c r="I30">
        <v>1.1464032108675517</v>
      </c>
      <c r="J30">
        <v>0.37679224065223504</v>
      </c>
      <c r="K30">
        <v>0.24264326277749096</v>
      </c>
      <c r="L30">
        <v>0.26485087624351794</v>
      </c>
    </row>
    <row r="31" spans="2:12" x14ac:dyDescent="0.3">
      <c r="B31" s="2" t="s">
        <v>32</v>
      </c>
      <c r="C31">
        <v>3818.18</v>
      </c>
      <c r="D31">
        <v>3291.91</v>
      </c>
      <c r="E31">
        <v>4171</v>
      </c>
      <c r="F31">
        <v>5185</v>
      </c>
      <c r="G31">
        <v>6059</v>
      </c>
      <c r="H31">
        <v>5800</v>
      </c>
      <c r="I31">
        <v>7623</v>
      </c>
      <c r="J31">
        <v>9163</v>
      </c>
      <c r="K31">
        <v>9048</v>
      </c>
      <c r="L31">
        <v>9991</v>
      </c>
    </row>
    <row r="32" spans="2:12" x14ac:dyDescent="0.3">
      <c r="B32" s="2" t="s">
        <v>33</v>
      </c>
      <c r="C32">
        <v>-475.04</v>
      </c>
      <c r="D32">
        <v>137.97</v>
      </c>
      <c r="E32">
        <v>-282</v>
      </c>
      <c r="F32">
        <v>-1173</v>
      </c>
      <c r="G32">
        <v>-1063</v>
      </c>
      <c r="H32">
        <v>-438</v>
      </c>
      <c r="I32">
        <v>1791</v>
      </c>
      <c r="J32">
        <v>-1228</v>
      </c>
      <c r="K32">
        <v>-1728</v>
      </c>
      <c r="L32">
        <v>-1484</v>
      </c>
    </row>
    <row r="33" spans="2:12" x14ac:dyDescent="0.3">
      <c r="B33" s="2" t="s">
        <v>34</v>
      </c>
      <c r="C33">
        <v>-2960.29</v>
      </c>
      <c r="D33">
        <v>-3462.42</v>
      </c>
      <c r="E33">
        <v>-3864</v>
      </c>
      <c r="F33">
        <v>-4214</v>
      </c>
      <c r="G33">
        <v>-4975</v>
      </c>
      <c r="H33">
        <v>-5390</v>
      </c>
      <c r="I33">
        <v>-6819</v>
      </c>
      <c r="J33">
        <v>-9309</v>
      </c>
      <c r="K33">
        <v>-8015</v>
      </c>
      <c r="L33">
        <v>-8953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3"/>
  <sheetViews>
    <sheetView zoomScale="120" zoomScaleNormal="120" zoomScalePageLayoutView="120" workbookViewId="0">
      <pane xSplit="1" ySplit="1" topLeftCell="E2" activePane="bottomRight" state="frozen"/>
      <selection activeCell="C4" sqref="C4"/>
      <selection pane="topRight" activeCell="C4" sqref="C4"/>
      <selection pane="bottomLeft" activeCell="C4" sqref="C4"/>
      <selection pane="bottomRight" activeCell="F11" sqref="F11"/>
    </sheetView>
  </sheetViews>
  <sheetFormatPr defaultColWidth="8.77734375" defaultRowHeight="14.4" x14ac:dyDescent="0.3"/>
  <cols>
    <col min="1" max="1" width="29.5546875" style="4" customWidth="1"/>
    <col min="2" max="11" width="13.44140625" style="4" bestFit="1" customWidth="1"/>
    <col min="12" max="16384" width="8.77734375" style="4"/>
  </cols>
  <sheetData>
    <row r="1" spans="1:11" s="1" customFormat="1" x14ac:dyDescent="0.3">
      <c r="A1" s="1" t="s">
        <v>0</v>
      </c>
      <c r="B1" s="1" t="s">
        <v>63</v>
      </c>
      <c r="E1" s="152" t="str">
        <f>IF(B2&lt;&gt;B3, "A NEW VERSION OF THE WORKSHEET IS AVAILABLE", "")</f>
        <v/>
      </c>
      <c r="F1" s="152"/>
      <c r="G1" s="152"/>
      <c r="H1" s="152"/>
      <c r="I1" s="152"/>
      <c r="J1" s="152"/>
      <c r="K1" s="152"/>
    </row>
    <row r="2" spans="1:11" x14ac:dyDescent="0.3">
      <c r="A2" s="1" t="s">
        <v>61</v>
      </c>
      <c r="B2" s="4">
        <v>2.1</v>
      </c>
      <c r="E2" s="153" t="s">
        <v>36</v>
      </c>
      <c r="F2" s="153"/>
      <c r="G2" s="153"/>
      <c r="H2" s="153"/>
      <c r="I2" s="153"/>
      <c r="J2" s="153"/>
      <c r="K2" s="153"/>
    </row>
    <row r="3" spans="1:11" x14ac:dyDescent="0.3">
      <c r="A3" s="1" t="s">
        <v>62</v>
      </c>
      <c r="B3" s="4">
        <v>2.1</v>
      </c>
    </row>
    <row r="4" spans="1:11" x14ac:dyDescent="0.3">
      <c r="A4" s="1"/>
    </row>
    <row r="5" spans="1:11" x14ac:dyDescent="0.3">
      <c r="A5" s="1" t="s">
        <v>64</v>
      </c>
    </row>
    <row r="6" spans="1:11" x14ac:dyDescent="0.3">
      <c r="A6" s="4" t="s">
        <v>42</v>
      </c>
      <c r="B6" s="4">
        <f>IF(B9&gt;0, B9/B8, 0)</f>
        <v>177.203470793452</v>
      </c>
    </row>
    <row r="7" spans="1:11" x14ac:dyDescent="0.3">
      <c r="A7" s="4" t="s">
        <v>31</v>
      </c>
      <c r="B7">
        <v>1</v>
      </c>
    </row>
    <row r="8" spans="1:11" x14ac:dyDescent="0.3">
      <c r="A8" s="4" t="s">
        <v>43</v>
      </c>
      <c r="B8">
        <v>558.95000000000005</v>
      </c>
    </row>
    <row r="9" spans="1:11" x14ac:dyDescent="0.3">
      <c r="A9" s="4" t="s">
        <v>79</v>
      </c>
      <c r="B9">
        <v>99047.88</v>
      </c>
    </row>
    <row r="15" spans="1:11" x14ac:dyDescent="0.3">
      <c r="A15" s="1" t="s">
        <v>37</v>
      </c>
    </row>
    <row r="16" spans="1:11" s="18" customFormat="1" x14ac:dyDescent="0.3">
      <c r="A16" s="17" t="s">
        <v>38</v>
      </c>
      <c r="B16" s="12">
        <v>41729</v>
      </c>
      <c r="C16" s="12">
        <v>42094</v>
      </c>
      <c r="D16" s="12">
        <v>42460</v>
      </c>
      <c r="E16" s="12">
        <v>42825</v>
      </c>
      <c r="F16" s="12">
        <v>43190</v>
      </c>
      <c r="G16" s="12">
        <v>43555</v>
      </c>
      <c r="H16" s="12">
        <v>43921</v>
      </c>
      <c r="I16" s="12">
        <v>44286</v>
      </c>
      <c r="J16" s="12">
        <v>44651</v>
      </c>
      <c r="K16" s="12">
        <v>45016</v>
      </c>
    </row>
    <row r="17" spans="1:11" s="6" customFormat="1" x14ac:dyDescent="0.3">
      <c r="A17" s="6" t="s">
        <v>6</v>
      </c>
      <c r="B17">
        <v>7058.12</v>
      </c>
      <c r="C17">
        <v>7795.49</v>
      </c>
      <c r="D17">
        <v>7779.66</v>
      </c>
      <c r="E17">
        <v>7613.59</v>
      </c>
      <c r="F17">
        <v>7721.85</v>
      </c>
      <c r="G17">
        <v>8514.99</v>
      </c>
      <c r="H17">
        <v>8684.64</v>
      </c>
      <c r="I17">
        <v>9561.65</v>
      </c>
      <c r="J17">
        <v>10888.68</v>
      </c>
      <c r="K17">
        <v>11529.89</v>
      </c>
    </row>
    <row r="18" spans="1:11" s="6" customFormat="1" x14ac:dyDescent="0.3">
      <c r="A18" s="4" t="s">
        <v>80</v>
      </c>
      <c r="B18">
        <v>2412.91</v>
      </c>
      <c r="C18">
        <v>2633.97</v>
      </c>
      <c r="D18">
        <v>2739.77</v>
      </c>
      <c r="E18">
        <v>2659.55</v>
      </c>
      <c r="F18">
        <v>2775.35</v>
      </c>
      <c r="G18">
        <v>3067.95</v>
      </c>
      <c r="H18">
        <v>3138.49</v>
      </c>
      <c r="I18">
        <v>3764.3</v>
      </c>
      <c r="J18">
        <v>4136.7</v>
      </c>
      <c r="K18">
        <v>4762.03</v>
      </c>
    </row>
    <row r="19" spans="1:11" s="6" customFormat="1" x14ac:dyDescent="0.3">
      <c r="A19" s="4" t="s">
        <v>81</v>
      </c>
      <c r="B19">
        <v>43.45</v>
      </c>
      <c r="C19">
        <v>25.91</v>
      </c>
      <c r="D19">
        <v>70.53</v>
      </c>
      <c r="E19">
        <v>23.02</v>
      </c>
      <c r="F19">
        <v>65.930000000000007</v>
      </c>
      <c r="G19">
        <v>-12.64</v>
      </c>
      <c r="H19">
        <v>65.040000000000006</v>
      </c>
      <c r="I19">
        <v>207.2</v>
      </c>
      <c r="J19">
        <v>8.5500000000000007</v>
      </c>
      <c r="K19">
        <v>90.79</v>
      </c>
    </row>
    <row r="20" spans="1:11" s="6" customFormat="1" x14ac:dyDescent="0.3">
      <c r="A20" s="4" t="s">
        <v>82</v>
      </c>
      <c r="B20">
        <v>80.47</v>
      </c>
      <c r="C20">
        <v>90.35</v>
      </c>
      <c r="D20">
        <v>84</v>
      </c>
      <c r="E20">
        <v>87.48</v>
      </c>
      <c r="F20">
        <v>93.91</v>
      </c>
      <c r="G20">
        <v>105.26</v>
      </c>
      <c r="H20">
        <v>107.12</v>
      </c>
      <c r="I20">
        <v>104.01</v>
      </c>
      <c r="J20">
        <v>128.66</v>
      </c>
      <c r="K20">
        <v>150.59</v>
      </c>
    </row>
    <row r="21" spans="1:11" s="6" customFormat="1" x14ac:dyDescent="0.3">
      <c r="A21" s="4" t="s">
        <v>83</v>
      </c>
      <c r="B21">
        <v>1120.1500000000001</v>
      </c>
      <c r="C21">
        <v>1208.32</v>
      </c>
      <c r="D21">
        <v>1180.31</v>
      </c>
      <c r="E21">
        <v>1247.42</v>
      </c>
      <c r="F21">
        <v>1219</v>
      </c>
      <c r="G21">
        <v>1327.63</v>
      </c>
      <c r="H21">
        <v>1387.98</v>
      </c>
      <c r="I21">
        <v>1347.34</v>
      </c>
      <c r="J21">
        <v>1656.53</v>
      </c>
      <c r="K21">
        <v>1779.91</v>
      </c>
    </row>
    <row r="22" spans="1:11" s="6" customFormat="1" x14ac:dyDescent="0.3">
      <c r="A22" s="4" t="s">
        <v>84</v>
      </c>
      <c r="B22">
        <v>607.79</v>
      </c>
      <c r="C22">
        <v>690.17</v>
      </c>
      <c r="D22">
        <v>794.1</v>
      </c>
      <c r="E22">
        <v>790.3</v>
      </c>
      <c r="F22">
        <v>793.36</v>
      </c>
      <c r="G22">
        <v>938.55</v>
      </c>
      <c r="H22">
        <v>949.16</v>
      </c>
      <c r="I22">
        <v>1034.9000000000001</v>
      </c>
      <c r="J22">
        <v>1081.3900000000001</v>
      </c>
      <c r="K22">
        <v>1138.43</v>
      </c>
    </row>
    <row r="23" spans="1:11" s="6" customFormat="1" x14ac:dyDescent="0.3">
      <c r="A23" s="4" t="s">
        <v>85</v>
      </c>
      <c r="B23">
        <v>1491.09</v>
      </c>
      <c r="C23">
        <v>1640.96</v>
      </c>
      <c r="D23">
        <v>1217.44</v>
      </c>
      <c r="E23">
        <v>1161.4000000000001</v>
      </c>
      <c r="F23">
        <v>1135.3800000000001</v>
      </c>
      <c r="G23">
        <v>1183.56</v>
      </c>
      <c r="H23">
        <v>1224.5899999999999</v>
      </c>
      <c r="I23">
        <v>1388.27</v>
      </c>
      <c r="J23">
        <v>1480.71</v>
      </c>
      <c r="K23">
        <v>1426.95</v>
      </c>
    </row>
    <row r="24" spans="1:11" s="6" customFormat="1" x14ac:dyDescent="0.3">
      <c r="A24" s="4" t="s">
        <v>86</v>
      </c>
      <c r="B24">
        <v>227.63</v>
      </c>
      <c r="C24">
        <v>237.41</v>
      </c>
      <c r="D24">
        <v>316.29000000000002</v>
      </c>
      <c r="E24">
        <v>178.85</v>
      </c>
      <c r="F24">
        <v>153.34</v>
      </c>
      <c r="G24">
        <v>139.84</v>
      </c>
      <c r="H24">
        <v>150</v>
      </c>
      <c r="I24">
        <v>128.36000000000001</v>
      </c>
      <c r="J24">
        <v>161.22999999999999</v>
      </c>
      <c r="K24">
        <v>200.28</v>
      </c>
    </row>
    <row r="25" spans="1:11" s="6" customFormat="1" x14ac:dyDescent="0.3">
      <c r="A25" s="6" t="s">
        <v>9</v>
      </c>
      <c r="B25">
        <v>125.64</v>
      </c>
      <c r="C25">
        <v>154.24</v>
      </c>
      <c r="D25">
        <v>217.19</v>
      </c>
      <c r="E25">
        <v>295.93</v>
      </c>
      <c r="F25">
        <v>290.88</v>
      </c>
      <c r="G25">
        <v>221.79</v>
      </c>
      <c r="H25">
        <v>205.29</v>
      </c>
      <c r="I25">
        <v>325.29000000000002</v>
      </c>
      <c r="J25">
        <v>308.16000000000003</v>
      </c>
      <c r="K25">
        <v>445.39</v>
      </c>
    </row>
    <row r="26" spans="1:11" s="6" customFormat="1" x14ac:dyDescent="0.3">
      <c r="A26" s="6" t="s">
        <v>10</v>
      </c>
      <c r="B26">
        <v>97.49</v>
      </c>
      <c r="C26">
        <v>114.98</v>
      </c>
      <c r="D26">
        <v>133.19</v>
      </c>
      <c r="E26">
        <v>142.86000000000001</v>
      </c>
      <c r="F26">
        <v>162.18</v>
      </c>
      <c r="G26">
        <v>176.9</v>
      </c>
      <c r="H26">
        <v>220.45</v>
      </c>
      <c r="I26">
        <v>240.13</v>
      </c>
      <c r="J26">
        <v>252.89</v>
      </c>
      <c r="K26">
        <v>310.95999999999998</v>
      </c>
    </row>
    <row r="27" spans="1:11" s="6" customFormat="1" x14ac:dyDescent="0.3">
      <c r="A27" s="6" t="s">
        <v>11</v>
      </c>
      <c r="B27">
        <v>54.15</v>
      </c>
      <c r="C27">
        <v>40.119999999999997</v>
      </c>
      <c r="D27">
        <v>48.48</v>
      </c>
      <c r="E27">
        <v>54.03</v>
      </c>
      <c r="F27">
        <v>53.05</v>
      </c>
      <c r="G27">
        <v>59.58</v>
      </c>
      <c r="H27">
        <v>49.54</v>
      </c>
      <c r="I27">
        <v>30.81</v>
      </c>
      <c r="J27">
        <v>38.6</v>
      </c>
      <c r="K27">
        <v>78.239999999999995</v>
      </c>
    </row>
    <row r="28" spans="1:11" s="6" customFormat="1" x14ac:dyDescent="0.3">
      <c r="A28" s="6" t="s">
        <v>12</v>
      </c>
      <c r="B28">
        <v>1135.53</v>
      </c>
      <c r="C28">
        <v>1319.36</v>
      </c>
      <c r="D28">
        <v>1553.8</v>
      </c>
      <c r="E28">
        <v>1610.65</v>
      </c>
      <c r="F28">
        <v>1693.09</v>
      </c>
      <c r="G28">
        <v>1724.87</v>
      </c>
      <c r="H28">
        <v>1727.64</v>
      </c>
      <c r="I28">
        <v>2056.02</v>
      </c>
      <c r="J28">
        <v>2268.6799999999998</v>
      </c>
      <c r="K28">
        <v>2218.6799999999998</v>
      </c>
    </row>
    <row r="29" spans="1:11" s="6" customFormat="1" x14ac:dyDescent="0.3">
      <c r="A29" s="6" t="s">
        <v>13</v>
      </c>
      <c r="B29">
        <v>219.08</v>
      </c>
      <c r="C29">
        <v>250.89</v>
      </c>
      <c r="D29">
        <v>299.89999999999998</v>
      </c>
      <c r="E29">
        <v>330.34</v>
      </c>
      <c r="F29">
        <v>335.35</v>
      </c>
      <c r="G29">
        <v>278.62</v>
      </c>
      <c r="H29">
        <v>279.72000000000003</v>
      </c>
      <c r="I29">
        <v>361.07</v>
      </c>
      <c r="J29">
        <v>526.38</v>
      </c>
      <c r="K29">
        <v>517.35</v>
      </c>
    </row>
    <row r="30" spans="1:11" s="6" customFormat="1" x14ac:dyDescent="0.3">
      <c r="A30" s="6" t="s">
        <v>14</v>
      </c>
      <c r="B30">
        <v>913.92</v>
      </c>
      <c r="C30">
        <v>1065.83</v>
      </c>
      <c r="D30">
        <v>1251.1500000000001</v>
      </c>
      <c r="E30">
        <v>1276.94</v>
      </c>
      <c r="F30">
        <v>1354.39</v>
      </c>
      <c r="G30">
        <v>1442.33</v>
      </c>
      <c r="H30">
        <v>1444.96</v>
      </c>
      <c r="I30">
        <v>1693.3</v>
      </c>
      <c r="J30">
        <v>1739.22</v>
      </c>
      <c r="K30">
        <v>1707.15</v>
      </c>
    </row>
    <row r="31" spans="1:11" s="6" customFormat="1" x14ac:dyDescent="0.3">
      <c r="A31" s="6" t="s">
        <v>70</v>
      </c>
      <c r="B31">
        <v>305.16000000000003</v>
      </c>
      <c r="C31">
        <v>351.3</v>
      </c>
      <c r="D31">
        <v>395.8</v>
      </c>
      <c r="E31">
        <v>396.34</v>
      </c>
      <c r="F31">
        <v>1100.94</v>
      </c>
      <c r="G31">
        <v>485.73</v>
      </c>
      <c r="H31">
        <v>530.13</v>
      </c>
      <c r="I31">
        <v>839.52</v>
      </c>
      <c r="J31">
        <v>919.31</v>
      </c>
      <c r="K31">
        <v>921.34</v>
      </c>
    </row>
    <row r="32" spans="1:11" s="6" customFormat="1" x14ac:dyDescent="0.3"/>
    <row r="33" spans="1:11" x14ac:dyDescent="0.3">
      <c r="A33" s="6"/>
    </row>
    <row r="34" spans="1:11" x14ac:dyDescent="0.3">
      <c r="A34" s="6"/>
    </row>
    <row r="35" spans="1:11" x14ac:dyDescent="0.3">
      <c r="A35" s="6"/>
    </row>
    <row r="36" spans="1:11" x14ac:dyDescent="0.3">
      <c r="A36" s="6"/>
    </row>
    <row r="37" spans="1:11" x14ac:dyDescent="0.3">
      <c r="A37" s="6"/>
    </row>
    <row r="38" spans="1:11" x14ac:dyDescent="0.3">
      <c r="A38" s="6"/>
    </row>
    <row r="39" spans="1:11" x14ac:dyDescent="0.3">
      <c r="A39" s="6"/>
    </row>
    <row r="40" spans="1:11" x14ac:dyDescent="0.3">
      <c r="A40" s="1" t="s">
        <v>39</v>
      </c>
    </row>
    <row r="41" spans="1:11" s="18" customFormat="1" x14ac:dyDescent="0.3">
      <c r="A41" s="17" t="s">
        <v>38</v>
      </c>
      <c r="B41" s="12">
        <v>44286</v>
      </c>
      <c r="C41" s="12">
        <v>44377</v>
      </c>
      <c r="D41" s="12">
        <v>44469</v>
      </c>
      <c r="E41" s="12">
        <v>44561</v>
      </c>
      <c r="F41" s="12">
        <v>44651</v>
      </c>
      <c r="G41" s="12">
        <v>44742</v>
      </c>
      <c r="H41" s="12">
        <v>44834</v>
      </c>
      <c r="I41" s="12">
        <v>44926</v>
      </c>
      <c r="J41" s="12">
        <v>45016</v>
      </c>
      <c r="K41" s="12">
        <v>45107</v>
      </c>
    </row>
    <row r="42" spans="1:11" s="6" customFormat="1" x14ac:dyDescent="0.3">
      <c r="A42" s="6" t="s">
        <v>6</v>
      </c>
      <c r="B42">
        <v>2336.79</v>
      </c>
      <c r="C42">
        <v>2611.54</v>
      </c>
      <c r="D42">
        <v>2817.58</v>
      </c>
      <c r="E42">
        <v>2941.75</v>
      </c>
      <c r="F42">
        <v>2517.81</v>
      </c>
      <c r="G42">
        <v>2822.43</v>
      </c>
      <c r="H42">
        <v>2986.49</v>
      </c>
      <c r="I42">
        <v>3043.17</v>
      </c>
      <c r="J42">
        <v>2677.8</v>
      </c>
      <c r="K42">
        <v>3130.47</v>
      </c>
    </row>
    <row r="43" spans="1:11" s="6" customFormat="1" x14ac:dyDescent="0.3">
      <c r="A43" s="6" t="s">
        <v>7</v>
      </c>
      <c r="B43">
        <v>1894.91</v>
      </c>
      <c r="C43">
        <v>2059.58</v>
      </c>
      <c r="D43">
        <v>2197.29</v>
      </c>
      <c r="E43">
        <v>2314.36</v>
      </c>
      <c r="F43">
        <v>2065.44</v>
      </c>
      <c r="G43">
        <v>2279.11</v>
      </c>
      <c r="H43">
        <v>2386.09</v>
      </c>
      <c r="I43">
        <v>2434.0500000000002</v>
      </c>
      <c r="J43">
        <v>2268.15</v>
      </c>
      <c r="K43">
        <v>2525.94</v>
      </c>
    </row>
    <row r="44" spans="1:11" s="6" customFormat="1" x14ac:dyDescent="0.3">
      <c r="A44" s="6" t="s">
        <v>9</v>
      </c>
      <c r="B44">
        <v>84.98</v>
      </c>
      <c r="C44">
        <v>84.84</v>
      </c>
      <c r="D44">
        <v>112.44</v>
      </c>
      <c r="E44">
        <v>96.74</v>
      </c>
      <c r="F44">
        <v>14.14</v>
      </c>
      <c r="G44">
        <v>100.55</v>
      </c>
      <c r="H44">
        <v>123.28</v>
      </c>
      <c r="I44">
        <v>100.84</v>
      </c>
      <c r="J44">
        <v>120.72</v>
      </c>
      <c r="K44">
        <v>109.78</v>
      </c>
    </row>
    <row r="45" spans="1:11" s="6" customFormat="1" x14ac:dyDescent="0.3">
      <c r="A45" s="6" t="s">
        <v>10</v>
      </c>
      <c r="B45">
        <v>66.59</v>
      </c>
      <c r="C45">
        <v>61.31</v>
      </c>
      <c r="D45">
        <v>63.33</v>
      </c>
      <c r="E45">
        <v>63.2</v>
      </c>
      <c r="F45">
        <v>65.05</v>
      </c>
      <c r="G45">
        <v>67.599999999999994</v>
      </c>
      <c r="H45">
        <v>70.47</v>
      </c>
      <c r="I45">
        <v>70.89</v>
      </c>
      <c r="J45">
        <v>102</v>
      </c>
      <c r="K45">
        <v>96.64</v>
      </c>
    </row>
    <row r="46" spans="1:11" s="6" customFormat="1" x14ac:dyDescent="0.3">
      <c r="A46" s="6" t="s">
        <v>11</v>
      </c>
      <c r="B46">
        <v>8.6300000000000008</v>
      </c>
      <c r="C46">
        <v>7.5</v>
      </c>
      <c r="D46">
        <v>8.27</v>
      </c>
      <c r="E46">
        <v>11.08</v>
      </c>
      <c r="F46">
        <v>11.75</v>
      </c>
      <c r="G46">
        <v>12.15</v>
      </c>
      <c r="H46">
        <v>15.06</v>
      </c>
      <c r="I46">
        <v>18.91</v>
      </c>
      <c r="J46">
        <v>32.119999999999997</v>
      </c>
      <c r="K46">
        <v>24.31</v>
      </c>
    </row>
    <row r="47" spans="1:11" s="6" customFormat="1" x14ac:dyDescent="0.3">
      <c r="A47" s="6" t="s">
        <v>12</v>
      </c>
      <c r="B47">
        <v>451.64</v>
      </c>
      <c r="C47">
        <v>567.99</v>
      </c>
      <c r="D47">
        <v>661.13</v>
      </c>
      <c r="E47">
        <v>649.85</v>
      </c>
      <c r="F47">
        <v>389.71</v>
      </c>
      <c r="G47">
        <v>564.12</v>
      </c>
      <c r="H47">
        <v>638.15</v>
      </c>
      <c r="I47">
        <v>620.16</v>
      </c>
      <c r="J47">
        <v>396.25</v>
      </c>
      <c r="K47">
        <v>593.36</v>
      </c>
    </row>
    <row r="48" spans="1:11" s="6" customFormat="1" x14ac:dyDescent="0.3">
      <c r="A48" s="6" t="s">
        <v>13</v>
      </c>
      <c r="B48">
        <v>74.349999999999994</v>
      </c>
      <c r="C48">
        <v>129.69</v>
      </c>
      <c r="D48">
        <v>155.82</v>
      </c>
      <c r="E48">
        <v>145.5</v>
      </c>
      <c r="F48">
        <v>95.37</v>
      </c>
      <c r="G48">
        <v>123.06</v>
      </c>
      <c r="H48">
        <v>147.29</v>
      </c>
      <c r="I48">
        <v>143.51</v>
      </c>
      <c r="J48">
        <v>103.49</v>
      </c>
      <c r="K48">
        <v>136.75</v>
      </c>
    </row>
    <row r="49" spans="1:11" s="6" customFormat="1" x14ac:dyDescent="0.3">
      <c r="A49" s="6" t="s">
        <v>14</v>
      </c>
      <c r="B49">
        <v>377.82</v>
      </c>
      <c r="C49">
        <v>437.33</v>
      </c>
      <c r="D49">
        <v>504.35</v>
      </c>
      <c r="E49">
        <v>503.32</v>
      </c>
      <c r="F49">
        <v>294.22000000000003</v>
      </c>
      <c r="G49">
        <v>440.32</v>
      </c>
      <c r="H49">
        <v>490.06</v>
      </c>
      <c r="I49">
        <v>475.94</v>
      </c>
      <c r="J49">
        <v>300.83</v>
      </c>
      <c r="K49">
        <v>463.88</v>
      </c>
    </row>
    <row r="50" spans="1:11" x14ac:dyDescent="0.3">
      <c r="A50" s="6" t="s">
        <v>8</v>
      </c>
      <c r="B50">
        <v>441.88</v>
      </c>
      <c r="C50">
        <v>551.96</v>
      </c>
      <c r="D50">
        <v>620.29</v>
      </c>
      <c r="E50">
        <v>627.39</v>
      </c>
      <c r="F50">
        <v>452.37</v>
      </c>
      <c r="G50">
        <v>543.32000000000005</v>
      </c>
      <c r="H50">
        <v>600.4</v>
      </c>
      <c r="I50">
        <v>609.12</v>
      </c>
      <c r="J50">
        <v>409.65</v>
      </c>
      <c r="K50">
        <v>604.53</v>
      </c>
    </row>
    <row r="51" spans="1:11" x14ac:dyDescent="0.3">
      <c r="A51" s="6"/>
    </row>
    <row r="52" spans="1:11" x14ac:dyDescent="0.3">
      <c r="A52" s="6"/>
    </row>
    <row r="53" spans="1:11" x14ac:dyDescent="0.3">
      <c r="A53" s="6"/>
    </row>
    <row r="54" spans="1:11" x14ac:dyDescent="0.3">
      <c r="A54" s="6"/>
    </row>
    <row r="55" spans="1:11" x14ac:dyDescent="0.3">
      <c r="A55" s="1" t="s">
        <v>40</v>
      </c>
    </row>
    <row r="56" spans="1:11" s="18" customFormat="1" x14ac:dyDescent="0.3">
      <c r="A56" s="17" t="s">
        <v>38</v>
      </c>
      <c r="B56" s="12">
        <v>41729</v>
      </c>
      <c r="C56" s="12">
        <v>42094</v>
      </c>
      <c r="D56" s="12">
        <v>42460</v>
      </c>
      <c r="E56" s="12">
        <v>42825</v>
      </c>
      <c r="F56" s="12">
        <v>43190</v>
      </c>
      <c r="G56" s="12">
        <v>43555</v>
      </c>
      <c r="H56" s="12">
        <v>43921</v>
      </c>
      <c r="I56" s="12">
        <v>44286</v>
      </c>
      <c r="J56" s="12">
        <v>44651</v>
      </c>
      <c r="K56" s="12">
        <v>45016</v>
      </c>
    </row>
    <row r="57" spans="1:11" x14ac:dyDescent="0.3">
      <c r="A57" s="6" t="s">
        <v>24</v>
      </c>
      <c r="B57">
        <v>174.38</v>
      </c>
      <c r="C57">
        <v>175.65</v>
      </c>
      <c r="D57">
        <v>175.91</v>
      </c>
      <c r="E57">
        <v>176.15</v>
      </c>
      <c r="F57">
        <v>176.15</v>
      </c>
      <c r="G57">
        <v>176.63</v>
      </c>
      <c r="H57">
        <v>176.71</v>
      </c>
      <c r="I57">
        <v>176.74</v>
      </c>
      <c r="J57">
        <v>176.79</v>
      </c>
      <c r="K57">
        <v>177.18</v>
      </c>
    </row>
    <row r="58" spans="1:11" x14ac:dyDescent="0.3">
      <c r="A58" s="6" t="s">
        <v>25</v>
      </c>
      <c r="B58">
        <v>2481.58</v>
      </c>
      <c r="C58">
        <v>3178.49</v>
      </c>
      <c r="D58">
        <v>3994.7</v>
      </c>
      <c r="E58">
        <v>4671.24</v>
      </c>
      <c r="F58">
        <v>5530.37</v>
      </c>
      <c r="G58">
        <v>5455.05</v>
      </c>
      <c r="H58">
        <v>6429.04</v>
      </c>
      <c r="I58">
        <v>7486.79</v>
      </c>
      <c r="J58">
        <v>8204.51</v>
      </c>
      <c r="K58">
        <v>8796.08</v>
      </c>
    </row>
    <row r="59" spans="1:11" x14ac:dyDescent="0.3">
      <c r="A59" s="6" t="s">
        <v>71</v>
      </c>
      <c r="B59">
        <v>708.14</v>
      </c>
      <c r="C59">
        <v>733.56</v>
      </c>
      <c r="D59">
        <v>805.22</v>
      </c>
      <c r="E59">
        <v>975</v>
      </c>
      <c r="F59">
        <v>937.59</v>
      </c>
      <c r="G59">
        <v>699.37</v>
      </c>
      <c r="H59">
        <v>521.99</v>
      </c>
      <c r="I59">
        <v>509.06</v>
      </c>
      <c r="J59">
        <v>1030.0999999999999</v>
      </c>
      <c r="K59">
        <v>1173.79</v>
      </c>
    </row>
    <row r="60" spans="1:11" x14ac:dyDescent="0.3">
      <c r="A60" s="6" t="s">
        <v>72</v>
      </c>
      <c r="B60">
        <v>1947.9</v>
      </c>
      <c r="C60">
        <v>2018.58</v>
      </c>
      <c r="D60">
        <v>1956.47</v>
      </c>
      <c r="E60">
        <v>1909.85</v>
      </c>
      <c r="F60">
        <v>2057.52</v>
      </c>
      <c r="G60">
        <v>2105.59</v>
      </c>
      <c r="H60">
        <v>2208.84</v>
      </c>
      <c r="I60">
        <v>2660.63</v>
      </c>
      <c r="J60">
        <v>2872.46</v>
      </c>
      <c r="K60">
        <v>3505.23</v>
      </c>
    </row>
    <row r="61" spans="1:11" s="1" customFormat="1" x14ac:dyDescent="0.3">
      <c r="A61" s="1" t="s">
        <v>26</v>
      </c>
      <c r="B61">
        <v>5312</v>
      </c>
      <c r="C61">
        <v>6106.28</v>
      </c>
      <c r="D61">
        <v>6932.3</v>
      </c>
      <c r="E61">
        <v>7732.24</v>
      </c>
      <c r="F61">
        <v>8701.6299999999992</v>
      </c>
      <c r="G61">
        <v>8436.64</v>
      </c>
      <c r="H61">
        <v>9336.58</v>
      </c>
      <c r="I61">
        <v>10833.22</v>
      </c>
      <c r="J61">
        <v>12283.86</v>
      </c>
      <c r="K61">
        <v>13652.28</v>
      </c>
    </row>
    <row r="62" spans="1:11" x14ac:dyDescent="0.3">
      <c r="A62" s="6" t="s">
        <v>27</v>
      </c>
      <c r="B62">
        <v>1766.9</v>
      </c>
      <c r="C62">
        <v>1877.13</v>
      </c>
      <c r="D62">
        <v>1667.4</v>
      </c>
      <c r="E62">
        <v>1958.4</v>
      </c>
      <c r="F62">
        <v>2028.11</v>
      </c>
      <c r="G62">
        <v>1969.06</v>
      </c>
      <c r="H62">
        <v>2252.6799999999998</v>
      </c>
      <c r="I62">
        <v>2242.92</v>
      </c>
      <c r="J62">
        <v>2307.9</v>
      </c>
      <c r="K62">
        <v>3578.65</v>
      </c>
    </row>
    <row r="63" spans="1:11" x14ac:dyDescent="0.3">
      <c r="A63" s="6" t="s">
        <v>28</v>
      </c>
      <c r="B63">
        <v>21.71</v>
      </c>
      <c r="C63">
        <v>50.3</v>
      </c>
      <c r="D63">
        <v>44.8</v>
      </c>
      <c r="E63">
        <v>42.1</v>
      </c>
      <c r="F63">
        <v>41.51</v>
      </c>
      <c r="G63">
        <v>63.76</v>
      </c>
      <c r="H63">
        <v>146.57</v>
      </c>
      <c r="I63">
        <v>147.30000000000001</v>
      </c>
      <c r="J63">
        <v>167.5</v>
      </c>
      <c r="K63">
        <v>175.13</v>
      </c>
    </row>
    <row r="64" spans="1:11" x14ac:dyDescent="0.3">
      <c r="A64" s="6" t="s">
        <v>29</v>
      </c>
      <c r="B64">
        <v>1076.47</v>
      </c>
      <c r="C64">
        <v>1813.37</v>
      </c>
      <c r="D64">
        <v>2690.74</v>
      </c>
      <c r="E64">
        <v>3240.16</v>
      </c>
      <c r="F64">
        <v>3805.17</v>
      </c>
      <c r="G64">
        <v>3358.76</v>
      </c>
      <c r="H64">
        <v>2800.26</v>
      </c>
      <c r="I64">
        <v>4159.63</v>
      </c>
      <c r="J64">
        <v>6219.62</v>
      </c>
      <c r="K64">
        <v>6265.26</v>
      </c>
    </row>
    <row r="65" spans="1:11" x14ac:dyDescent="0.3">
      <c r="A65" s="6" t="s">
        <v>73</v>
      </c>
      <c r="B65">
        <v>2446.92</v>
      </c>
      <c r="C65">
        <v>2365.48</v>
      </c>
      <c r="D65">
        <v>2529.36</v>
      </c>
      <c r="E65">
        <v>2491.58</v>
      </c>
      <c r="F65">
        <v>2826.84</v>
      </c>
      <c r="G65">
        <v>3045.06</v>
      </c>
      <c r="H65">
        <v>4137.07</v>
      </c>
      <c r="I65">
        <v>4283.37</v>
      </c>
      <c r="J65">
        <v>3588.84</v>
      </c>
      <c r="K65">
        <v>3633.24</v>
      </c>
    </row>
    <row r="66" spans="1:11" s="1" customFormat="1" x14ac:dyDescent="0.3">
      <c r="A66" s="1" t="s">
        <v>26</v>
      </c>
      <c r="B66">
        <v>5312</v>
      </c>
      <c r="C66">
        <v>6106.28</v>
      </c>
      <c r="D66">
        <v>6932.3</v>
      </c>
      <c r="E66">
        <v>7732.24</v>
      </c>
      <c r="F66">
        <v>8701.6299999999992</v>
      </c>
      <c r="G66">
        <v>8436.64</v>
      </c>
      <c r="H66">
        <v>9336.58</v>
      </c>
      <c r="I66">
        <v>10833.22</v>
      </c>
      <c r="J66">
        <v>12283.86</v>
      </c>
      <c r="K66">
        <v>13652.28</v>
      </c>
    </row>
    <row r="67" spans="1:11" s="6" customFormat="1" x14ac:dyDescent="0.3">
      <c r="A67" s="6" t="s">
        <v>78</v>
      </c>
      <c r="B67">
        <v>675.3</v>
      </c>
      <c r="C67">
        <v>710.84</v>
      </c>
      <c r="D67">
        <v>809.2</v>
      </c>
      <c r="E67">
        <v>650.41999999999996</v>
      </c>
      <c r="F67">
        <v>706.08</v>
      </c>
      <c r="G67">
        <v>833.56</v>
      </c>
      <c r="H67">
        <v>813.89</v>
      </c>
      <c r="I67">
        <v>561.58000000000004</v>
      </c>
      <c r="J67">
        <v>646.15</v>
      </c>
      <c r="K67">
        <v>848.75</v>
      </c>
    </row>
    <row r="68" spans="1:11" x14ac:dyDescent="0.3">
      <c r="A68" s="6" t="s">
        <v>45</v>
      </c>
      <c r="B68">
        <v>972.51</v>
      </c>
      <c r="C68">
        <v>973.27</v>
      </c>
      <c r="D68">
        <v>1096.5</v>
      </c>
      <c r="E68">
        <v>1106.71</v>
      </c>
      <c r="F68">
        <v>1256.18</v>
      </c>
      <c r="G68">
        <v>1300.53</v>
      </c>
      <c r="H68">
        <v>1379.57</v>
      </c>
      <c r="I68">
        <v>1734.28</v>
      </c>
      <c r="J68">
        <v>1911.37</v>
      </c>
      <c r="K68">
        <v>2024.2</v>
      </c>
    </row>
    <row r="69" spans="1:11" x14ac:dyDescent="0.3">
      <c r="A69" s="4" t="s">
        <v>87</v>
      </c>
      <c r="B69">
        <v>519.38</v>
      </c>
      <c r="C69">
        <v>276.04000000000002</v>
      </c>
      <c r="D69">
        <v>219.82</v>
      </c>
      <c r="E69">
        <v>304.81</v>
      </c>
      <c r="F69">
        <v>306.06</v>
      </c>
      <c r="G69">
        <v>328.16</v>
      </c>
      <c r="H69">
        <v>811.37</v>
      </c>
      <c r="I69">
        <v>1329.03</v>
      </c>
      <c r="J69">
        <v>570.14</v>
      </c>
      <c r="K69">
        <v>325.92</v>
      </c>
    </row>
    <row r="70" spans="1:11" x14ac:dyDescent="0.3">
      <c r="A70" s="4" t="s">
        <v>74</v>
      </c>
      <c r="B70">
        <v>1743813100</v>
      </c>
      <c r="C70">
        <v>1756511990</v>
      </c>
      <c r="D70">
        <v>1759141170</v>
      </c>
      <c r="E70">
        <v>1761520510</v>
      </c>
      <c r="F70">
        <v>1761520510</v>
      </c>
      <c r="G70">
        <v>1766291141</v>
      </c>
      <c r="H70">
        <v>1767063892</v>
      </c>
      <c r="I70">
        <v>1767425349</v>
      </c>
      <c r="J70">
        <v>1767856483</v>
      </c>
      <c r="K70">
        <v>1767856483</v>
      </c>
    </row>
    <row r="71" spans="1:11" x14ac:dyDescent="0.3">
      <c r="A71" s="4" t="s">
        <v>75</v>
      </c>
    </row>
    <row r="72" spans="1:11" x14ac:dyDescent="0.3">
      <c r="A72" s="4" t="s">
        <v>88</v>
      </c>
      <c r="B72">
        <v>1</v>
      </c>
      <c r="C72">
        <v>1</v>
      </c>
      <c r="D72">
        <v>1</v>
      </c>
      <c r="E72">
        <v>1</v>
      </c>
      <c r="F72">
        <v>1</v>
      </c>
      <c r="G72">
        <v>1</v>
      </c>
      <c r="H72">
        <v>1</v>
      </c>
      <c r="I72">
        <v>1</v>
      </c>
      <c r="J72">
        <v>1</v>
      </c>
      <c r="K72">
        <v>1</v>
      </c>
    </row>
    <row r="74" spans="1:11" x14ac:dyDescent="0.3">
      <c r="A74" s="6"/>
    </row>
    <row r="75" spans="1:11" x14ac:dyDescent="0.3">
      <c r="A75" s="6"/>
    </row>
    <row r="76" spans="1:11" x14ac:dyDescent="0.3">
      <c r="A76" s="6"/>
    </row>
    <row r="77" spans="1:11" x14ac:dyDescent="0.3">
      <c r="A77" s="6"/>
    </row>
    <row r="78" spans="1:11" x14ac:dyDescent="0.3">
      <c r="A78" s="6"/>
    </row>
    <row r="79" spans="1:11" x14ac:dyDescent="0.3">
      <c r="A79" s="6"/>
    </row>
    <row r="80" spans="1:11" x14ac:dyDescent="0.3">
      <c r="A80" s="1" t="s">
        <v>41</v>
      </c>
    </row>
    <row r="81" spans="1:11" s="18" customFormat="1" x14ac:dyDescent="0.3">
      <c r="A81" s="17" t="s">
        <v>38</v>
      </c>
      <c r="B81" s="12">
        <v>41729</v>
      </c>
      <c r="C81" s="12">
        <v>42094</v>
      </c>
      <c r="D81" s="12">
        <v>42460</v>
      </c>
      <c r="E81" s="12">
        <v>42825</v>
      </c>
      <c r="F81" s="12">
        <v>43190</v>
      </c>
      <c r="G81" s="12">
        <v>43555</v>
      </c>
      <c r="H81" s="12">
        <v>43921</v>
      </c>
      <c r="I81" s="12">
        <v>44286</v>
      </c>
      <c r="J81" s="12">
        <v>44651</v>
      </c>
      <c r="K81" s="12">
        <v>45016</v>
      </c>
    </row>
    <row r="82" spans="1:11" s="1" customFormat="1" x14ac:dyDescent="0.3">
      <c r="A82" s="6" t="s">
        <v>32</v>
      </c>
      <c r="B82">
        <v>1098.3</v>
      </c>
      <c r="C82">
        <v>1047.21</v>
      </c>
      <c r="D82">
        <v>1186.99</v>
      </c>
      <c r="E82">
        <v>1226.94</v>
      </c>
      <c r="F82">
        <v>1091.5</v>
      </c>
      <c r="G82">
        <v>1499.13</v>
      </c>
      <c r="H82">
        <v>1613.62</v>
      </c>
      <c r="I82">
        <v>2114.67</v>
      </c>
      <c r="J82">
        <v>1802.33</v>
      </c>
      <c r="K82">
        <v>1488.43</v>
      </c>
    </row>
    <row r="83" spans="1:11" s="6" customFormat="1" x14ac:dyDescent="0.3">
      <c r="A83" s="6" t="s">
        <v>33</v>
      </c>
      <c r="B83">
        <v>-104.5</v>
      </c>
      <c r="C83">
        <v>-875.9</v>
      </c>
      <c r="D83">
        <v>-730.33</v>
      </c>
      <c r="E83">
        <v>-807.07</v>
      </c>
      <c r="F83">
        <v>-540.92999999999995</v>
      </c>
      <c r="G83">
        <v>337.58</v>
      </c>
      <c r="H83">
        <v>-516.63</v>
      </c>
      <c r="I83">
        <v>-1404.22</v>
      </c>
      <c r="J83">
        <v>-1273.45</v>
      </c>
      <c r="K83">
        <v>-582.79</v>
      </c>
    </row>
    <row r="84" spans="1:11" s="6" customFormat="1" x14ac:dyDescent="0.3">
      <c r="A84" s="6" t="s">
        <v>34</v>
      </c>
      <c r="B84">
        <v>-803.69</v>
      </c>
      <c r="C84">
        <v>-416.77</v>
      </c>
      <c r="D84">
        <v>-374.31</v>
      </c>
      <c r="E84">
        <v>-338.97</v>
      </c>
      <c r="F84">
        <v>-577.11</v>
      </c>
      <c r="G84">
        <v>-1888.2</v>
      </c>
      <c r="H84">
        <v>-1042.97</v>
      </c>
      <c r="I84">
        <v>-613.41</v>
      </c>
      <c r="J84">
        <v>-490.49</v>
      </c>
      <c r="K84">
        <v>-1035.24</v>
      </c>
    </row>
    <row r="85" spans="1:11" s="1" customFormat="1" x14ac:dyDescent="0.3">
      <c r="A85" s="6" t="s">
        <v>35</v>
      </c>
      <c r="B85">
        <v>190.11</v>
      </c>
      <c r="C85">
        <v>-245.46</v>
      </c>
      <c r="D85">
        <v>82.35</v>
      </c>
      <c r="E85">
        <v>80.900000000000006</v>
      </c>
      <c r="F85">
        <v>-26.54</v>
      </c>
      <c r="G85">
        <v>-51.49</v>
      </c>
      <c r="H85">
        <v>54.02</v>
      </c>
      <c r="I85">
        <v>97.04</v>
      </c>
      <c r="J85">
        <v>38.39</v>
      </c>
      <c r="K85">
        <v>-129.6</v>
      </c>
    </row>
    <row r="86" spans="1:11" x14ac:dyDescent="0.3">
      <c r="A86" s="6"/>
    </row>
    <row r="87" spans="1:11" x14ac:dyDescent="0.3">
      <c r="A87" s="6"/>
    </row>
    <row r="88" spans="1:11" x14ac:dyDescent="0.3">
      <c r="A88" s="6"/>
    </row>
    <row r="89" spans="1:11" x14ac:dyDescent="0.3">
      <c r="A89" s="6"/>
    </row>
    <row r="90" spans="1:11" s="1" customFormat="1" x14ac:dyDescent="0.3">
      <c r="A90" s="1" t="s">
        <v>77</v>
      </c>
      <c r="B90">
        <v>179.65</v>
      </c>
      <c r="C90">
        <v>265.55</v>
      </c>
      <c r="D90">
        <v>249.9</v>
      </c>
      <c r="E90">
        <v>277.35000000000002</v>
      </c>
      <c r="F90">
        <v>328.4</v>
      </c>
      <c r="G90">
        <v>408.8</v>
      </c>
      <c r="H90">
        <v>450.05</v>
      </c>
      <c r="I90">
        <v>540.5</v>
      </c>
      <c r="J90">
        <v>536.20000000000005</v>
      </c>
      <c r="K90">
        <v>544.9</v>
      </c>
    </row>
    <row r="92" spans="1:11" s="1" customFormat="1" x14ac:dyDescent="0.3">
      <c r="A92" s="1" t="s">
        <v>76</v>
      </c>
    </row>
    <row r="93" spans="1:11" x14ac:dyDescent="0.3">
      <c r="A93" s="4" t="s">
        <v>89</v>
      </c>
      <c r="B93" s="24">
        <v>174.38</v>
      </c>
      <c r="C93" s="24">
        <v>175.65</v>
      </c>
      <c r="D93" s="24">
        <v>175.91</v>
      </c>
      <c r="E93" s="24">
        <v>176.15</v>
      </c>
      <c r="F93" s="24">
        <v>176.15</v>
      </c>
      <c r="G93" s="24">
        <v>176.63</v>
      </c>
      <c r="H93" s="24">
        <v>176.71</v>
      </c>
      <c r="I93" s="24">
        <v>176.74</v>
      </c>
      <c r="J93" s="24">
        <v>176.79</v>
      </c>
      <c r="K93" s="24">
        <v>177.18</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B6311-AFDC-4A09-A30A-0B2802B9C225}">
  <dimension ref="A3:C7"/>
  <sheetViews>
    <sheetView workbookViewId="0">
      <selection activeCell="C22" sqref="C22"/>
    </sheetView>
  </sheetViews>
  <sheetFormatPr defaultRowHeight="14.4" x14ac:dyDescent="0.3"/>
  <cols>
    <col min="1" max="1" width="12.5546875" bestFit="1" customWidth="1"/>
    <col min="2" max="2" width="32.109375" bestFit="1" customWidth="1"/>
    <col min="3" max="3" width="31.44140625" bestFit="1" customWidth="1"/>
  </cols>
  <sheetData>
    <row r="3" spans="1:3" x14ac:dyDescent="0.3">
      <c r="A3" s="25" t="s">
        <v>98</v>
      </c>
      <c r="B3" t="s">
        <v>102</v>
      </c>
      <c r="C3" t="s">
        <v>103</v>
      </c>
    </row>
    <row r="4" spans="1:3" x14ac:dyDescent="0.3">
      <c r="A4" s="20">
        <v>2017</v>
      </c>
      <c r="B4" s="151">
        <v>6411.9400000000005</v>
      </c>
      <c r="C4" s="151">
        <v>-1980.0700000000002</v>
      </c>
    </row>
    <row r="5" spans="1:3" x14ac:dyDescent="0.3">
      <c r="A5" s="26" t="s">
        <v>96</v>
      </c>
      <c r="B5" s="151">
        <v>1226.94</v>
      </c>
      <c r="C5" s="151">
        <v>-807.07</v>
      </c>
    </row>
    <row r="6" spans="1:3" x14ac:dyDescent="0.3">
      <c r="A6" s="26" t="s">
        <v>97</v>
      </c>
      <c r="B6" s="151">
        <v>5185</v>
      </c>
      <c r="C6" s="151">
        <v>-1173</v>
      </c>
    </row>
    <row r="7" spans="1:3" x14ac:dyDescent="0.3">
      <c r="A7" s="20" t="s">
        <v>99</v>
      </c>
      <c r="B7" s="151">
        <v>6411.9400000000005</v>
      </c>
      <c r="C7" s="151">
        <v>-1980.0700000000002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B774-C76C-45D8-838F-4764BDEE096F}">
  <dimension ref="A3:B7"/>
  <sheetViews>
    <sheetView workbookViewId="0">
      <selection activeCell="B11" sqref="B10:B11"/>
    </sheetView>
  </sheetViews>
  <sheetFormatPr defaultRowHeight="14.4" x14ac:dyDescent="0.3"/>
  <cols>
    <col min="1" max="1" width="12.5546875" bestFit="1" customWidth="1"/>
    <col min="2" max="2" width="11.6640625" bestFit="1" customWidth="1"/>
  </cols>
  <sheetData>
    <row r="3" spans="1:2" x14ac:dyDescent="0.3">
      <c r="A3" s="25" t="s">
        <v>98</v>
      </c>
      <c r="B3" t="s">
        <v>101</v>
      </c>
    </row>
    <row r="4" spans="1:2" x14ac:dyDescent="0.3">
      <c r="A4" s="20">
        <v>2017</v>
      </c>
      <c r="B4" s="151">
        <v>40775.589999999997</v>
      </c>
    </row>
    <row r="5" spans="1:2" x14ac:dyDescent="0.3">
      <c r="A5" s="26" t="s">
        <v>96</v>
      </c>
      <c r="B5" s="151">
        <v>7613.59</v>
      </c>
    </row>
    <row r="6" spans="1:2" x14ac:dyDescent="0.3">
      <c r="A6" s="26" t="s">
        <v>97</v>
      </c>
      <c r="B6" s="151">
        <v>33162</v>
      </c>
    </row>
    <row r="7" spans="1:2" x14ac:dyDescent="0.3">
      <c r="A7" s="20" t="s">
        <v>99</v>
      </c>
      <c r="B7" s="151">
        <v>40775.589999999997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88421-0305-4E88-9197-E4814D881E3D}">
  <dimension ref="A3:B7"/>
  <sheetViews>
    <sheetView topLeftCell="A7" workbookViewId="0">
      <selection activeCell="T14" sqref="T14"/>
    </sheetView>
  </sheetViews>
  <sheetFormatPr defaultRowHeight="14.4" x14ac:dyDescent="0.3"/>
  <cols>
    <col min="1" max="1" width="12.5546875" bestFit="1" customWidth="1"/>
    <col min="2" max="2" width="21.109375" bestFit="1" customWidth="1"/>
  </cols>
  <sheetData>
    <row r="3" spans="1:2" x14ac:dyDescent="0.3">
      <c r="A3" s="25" t="s">
        <v>98</v>
      </c>
      <c r="B3" t="s">
        <v>104</v>
      </c>
    </row>
    <row r="4" spans="1:2" x14ac:dyDescent="0.3">
      <c r="A4" s="20">
        <v>2017</v>
      </c>
      <c r="B4" s="151">
        <v>7839.6100000000006</v>
      </c>
    </row>
    <row r="5" spans="1:2" x14ac:dyDescent="0.3">
      <c r="A5" s="26" t="s">
        <v>96</v>
      </c>
      <c r="B5" s="151">
        <v>1511.6100000000006</v>
      </c>
    </row>
    <row r="6" spans="1:2" x14ac:dyDescent="0.3">
      <c r="A6" s="26" t="s">
        <v>97</v>
      </c>
      <c r="B6" s="151">
        <v>6328</v>
      </c>
    </row>
    <row r="7" spans="1:2" x14ac:dyDescent="0.3">
      <c r="A7" s="20" t="s">
        <v>99</v>
      </c>
      <c r="B7" s="151">
        <v>7839.6100000000006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EDA9-136A-4DFC-B393-6C56AA675412}">
  <dimension ref="A3:B7"/>
  <sheetViews>
    <sheetView workbookViewId="0">
      <selection activeCell="B14" sqref="B14"/>
    </sheetView>
  </sheetViews>
  <sheetFormatPr defaultRowHeight="14.4" x14ac:dyDescent="0.3"/>
  <cols>
    <col min="1" max="1" width="12.5546875" bestFit="1" customWidth="1"/>
    <col min="2" max="2" width="14.88671875" bestFit="1" customWidth="1"/>
  </cols>
  <sheetData>
    <row r="3" spans="1:2" x14ac:dyDescent="0.3">
      <c r="A3" s="25" t="s">
        <v>98</v>
      </c>
      <c r="B3" t="s">
        <v>105</v>
      </c>
    </row>
    <row r="4" spans="1:2" x14ac:dyDescent="0.3">
      <c r="A4" s="20">
        <v>2017</v>
      </c>
      <c r="B4" s="151">
        <v>11199.24</v>
      </c>
    </row>
    <row r="5" spans="1:2" x14ac:dyDescent="0.3">
      <c r="A5" s="26" t="s">
        <v>96</v>
      </c>
      <c r="B5" s="151">
        <v>4671.24</v>
      </c>
    </row>
    <row r="6" spans="1:2" x14ac:dyDescent="0.3">
      <c r="A6" s="26" t="s">
        <v>97</v>
      </c>
      <c r="B6" s="151">
        <v>6528</v>
      </c>
    </row>
    <row r="7" spans="1:2" x14ac:dyDescent="0.3">
      <c r="A7" s="20" t="s">
        <v>99</v>
      </c>
      <c r="B7" s="151">
        <v>11199.24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4BD3D-5F95-4865-B6BE-AB3BB822889F}">
  <dimension ref="A3:B7"/>
  <sheetViews>
    <sheetView workbookViewId="0">
      <selection activeCell="B6" sqref="B6"/>
    </sheetView>
  </sheetViews>
  <sheetFormatPr defaultRowHeight="14.4" x14ac:dyDescent="0.3"/>
  <cols>
    <col min="1" max="1" width="12.5546875" bestFit="1" customWidth="1"/>
    <col min="2" max="2" width="17.88671875" bestFit="1" customWidth="1"/>
  </cols>
  <sheetData>
    <row r="3" spans="1:2" x14ac:dyDescent="0.3">
      <c r="A3" s="25" t="s">
        <v>98</v>
      </c>
      <c r="B3" t="s">
        <v>106</v>
      </c>
    </row>
    <row r="4" spans="1:2" x14ac:dyDescent="0.3">
      <c r="A4" s="20">
        <v>2017</v>
      </c>
      <c r="B4" s="151">
        <v>43.123651398077143</v>
      </c>
    </row>
    <row r="5" spans="1:2" x14ac:dyDescent="0.3">
      <c r="A5" s="26" t="s">
        <v>96</v>
      </c>
      <c r="B5" s="151">
        <v>31.181518836711721</v>
      </c>
    </row>
    <row r="6" spans="1:2" x14ac:dyDescent="0.3">
      <c r="A6" s="26" t="s">
        <v>97</v>
      </c>
      <c r="B6" s="151">
        <v>11.942132561365419</v>
      </c>
    </row>
    <row r="7" spans="1:2" x14ac:dyDescent="0.3">
      <c r="A7" s="20" t="s">
        <v>99</v>
      </c>
      <c r="B7" s="151">
        <v>43.123651398077143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065BF-78F7-437B-80AA-AE69C7EDA47E}">
  <dimension ref="A3:B7"/>
  <sheetViews>
    <sheetView topLeftCell="C1" workbookViewId="0">
      <selection activeCell="B6" sqref="B6"/>
    </sheetView>
  </sheetViews>
  <sheetFormatPr defaultRowHeight="14.4" x14ac:dyDescent="0.3"/>
  <cols>
    <col min="1" max="1" width="12.5546875" bestFit="1" customWidth="1"/>
    <col min="2" max="2" width="31.77734375" bestFit="1" customWidth="1"/>
  </cols>
  <sheetData>
    <row r="3" spans="1:2" x14ac:dyDescent="0.3">
      <c r="A3" s="25" t="s">
        <v>98</v>
      </c>
      <c r="B3" t="s">
        <v>107</v>
      </c>
    </row>
    <row r="4" spans="1:2" x14ac:dyDescent="0.3">
      <c r="A4" s="20">
        <v>2017</v>
      </c>
      <c r="B4" s="151">
        <v>-4552.97</v>
      </c>
    </row>
    <row r="5" spans="1:2" x14ac:dyDescent="0.3">
      <c r="A5" s="26" t="s">
        <v>96</v>
      </c>
      <c r="B5" s="151">
        <v>-338.97</v>
      </c>
    </row>
    <row r="6" spans="1:2" x14ac:dyDescent="0.3">
      <c r="A6" s="26" t="s">
        <v>97</v>
      </c>
      <c r="B6" s="151">
        <v>-4214</v>
      </c>
    </row>
    <row r="7" spans="1:2" x14ac:dyDescent="0.3">
      <c r="A7" s="20" t="s">
        <v>99</v>
      </c>
      <c r="B7" s="151">
        <v>-4552.97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1E006-8FCD-4571-B08B-82738B74C34C}">
  <dimension ref="A3:B7"/>
  <sheetViews>
    <sheetView workbookViewId="0">
      <selection activeCell="B8" sqref="B8"/>
    </sheetView>
  </sheetViews>
  <sheetFormatPr defaultRowHeight="14.4" x14ac:dyDescent="0.3"/>
  <cols>
    <col min="1" max="1" width="12.5546875" bestFit="1" customWidth="1"/>
    <col min="2" max="2" width="15.6640625" bestFit="1" customWidth="1"/>
  </cols>
  <sheetData>
    <row r="3" spans="1:2" x14ac:dyDescent="0.3">
      <c r="A3" s="25" t="s">
        <v>98</v>
      </c>
      <c r="B3" t="s">
        <v>100</v>
      </c>
    </row>
    <row r="4" spans="1:2" x14ac:dyDescent="0.3">
      <c r="A4" s="20">
        <v>2017</v>
      </c>
      <c r="B4" s="151">
        <v>5752.9400000000005</v>
      </c>
    </row>
    <row r="5" spans="1:2" x14ac:dyDescent="0.3">
      <c r="A5" s="26" t="s">
        <v>96</v>
      </c>
      <c r="B5" s="151">
        <v>1276.94</v>
      </c>
    </row>
    <row r="6" spans="1:2" x14ac:dyDescent="0.3">
      <c r="A6" s="26" t="s">
        <v>97</v>
      </c>
      <c r="B6" s="151">
        <v>4476</v>
      </c>
    </row>
    <row r="7" spans="1:2" x14ac:dyDescent="0.3">
      <c r="A7" s="20" t="s">
        <v>99</v>
      </c>
      <c r="B7" s="151">
        <v>5752.9400000000005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74DF5-0F54-4204-9725-CD786E73C020}">
  <dimension ref="A3:B7"/>
  <sheetViews>
    <sheetView workbookViewId="0">
      <selection activeCell="P22" sqref="P22"/>
    </sheetView>
  </sheetViews>
  <sheetFormatPr defaultRowHeight="14.4" x14ac:dyDescent="0.3"/>
  <cols>
    <col min="1" max="1" width="12.5546875" bestFit="1" customWidth="1"/>
    <col min="2" max="2" width="12" bestFit="1" customWidth="1"/>
  </cols>
  <sheetData>
    <row r="3" spans="1:2" x14ac:dyDescent="0.3">
      <c r="A3" s="25" t="s">
        <v>98</v>
      </c>
      <c r="B3" t="s">
        <v>277</v>
      </c>
    </row>
    <row r="4" spans="1:2" x14ac:dyDescent="0.3">
      <c r="A4" s="20">
        <v>2017</v>
      </c>
      <c r="B4" s="151">
        <v>0.38936184893120562</v>
      </c>
    </row>
    <row r="5" spans="1:2" x14ac:dyDescent="0.3">
      <c r="A5" s="26" t="s">
        <v>96</v>
      </c>
      <c r="B5" s="151">
        <v>0.19854102992149572</v>
      </c>
    </row>
    <row r="6" spans="1:2" x14ac:dyDescent="0.3">
      <c r="A6" s="26" t="s">
        <v>97</v>
      </c>
      <c r="B6" s="151">
        <v>0.1908208190097099</v>
      </c>
    </row>
    <row r="7" spans="1:2" x14ac:dyDescent="0.3">
      <c r="A7" s="20" t="s">
        <v>99</v>
      </c>
      <c r="B7" s="151">
        <v>0.38936184893120562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4656-CF77-4D03-A35B-B05D3A8E2887}">
  <dimension ref="A3:B7"/>
  <sheetViews>
    <sheetView workbookViewId="0">
      <selection activeCell="B18" sqref="B18"/>
    </sheetView>
  </sheetViews>
  <sheetFormatPr defaultRowHeight="14.4" x14ac:dyDescent="0.3"/>
  <cols>
    <col min="1" max="1" width="12.5546875" bestFit="1" customWidth="1"/>
    <col min="2" max="2" width="21.6640625" bestFit="1" customWidth="1"/>
  </cols>
  <sheetData>
    <row r="3" spans="1:2" x14ac:dyDescent="0.3">
      <c r="A3" s="25" t="s">
        <v>98</v>
      </c>
      <c r="B3" t="s">
        <v>278</v>
      </c>
    </row>
    <row r="4" spans="1:2" x14ac:dyDescent="0.3">
      <c r="A4" s="20">
        <v>2017</v>
      </c>
      <c r="B4" s="151">
        <v>1.1307579686038141</v>
      </c>
    </row>
    <row r="5" spans="1:2" x14ac:dyDescent="0.3">
      <c r="A5" s="26" t="s">
        <v>96</v>
      </c>
      <c r="B5" s="151">
        <v>0.31038263348317069</v>
      </c>
    </row>
    <row r="6" spans="1:2" x14ac:dyDescent="0.3">
      <c r="A6" s="26" t="s">
        <v>97</v>
      </c>
      <c r="B6" s="151">
        <v>0.82037533512064342</v>
      </c>
    </row>
    <row r="7" spans="1:2" x14ac:dyDescent="0.3">
      <c r="A7" s="20" t="s">
        <v>99</v>
      </c>
      <c r="B7" s="151">
        <v>1.1307579686038141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B27E-C695-4E8F-B1A4-7F12B5541754}">
  <dimension ref="A3:B7"/>
  <sheetViews>
    <sheetView workbookViewId="0">
      <selection activeCell="P16" sqref="P16"/>
    </sheetView>
  </sheetViews>
  <sheetFormatPr defaultRowHeight="14.4" x14ac:dyDescent="0.3"/>
  <cols>
    <col min="1" max="1" width="12.5546875" bestFit="1" customWidth="1"/>
    <col min="2" max="2" width="24.109375" bestFit="1" customWidth="1"/>
  </cols>
  <sheetData>
    <row r="3" spans="1:2" x14ac:dyDescent="0.3">
      <c r="A3" s="25" t="s">
        <v>98</v>
      </c>
      <c r="B3" t="s">
        <v>279</v>
      </c>
    </row>
    <row r="4" spans="1:2" x14ac:dyDescent="0.3">
      <c r="A4" s="20">
        <v>2017</v>
      </c>
      <c r="B4" s="151">
        <v>19.930248037150477</v>
      </c>
    </row>
    <row r="5" spans="1:2" x14ac:dyDescent="0.3">
      <c r="A5" s="26" t="s">
        <v>96</v>
      </c>
      <c r="B5" s="151">
        <v>6.8794806227466996</v>
      </c>
    </row>
    <row r="6" spans="1:2" x14ac:dyDescent="0.3">
      <c r="A6" s="26" t="s">
        <v>97</v>
      </c>
      <c r="B6" s="151">
        <v>13.050767414403778</v>
      </c>
    </row>
    <row r="7" spans="1:2" x14ac:dyDescent="0.3">
      <c r="A7" s="20" t="s">
        <v>99</v>
      </c>
      <c r="B7" s="151">
        <v>19.930248037150477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E3E6-2CEE-4C56-A602-506E15D9E99A}">
  <dimension ref="A3:B7"/>
  <sheetViews>
    <sheetView workbookViewId="0">
      <selection activeCell="F24" sqref="F24"/>
    </sheetView>
  </sheetViews>
  <sheetFormatPr defaultRowHeight="14.4" x14ac:dyDescent="0.3"/>
  <cols>
    <col min="1" max="1" width="12.5546875" bestFit="1" customWidth="1"/>
    <col min="2" max="2" width="31.44140625" bestFit="1" customWidth="1"/>
  </cols>
  <sheetData>
    <row r="3" spans="1:2" x14ac:dyDescent="0.3">
      <c r="A3" s="25" t="s">
        <v>98</v>
      </c>
      <c r="B3" t="s">
        <v>103</v>
      </c>
    </row>
    <row r="4" spans="1:2" x14ac:dyDescent="0.3">
      <c r="A4" s="20">
        <v>2017</v>
      </c>
      <c r="B4" s="151">
        <v>-1980.0700000000002</v>
      </c>
    </row>
    <row r="5" spans="1:2" x14ac:dyDescent="0.3">
      <c r="A5" s="26" t="s">
        <v>96</v>
      </c>
      <c r="B5" s="151">
        <v>-807.07</v>
      </c>
    </row>
    <row r="6" spans="1:2" x14ac:dyDescent="0.3">
      <c r="A6" s="26" t="s">
        <v>97</v>
      </c>
      <c r="B6" s="151">
        <v>-1173</v>
      </c>
    </row>
    <row r="7" spans="1:2" x14ac:dyDescent="0.3">
      <c r="A7" s="20" t="s">
        <v>99</v>
      </c>
      <c r="B7" s="151">
        <v>-1980.0700000000002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E82D-1BE7-442F-841F-33F85662F288}">
  <dimension ref="A3:B7"/>
  <sheetViews>
    <sheetView workbookViewId="0">
      <selection activeCell="G25" sqref="G25"/>
    </sheetView>
  </sheetViews>
  <sheetFormatPr defaultRowHeight="14.4" x14ac:dyDescent="0.3"/>
  <cols>
    <col min="1" max="1" width="12.5546875" bestFit="1" customWidth="1"/>
    <col min="2" max="2" width="21.88671875" bestFit="1" customWidth="1"/>
  </cols>
  <sheetData>
    <row r="3" spans="1:2" x14ac:dyDescent="0.3">
      <c r="A3" s="25" t="s">
        <v>98</v>
      </c>
      <c r="B3" t="s">
        <v>280</v>
      </c>
    </row>
    <row r="4" spans="1:2" x14ac:dyDescent="0.3">
      <c r="A4" s="20">
        <v>2017</v>
      </c>
      <c r="B4" s="151">
        <v>0.92712942803229503</v>
      </c>
    </row>
    <row r="5" spans="1:2" x14ac:dyDescent="0.3">
      <c r="A5" s="26" t="s">
        <v>96</v>
      </c>
      <c r="B5" s="151">
        <v>0.26342836041663664</v>
      </c>
    </row>
    <row r="6" spans="1:2" x14ac:dyDescent="0.3">
      <c r="A6" s="26" t="s">
        <v>97</v>
      </c>
      <c r="B6" s="151">
        <v>0.66370106761565839</v>
      </c>
    </row>
    <row r="7" spans="1:2" x14ac:dyDescent="0.3">
      <c r="A7" s="20" t="s">
        <v>99</v>
      </c>
      <c r="B7" s="151">
        <v>0.92712942803229503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2364-F8F9-4F4A-8A9E-3C7751029A7A}">
  <dimension ref="A2:O23"/>
  <sheetViews>
    <sheetView topLeftCell="A2" workbookViewId="0">
      <selection activeCell="I15" sqref="I15"/>
    </sheetView>
  </sheetViews>
  <sheetFormatPr defaultRowHeight="14.4" x14ac:dyDescent="0.3"/>
  <cols>
    <col min="1" max="1" width="6" bestFit="1" customWidth="1"/>
    <col min="2" max="2" width="8.6640625" bestFit="1" customWidth="1"/>
    <col min="3" max="3" width="9" bestFit="1" customWidth="1"/>
    <col min="4" max="4" width="14.5546875" bestFit="1" customWidth="1"/>
    <col min="5" max="5" width="9" bestFit="1" customWidth="1"/>
    <col min="6" max="6" width="14.21875" bestFit="1" customWidth="1"/>
    <col min="7" max="7" width="12" bestFit="1" customWidth="1"/>
    <col min="9" max="9" width="12" bestFit="1" customWidth="1"/>
    <col min="10" max="10" width="16.6640625" bestFit="1" customWidth="1"/>
    <col min="11" max="11" width="14.5546875" bestFit="1" customWidth="1"/>
    <col min="12" max="12" width="19.33203125" bestFit="1" customWidth="1"/>
    <col min="13" max="13" width="24.5546875" bestFit="1" customWidth="1"/>
    <col min="14" max="14" width="23.77734375" bestFit="1" customWidth="1"/>
    <col min="15" max="15" width="24.109375" bestFit="1" customWidth="1"/>
  </cols>
  <sheetData>
    <row r="2" spans="1:15" x14ac:dyDescent="0.3">
      <c r="A2" s="29" t="s">
        <v>93</v>
      </c>
      <c r="B2" s="29" t="s">
        <v>95</v>
      </c>
      <c r="C2" s="29" t="s">
        <v>6</v>
      </c>
      <c r="D2" s="29" t="s">
        <v>8</v>
      </c>
      <c r="E2" s="29" t="s">
        <v>14</v>
      </c>
      <c r="F2" s="29" t="s">
        <v>17</v>
      </c>
      <c r="G2" s="29" t="s">
        <v>18</v>
      </c>
      <c r="H2" s="29" t="s">
        <v>25</v>
      </c>
      <c r="I2" s="29" t="s">
        <v>46</v>
      </c>
      <c r="J2" s="30" t="s">
        <v>47</v>
      </c>
      <c r="K2" s="29" t="s">
        <v>59</v>
      </c>
      <c r="L2" s="29" t="s">
        <v>60</v>
      </c>
      <c r="M2" s="29" t="s">
        <v>32</v>
      </c>
      <c r="N2" s="29" t="s">
        <v>33</v>
      </c>
      <c r="O2" s="29" t="s">
        <v>34</v>
      </c>
    </row>
    <row r="3" spans="1:15" x14ac:dyDescent="0.3">
      <c r="A3" s="31">
        <v>2014</v>
      </c>
      <c r="B3" s="31" t="s">
        <v>96</v>
      </c>
      <c r="C3" s="31">
        <v>7058.12</v>
      </c>
      <c r="D3" s="32">
        <v>1161.5299999999997</v>
      </c>
      <c r="E3" s="31">
        <v>913.92</v>
      </c>
      <c r="F3" s="31">
        <v>0.33390231092436978</v>
      </c>
      <c r="G3" s="31">
        <v>0.16456648512635089</v>
      </c>
      <c r="H3" s="33">
        <v>2481.58</v>
      </c>
      <c r="I3" s="32">
        <v>34.922118071101082</v>
      </c>
      <c r="J3" s="31">
        <v>7.2576323122641409</v>
      </c>
      <c r="K3" s="34">
        <v>0.3441015677946957</v>
      </c>
      <c r="L3" s="31"/>
      <c r="M3" s="31">
        <v>1098.3</v>
      </c>
      <c r="N3" s="31">
        <v>-104.5</v>
      </c>
      <c r="O3" s="31">
        <v>-803.69</v>
      </c>
    </row>
    <row r="4" spans="1:15" x14ac:dyDescent="0.3">
      <c r="A4" s="31">
        <v>2015</v>
      </c>
      <c r="B4" s="31" t="s">
        <v>96</v>
      </c>
      <c r="C4" s="31">
        <v>7795.49</v>
      </c>
      <c r="D4" s="32">
        <v>1320.2200000000003</v>
      </c>
      <c r="E4" s="31">
        <v>1065.83</v>
      </c>
      <c r="F4" s="31">
        <v>0.32960228178977891</v>
      </c>
      <c r="G4" s="31">
        <v>0.16935689738553963</v>
      </c>
      <c r="H4" s="33">
        <v>3178.49</v>
      </c>
      <c r="I4" s="32">
        <v>33.282911016498005</v>
      </c>
      <c r="J4" s="31">
        <v>8.0095862402005604</v>
      </c>
      <c r="K4" s="34">
        <v>0.31776550770093076</v>
      </c>
      <c r="L4" s="31">
        <v>0.36487291661075172</v>
      </c>
      <c r="M4" s="31">
        <v>1047.21</v>
      </c>
      <c r="N4" s="31">
        <v>-875.9</v>
      </c>
      <c r="O4" s="31">
        <v>-416.77</v>
      </c>
    </row>
    <row r="5" spans="1:15" x14ac:dyDescent="0.3">
      <c r="A5" s="31">
        <v>2016</v>
      </c>
      <c r="B5" s="31" t="s">
        <v>96</v>
      </c>
      <c r="C5" s="31">
        <v>7779.66</v>
      </c>
      <c r="D5" s="32">
        <v>1518.2799999999988</v>
      </c>
      <c r="E5" s="31">
        <v>1251.1500000000001</v>
      </c>
      <c r="F5" s="31">
        <v>0.31634895895775883</v>
      </c>
      <c r="G5" s="31">
        <v>0.19516019980307608</v>
      </c>
      <c r="H5" s="33">
        <v>3994.7</v>
      </c>
      <c r="I5" s="32">
        <v>37.965412370206408</v>
      </c>
      <c r="J5" s="31">
        <v>7.0949931600547194</v>
      </c>
      <c r="K5" s="34">
        <v>0.299992087488401</v>
      </c>
      <c r="L5" s="31">
        <v>0.35356643603540788</v>
      </c>
      <c r="M5" s="31">
        <v>1186.99</v>
      </c>
      <c r="N5" s="31">
        <v>-730.33</v>
      </c>
      <c r="O5" s="31">
        <v>-374.31</v>
      </c>
    </row>
    <row r="6" spans="1:15" x14ac:dyDescent="0.3">
      <c r="A6" s="31">
        <v>2017</v>
      </c>
      <c r="B6" s="31" t="s">
        <v>96</v>
      </c>
      <c r="C6" s="31">
        <v>7613.59</v>
      </c>
      <c r="D6" s="32">
        <v>1511.6100000000006</v>
      </c>
      <c r="E6" s="31">
        <v>1276.94</v>
      </c>
      <c r="F6" s="31">
        <v>0.31038263348317069</v>
      </c>
      <c r="G6" s="31">
        <v>0.19854102992149572</v>
      </c>
      <c r="H6" s="33">
        <v>4671.24</v>
      </c>
      <c r="I6" s="32">
        <v>31.181518836711721</v>
      </c>
      <c r="J6" s="31">
        <v>6.8794806227466996</v>
      </c>
      <c r="K6" s="34">
        <v>0.26342836041663664</v>
      </c>
      <c r="L6" s="31">
        <v>0.30832489058381846</v>
      </c>
      <c r="M6" s="31">
        <v>1226.94</v>
      </c>
      <c r="N6" s="31">
        <v>-807.07</v>
      </c>
      <c r="O6" s="31">
        <v>-338.97</v>
      </c>
    </row>
    <row r="7" spans="1:15" x14ac:dyDescent="0.3">
      <c r="A7" s="31">
        <v>2018</v>
      </c>
      <c r="B7" s="31" t="s">
        <v>96</v>
      </c>
      <c r="C7" s="31">
        <v>7721.85</v>
      </c>
      <c r="D7" s="32">
        <v>1617.4400000000005</v>
      </c>
      <c r="E7" s="31">
        <v>1354.39</v>
      </c>
      <c r="F7" s="31">
        <v>0.81286778549753025</v>
      </c>
      <c r="G7" s="31">
        <v>0.20946275827683786</v>
      </c>
      <c r="H7" s="33">
        <v>5530.37</v>
      </c>
      <c r="I7" s="32">
        <v>33.375318090872007</v>
      </c>
      <c r="J7" s="31">
        <v>6.1470887930073719</v>
      </c>
      <c r="K7" s="34">
        <v>0.23734079614195697</v>
      </c>
      <c r="L7" s="31">
        <v>0.28013315686038581</v>
      </c>
      <c r="M7" s="31">
        <v>1091.5</v>
      </c>
      <c r="N7" s="31">
        <v>-540.92999999999995</v>
      </c>
      <c r="O7" s="31">
        <v>-577.11</v>
      </c>
    </row>
    <row r="8" spans="1:15" x14ac:dyDescent="0.3">
      <c r="A8" s="31">
        <v>2019</v>
      </c>
      <c r="B8" s="31" t="s">
        <v>96</v>
      </c>
      <c r="C8" s="31">
        <v>8514.99</v>
      </c>
      <c r="D8" s="32">
        <v>1739.5599999999986</v>
      </c>
      <c r="E8" s="31">
        <v>1442.33</v>
      </c>
      <c r="F8" s="31">
        <v>0.33676759132792083</v>
      </c>
      <c r="G8" s="31">
        <v>0.20429383945254176</v>
      </c>
      <c r="H8" s="33">
        <v>5455.05</v>
      </c>
      <c r="I8" s="32">
        <v>35.731034328871786</v>
      </c>
      <c r="J8" s="31">
        <v>6.5473230144633341</v>
      </c>
      <c r="K8" s="34">
        <v>0.25611007727711799</v>
      </c>
      <c r="L8" s="31">
        <v>0.27505633841894817</v>
      </c>
      <c r="M8" s="31">
        <v>1499.13</v>
      </c>
      <c r="N8" s="31">
        <v>337.58</v>
      </c>
      <c r="O8" s="31">
        <v>-1888.2</v>
      </c>
    </row>
    <row r="9" spans="1:15" x14ac:dyDescent="0.3">
      <c r="A9" s="31">
        <v>2020</v>
      </c>
      <c r="B9" s="31" t="s">
        <v>96</v>
      </c>
      <c r="C9" s="31">
        <v>8684.64</v>
      </c>
      <c r="D9" s="32">
        <v>1792.3399999999992</v>
      </c>
      <c r="E9" s="31">
        <v>1444.96</v>
      </c>
      <c r="F9" s="31">
        <v>0.36688212822500277</v>
      </c>
      <c r="G9" s="31">
        <v>0.20638046021481596</v>
      </c>
      <c r="H9" s="33">
        <v>6429.04</v>
      </c>
      <c r="I9" s="32">
        <v>34.206351673759649</v>
      </c>
      <c r="J9" s="31">
        <v>6.2951789325659444</v>
      </c>
      <c r="K9" s="34">
        <v>0.21874276198766227</v>
      </c>
      <c r="L9" s="31">
        <v>0.26409209148816504</v>
      </c>
      <c r="M9" s="31">
        <v>1613.62</v>
      </c>
      <c r="N9" s="31">
        <v>-516.63</v>
      </c>
      <c r="O9" s="31">
        <v>-1042.97</v>
      </c>
    </row>
    <row r="10" spans="1:15" x14ac:dyDescent="0.3">
      <c r="A10" s="31">
        <v>2021</v>
      </c>
      <c r="B10" s="31" t="s">
        <v>96</v>
      </c>
      <c r="C10" s="31">
        <v>9561.65</v>
      </c>
      <c r="D10" s="32">
        <v>2001.6699999999983</v>
      </c>
      <c r="E10" s="31">
        <v>1693.3</v>
      </c>
      <c r="F10" s="31">
        <v>0.49578928719069271</v>
      </c>
      <c r="G10" s="31">
        <v>0.20934357563809575</v>
      </c>
      <c r="H10" s="33">
        <v>7486.79</v>
      </c>
      <c r="I10" s="32">
        <v>21.437377440086181</v>
      </c>
      <c r="J10" s="31">
        <v>5.5133254145812671</v>
      </c>
      <c r="K10" s="34">
        <v>0.22095561705897934</v>
      </c>
      <c r="L10" s="31">
        <v>0.27278235175319748</v>
      </c>
      <c r="M10" s="31">
        <v>2114.67</v>
      </c>
      <c r="N10" s="31">
        <v>-1404.22</v>
      </c>
      <c r="O10" s="31">
        <v>-613.41</v>
      </c>
    </row>
    <row r="11" spans="1:15" x14ac:dyDescent="0.3">
      <c r="A11" s="31">
        <v>2022</v>
      </c>
      <c r="B11" s="31" t="s">
        <v>96</v>
      </c>
      <c r="C11" s="31">
        <v>10888.68</v>
      </c>
      <c r="D11" s="32">
        <v>2252.0100000000002</v>
      </c>
      <c r="E11" s="31">
        <v>1739.22</v>
      </c>
      <c r="F11" s="31">
        <v>0.52857602833454076</v>
      </c>
      <c r="G11" s="31">
        <v>0.20682121248856611</v>
      </c>
      <c r="H11" s="33">
        <v>8204.51</v>
      </c>
      <c r="I11" s="32">
        <v>21.659627245910432</v>
      </c>
      <c r="J11" s="31">
        <v>5.6967933994987892</v>
      </c>
      <c r="K11" s="34">
        <v>0.2075119611516113</v>
      </c>
      <c r="L11" s="31">
        <v>0.26242963059009927</v>
      </c>
      <c r="M11" s="31">
        <v>1802.33</v>
      </c>
      <c r="N11" s="31">
        <v>-1273.45</v>
      </c>
      <c r="O11" s="31">
        <v>-490.49</v>
      </c>
    </row>
    <row r="12" spans="1:15" x14ac:dyDescent="0.3">
      <c r="A12" s="31">
        <v>2023</v>
      </c>
      <c r="B12" s="31" t="s">
        <v>96</v>
      </c>
      <c r="C12" s="31">
        <v>11529.89</v>
      </c>
      <c r="D12" s="32">
        <v>2162.4899999999998</v>
      </c>
      <c r="E12" s="31">
        <v>1707.15</v>
      </c>
      <c r="F12" s="31">
        <v>0.53969481299241429</v>
      </c>
      <c r="G12" s="31">
        <v>0.18755512845309016</v>
      </c>
      <c r="H12" s="33">
        <v>8796.08</v>
      </c>
      <c r="I12" s="32">
        <v>26.868751566580428</v>
      </c>
      <c r="J12" s="31">
        <v>5.6960231202450347</v>
      </c>
      <c r="K12" s="34">
        <v>0.19024858301219402</v>
      </c>
      <c r="L12" s="31">
        <v>0.23487750818699837</v>
      </c>
      <c r="M12" s="31">
        <v>1488.43</v>
      </c>
      <c r="N12" s="31">
        <v>-582.79</v>
      </c>
      <c r="O12" s="31">
        <v>-1035.24</v>
      </c>
    </row>
    <row r="13" spans="1:15" x14ac:dyDescent="0.3">
      <c r="A13" s="31">
        <v>2014</v>
      </c>
      <c r="B13" s="31" t="s">
        <v>97</v>
      </c>
      <c r="C13" s="31">
        <v>29233.74</v>
      </c>
      <c r="D13" s="31">
        <v>4759.0100000000057</v>
      </c>
      <c r="E13" s="31">
        <v>3945.57</v>
      </c>
      <c r="F13" s="31">
        <v>0.71257384864544293</v>
      </c>
      <c r="G13" s="31">
        <v>0.16279169206540134</v>
      </c>
      <c r="H13" s="31">
        <v>3321.02</v>
      </c>
      <c r="I13" s="31">
        <v>12.695455661848259</v>
      </c>
      <c r="J13" s="31">
        <v>9.9440239741753782</v>
      </c>
      <c r="K13" s="34">
        <v>1.1154216928778811</v>
      </c>
      <c r="L13" s="31"/>
      <c r="M13" s="31">
        <v>3818.18</v>
      </c>
      <c r="N13" s="31">
        <v>-475.04</v>
      </c>
      <c r="O13" s="31">
        <v>-2960.29</v>
      </c>
    </row>
    <row r="14" spans="1:15" x14ac:dyDescent="0.3">
      <c r="A14" s="31">
        <v>2015</v>
      </c>
      <c r="B14" s="31" t="s">
        <v>97</v>
      </c>
      <c r="C14" s="31">
        <v>31972.19</v>
      </c>
      <c r="D14" s="31">
        <v>5412.4199999999983</v>
      </c>
      <c r="E14" s="31">
        <v>4363.08</v>
      </c>
      <c r="F14" s="31">
        <v>0.74379795923980307</v>
      </c>
      <c r="G14" s="31">
        <v>0.16928524445776152</v>
      </c>
      <c r="H14" s="31">
        <v>3811.13</v>
      </c>
      <c r="I14" s="31">
        <v>11.533529608075018</v>
      </c>
      <c r="J14" s="31">
        <v>11.223077166095079</v>
      </c>
      <c r="K14" s="34">
        <v>1.0833275398015632</v>
      </c>
      <c r="L14" s="31">
        <v>1.6560530692934765</v>
      </c>
      <c r="M14" s="31">
        <v>3291.91</v>
      </c>
      <c r="N14" s="31">
        <v>137.97</v>
      </c>
      <c r="O14" s="31">
        <v>-3462.42</v>
      </c>
    </row>
    <row r="15" spans="1:15" x14ac:dyDescent="0.3">
      <c r="A15" s="31">
        <v>2016</v>
      </c>
      <c r="B15" s="31" t="s">
        <v>97</v>
      </c>
      <c r="C15" s="31">
        <v>32186</v>
      </c>
      <c r="D15" s="31">
        <v>5910</v>
      </c>
      <c r="E15" s="31">
        <v>4151</v>
      </c>
      <c r="F15" s="31">
        <v>0.8325704649482053</v>
      </c>
      <c r="G15" s="31">
        <v>0.18362020754365252</v>
      </c>
      <c r="H15" s="31">
        <v>6357</v>
      </c>
      <c r="I15" s="31">
        <v>14.334182563847635</v>
      </c>
      <c r="J15" s="31">
        <v>11.807043286867204</v>
      </c>
      <c r="K15" s="34">
        <v>0.6315228966986155</v>
      </c>
      <c r="L15" s="31">
        <v>1.1169518655295678</v>
      </c>
      <c r="M15" s="31">
        <v>4171</v>
      </c>
      <c r="N15" s="31">
        <v>-282</v>
      </c>
      <c r="O15" s="31">
        <v>-3864</v>
      </c>
    </row>
    <row r="16" spans="1:15" x14ac:dyDescent="0.3">
      <c r="A16" s="31">
        <v>2017</v>
      </c>
      <c r="B16" s="31" t="s">
        <v>97</v>
      </c>
      <c r="C16" s="31">
        <v>33162</v>
      </c>
      <c r="D16" s="31">
        <v>6328</v>
      </c>
      <c r="E16" s="31">
        <v>4476</v>
      </c>
      <c r="F16" s="31">
        <v>0.82037533512064342</v>
      </c>
      <c r="G16" s="31">
        <v>0.1908208190097099</v>
      </c>
      <c r="H16" s="31">
        <v>6528</v>
      </c>
      <c r="I16" s="31">
        <v>11.942132561365419</v>
      </c>
      <c r="J16" s="31">
        <v>13.050767414403778</v>
      </c>
      <c r="K16" s="34">
        <v>0.66370106761565839</v>
      </c>
      <c r="L16" s="31">
        <v>0.9443032459516375</v>
      </c>
      <c r="M16" s="31">
        <v>5185</v>
      </c>
      <c r="N16" s="31">
        <v>-1173</v>
      </c>
      <c r="O16" s="31">
        <v>-4214</v>
      </c>
    </row>
    <row r="17" spans="1:15" x14ac:dyDescent="0.3">
      <c r="A17" s="31">
        <v>2018</v>
      </c>
      <c r="B17" s="31" t="s">
        <v>97</v>
      </c>
      <c r="C17" s="31">
        <v>35545</v>
      </c>
      <c r="D17" s="31">
        <v>7499</v>
      </c>
      <c r="E17" s="31">
        <v>5214</v>
      </c>
      <c r="F17" s="31">
        <v>0.8285385500575374</v>
      </c>
      <c r="G17" s="31">
        <v>0.21097200731467156</v>
      </c>
      <c r="H17" s="31">
        <v>7065</v>
      </c>
      <c r="I17" s="31">
        <v>13.4519623013082</v>
      </c>
      <c r="J17" s="31">
        <v>14.144448865897333</v>
      </c>
      <c r="K17" s="34">
        <v>0.71611042439225381</v>
      </c>
      <c r="L17" s="31">
        <v>1.0253111452943644</v>
      </c>
      <c r="M17" s="31">
        <v>6059</v>
      </c>
      <c r="N17" s="31">
        <v>-1063</v>
      </c>
      <c r="O17" s="31">
        <v>-4975</v>
      </c>
    </row>
    <row r="18" spans="1:15" x14ac:dyDescent="0.3">
      <c r="A18" s="31">
        <v>2019</v>
      </c>
      <c r="B18" s="31" t="s">
        <v>97</v>
      </c>
      <c r="C18" s="31">
        <v>39310</v>
      </c>
      <c r="D18" s="31">
        <v>8880</v>
      </c>
      <c r="E18" s="31">
        <v>6054</v>
      </c>
      <c r="F18" s="31">
        <v>0.78493557978196238</v>
      </c>
      <c r="G18" s="31">
        <v>0.2258967183922666</v>
      </c>
      <c r="H18" s="31">
        <v>7651</v>
      </c>
      <c r="I18" s="31">
        <v>16.861867209361485</v>
      </c>
      <c r="J18" s="31">
        <v>15.271950271950272</v>
      </c>
      <c r="K18" s="34">
        <v>0.76954366340409308</v>
      </c>
      <c r="L18" s="31">
        <v>1.1329441857414573</v>
      </c>
      <c r="M18" s="31">
        <v>5800</v>
      </c>
      <c r="N18" s="31">
        <v>-438</v>
      </c>
      <c r="O18" s="31">
        <v>-5390</v>
      </c>
    </row>
    <row r="19" spans="1:15" x14ac:dyDescent="0.3">
      <c r="A19" s="31">
        <v>2020</v>
      </c>
      <c r="B19" s="31" t="s">
        <v>97</v>
      </c>
      <c r="C19" s="31">
        <v>39783</v>
      </c>
      <c r="D19" s="31">
        <v>9853</v>
      </c>
      <c r="E19" s="31">
        <v>6748</v>
      </c>
      <c r="F19" s="31">
        <v>0.80023710729104924</v>
      </c>
      <c r="G19" s="31">
        <v>0.24766860216675465</v>
      </c>
      <c r="H19" s="31">
        <v>8013</v>
      </c>
      <c r="I19" s="31">
        <v>10.541814342809744</v>
      </c>
      <c r="J19" s="31">
        <v>14.377665341525118</v>
      </c>
      <c r="K19" s="34">
        <v>0.82002673471867782</v>
      </c>
      <c r="L19" s="31">
        <v>1.1464032108675517</v>
      </c>
      <c r="M19" s="31">
        <v>7623</v>
      </c>
      <c r="N19" s="31">
        <v>1791</v>
      </c>
      <c r="O19" s="31">
        <v>-6819</v>
      </c>
    </row>
    <row r="20" spans="1:15" x14ac:dyDescent="0.3">
      <c r="A20" s="31">
        <v>2021</v>
      </c>
      <c r="B20" s="31" t="s">
        <v>97</v>
      </c>
      <c r="C20" s="31">
        <v>47028</v>
      </c>
      <c r="D20" s="31">
        <v>11626</v>
      </c>
      <c r="E20" s="31">
        <v>7995</v>
      </c>
      <c r="F20" s="31">
        <v>1.1904315196998123</v>
      </c>
      <c r="G20" s="31">
        <v>0.24721442544866887</v>
      </c>
      <c r="H20" s="31">
        <v>47439</v>
      </c>
      <c r="I20" s="31">
        <v>13.644424598111764</v>
      </c>
      <c r="J20" s="31">
        <v>13.139983235540655</v>
      </c>
      <c r="K20" s="34">
        <v>0.16770147250073414</v>
      </c>
      <c r="L20" s="31">
        <v>0.37679224065223504</v>
      </c>
      <c r="M20" s="31">
        <v>9163</v>
      </c>
      <c r="N20" s="31">
        <v>-1228</v>
      </c>
      <c r="O20" s="31">
        <v>-9309</v>
      </c>
    </row>
    <row r="21" spans="1:15" x14ac:dyDescent="0.3">
      <c r="A21" s="31">
        <v>2022</v>
      </c>
      <c r="B21" s="31" t="s">
        <v>97</v>
      </c>
      <c r="C21" s="31">
        <v>52446</v>
      </c>
      <c r="D21" s="31">
        <v>12857</v>
      </c>
      <c r="E21" s="31">
        <v>8879</v>
      </c>
      <c r="F21" s="31">
        <v>0.89987611217479446</v>
      </c>
      <c r="G21" s="31">
        <v>0.24514738969606834</v>
      </c>
      <c r="H21" s="31">
        <v>48826</v>
      </c>
      <c r="I21" s="31">
        <v>15.56152995461999</v>
      </c>
      <c r="J21" s="31">
        <v>12.80419921875</v>
      </c>
      <c r="K21" s="34">
        <v>0.18097878151688715</v>
      </c>
      <c r="L21" s="31">
        <v>0.24264326277749096</v>
      </c>
      <c r="M21" s="31">
        <v>9048</v>
      </c>
      <c r="N21" s="31">
        <v>-1728</v>
      </c>
      <c r="O21" s="31">
        <v>-8015</v>
      </c>
    </row>
    <row r="22" spans="1:15" x14ac:dyDescent="0.3">
      <c r="A22" s="31">
        <v>2023</v>
      </c>
      <c r="B22" s="31" t="s">
        <v>97</v>
      </c>
      <c r="C22" s="31">
        <v>60580</v>
      </c>
      <c r="D22" s="31">
        <v>14148</v>
      </c>
      <c r="E22" s="31">
        <v>10120</v>
      </c>
      <c r="F22" s="31">
        <v>0.90563241106719372</v>
      </c>
      <c r="G22" s="31">
        <v>0.23354242324199406</v>
      </c>
      <c r="H22" s="31">
        <v>50069</v>
      </c>
      <c r="I22" s="31">
        <v>18.551254539451964</v>
      </c>
      <c r="J22" s="31">
        <v>14.250764525993883</v>
      </c>
      <c r="K22" s="34">
        <v>0.201176844783715</v>
      </c>
      <c r="L22" s="31">
        <v>0.26485087624351794</v>
      </c>
      <c r="M22" s="31">
        <v>9991</v>
      </c>
      <c r="N22" s="31">
        <v>-1484</v>
      </c>
      <c r="O22" s="31">
        <v>-8953</v>
      </c>
    </row>
    <row r="23" spans="1:15" x14ac:dyDescent="0.3">
      <c r="A23" s="31"/>
      <c r="B23" s="31"/>
      <c r="C23" s="31"/>
      <c r="D23" s="31"/>
      <c r="E23" s="31"/>
      <c r="F23" s="31"/>
      <c r="G23" s="31"/>
      <c r="H23" s="31"/>
      <c r="I23" s="31"/>
      <c r="J23" s="31"/>
      <c r="K23" s="31"/>
      <c r="L23" s="31"/>
      <c r="M23" s="31"/>
      <c r="N23" s="31"/>
      <c r="O23" s="3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955C-46E3-4E50-87F4-6EC858C480E4}">
  <dimension ref="A1:B1"/>
  <sheetViews>
    <sheetView zoomScale="52" zoomScaleNormal="52" workbookViewId="0">
      <selection activeCell="AS18" sqref="AS18"/>
    </sheetView>
  </sheetViews>
  <sheetFormatPr defaultRowHeight="14.4" x14ac:dyDescent="0.3"/>
  <cols>
    <col min="1" max="16384" width="8.88671875" style="27"/>
  </cols>
  <sheetData>
    <row r="1" spans="1:2" ht="18" x14ac:dyDescent="0.35">
      <c r="A1" s="28" t="s">
        <v>108</v>
      </c>
      <c r="B1" s="28"/>
    </row>
  </sheetData>
  <pageMargins left="0.7" right="0.7" top="0.75" bottom="0.75" header="0.3" footer="0.3"/>
  <pageSetup paperSize="8" orientation="portrait" r:id="rId1"/>
  <drawing r:id="rId2"/>
  <extLst>
    <ext xmlns:x14="http://schemas.microsoft.com/office/spreadsheetml/2009/9/main" uri="{A8765BA9-456A-4dab-B4F3-ACF838C121DE}">
      <x14:slicerList>
        <x14:slicer r:id="rId3"/>
      </x14:slicerList>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09922-0D0E-480A-8F52-FA14798B98AB}">
  <dimension ref="A1"/>
  <sheetViews>
    <sheetView showGridLines="0" zoomScale="59" zoomScaleNormal="59" workbookViewId="0">
      <selection activeCell="AI30" sqref="AI29:AI30"/>
    </sheetView>
  </sheetViews>
  <sheetFormatPr defaultRowHeight="14.4" x14ac:dyDescent="0.3"/>
  <cols>
    <col min="1" max="16384" width="8.88671875" style="133"/>
  </cols>
  <sheetData/>
  <pageMargins left="1" right="1" top="1" bottom="1" header="0.5" footer="0.5"/>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IS</vt:lpstr>
      <vt:lpstr>BS</vt:lpstr>
      <vt:lpstr>CFS</vt:lpstr>
      <vt:lpstr>Profit &amp; Loss</vt:lpstr>
      <vt:lpstr>Quarters</vt:lpstr>
      <vt:lpstr>Balance Sheet</vt:lpstr>
      <vt:lpstr>Cash Flow</vt:lpstr>
      <vt:lpstr>Customization</vt:lpstr>
      <vt:lpstr>dashboard</vt:lpstr>
      <vt:lpstr>Data Sheet</vt:lpstr>
      <vt:lpstr>objective 3</vt:lpstr>
      <vt:lpstr>objective sales</vt:lpstr>
      <vt:lpstr>total operating profit</vt:lpstr>
      <vt:lpstr>total reserve</vt:lpstr>
      <vt:lpstr>debtors days </vt:lpstr>
      <vt:lpstr>cash from financing activity</vt:lpstr>
      <vt:lpstr>total net profit</vt:lpstr>
      <vt:lpstr>opm</vt:lpstr>
      <vt:lpstr>dividend profit</vt:lpstr>
      <vt:lpstr>inventory turnover</vt:lpstr>
      <vt:lpstr>cash from investing activity</vt:lpstr>
      <vt:lpstr>return on equity</vt:lpstr>
      <vt:lpstr> dashboard data</vt:lpstr>
      <vt:lpstr>dashboard 2</vt:lpstr>
      <vt:lpstr>dashboard 3</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hemanshu bhandari</cp:lastModifiedBy>
  <cp:lastPrinted>2024-01-04T18:59:40Z</cp:lastPrinted>
  <dcterms:created xsi:type="dcterms:W3CDTF">2012-08-17T09:55:37Z</dcterms:created>
  <dcterms:modified xsi:type="dcterms:W3CDTF">2024-09-26T12:20:45Z</dcterms:modified>
</cp:coreProperties>
</file>